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externalLinks/externalLink3.xml" ContentType="application/vnd.openxmlformats-officedocument.spreadsheetml.externalLink+xml"/>
  <Override PartName="/xl/comments2.xml" ContentType="application/vnd.openxmlformats-officedocument.spreadsheetml.comments+xml"/>
  <Override PartName="/xl/comments16.xml" ContentType="application/vnd.openxmlformats-officedocument.spreadsheetml.comments+xml"/>
  <Override PartName="/xl/comments25.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comments14.xml" ContentType="application/vnd.openxmlformats-officedocument.spreadsheetml.comments+xml"/>
  <Override PartName="/xl/comments23.xml" ContentType="application/vnd.openxmlformats-officedocument.spreadsheetml.comments+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21.xml" ContentType="application/vnd.openxmlformats-officedocument.spreadsheetml.comment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comments10.xml" ContentType="application/vnd.openxmlformats-officedocument.spreadsheetml.comment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comments3.xml" ContentType="application/vnd.openxmlformats-officedocument.spreadsheetml.comments+xml"/>
  <Override PartName="/xl/comments17.xml" ContentType="application/vnd.openxmlformats-officedocument.spreadsheetml.comments+xml"/>
  <Override PartName="/xl/comments26.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comments13.xml" ContentType="application/vnd.openxmlformats-officedocument.spreadsheetml.comments+xml"/>
  <Override PartName="/xl/comments22.xml" ContentType="application/vnd.openxmlformats-officedocument.spreadsheetml.comments+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defaultThemeVersion="124226"/>
  <bookViews>
    <workbookView xWindow="480" yWindow="210" windowWidth="12120" windowHeight="7620" tabRatio="868" firstSheet="11" activeTab="11"/>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住宅" sheetId="21" r:id="rId23"/>
    <sheet name="收益法-住宅" sheetId="67" r:id="rId24"/>
    <sheet name="收益法（汇总）" sheetId="70" state="hidden" r:id="rId25"/>
    <sheet name="酒店收入计算" sheetId="66" state="hidden" r:id="rId26"/>
    <sheet name="比较法-商业" sheetId="33" state="hidden" r:id="rId27"/>
    <sheet name="比较法-办公" sheetId="34" state="hidden" r:id="rId28"/>
    <sheet name="比较法-工业" sheetId="37" state="hidden" r:id="rId29"/>
    <sheet name="典型户型修正" sheetId="31" state="hidden" r:id="rId30"/>
    <sheet name="典型户型修正-住宅" sheetId="84" r:id="rId31"/>
    <sheet name="结果表-车位" sheetId="80" state="hidden" r:id="rId32"/>
    <sheet name="比较法-车位" sheetId="35"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收益法-车位1" sheetId="83" r:id="rId47"/>
    <sheet name="收益法-车位" sheetId="78" state="hidden" r:id="rId48"/>
    <sheet name="典型户型修正-车位" sheetId="81" r:id="rId49"/>
    <sheet name="分摊土地面积" sheetId="77" r:id="rId50"/>
    <sheet name="面积及价值汇总" sheetId="79" r:id="rId51"/>
    <sheet name="Sheet1" sheetId="82" r:id="rId52"/>
  </sheets>
  <externalReferences>
    <externalReference r:id="rId53"/>
    <externalReference r:id="rId54"/>
    <externalReference r:id="rId55"/>
  </externalReferences>
  <definedNames>
    <definedName name="_xlnm._FilterDatabase" localSheetId="27" hidden="1">'比较法-办公'!$A$1:$L$50</definedName>
    <definedName name="_xlnm._FilterDatabase" localSheetId="33" hidden="1">'比较法-仓储'!$A$1:$L$37</definedName>
    <definedName name="_xlnm._FilterDatabase" localSheetId="32" hidden="1">'比较法-车位'!$A$1:$L$39</definedName>
    <definedName name="_xlnm._FilterDatabase" localSheetId="28" hidden="1">'比较法-工业'!$A$1:$L$43</definedName>
    <definedName name="_xlnm._FilterDatabase" localSheetId="26" hidden="1">'比较法-商业'!$A$1:$L$49</definedName>
    <definedName name="_xlnm._FilterDatabase" localSheetId="22"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21">收益法!$A$1:$AK$69</definedName>
    <definedName name="_xlnm.Print_Area" localSheetId="46">'收益法-车位1'!$A$1:$AK$69</definedName>
    <definedName name="_xlnm.Print_Area" localSheetId="23">'收益法-住宅'!$A$1:$AK$69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O35" i="79"/>
  <c r="F221"/>
  <c r="E221"/>
  <c r="I133"/>
  <c r="L132"/>
  <c r="M132"/>
  <c r="N132"/>
  <c r="O132" s="1"/>
  <c r="L133"/>
  <c r="M133"/>
  <c r="N133"/>
  <c r="O133" s="1"/>
  <c r="L134"/>
  <c r="M134"/>
  <c r="N134"/>
  <c r="O134" s="1"/>
  <c r="L122"/>
  <c r="M122"/>
  <c r="N122"/>
  <c r="O122" s="1"/>
  <c r="L123"/>
  <c r="M123"/>
  <c r="N123"/>
  <c r="O123" s="1"/>
  <c r="L124"/>
  <c r="M124"/>
  <c r="N124"/>
  <c r="O124" s="1"/>
  <c r="L125"/>
  <c r="M125"/>
  <c r="N125"/>
  <c r="O125" s="1"/>
  <c r="L126"/>
  <c r="M126"/>
  <c r="N126"/>
  <c r="O126"/>
  <c r="L127"/>
  <c r="M127"/>
  <c r="N127"/>
  <c r="O127"/>
  <c r="L128"/>
  <c r="M128"/>
  <c r="N128"/>
  <c r="O128"/>
  <c r="L129"/>
  <c r="M129"/>
  <c r="N129"/>
  <c r="O129"/>
  <c r="L130"/>
  <c r="M130"/>
  <c r="N130"/>
  <c r="O130"/>
  <c r="L131"/>
  <c r="M131"/>
  <c r="N131"/>
  <c r="O131"/>
  <c r="L116"/>
  <c r="M116"/>
  <c r="N116"/>
  <c r="O116"/>
  <c r="L117"/>
  <c r="M117"/>
  <c r="N117"/>
  <c r="O117"/>
  <c r="L118"/>
  <c r="M118"/>
  <c r="N118"/>
  <c r="O118"/>
  <c r="L119"/>
  <c r="M119"/>
  <c r="N119"/>
  <c r="O119"/>
  <c r="L120"/>
  <c r="M120"/>
  <c r="N120"/>
  <c r="O120"/>
  <c r="L121"/>
  <c r="M121"/>
  <c r="N121"/>
  <c r="O121"/>
  <c r="L57"/>
  <c r="M57"/>
  <c r="N57"/>
  <c r="O57"/>
  <c r="L58"/>
  <c r="M58"/>
  <c r="N58"/>
  <c r="O58"/>
  <c r="L59"/>
  <c r="M59"/>
  <c r="N59"/>
  <c r="O59"/>
  <c r="L60"/>
  <c r="M60"/>
  <c r="N60"/>
  <c r="O60"/>
  <c r="L61"/>
  <c r="M61"/>
  <c r="N61"/>
  <c r="O61"/>
  <c r="L62"/>
  <c r="M62"/>
  <c r="N62"/>
  <c r="O62"/>
  <c r="L63"/>
  <c r="M63"/>
  <c r="N63"/>
  <c r="O63"/>
  <c r="L64"/>
  <c r="M64"/>
  <c r="N64"/>
  <c r="O64"/>
  <c r="L65"/>
  <c r="M65"/>
  <c r="N65"/>
  <c r="O65"/>
  <c r="L66"/>
  <c r="M66"/>
  <c r="N66"/>
  <c r="O66"/>
  <c r="L67"/>
  <c r="M67"/>
  <c r="N67"/>
  <c r="O67"/>
  <c r="L68"/>
  <c r="M68"/>
  <c r="N68"/>
  <c r="O68"/>
  <c r="L69"/>
  <c r="M69"/>
  <c r="N69"/>
  <c r="O69"/>
  <c r="L70"/>
  <c r="M70"/>
  <c r="N70"/>
  <c r="O70"/>
  <c r="L71"/>
  <c r="M71"/>
  <c r="N71"/>
  <c r="O71"/>
  <c r="L72"/>
  <c r="M72"/>
  <c r="N72"/>
  <c r="O72"/>
  <c r="L73"/>
  <c r="M73"/>
  <c r="N73"/>
  <c r="O73"/>
  <c r="L74"/>
  <c r="M74"/>
  <c r="N74"/>
  <c r="O74"/>
  <c r="L75"/>
  <c r="M75"/>
  <c r="N75"/>
  <c r="O75"/>
  <c r="L76"/>
  <c r="M76"/>
  <c r="N76"/>
  <c r="O76"/>
  <c r="L77"/>
  <c r="M77"/>
  <c r="N77"/>
  <c r="O77"/>
  <c r="L78"/>
  <c r="M78"/>
  <c r="N78"/>
  <c r="O78" s="1"/>
  <c r="L79"/>
  <c r="M79"/>
  <c r="N79"/>
  <c r="O79" s="1"/>
  <c r="L80"/>
  <c r="M80"/>
  <c r="N80"/>
  <c r="O80"/>
  <c r="L81"/>
  <c r="M81"/>
  <c r="N81"/>
  <c r="O81"/>
  <c r="L82"/>
  <c r="M82"/>
  <c r="N82"/>
  <c r="O82"/>
  <c r="L83"/>
  <c r="M83"/>
  <c r="N83"/>
  <c r="O83"/>
  <c r="L84"/>
  <c r="M84"/>
  <c r="N84"/>
  <c r="O84"/>
  <c r="L85"/>
  <c r="M85"/>
  <c r="N85"/>
  <c r="O85"/>
  <c r="L86"/>
  <c r="M86"/>
  <c r="N86"/>
  <c r="O86"/>
  <c r="L87"/>
  <c r="M87"/>
  <c r="N87"/>
  <c r="O87"/>
  <c r="L88"/>
  <c r="M88"/>
  <c r="N88"/>
  <c r="O88"/>
  <c r="L89"/>
  <c r="M89"/>
  <c r="N89"/>
  <c r="O89"/>
  <c r="L90"/>
  <c r="M90"/>
  <c r="N90"/>
  <c r="O90"/>
  <c r="L91"/>
  <c r="M91"/>
  <c r="N91"/>
  <c r="O91"/>
  <c r="L92"/>
  <c r="M92"/>
  <c r="N92"/>
  <c r="O92"/>
  <c r="L93"/>
  <c r="M93"/>
  <c r="N93"/>
  <c r="O93"/>
  <c r="L94"/>
  <c r="M94"/>
  <c r="N94"/>
  <c r="O94"/>
  <c r="L95"/>
  <c r="M95"/>
  <c r="N95"/>
  <c r="O95"/>
  <c r="L96"/>
  <c r="M96"/>
  <c r="N96"/>
  <c r="O96"/>
  <c r="L97"/>
  <c r="M97"/>
  <c r="N97"/>
  <c r="O97"/>
  <c r="L98"/>
  <c r="M98"/>
  <c r="N98"/>
  <c r="O98"/>
  <c r="L99"/>
  <c r="M99"/>
  <c r="N99"/>
  <c r="O99"/>
  <c r="L100"/>
  <c r="M100"/>
  <c r="N100"/>
  <c r="O100"/>
  <c r="L101"/>
  <c r="M101"/>
  <c r="N101"/>
  <c r="O101"/>
  <c r="L102"/>
  <c r="M102"/>
  <c r="N102"/>
  <c r="O102"/>
  <c r="L103"/>
  <c r="M103"/>
  <c r="N103"/>
  <c r="O103"/>
  <c r="L104"/>
  <c r="M104"/>
  <c r="N104"/>
  <c r="O104"/>
  <c r="L105"/>
  <c r="M105"/>
  <c r="N105"/>
  <c r="O105"/>
  <c r="L106"/>
  <c r="M106"/>
  <c r="N106"/>
  <c r="O106"/>
  <c r="L107"/>
  <c r="M107"/>
  <c r="N107"/>
  <c r="O107"/>
  <c r="L108"/>
  <c r="M108"/>
  <c r="N108"/>
  <c r="O108"/>
  <c r="L109"/>
  <c r="M109"/>
  <c r="N109"/>
  <c r="O109"/>
  <c r="L110"/>
  <c r="M110"/>
  <c r="N110"/>
  <c r="O110"/>
  <c r="L111"/>
  <c r="M111"/>
  <c r="N111"/>
  <c r="O111"/>
  <c r="L112"/>
  <c r="M112"/>
  <c r="N112"/>
  <c r="O112"/>
  <c r="L113"/>
  <c r="M113"/>
  <c r="N113"/>
  <c r="O113"/>
  <c r="L114"/>
  <c r="M114"/>
  <c r="N114"/>
  <c r="O114"/>
  <c r="L115"/>
  <c r="M115"/>
  <c r="N115"/>
  <c r="O115"/>
  <c r="N56"/>
  <c r="N135" s="1"/>
  <c r="M56"/>
  <c r="L56"/>
  <c r="O39"/>
  <c r="O43"/>
  <c r="O47"/>
  <c r="O51"/>
  <c r="N35"/>
  <c r="N36"/>
  <c r="O36" s="1"/>
  <c r="N37"/>
  <c r="O37" s="1"/>
  <c r="N38"/>
  <c r="O38" s="1"/>
  <c r="N39"/>
  <c r="N40"/>
  <c r="O40" s="1"/>
  <c r="N41"/>
  <c r="O41" s="1"/>
  <c r="N42"/>
  <c r="O42" s="1"/>
  <c r="N43"/>
  <c r="N44"/>
  <c r="O44" s="1"/>
  <c r="N45"/>
  <c r="O45" s="1"/>
  <c r="N46"/>
  <c r="O46" s="1"/>
  <c r="N47"/>
  <c r="N48"/>
  <c r="O48" s="1"/>
  <c r="N49"/>
  <c r="O49" s="1"/>
  <c r="N50"/>
  <c r="O50" s="1"/>
  <c r="N51"/>
  <c r="N34"/>
  <c r="O34" s="1"/>
  <c r="L49"/>
  <c r="L50"/>
  <c r="L51"/>
  <c r="L46"/>
  <c r="L47"/>
  <c r="L48"/>
  <c r="L45"/>
  <c r="L35"/>
  <c r="L36"/>
  <c r="L37"/>
  <c r="L38"/>
  <c r="L39"/>
  <c r="L40"/>
  <c r="L41"/>
  <c r="L42"/>
  <c r="L43"/>
  <c r="L44"/>
  <c r="L34"/>
  <c r="C40" i="35"/>
  <c r="C50" i="21"/>
  <c r="O52" i="79" l="1"/>
  <c r="N52"/>
  <c r="I130" s="1"/>
  <c r="O56"/>
  <c r="O135" s="1"/>
  <c r="I131" s="1"/>
  <c r="C31" i="35"/>
  <c r="N9" i="1"/>
  <c r="N8"/>
  <c r="N7"/>
  <c r="N6"/>
  <c r="A41" i="84"/>
  <c r="B41"/>
  <c r="A37"/>
  <c r="B37"/>
  <c r="A38"/>
  <c r="B38"/>
  <c r="A39"/>
  <c r="B39"/>
  <c r="A40"/>
  <c r="B40"/>
  <c r="A36"/>
  <c r="B36"/>
  <c r="A35"/>
  <c r="B35"/>
  <c r="A25"/>
  <c r="B25"/>
  <c r="A26"/>
  <c r="B26"/>
  <c r="A27"/>
  <c r="B27"/>
  <c r="A28"/>
  <c r="B28"/>
  <c r="A29"/>
  <c r="B29"/>
  <c r="A30"/>
  <c r="B30"/>
  <c r="A31"/>
  <c r="B31"/>
  <c r="A32"/>
  <c r="B32"/>
  <c r="A33"/>
  <c r="B33"/>
  <c r="A34"/>
  <c r="B34"/>
  <c r="B24"/>
  <c r="A24"/>
  <c r="R524"/>
  <c r="S524" s="1"/>
  <c r="Q524"/>
  <c r="O524"/>
  <c r="M524"/>
  <c r="K524"/>
  <c r="I524"/>
  <c r="G524"/>
  <c r="E524"/>
  <c r="C524"/>
  <c r="R523"/>
  <c r="S523" s="1"/>
  <c r="Q523"/>
  <c r="O523"/>
  <c r="M523"/>
  <c r="K523"/>
  <c r="I523"/>
  <c r="G523"/>
  <c r="E523"/>
  <c r="C523"/>
  <c r="R522"/>
  <c r="S522" s="1"/>
  <c r="Q522"/>
  <c r="O522"/>
  <c r="M522"/>
  <c r="K522"/>
  <c r="I522"/>
  <c r="G522"/>
  <c r="E522"/>
  <c r="C522"/>
  <c r="R521"/>
  <c r="S521" s="1"/>
  <c r="Q521"/>
  <c r="O521"/>
  <c r="M521"/>
  <c r="K521"/>
  <c r="I521"/>
  <c r="G521"/>
  <c r="E521"/>
  <c r="C521"/>
  <c r="R520"/>
  <c r="S520" s="1"/>
  <c r="Q520"/>
  <c r="O520"/>
  <c r="M520"/>
  <c r="K520"/>
  <c r="I520"/>
  <c r="G520"/>
  <c r="E520"/>
  <c r="C520"/>
  <c r="R519"/>
  <c r="S519" s="1"/>
  <c r="Q519"/>
  <c r="O519"/>
  <c r="M519"/>
  <c r="K519"/>
  <c r="I519"/>
  <c r="G519"/>
  <c r="E519"/>
  <c r="C519"/>
  <c r="R518"/>
  <c r="S518" s="1"/>
  <c r="Q518"/>
  <c r="O518"/>
  <c r="M518"/>
  <c r="K518"/>
  <c r="I518"/>
  <c r="G518"/>
  <c r="E518"/>
  <c r="C518"/>
  <c r="R517"/>
  <c r="S517" s="1"/>
  <c r="Q517"/>
  <c r="O517"/>
  <c r="M517"/>
  <c r="K517"/>
  <c r="I517"/>
  <c r="G517"/>
  <c r="E517"/>
  <c r="C517"/>
  <c r="R516"/>
  <c r="S516" s="1"/>
  <c r="Q516"/>
  <c r="O516"/>
  <c r="M516"/>
  <c r="K516"/>
  <c r="I516"/>
  <c r="G516"/>
  <c r="E516"/>
  <c r="C516"/>
  <c r="R515"/>
  <c r="S515" s="1"/>
  <c r="Q515"/>
  <c r="O515"/>
  <c r="M515"/>
  <c r="K515"/>
  <c r="I515"/>
  <c r="G515"/>
  <c r="E515"/>
  <c r="C515"/>
  <c r="R514"/>
  <c r="S514" s="1"/>
  <c r="Q514"/>
  <c r="O514"/>
  <c r="M514"/>
  <c r="K514"/>
  <c r="I514"/>
  <c r="G514"/>
  <c r="E514"/>
  <c r="C514"/>
  <c r="R513"/>
  <c r="S513" s="1"/>
  <c r="Q513"/>
  <c r="O513"/>
  <c r="M513"/>
  <c r="K513"/>
  <c r="I513"/>
  <c r="G513"/>
  <c r="E513"/>
  <c r="C513"/>
  <c r="R512"/>
  <c r="S512" s="1"/>
  <c r="Q512"/>
  <c r="O512"/>
  <c r="M512"/>
  <c r="K512"/>
  <c r="I512"/>
  <c r="G512"/>
  <c r="E512"/>
  <c r="C512"/>
  <c r="R511"/>
  <c r="S511" s="1"/>
  <c r="Q511"/>
  <c r="O511"/>
  <c r="M511"/>
  <c r="K511"/>
  <c r="I511"/>
  <c r="G511"/>
  <c r="E511"/>
  <c r="C511"/>
  <c r="R510"/>
  <c r="S510" s="1"/>
  <c r="Q510"/>
  <c r="O510"/>
  <c r="M510"/>
  <c r="K510"/>
  <c r="I510"/>
  <c r="G510"/>
  <c r="E510"/>
  <c r="C510"/>
  <c r="R509"/>
  <c r="S509" s="1"/>
  <c r="Q509"/>
  <c r="O509"/>
  <c r="M509"/>
  <c r="K509"/>
  <c r="I509"/>
  <c r="G509"/>
  <c r="E509"/>
  <c r="C509"/>
  <c r="R508"/>
  <c r="S508" s="1"/>
  <c r="Q508"/>
  <c r="O508"/>
  <c r="M508"/>
  <c r="K508"/>
  <c r="I508"/>
  <c r="G508"/>
  <c r="E508"/>
  <c r="C508"/>
  <c r="R507"/>
  <c r="S507" s="1"/>
  <c r="Q507"/>
  <c r="O507"/>
  <c r="M507"/>
  <c r="K507"/>
  <c r="I507"/>
  <c r="G507"/>
  <c r="E507"/>
  <c r="C507"/>
  <c r="R506"/>
  <c r="S506" s="1"/>
  <c r="Q506"/>
  <c r="O506"/>
  <c r="M506"/>
  <c r="K506"/>
  <c r="I506"/>
  <c r="G506"/>
  <c r="E506"/>
  <c r="C506"/>
  <c r="R505"/>
  <c r="S505" s="1"/>
  <c r="Q505"/>
  <c r="O505"/>
  <c r="M505"/>
  <c r="K505"/>
  <c r="I505"/>
  <c r="G505"/>
  <c r="E505"/>
  <c r="C505"/>
  <c r="R504"/>
  <c r="S504" s="1"/>
  <c r="Q504"/>
  <c r="O504"/>
  <c r="M504"/>
  <c r="K504"/>
  <c r="I504"/>
  <c r="G504"/>
  <c r="E504"/>
  <c r="C504"/>
  <c r="R503"/>
  <c r="S503" s="1"/>
  <c r="Q503"/>
  <c r="O503"/>
  <c r="M503"/>
  <c r="K503"/>
  <c r="I503"/>
  <c r="G503"/>
  <c r="E503"/>
  <c r="C503"/>
  <c r="R502"/>
  <c r="S502" s="1"/>
  <c r="Q502"/>
  <c r="O502"/>
  <c r="M502"/>
  <c r="K502"/>
  <c r="I502"/>
  <c r="G502"/>
  <c r="E502"/>
  <c r="C502"/>
  <c r="R501"/>
  <c r="S501" s="1"/>
  <c r="Q501"/>
  <c r="O501"/>
  <c r="M501"/>
  <c r="K501"/>
  <c r="I501"/>
  <c r="G501"/>
  <c r="E501"/>
  <c r="C501"/>
  <c r="R500"/>
  <c r="S500" s="1"/>
  <c r="Q500"/>
  <c r="O500"/>
  <c r="M500"/>
  <c r="K500"/>
  <c r="I500"/>
  <c r="G500"/>
  <c r="E500"/>
  <c r="C500"/>
  <c r="R499"/>
  <c r="S499" s="1"/>
  <c r="Q499"/>
  <c r="O499"/>
  <c r="M499"/>
  <c r="K499"/>
  <c r="I499"/>
  <c r="G499"/>
  <c r="E499"/>
  <c r="C499"/>
  <c r="R498"/>
  <c r="S498" s="1"/>
  <c r="Q498"/>
  <c r="O498"/>
  <c r="M498"/>
  <c r="K498"/>
  <c r="I498"/>
  <c r="G498"/>
  <c r="E498"/>
  <c r="C498"/>
  <c r="R497"/>
  <c r="S497" s="1"/>
  <c r="Q497"/>
  <c r="O497"/>
  <c r="M497"/>
  <c r="K497"/>
  <c r="I497"/>
  <c r="G497"/>
  <c r="E497"/>
  <c r="C497"/>
  <c r="R496"/>
  <c r="S496" s="1"/>
  <c r="Q496"/>
  <c r="O496"/>
  <c r="M496"/>
  <c r="K496"/>
  <c r="I496"/>
  <c r="G496"/>
  <c r="E496"/>
  <c r="C496"/>
  <c r="R495"/>
  <c r="S495" s="1"/>
  <c r="Q495"/>
  <c r="O495"/>
  <c r="M495"/>
  <c r="K495"/>
  <c r="I495"/>
  <c r="G495"/>
  <c r="E495"/>
  <c r="C495"/>
  <c r="R494"/>
  <c r="S494" s="1"/>
  <c r="Q494"/>
  <c r="O494"/>
  <c r="M494"/>
  <c r="K494"/>
  <c r="I494"/>
  <c r="G494"/>
  <c r="E494"/>
  <c r="C494"/>
  <c r="R493"/>
  <c r="S493" s="1"/>
  <c r="Q493"/>
  <c r="O493"/>
  <c r="M493"/>
  <c r="K493"/>
  <c r="I493"/>
  <c r="G493"/>
  <c r="E493"/>
  <c r="C493"/>
  <c r="R492"/>
  <c r="S492" s="1"/>
  <c r="Q492"/>
  <c r="O492"/>
  <c r="M492"/>
  <c r="K492"/>
  <c r="I492"/>
  <c r="G492"/>
  <c r="E492"/>
  <c r="C492"/>
  <c r="R491"/>
  <c r="S491" s="1"/>
  <c r="Q491"/>
  <c r="O491"/>
  <c r="M491"/>
  <c r="K491"/>
  <c r="I491"/>
  <c r="G491"/>
  <c r="E491"/>
  <c r="C491"/>
  <c r="R490"/>
  <c r="S490" s="1"/>
  <c r="Q490"/>
  <c r="O490"/>
  <c r="M490"/>
  <c r="K490"/>
  <c r="I490"/>
  <c r="G490"/>
  <c r="E490"/>
  <c r="C490"/>
  <c r="R489"/>
  <c r="S489" s="1"/>
  <c r="Q489"/>
  <c r="O489"/>
  <c r="M489"/>
  <c r="K489"/>
  <c r="I489"/>
  <c r="G489"/>
  <c r="E489"/>
  <c r="C489"/>
  <c r="R488"/>
  <c r="S488" s="1"/>
  <c r="Q488"/>
  <c r="O488"/>
  <c r="M488"/>
  <c r="K488"/>
  <c r="I488"/>
  <c r="G488"/>
  <c r="E488"/>
  <c r="C488"/>
  <c r="R487"/>
  <c r="S487" s="1"/>
  <c r="Q487"/>
  <c r="O487"/>
  <c r="M487"/>
  <c r="K487"/>
  <c r="I487"/>
  <c r="G487"/>
  <c r="E487"/>
  <c r="C487"/>
  <c r="R486"/>
  <c r="S486" s="1"/>
  <c r="Q486"/>
  <c r="O486"/>
  <c r="M486"/>
  <c r="K486"/>
  <c r="I486"/>
  <c r="G486"/>
  <c r="E486"/>
  <c r="C486"/>
  <c r="R485"/>
  <c r="S485" s="1"/>
  <c r="Q485"/>
  <c r="O485"/>
  <c r="M485"/>
  <c r="K485"/>
  <c r="I485"/>
  <c r="G485"/>
  <c r="E485"/>
  <c r="C485"/>
  <c r="R484"/>
  <c r="S484" s="1"/>
  <c r="Q484"/>
  <c r="O484"/>
  <c r="M484"/>
  <c r="K484"/>
  <c r="I484"/>
  <c r="G484"/>
  <c r="E484"/>
  <c r="C484"/>
  <c r="R483"/>
  <c r="S483" s="1"/>
  <c r="Q483"/>
  <c r="O483"/>
  <c r="M483"/>
  <c r="K483"/>
  <c r="I483"/>
  <c r="G483"/>
  <c r="E483"/>
  <c r="C483"/>
  <c r="R482"/>
  <c r="S482" s="1"/>
  <c r="Q482"/>
  <c r="O482"/>
  <c r="M482"/>
  <c r="K482"/>
  <c r="I482"/>
  <c r="G482"/>
  <c r="E482"/>
  <c r="C482"/>
  <c r="R481"/>
  <c r="S481" s="1"/>
  <c r="Q481"/>
  <c r="O481"/>
  <c r="M481"/>
  <c r="K481"/>
  <c r="I481"/>
  <c r="G481"/>
  <c r="E481"/>
  <c r="C481"/>
  <c r="R480"/>
  <c r="S480" s="1"/>
  <c r="Q480"/>
  <c r="O480"/>
  <c r="M480"/>
  <c r="K480"/>
  <c r="I480"/>
  <c r="G480"/>
  <c r="E480"/>
  <c r="C480"/>
  <c r="R479"/>
  <c r="S479" s="1"/>
  <c r="Q479"/>
  <c r="O479"/>
  <c r="M479"/>
  <c r="K479"/>
  <c r="I479"/>
  <c r="G479"/>
  <c r="E479"/>
  <c r="C479"/>
  <c r="R478"/>
  <c r="S478" s="1"/>
  <c r="Q478"/>
  <c r="O478"/>
  <c r="M478"/>
  <c r="K478"/>
  <c r="I478"/>
  <c r="G478"/>
  <c r="E478"/>
  <c r="C478"/>
  <c r="R477"/>
  <c r="S477" s="1"/>
  <c r="Q477"/>
  <c r="O477"/>
  <c r="M477"/>
  <c r="K477"/>
  <c r="I477"/>
  <c r="G477"/>
  <c r="E477"/>
  <c r="C477"/>
  <c r="R476"/>
  <c r="S476" s="1"/>
  <c r="Q476"/>
  <c r="O476"/>
  <c r="M476"/>
  <c r="K476"/>
  <c r="I476"/>
  <c r="G476"/>
  <c r="E476"/>
  <c r="C476"/>
  <c r="R475"/>
  <c r="S475" s="1"/>
  <c r="Q475"/>
  <c r="O475"/>
  <c r="M475"/>
  <c r="K475"/>
  <c r="I475"/>
  <c r="G475"/>
  <c r="E475"/>
  <c r="C475"/>
  <c r="R474"/>
  <c r="S474" s="1"/>
  <c r="Q474"/>
  <c r="O474"/>
  <c r="M474"/>
  <c r="K474"/>
  <c r="I474"/>
  <c r="G474"/>
  <c r="E474"/>
  <c r="C474"/>
  <c r="R473"/>
  <c r="S473" s="1"/>
  <c r="Q473"/>
  <c r="O473"/>
  <c r="M473"/>
  <c r="K473"/>
  <c r="I473"/>
  <c r="G473"/>
  <c r="E473"/>
  <c r="C473"/>
  <c r="R472"/>
  <c r="S472" s="1"/>
  <c r="Q472"/>
  <c r="O472"/>
  <c r="M472"/>
  <c r="K472"/>
  <c r="I472"/>
  <c r="G472"/>
  <c r="E472"/>
  <c r="C472"/>
  <c r="R471"/>
  <c r="S471" s="1"/>
  <c r="Q471"/>
  <c r="O471"/>
  <c r="M471"/>
  <c r="K471"/>
  <c r="I471"/>
  <c r="G471"/>
  <c r="E471"/>
  <c r="C471"/>
  <c r="R470"/>
  <c r="S470" s="1"/>
  <c r="Q470"/>
  <c r="O470"/>
  <c r="M470"/>
  <c r="K470"/>
  <c r="I470"/>
  <c r="G470"/>
  <c r="E470"/>
  <c r="C470"/>
  <c r="R469"/>
  <c r="S469" s="1"/>
  <c r="Q469"/>
  <c r="O469"/>
  <c r="M469"/>
  <c r="K469"/>
  <c r="I469"/>
  <c r="G469"/>
  <c r="E469"/>
  <c r="C469"/>
  <c r="R468"/>
  <c r="S468" s="1"/>
  <c r="Q468"/>
  <c r="O468"/>
  <c r="M468"/>
  <c r="K468"/>
  <c r="I468"/>
  <c r="G468"/>
  <c r="E468"/>
  <c r="C468"/>
  <c r="R467"/>
  <c r="S467" s="1"/>
  <c r="Q467"/>
  <c r="O467"/>
  <c r="M467"/>
  <c r="K467"/>
  <c r="I467"/>
  <c r="G467"/>
  <c r="E467"/>
  <c r="C467"/>
  <c r="R466"/>
  <c r="S466" s="1"/>
  <c r="Q466"/>
  <c r="O466"/>
  <c r="M466"/>
  <c r="K466"/>
  <c r="I466"/>
  <c r="G466"/>
  <c r="E466"/>
  <c r="C466"/>
  <c r="R465"/>
  <c r="S465" s="1"/>
  <c r="Q465"/>
  <c r="O465"/>
  <c r="M465"/>
  <c r="K465"/>
  <c r="I465"/>
  <c r="G465"/>
  <c r="E465"/>
  <c r="C465"/>
  <c r="R464"/>
  <c r="S464" s="1"/>
  <c r="Q464"/>
  <c r="O464"/>
  <c r="M464"/>
  <c r="K464"/>
  <c r="I464"/>
  <c r="G464"/>
  <c r="E464"/>
  <c r="C464"/>
  <c r="R463"/>
  <c r="S463" s="1"/>
  <c r="Q463"/>
  <c r="O463"/>
  <c r="M463"/>
  <c r="K463"/>
  <c r="I463"/>
  <c r="G463"/>
  <c r="E463"/>
  <c r="C463"/>
  <c r="R462"/>
  <c r="S462" s="1"/>
  <c r="Q462"/>
  <c r="O462"/>
  <c r="M462"/>
  <c r="K462"/>
  <c r="I462"/>
  <c r="G462"/>
  <c r="E462"/>
  <c r="C462"/>
  <c r="R461"/>
  <c r="S461" s="1"/>
  <c r="Q461"/>
  <c r="O461"/>
  <c r="M461"/>
  <c r="K461"/>
  <c r="I461"/>
  <c r="G461"/>
  <c r="E461"/>
  <c r="C461"/>
  <c r="R460"/>
  <c r="S460" s="1"/>
  <c r="Q460"/>
  <c r="O460"/>
  <c r="M460"/>
  <c r="K460"/>
  <c r="I460"/>
  <c r="G460"/>
  <c r="E460"/>
  <c r="C460"/>
  <c r="R459"/>
  <c r="S459" s="1"/>
  <c r="Q459"/>
  <c r="O459"/>
  <c r="M459"/>
  <c r="K459"/>
  <c r="I459"/>
  <c r="G459"/>
  <c r="E459"/>
  <c r="C459"/>
  <c r="R458"/>
  <c r="S458" s="1"/>
  <c r="Q458"/>
  <c r="O458"/>
  <c r="M458"/>
  <c r="K458"/>
  <c r="I458"/>
  <c r="G458"/>
  <c r="E458"/>
  <c r="C458"/>
  <c r="R457"/>
  <c r="S457" s="1"/>
  <c r="Q457"/>
  <c r="O457"/>
  <c r="M457"/>
  <c r="K457"/>
  <c r="I457"/>
  <c r="G457"/>
  <c r="E457"/>
  <c r="C457"/>
  <c r="R456"/>
  <c r="S456" s="1"/>
  <c r="Q456"/>
  <c r="O456"/>
  <c r="M456"/>
  <c r="K456"/>
  <c r="I456"/>
  <c r="G456"/>
  <c r="E456"/>
  <c r="C456"/>
  <c r="R455"/>
  <c r="S455" s="1"/>
  <c r="Q455"/>
  <c r="O455"/>
  <c r="M455"/>
  <c r="K455"/>
  <c r="I455"/>
  <c r="G455"/>
  <c r="E455"/>
  <c r="C455"/>
  <c r="R454"/>
  <c r="S454" s="1"/>
  <c r="Q454"/>
  <c r="O454"/>
  <c r="M454"/>
  <c r="K454"/>
  <c r="I454"/>
  <c r="G454"/>
  <c r="E454"/>
  <c r="C454"/>
  <c r="R453"/>
  <c r="S453" s="1"/>
  <c r="Q453"/>
  <c r="O453"/>
  <c r="M453"/>
  <c r="K453"/>
  <c r="I453"/>
  <c r="G453"/>
  <c r="E453"/>
  <c r="C453"/>
  <c r="R452"/>
  <c r="S452" s="1"/>
  <c r="Q452"/>
  <c r="O452"/>
  <c r="M452"/>
  <c r="K452"/>
  <c r="I452"/>
  <c r="G452"/>
  <c r="E452"/>
  <c r="C452"/>
  <c r="R451"/>
  <c r="S451" s="1"/>
  <c r="Q451"/>
  <c r="O451"/>
  <c r="M451"/>
  <c r="K451"/>
  <c r="I451"/>
  <c r="G451"/>
  <c r="E451"/>
  <c r="C451"/>
  <c r="R450"/>
  <c r="S450" s="1"/>
  <c r="Q450"/>
  <c r="O450"/>
  <c r="M450"/>
  <c r="K450"/>
  <c r="I450"/>
  <c r="G450"/>
  <c r="E450"/>
  <c r="C450"/>
  <c r="R449"/>
  <c r="S449" s="1"/>
  <c r="Q449"/>
  <c r="O449"/>
  <c r="M449"/>
  <c r="K449"/>
  <c r="I449"/>
  <c r="G449"/>
  <c r="E449"/>
  <c r="C449"/>
  <c r="R448"/>
  <c r="S448" s="1"/>
  <c r="Q448"/>
  <c r="O448"/>
  <c r="M448"/>
  <c r="K448"/>
  <c r="I448"/>
  <c r="G448"/>
  <c r="E448"/>
  <c r="C448"/>
  <c r="R447"/>
  <c r="S447" s="1"/>
  <c r="Q447"/>
  <c r="O447"/>
  <c r="M447"/>
  <c r="K447"/>
  <c r="I447"/>
  <c r="G447"/>
  <c r="E447"/>
  <c r="C447"/>
  <c r="R446"/>
  <c r="S446" s="1"/>
  <c r="Q446"/>
  <c r="O446"/>
  <c r="M446"/>
  <c r="K446"/>
  <c r="I446"/>
  <c r="G446"/>
  <c r="E446"/>
  <c r="C446"/>
  <c r="R445"/>
  <c r="S445" s="1"/>
  <c r="Q445"/>
  <c r="O445"/>
  <c r="M445"/>
  <c r="K445"/>
  <c r="I445"/>
  <c r="G445"/>
  <c r="E445"/>
  <c r="C445"/>
  <c r="R444"/>
  <c r="S444" s="1"/>
  <c r="Q444"/>
  <c r="O444"/>
  <c r="M444"/>
  <c r="K444"/>
  <c r="I444"/>
  <c r="G444"/>
  <c r="E444"/>
  <c r="C444"/>
  <c r="R443"/>
  <c r="S443" s="1"/>
  <c r="Q443"/>
  <c r="O443"/>
  <c r="M443"/>
  <c r="K443"/>
  <c r="I443"/>
  <c r="G443"/>
  <c r="E443"/>
  <c r="C443"/>
  <c r="R442"/>
  <c r="S442" s="1"/>
  <c r="Q442"/>
  <c r="O442"/>
  <c r="M442"/>
  <c r="K442"/>
  <c r="I442"/>
  <c r="G442"/>
  <c r="E442"/>
  <c r="C442"/>
  <c r="R441"/>
  <c r="S441" s="1"/>
  <c r="Q441"/>
  <c r="O441"/>
  <c r="M441"/>
  <c r="K441"/>
  <c r="I441"/>
  <c r="G441"/>
  <c r="E441"/>
  <c r="C441"/>
  <c r="R440"/>
  <c r="S440" s="1"/>
  <c r="Q440"/>
  <c r="O440"/>
  <c r="M440"/>
  <c r="K440"/>
  <c r="I440"/>
  <c r="G440"/>
  <c r="E440"/>
  <c r="C440"/>
  <c r="R439"/>
  <c r="S439" s="1"/>
  <c r="Q439"/>
  <c r="O439"/>
  <c r="M439"/>
  <c r="K439"/>
  <c r="I439"/>
  <c r="G439"/>
  <c r="E439"/>
  <c r="C439"/>
  <c r="R438"/>
  <c r="S438" s="1"/>
  <c r="Q438"/>
  <c r="O438"/>
  <c r="M438"/>
  <c r="K438"/>
  <c r="I438"/>
  <c r="G438"/>
  <c r="E438"/>
  <c r="C438"/>
  <c r="R437"/>
  <c r="S437" s="1"/>
  <c r="Q437"/>
  <c r="O437"/>
  <c r="M437"/>
  <c r="K437"/>
  <c r="I437"/>
  <c r="G437"/>
  <c r="E437"/>
  <c r="C437"/>
  <c r="R436"/>
  <c r="S436" s="1"/>
  <c r="Q436"/>
  <c r="O436"/>
  <c r="M436"/>
  <c r="K436"/>
  <c r="I436"/>
  <c r="G436"/>
  <c r="E436"/>
  <c r="C436"/>
  <c r="R435"/>
  <c r="S435" s="1"/>
  <c r="Q435"/>
  <c r="O435"/>
  <c r="M435"/>
  <c r="K435"/>
  <c r="I435"/>
  <c r="G435"/>
  <c r="E435"/>
  <c r="C435"/>
  <c r="R434"/>
  <c r="S434" s="1"/>
  <c r="Q434"/>
  <c r="O434"/>
  <c r="M434"/>
  <c r="K434"/>
  <c r="I434"/>
  <c r="G434"/>
  <c r="E434"/>
  <c r="C434"/>
  <c r="R433"/>
  <c r="S433" s="1"/>
  <c r="Q433"/>
  <c r="O433"/>
  <c r="M433"/>
  <c r="K433"/>
  <c r="I433"/>
  <c r="G433"/>
  <c r="E433"/>
  <c r="C433"/>
  <c r="R432"/>
  <c r="S432" s="1"/>
  <c r="Q432"/>
  <c r="O432"/>
  <c r="M432"/>
  <c r="K432"/>
  <c r="I432"/>
  <c r="G432"/>
  <c r="E432"/>
  <c r="C432"/>
  <c r="R431"/>
  <c r="S431" s="1"/>
  <c r="Q431"/>
  <c r="O431"/>
  <c r="M431"/>
  <c r="K431"/>
  <c r="I431"/>
  <c r="G431"/>
  <c r="E431"/>
  <c r="C431"/>
  <c r="R430"/>
  <c r="S430" s="1"/>
  <c r="Q430"/>
  <c r="O430"/>
  <c r="M430"/>
  <c r="K430"/>
  <c r="I430"/>
  <c r="G430"/>
  <c r="E430"/>
  <c r="C430"/>
  <c r="R429"/>
  <c r="S429" s="1"/>
  <c r="Q429"/>
  <c r="O429"/>
  <c r="M429"/>
  <c r="K429"/>
  <c r="I429"/>
  <c r="G429"/>
  <c r="E429"/>
  <c r="C429"/>
  <c r="R428"/>
  <c r="S428" s="1"/>
  <c r="Q428"/>
  <c r="O428"/>
  <c r="M428"/>
  <c r="K428"/>
  <c r="I428"/>
  <c r="G428"/>
  <c r="E428"/>
  <c r="C428"/>
  <c r="R427"/>
  <c r="S427" s="1"/>
  <c r="Q427"/>
  <c r="O427"/>
  <c r="M427"/>
  <c r="K427"/>
  <c r="I427"/>
  <c r="G427"/>
  <c r="E427"/>
  <c r="C427"/>
  <c r="R426"/>
  <c r="S426" s="1"/>
  <c r="Q426"/>
  <c r="O426"/>
  <c r="M426"/>
  <c r="K426"/>
  <c r="I426"/>
  <c r="G426"/>
  <c r="E426"/>
  <c r="C426"/>
  <c r="R425"/>
  <c r="S425" s="1"/>
  <c r="Q425"/>
  <c r="O425"/>
  <c r="M425"/>
  <c r="K425"/>
  <c r="I425"/>
  <c r="G425"/>
  <c r="E425"/>
  <c r="C425"/>
  <c r="R424"/>
  <c r="S424" s="1"/>
  <c r="Q424"/>
  <c r="O424"/>
  <c r="M424"/>
  <c r="K424"/>
  <c r="I424"/>
  <c r="G424"/>
  <c r="E424"/>
  <c r="C424"/>
  <c r="R423"/>
  <c r="S423" s="1"/>
  <c r="Q423"/>
  <c r="O423"/>
  <c r="M423"/>
  <c r="K423"/>
  <c r="I423"/>
  <c r="G423"/>
  <c r="E423"/>
  <c r="C423"/>
  <c r="R422"/>
  <c r="S422" s="1"/>
  <c r="Q422"/>
  <c r="O422"/>
  <c r="M422"/>
  <c r="K422"/>
  <c r="I422"/>
  <c r="G422"/>
  <c r="E422"/>
  <c r="C422"/>
  <c r="R421"/>
  <c r="S421" s="1"/>
  <c r="Q421"/>
  <c r="O421"/>
  <c r="M421"/>
  <c r="K421"/>
  <c r="I421"/>
  <c r="G421"/>
  <c r="E421"/>
  <c r="C421"/>
  <c r="R420"/>
  <c r="S420" s="1"/>
  <c r="Q420"/>
  <c r="O420"/>
  <c r="M420"/>
  <c r="K420"/>
  <c r="I420"/>
  <c r="G420"/>
  <c r="E420"/>
  <c r="C420"/>
  <c r="R419"/>
  <c r="S419" s="1"/>
  <c r="Q419"/>
  <c r="O419"/>
  <c r="M419"/>
  <c r="K419"/>
  <c r="I419"/>
  <c r="G419"/>
  <c r="E419"/>
  <c r="C419"/>
  <c r="R418"/>
  <c r="S418" s="1"/>
  <c r="Q418"/>
  <c r="O418"/>
  <c r="M418"/>
  <c r="K418"/>
  <c r="I418"/>
  <c r="G418"/>
  <c r="E418"/>
  <c r="C418"/>
  <c r="R417"/>
  <c r="S417" s="1"/>
  <c r="Q417"/>
  <c r="O417"/>
  <c r="M417"/>
  <c r="K417"/>
  <c r="I417"/>
  <c r="G417"/>
  <c r="E417"/>
  <c r="C417"/>
  <c r="R416"/>
  <c r="S416" s="1"/>
  <c r="Q416"/>
  <c r="O416"/>
  <c r="M416"/>
  <c r="K416"/>
  <c r="I416"/>
  <c r="G416"/>
  <c r="E416"/>
  <c r="C416"/>
  <c r="R415"/>
  <c r="S415" s="1"/>
  <c r="Q415"/>
  <c r="O415"/>
  <c r="M415"/>
  <c r="K415"/>
  <c r="I415"/>
  <c r="G415"/>
  <c r="E415"/>
  <c r="C415"/>
  <c r="R414"/>
  <c r="S414" s="1"/>
  <c r="Q414"/>
  <c r="O414"/>
  <c r="M414"/>
  <c r="K414"/>
  <c r="I414"/>
  <c r="G414"/>
  <c r="E414"/>
  <c r="C414"/>
  <c r="R413"/>
  <c r="S413" s="1"/>
  <c r="Q413"/>
  <c r="O413"/>
  <c r="M413"/>
  <c r="K413"/>
  <c r="I413"/>
  <c r="G413"/>
  <c r="E413"/>
  <c r="C413"/>
  <c r="R412"/>
  <c r="S412" s="1"/>
  <c r="Q412"/>
  <c r="O412"/>
  <c r="M412"/>
  <c r="K412"/>
  <c r="I412"/>
  <c r="G412"/>
  <c r="E412"/>
  <c r="C412"/>
  <c r="R411"/>
  <c r="S411" s="1"/>
  <c r="Q411"/>
  <c r="O411"/>
  <c r="M411"/>
  <c r="K411"/>
  <c r="I411"/>
  <c r="G411"/>
  <c r="E411"/>
  <c r="C411"/>
  <c r="R410"/>
  <c r="S410" s="1"/>
  <c r="Q410"/>
  <c r="O410"/>
  <c r="M410"/>
  <c r="K410"/>
  <c r="I410"/>
  <c r="G410"/>
  <c r="E410"/>
  <c r="C410"/>
  <c r="R409"/>
  <c r="S409" s="1"/>
  <c r="Q409"/>
  <c r="O409"/>
  <c r="M409"/>
  <c r="K409"/>
  <c r="I409"/>
  <c r="G409"/>
  <c r="E409"/>
  <c r="C409"/>
  <c r="R408"/>
  <c r="S408" s="1"/>
  <c r="Q408"/>
  <c r="O408"/>
  <c r="M408"/>
  <c r="K408"/>
  <c r="I408"/>
  <c r="G408"/>
  <c r="E408"/>
  <c r="C408"/>
  <c r="R407"/>
  <c r="S407" s="1"/>
  <c r="Q407"/>
  <c r="O407"/>
  <c r="M407"/>
  <c r="K407"/>
  <c r="I407"/>
  <c r="G407"/>
  <c r="E407"/>
  <c r="C407"/>
  <c r="R406"/>
  <c r="S406" s="1"/>
  <c r="Q406"/>
  <c r="O406"/>
  <c r="M406"/>
  <c r="K406"/>
  <c r="I406"/>
  <c r="G406"/>
  <c r="E406"/>
  <c r="C406"/>
  <c r="R405"/>
  <c r="S405" s="1"/>
  <c r="Q405"/>
  <c r="O405"/>
  <c r="M405"/>
  <c r="K405"/>
  <c r="I405"/>
  <c r="G405"/>
  <c r="E405"/>
  <c r="C405"/>
  <c r="R404"/>
  <c r="S404" s="1"/>
  <c r="Q404"/>
  <c r="O404"/>
  <c r="M404"/>
  <c r="K404"/>
  <c r="I404"/>
  <c r="G404"/>
  <c r="E404"/>
  <c r="C404"/>
  <c r="R403"/>
  <c r="S403" s="1"/>
  <c r="Q403"/>
  <c r="O403"/>
  <c r="M403"/>
  <c r="K403"/>
  <c r="I403"/>
  <c r="G403"/>
  <c r="E403"/>
  <c r="C403"/>
  <c r="R402"/>
  <c r="S402" s="1"/>
  <c r="Q402"/>
  <c r="O402"/>
  <c r="M402"/>
  <c r="K402"/>
  <c r="I402"/>
  <c r="G402"/>
  <c r="E402"/>
  <c r="C402"/>
  <c r="R401"/>
  <c r="S401" s="1"/>
  <c r="Q401"/>
  <c r="O401"/>
  <c r="M401"/>
  <c r="K401"/>
  <c r="I401"/>
  <c r="G401"/>
  <c r="E401"/>
  <c r="C401"/>
  <c r="R400"/>
  <c r="S400" s="1"/>
  <c r="Q400"/>
  <c r="O400"/>
  <c r="M400"/>
  <c r="K400"/>
  <c r="I400"/>
  <c r="G400"/>
  <c r="E400"/>
  <c r="C400"/>
  <c r="R399"/>
  <c r="S399" s="1"/>
  <c r="Q399"/>
  <c r="O399"/>
  <c r="M399"/>
  <c r="K399"/>
  <c r="I399"/>
  <c r="G399"/>
  <c r="E399"/>
  <c r="C399"/>
  <c r="R398"/>
  <c r="S398" s="1"/>
  <c r="Q398"/>
  <c r="O398"/>
  <c r="M398"/>
  <c r="K398"/>
  <c r="I398"/>
  <c r="G398"/>
  <c r="E398"/>
  <c r="C398"/>
  <c r="R397"/>
  <c r="S397" s="1"/>
  <c r="Q397"/>
  <c r="O397"/>
  <c r="M397"/>
  <c r="K397"/>
  <c r="I397"/>
  <c r="G397"/>
  <c r="E397"/>
  <c r="C397"/>
  <c r="R396"/>
  <c r="S396" s="1"/>
  <c r="Q396"/>
  <c r="O396"/>
  <c r="M396"/>
  <c r="K396"/>
  <c r="I396"/>
  <c r="G396"/>
  <c r="E396"/>
  <c r="C396"/>
  <c r="R395"/>
  <c r="S395" s="1"/>
  <c r="Q395"/>
  <c r="O395"/>
  <c r="M395"/>
  <c r="K395"/>
  <c r="I395"/>
  <c r="G395"/>
  <c r="E395"/>
  <c r="C395"/>
  <c r="R394"/>
  <c r="S394" s="1"/>
  <c r="Q394"/>
  <c r="O394"/>
  <c r="M394"/>
  <c r="K394"/>
  <c r="I394"/>
  <c r="G394"/>
  <c r="E394"/>
  <c r="C394"/>
  <c r="R393"/>
  <c r="S393" s="1"/>
  <c r="Q393"/>
  <c r="O393"/>
  <c r="M393"/>
  <c r="K393"/>
  <c r="I393"/>
  <c r="G393"/>
  <c r="E393"/>
  <c r="C393"/>
  <c r="R392"/>
  <c r="S392" s="1"/>
  <c r="Q392"/>
  <c r="O392"/>
  <c r="M392"/>
  <c r="K392"/>
  <c r="I392"/>
  <c r="G392"/>
  <c r="E392"/>
  <c r="C392"/>
  <c r="R391"/>
  <c r="S391" s="1"/>
  <c r="Q391"/>
  <c r="O391"/>
  <c r="M391"/>
  <c r="K391"/>
  <c r="I391"/>
  <c r="G391"/>
  <c r="E391"/>
  <c r="C391"/>
  <c r="R390"/>
  <c r="S390" s="1"/>
  <c r="Q390"/>
  <c r="O390"/>
  <c r="M390"/>
  <c r="K390"/>
  <c r="I390"/>
  <c r="G390"/>
  <c r="E390"/>
  <c r="C390"/>
  <c r="R389"/>
  <c r="S389" s="1"/>
  <c r="Q389"/>
  <c r="O389"/>
  <c r="M389"/>
  <c r="K389"/>
  <c r="I389"/>
  <c r="G389"/>
  <c r="E389"/>
  <c r="C389"/>
  <c r="R388"/>
  <c r="S388" s="1"/>
  <c r="Q388"/>
  <c r="O388"/>
  <c r="M388"/>
  <c r="K388"/>
  <c r="I388"/>
  <c r="G388"/>
  <c r="E388"/>
  <c r="C388"/>
  <c r="R387"/>
  <c r="S387" s="1"/>
  <c r="Q387"/>
  <c r="O387"/>
  <c r="M387"/>
  <c r="K387"/>
  <c r="I387"/>
  <c r="G387"/>
  <c r="E387"/>
  <c r="C387"/>
  <c r="R386"/>
  <c r="S386" s="1"/>
  <c r="Q386"/>
  <c r="O386"/>
  <c r="M386"/>
  <c r="K386"/>
  <c r="I386"/>
  <c r="G386"/>
  <c r="E386"/>
  <c r="C386"/>
  <c r="R385"/>
  <c r="S385" s="1"/>
  <c r="Q385"/>
  <c r="O385"/>
  <c r="M385"/>
  <c r="K385"/>
  <c r="I385"/>
  <c r="G385"/>
  <c r="E385"/>
  <c r="C385"/>
  <c r="R384"/>
  <c r="S384" s="1"/>
  <c r="Q384"/>
  <c r="O384"/>
  <c r="M384"/>
  <c r="K384"/>
  <c r="I384"/>
  <c r="G384"/>
  <c r="E384"/>
  <c r="C384"/>
  <c r="R383"/>
  <c r="S383" s="1"/>
  <c r="Q383"/>
  <c r="O383"/>
  <c r="M383"/>
  <c r="K383"/>
  <c r="I383"/>
  <c r="G383"/>
  <c r="E383"/>
  <c r="C383"/>
  <c r="R382"/>
  <c r="S382" s="1"/>
  <c r="Q382"/>
  <c r="O382"/>
  <c r="M382"/>
  <c r="K382"/>
  <c r="I382"/>
  <c r="G382"/>
  <c r="E382"/>
  <c r="C382"/>
  <c r="R381"/>
  <c r="S381" s="1"/>
  <c r="Q381"/>
  <c r="O381"/>
  <c r="M381"/>
  <c r="K381"/>
  <c r="I381"/>
  <c r="G381"/>
  <c r="E381"/>
  <c r="C381"/>
  <c r="R380"/>
  <c r="S380" s="1"/>
  <c r="Q380"/>
  <c r="O380"/>
  <c r="M380"/>
  <c r="K380"/>
  <c r="I380"/>
  <c r="G380"/>
  <c r="E380"/>
  <c r="C380"/>
  <c r="R379"/>
  <c r="S379" s="1"/>
  <c r="Q379"/>
  <c r="O379"/>
  <c r="M379"/>
  <c r="K379"/>
  <c r="I379"/>
  <c r="G379"/>
  <c r="E379"/>
  <c r="C379"/>
  <c r="R378"/>
  <c r="S378" s="1"/>
  <c r="Q378"/>
  <c r="O378"/>
  <c r="M378"/>
  <c r="K378"/>
  <c r="I378"/>
  <c r="G378"/>
  <c r="E378"/>
  <c r="C378"/>
  <c r="R377"/>
  <c r="S377" s="1"/>
  <c r="Q377"/>
  <c r="O377"/>
  <c r="M377"/>
  <c r="K377"/>
  <c r="I377"/>
  <c r="G377"/>
  <c r="E377"/>
  <c r="C377"/>
  <c r="R376"/>
  <c r="S376" s="1"/>
  <c r="Q376"/>
  <c r="O376"/>
  <c r="M376"/>
  <c r="K376"/>
  <c r="I376"/>
  <c r="G376"/>
  <c r="E376"/>
  <c r="C376"/>
  <c r="R375"/>
  <c r="S375" s="1"/>
  <c r="Q375"/>
  <c r="O375"/>
  <c r="M375"/>
  <c r="K375"/>
  <c r="I375"/>
  <c r="G375"/>
  <c r="E375"/>
  <c r="C375"/>
  <c r="R374"/>
  <c r="S374" s="1"/>
  <c r="Q374"/>
  <c r="O374"/>
  <c r="M374"/>
  <c r="K374"/>
  <c r="I374"/>
  <c r="G374"/>
  <c r="E374"/>
  <c r="C374"/>
  <c r="R373"/>
  <c r="S373" s="1"/>
  <c r="Q373"/>
  <c r="O373"/>
  <c r="M373"/>
  <c r="K373"/>
  <c r="I373"/>
  <c r="G373"/>
  <c r="E373"/>
  <c r="C373"/>
  <c r="R372"/>
  <c r="S372" s="1"/>
  <c r="Q372"/>
  <c r="O372"/>
  <c r="M372"/>
  <c r="K372"/>
  <c r="I372"/>
  <c r="G372"/>
  <c r="E372"/>
  <c r="C372"/>
  <c r="R371"/>
  <c r="S371" s="1"/>
  <c r="Q371"/>
  <c r="O371"/>
  <c r="M371"/>
  <c r="K371"/>
  <c r="I371"/>
  <c r="G371"/>
  <c r="E371"/>
  <c r="C371"/>
  <c r="R370"/>
  <c r="S370" s="1"/>
  <c r="Q370"/>
  <c r="O370"/>
  <c r="M370"/>
  <c r="K370"/>
  <c r="I370"/>
  <c r="G370"/>
  <c r="E370"/>
  <c r="C370"/>
  <c r="R369"/>
  <c r="S369" s="1"/>
  <c r="Q369"/>
  <c r="O369"/>
  <c r="M369"/>
  <c r="K369"/>
  <c r="I369"/>
  <c r="G369"/>
  <c r="E369"/>
  <c r="C369"/>
  <c r="R368"/>
  <c r="S368" s="1"/>
  <c r="Q368"/>
  <c r="O368"/>
  <c r="M368"/>
  <c r="K368"/>
  <c r="I368"/>
  <c r="G368"/>
  <c r="E368"/>
  <c r="C368"/>
  <c r="R367"/>
  <c r="S367" s="1"/>
  <c r="Q367"/>
  <c r="O367"/>
  <c r="M367"/>
  <c r="K367"/>
  <c r="I367"/>
  <c r="G367"/>
  <c r="E367"/>
  <c r="C367"/>
  <c r="R366"/>
  <c r="S366" s="1"/>
  <c r="Q366"/>
  <c r="O366"/>
  <c r="M366"/>
  <c r="K366"/>
  <c r="I366"/>
  <c r="G366"/>
  <c r="E366"/>
  <c r="C366"/>
  <c r="R365"/>
  <c r="S365" s="1"/>
  <c r="Q365"/>
  <c r="O365"/>
  <c r="M365"/>
  <c r="K365"/>
  <c r="I365"/>
  <c r="G365"/>
  <c r="E365"/>
  <c r="C365"/>
  <c r="R364"/>
  <c r="S364" s="1"/>
  <c r="Q364"/>
  <c r="O364"/>
  <c r="M364"/>
  <c r="K364"/>
  <c r="I364"/>
  <c r="G364"/>
  <c r="E364"/>
  <c r="C364"/>
  <c r="R363"/>
  <c r="S363" s="1"/>
  <c r="Q363"/>
  <c r="O363"/>
  <c r="M363"/>
  <c r="K363"/>
  <c r="I363"/>
  <c r="G363"/>
  <c r="E363"/>
  <c r="C363"/>
  <c r="R362"/>
  <c r="S362" s="1"/>
  <c r="Q362"/>
  <c r="O362"/>
  <c r="M362"/>
  <c r="K362"/>
  <c r="I362"/>
  <c r="G362"/>
  <c r="E362"/>
  <c r="C362"/>
  <c r="R361"/>
  <c r="S361" s="1"/>
  <c r="Q361"/>
  <c r="O361"/>
  <c r="M361"/>
  <c r="K361"/>
  <c r="I361"/>
  <c r="G361"/>
  <c r="E361"/>
  <c r="C361"/>
  <c r="R360"/>
  <c r="S360" s="1"/>
  <c r="Q360"/>
  <c r="O360"/>
  <c r="M360"/>
  <c r="K360"/>
  <c r="I360"/>
  <c r="G360"/>
  <c r="E360"/>
  <c r="C360"/>
  <c r="R359"/>
  <c r="S359" s="1"/>
  <c r="Q359"/>
  <c r="O359"/>
  <c r="M359"/>
  <c r="K359"/>
  <c r="I359"/>
  <c r="G359"/>
  <c r="E359"/>
  <c r="C359"/>
  <c r="R358"/>
  <c r="S358" s="1"/>
  <c r="Q358"/>
  <c r="O358"/>
  <c r="M358"/>
  <c r="K358"/>
  <c r="I358"/>
  <c r="G358"/>
  <c r="E358"/>
  <c r="C358"/>
  <c r="R357"/>
  <c r="S357" s="1"/>
  <c r="Q357"/>
  <c r="O357"/>
  <c r="M357"/>
  <c r="K357"/>
  <c r="I357"/>
  <c r="G357"/>
  <c r="E357"/>
  <c r="C357"/>
  <c r="R356"/>
  <c r="S356" s="1"/>
  <c r="Q356"/>
  <c r="O356"/>
  <c r="M356"/>
  <c r="K356"/>
  <c r="I356"/>
  <c r="G356"/>
  <c r="E356"/>
  <c r="C356"/>
  <c r="R355"/>
  <c r="S355" s="1"/>
  <c r="Q355"/>
  <c r="O355"/>
  <c r="M355"/>
  <c r="K355"/>
  <c r="I355"/>
  <c r="G355"/>
  <c r="E355"/>
  <c r="C355"/>
  <c r="R354"/>
  <c r="S354" s="1"/>
  <c r="Q354"/>
  <c r="O354"/>
  <c r="M354"/>
  <c r="K354"/>
  <c r="I354"/>
  <c r="G354"/>
  <c r="E354"/>
  <c r="C354"/>
  <c r="R353"/>
  <c r="S353" s="1"/>
  <c r="Q353"/>
  <c r="O353"/>
  <c r="M353"/>
  <c r="K353"/>
  <c r="I353"/>
  <c r="G353"/>
  <c r="E353"/>
  <c r="C353"/>
  <c r="R352"/>
  <c r="S352" s="1"/>
  <c r="Q352"/>
  <c r="O352"/>
  <c r="M352"/>
  <c r="K352"/>
  <c r="I352"/>
  <c r="G352"/>
  <c r="E352"/>
  <c r="C352"/>
  <c r="R351"/>
  <c r="S351" s="1"/>
  <c r="Q351"/>
  <c r="O351"/>
  <c r="M351"/>
  <c r="K351"/>
  <c r="I351"/>
  <c r="G351"/>
  <c r="E351"/>
  <c r="C351"/>
  <c r="R350"/>
  <c r="S350" s="1"/>
  <c r="Q350"/>
  <c r="O350"/>
  <c r="M350"/>
  <c r="K350"/>
  <c r="I350"/>
  <c r="G350"/>
  <c r="E350"/>
  <c r="C350"/>
  <c r="R349"/>
  <c r="S349" s="1"/>
  <c r="Q349"/>
  <c r="O349"/>
  <c r="M349"/>
  <c r="K349"/>
  <c r="I349"/>
  <c r="G349"/>
  <c r="E349"/>
  <c r="C349"/>
  <c r="R348"/>
  <c r="S348" s="1"/>
  <c r="Q348"/>
  <c r="O348"/>
  <c r="M348"/>
  <c r="K348"/>
  <c r="I348"/>
  <c r="G348"/>
  <c r="E348"/>
  <c r="C348"/>
  <c r="R347"/>
  <c r="S347" s="1"/>
  <c r="Q347"/>
  <c r="O347"/>
  <c r="M347"/>
  <c r="K347"/>
  <c r="I347"/>
  <c r="G347"/>
  <c r="E347"/>
  <c r="C347"/>
  <c r="R346"/>
  <c r="S346" s="1"/>
  <c r="Q346"/>
  <c r="O346"/>
  <c r="M346"/>
  <c r="K346"/>
  <c r="I346"/>
  <c r="G346"/>
  <c r="E346"/>
  <c r="C346"/>
  <c r="R345"/>
  <c r="S345" s="1"/>
  <c r="Q345"/>
  <c r="O345"/>
  <c r="M345"/>
  <c r="K345"/>
  <c r="I345"/>
  <c r="G345"/>
  <c r="E345"/>
  <c r="C345"/>
  <c r="R344"/>
  <c r="S344" s="1"/>
  <c r="Q344"/>
  <c r="O344"/>
  <c r="M344"/>
  <c r="K344"/>
  <c r="I344"/>
  <c r="G344"/>
  <c r="E344"/>
  <c r="C344"/>
  <c r="R343"/>
  <c r="S343" s="1"/>
  <c r="Q343"/>
  <c r="O343"/>
  <c r="M343"/>
  <c r="K343"/>
  <c r="I343"/>
  <c r="G343"/>
  <c r="E343"/>
  <c r="C343"/>
  <c r="R342"/>
  <c r="S342" s="1"/>
  <c r="Q342"/>
  <c r="O342"/>
  <c r="M342"/>
  <c r="K342"/>
  <c r="I342"/>
  <c r="G342"/>
  <c r="E342"/>
  <c r="C342"/>
  <c r="R341"/>
  <c r="S341" s="1"/>
  <c r="Q341"/>
  <c r="O341"/>
  <c r="M341"/>
  <c r="K341"/>
  <c r="I341"/>
  <c r="G341"/>
  <c r="E341"/>
  <c r="C341"/>
  <c r="R340"/>
  <c r="S340" s="1"/>
  <c r="Q340"/>
  <c r="O340"/>
  <c r="M340"/>
  <c r="K340"/>
  <c r="I340"/>
  <c r="G340"/>
  <c r="E340"/>
  <c r="C340"/>
  <c r="R339"/>
  <c r="S339" s="1"/>
  <c r="Q339"/>
  <c r="O339"/>
  <c r="M339"/>
  <c r="K339"/>
  <c r="I339"/>
  <c r="G339"/>
  <c r="E339"/>
  <c r="C339"/>
  <c r="R338"/>
  <c r="S338" s="1"/>
  <c r="Q338"/>
  <c r="O338"/>
  <c r="M338"/>
  <c r="K338"/>
  <c r="I338"/>
  <c r="G338"/>
  <c r="E338"/>
  <c r="C338"/>
  <c r="R337"/>
  <c r="S337" s="1"/>
  <c r="Q337"/>
  <c r="O337"/>
  <c r="M337"/>
  <c r="K337"/>
  <c r="I337"/>
  <c r="G337"/>
  <c r="E337"/>
  <c r="C337"/>
  <c r="R336"/>
  <c r="S336" s="1"/>
  <c r="Q336"/>
  <c r="O336"/>
  <c r="M336"/>
  <c r="K336"/>
  <c r="I336"/>
  <c r="G336"/>
  <c r="E336"/>
  <c r="C336"/>
  <c r="R335"/>
  <c r="S335" s="1"/>
  <c r="Q335"/>
  <c r="O335"/>
  <c r="M335"/>
  <c r="K335"/>
  <c r="I335"/>
  <c r="G335"/>
  <c r="E335"/>
  <c r="C335"/>
  <c r="R334"/>
  <c r="S334" s="1"/>
  <c r="Q334"/>
  <c r="O334"/>
  <c r="M334"/>
  <c r="K334"/>
  <c r="I334"/>
  <c r="G334"/>
  <c r="E334"/>
  <c r="C334"/>
  <c r="R333"/>
  <c r="S333" s="1"/>
  <c r="Q333"/>
  <c r="O333"/>
  <c r="M333"/>
  <c r="K333"/>
  <c r="I333"/>
  <c r="G333"/>
  <c r="E333"/>
  <c r="C333"/>
  <c r="R332"/>
  <c r="S332" s="1"/>
  <c r="Q332"/>
  <c r="O332"/>
  <c r="M332"/>
  <c r="K332"/>
  <c r="I332"/>
  <c r="G332"/>
  <c r="E332"/>
  <c r="C332"/>
  <c r="R331"/>
  <c r="S331" s="1"/>
  <c r="Q331"/>
  <c r="O331"/>
  <c r="M331"/>
  <c r="K331"/>
  <c r="I331"/>
  <c r="G331"/>
  <c r="E331"/>
  <c r="C331"/>
  <c r="R330"/>
  <c r="S330" s="1"/>
  <c r="Q330"/>
  <c r="O330"/>
  <c r="M330"/>
  <c r="K330"/>
  <c r="I330"/>
  <c r="G330"/>
  <c r="E330"/>
  <c r="C330"/>
  <c r="R329"/>
  <c r="S329" s="1"/>
  <c r="Q329"/>
  <c r="O329"/>
  <c r="M329"/>
  <c r="K329"/>
  <c r="I329"/>
  <c r="G329"/>
  <c r="E329"/>
  <c r="C329"/>
  <c r="R328"/>
  <c r="S328" s="1"/>
  <c r="Q328"/>
  <c r="O328"/>
  <c r="M328"/>
  <c r="K328"/>
  <c r="I328"/>
  <c r="G328"/>
  <c r="E328"/>
  <c r="C328"/>
  <c r="R327"/>
  <c r="S327" s="1"/>
  <c r="Q327"/>
  <c r="O327"/>
  <c r="M327"/>
  <c r="K327"/>
  <c r="I327"/>
  <c r="G327"/>
  <c r="E327"/>
  <c r="C327"/>
  <c r="R326"/>
  <c r="S326" s="1"/>
  <c r="Q326"/>
  <c r="O326"/>
  <c r="M326"/>
  <c r="K326"/>
  <c r="I326"/>
  <c r="G326"/>
  <c r="E326"/>
  <c r="C326"/>
  <c r="R325"/>
  <c r="S325" s="1"/>
  <c r="Q325"/>
  <c r="O325"/>
  <c r="M325"/>
  <c r="K325"/>
  <c r="I325"/>
  <c r="G325"/>
  <c r="E325"/>
  <c r="C325"/>
  <c r="R324"/>
  <c r="S324" s="1"/>
  <c r="Q324"/>
  <c r="O324"/>
  <c r="M324"/>
  <c r="K324"/>
  <c r="I324"/>
  <c r="G324"/>
  <c r="E324"/>
  <c r="C324"/>
  <c r="R323"/>
  <c r="S323" s="1"/>
  <c r="Q323"/>
  <c r="O323"/>
  <c r="M323"/>
  <c r="K323"/>
  <c r="I323"/>
  <c r="G323"/>
  <c r="E323"/>
  <c r="C323"/>
  <c r="R322"/>
  <c r="S322" s="1"/>
  <c r="Q322"/>
  <c r="O322"/>
  <c r="M322"/>
  <c r="K322"/>
  <c r="I322"/>
  <c r="G322"/>
  <c r="E322"/>
  <c r="C322"/>
  <c r="R321"/>
  <c r="S321" s="1"/>
  <c r="Q321"/>
  <c r="O321"/>
  <c r="M321"/>
  <c r="K321"/>
  <c r="I321"/>
  <c r="G321"/>
  <c r="E321"/>
  <c r="C321"/>
  <c r="R320"/>
  <c r="S320" s="1"/>
  <c r="Q320"/>
  <c r="O320"/>
  <c r="M320"/>
  <c r="K320"/>
  <c r="I320"/>
  <c r="G320"/>
  <c r="E320"/>
  <c r="C320"/>
  <c r="R319"/>
  <c r="S319" s="1"/>
  <c r="Q319"/>
  <c r="O319"/>
  <c r="M319"/>
  <c r="K319"/>
  <c r="I319"/>
  <c r="G319"/>
  <c r="E319"/>
  <c r="C319"/>
  <c r="R318"/>
  <c r="S318" s="1"/>
  <c r="Q318"/>
  <c r="O318"/>
  <c r="M318"/>
  <c r="K318"/>
  <c r="I318"/>
  <c r="G318"/>
  <c r="E318"/>
  <c r="C318"/>
  <c r="R317"/>
  <c r="S317" s="1"/>
  <c r="Q317"/>
  <c r="O317"/>
  <c r="M317"/>
  <c r="K317"/>
  <c r="I317"/>
  <c r="G317"/>
  <c r="E317"/>
  <c r="C317"/>
  <c r="R316"/>
  <c r="S316" s="1"/>
  <c r="Q316"/>
  <c r="O316"/>
  <c r="M316"/>
  <c r="K316"/>
  <c r="I316"/>
  <c r="G316"/>
  <c r="E316"/>
  <c r="C316"/>
  <c r="R315"/>
  <c r="S315" s="1"/>
  <c r="Q315"/>
  <c r="O315"/>
  <c r="M315"/>
  <c r="K315"/>
  <c r="I315"/>
  <c r="G315"/>
  <c r="E315"/>
  <c r="C315"/>
  <c r="R314"/>
  <c r="S314" s="1"/>
  <c r="Q314"/>
  <c r="O314"/>
  <c r="M314"/>
  <c r="K314"/>
  <c r="I314"/>
  <c r="G314"/>
  <c r="E314"/>
  <c r="C314"/>
  <c r="R313"/>
  <c r="S313" s="1"/>
  <c r="Q313"/>
  <c r="O313"/>
  <c r="M313"/>
  <c r="K313"/>
  <c r="I313"/>
  <c r="G313"/>
  <c r="E313"/>
  <c r="C313"/>
  <c r="R312"/>
  <c r="S312" s="1"/>
  <c r="Q312"/>
  <c r="O312"/>
  <c r="M312"/>
  <c r="K312"/>
  <c r="I312"/>
  <c r="G312"/>
  <c r="E312"/>
  <c r="C312"/>
  <c r="R311"/>
  <c r="S311" s="1"/>
  <c r="Q311"/>
  <c r="O311"/>
  <c r="M311"/>
  <c r="K311"/>
  <c r="I311"/>
  <c r="G311"/>
  <c r="E311"/>
  <c r="C311"/>
  <c r="R310"/>
  <c r="S310" s="1"/>
  <c r="Q310"/>
  <c r="O310"/>
  <c r="M310"/>
  <c r="K310"/>
  <c r="I310"/>
  <c r="G310"/>
  <c r="E310"/>
  <c r="C310"/>
  <c r="R309"/>
  <c r="S309" s="1"/>
  <c r="Q309"/>
  <c r="O309"/>
  <c r="M309"/>
  <c r="K309"/>
  <c r="I309"/>
  <c r="G309"/>
  <c r="E309"/>
  <c r="C309"/>
  <c r="R308"/>
  <c r="S308" s="1"/>
  <c r="Q308"/>
  <c r="O308"/>
  <c r="M308"/>
  <c r="K308"/>
  <c r="I308"/>
  <c r="G308"/>
  <c r="E308"/>
  <c r="C308"/>
  <c r="R307"/>
  <c r="S307" s="1"/>
  <c r="Q307"/>
  <c r="O307"/>
  <c r="M307"/>
  <c r="K307"/>
  <c r="I307"/>
  <c r="G307"/>
  <c r="E307"/>
  <c r="C307"/>
  <c r="R306"/>
  <c r="S306" s="1"/>
  <c r="Q306"/>
  <c r="O306"/>
  <c r="M306"/>
  <c r="K306"/>
  <c r="I306"/>
  <c r="G306"/>
  <c r="E306"/>
  <c r="C306"/>
  <c r="R305"/>
  <c r="S305" s="1"/>
  <c r="Q305"/>
  <c r="O305"/>
  <c r="M305"/>
  <c r="K305"/>
  <c r="I305"/>
  <c r="G305"/>
  <c r="E305"/>
  <c r="C305"/>
  <c r="R304"/>
  <c r="S304" s="1"/>
  <c r="Q304"/>
  <c r="O304"/>
  <c r="M304"/>
  <c r="K304"/>
  <c r="I304"/>
  <c r="G304"/>
  <c r="E304"/>
  <c r="C304"/>
  <c r="R303"/>
  <c r="S303" s="1"/>
  <c r="Q303"/>
  <c r="O303"/>
  <c r="M303"/>
  <c r="K303"/>
  <c r="I303"/>
  <c r="G303"/>
  <c r="E303"/>
  <c r="C303"/>
  <c r="R302"/>
  <c r="S302" s="1"/>
  <c r="Q302"/>
  <c r="O302"/>
  <c r="M302"/>
  <c r="K302"/>
  <c r="I302"/>
  <c r="G302"/>
  <c r="E302"/>
  <c r="C302"/>
  <c r="R301"/>
  <c r="S301" s="1"/>
  <c r="Q301"/>
  <c r="O301"/>
  <c r="M301"/>
  <c r="K301"/>
  <c r="I301"/>
  <c r="G301"/>
  <c r="E301"/>
  <c r="C301"/>
  <c r="R300"/>
  <c r="S300" s="1"/>
  <c r="Q300"/>
  <c r="O300"/>
  <c r="M300"/>
  <c r="K300"/>
  <c r="I300"/>
  <c r="G300"/>
  <c r="E300"/>
  <c r="C300"/>
  <c r="R299"/>
  <c r="S299" s="1"/>
  <c r="Q299"/>
  <c r="O299"/>
  <c r="M299"/>
  <c r="K299"/>
  <c r="I299"/>
  <c r="G299"/>
  <c r="E299"/>
  <c r="C299"/>
  <c r="R298"/>
  <c r="S298" s="1"/>
  <c r="Q298"/>
  <c r="O298"/>
  <c r="M298"/>
  <c r="K298"/>
  <c r="I298"/>
  <c r="G298"/>
  <c r="E298"/>
  <c r="C298"/>
  <c r="R297"/>
  <c r="S297" s="1"/>
  <c r="Q297"/>
  <c r="O297"/>
  <c r="M297"/>
  <c r="K297"/>
  <c r="I297"/>
  <c r="G297"/>
  <c r="E297"/>
  <c r="C297"/>
  <c r="R296"/>
  <c r="S296" s="1"/>
  <c r="Q296"/>
  <c r="O296"/>
  <c r="M296"/>
  <c r="K296"/>
  <c r="I296"/>
  <c r="G296"/>
  <c r="E296"/>
  <c r="C296"/>
  <c r="R295"/>
  <c r="S295" s="1"/>
  <c r="Q295"/>
  <c r="O295"/>
  <c r="M295"/>
  <c r="K295"/>
  <c r="I295"/>
  <c r="G295"/>
  <c r="E295"/>
  <c r="C295"/>
  <c r="R294"/>
  <c r="S294" s="1"/>
  <c r="Q294"/>
  <c r="O294"/>
  <c r="M294"/>
  <c r="K294"/>
  <c r="I294"/>
  <c r="G294"/>
  <c r="E294"/>
  <c r="C294"/>
  <c r="R293"/>
  <c r="S293" s="1"/>
  <c r="Q293"/>
  <c r="O293"/>
  <c r="M293"/>
  <c r="K293"/>
  <c r="I293"/>
  <c r="G293"/>
  <c r="E293"/>
  <c r="C293"/>
  <c r="R292"/>
  <c r="S292" s="1"/>
  <c r="Q292"/>
  <c r="O292"/>
  <c r="M292"/>
  <c r="K292"/>
  <c r="I292"/>
  <c r="G292"/>
  <c r="E292"/>
  <c r="C292"/>
  <c r="R291"/>
  <c r="S291" s="1"/>
  <c r="Q291"/>
  <c r="O291"/>
  <c r="M291"/>
  <c r="K291"/>
  <c r="I291"/>
  <c r="G291"/>
  <c r="E291"/>
  <c r="C291"/>
  <c r="R290"/>
  <c r="S290" s="1"/>
  <c r="Q290"/>
  <c r="O290"/>
  <c r="M290"/>
  <c r="K290"/>
  <c r="I290"/>
  <c r="G290"/>
  <c r="E290"/>
  <c r="C290"/>
  <c r="R289"/>
  <c r="S289" s="1"/>
  <c r="Q289"/>
  <c r="O289"/>
  <c r="M289"/>
  <c r="K289"/>
  <c r="I289"/>
  <c r="G289"/>
  <c r="E289"/>
  <c r="C289"/>
  <c r="R288"/>
  <c r="S288" s="1"/>
  <c r="Q288"/>
  <c r="O288"/>
  <c r="M288"/>
  <c r="K288"/>
  <c r="I288"/>
  <c r="G288"/>
  <c r="E288"/>
  <c r="C288"/>
  <c r="R287"/>
  <c r="S287" s="1"/>
  <c r="Q287"/>
  <c r="O287"/>
  <c r="M287"/>
  <c r="K287"/>
  <c r="I287"/>
  <c r="G287"/>
  <c r="E287"/>
  <c r="C287"/>
  <c r="R286"/>
  <c r="S286" s="1"/>
  <c r="Q286"/>
  <c r="O286"/>
  <c r="M286"/>
  <c r="K286"/>
  <c r="I286"/>
  <c r="G286"/>
  <c r="E286"/>
  <c r="C286"/>
  <c r="R285"/>
  <c r="S285" s="1"/>
  <c r="Q285"/>
  <c r="O285"/>
  <c r="M285"/>
  <c r="K285"/>
  <c r="I285"/>
  <c r="G285"/>
  <c r="E285"/>
  <c r="C285"/>
  <c r="R284"/>
  <c r="S284" s="1"/>
  <c r="Q284"/>
  <c r="O284"/>
  <c r="M284"/>
  <c r="K284"/>
  <c r="I284"/>
  <c r="G284"/>
  <c r="E284"/>
  <c r="C284"/>
  <c r="R283"/>
  <c r="S283" s="1"/>
  <c r="Q283"/>
  <c r="O283"/>
  <c r="M283"/>
  <c r="K283"/>
  <c r="I283"/>
  <c r="G283"/>
  <c r="E283"/>
  <c r="C283"/>
  <c r="R282"/>
  <c r="S282" s="1"/>
  <c r="Q282"/>
  <c r="O282"/>
  <c r="M282"/>
  <c r="K282"/>
  <c r="I282"/>
  <c r="G282"/>
  <c r="E282"/>
  <c r="C282"/>
  <c r="R281"/>
  <c r="S281" s="1"/>
  <c r="Q281"/>
  <c r="O281"/>
  <c r="M281"/>
  <c r="K281"/>
  <c r="I281"/>
  <c r="G281"/>
  <c r="E281"/>
  <c r="C281"/>
  <c r="R280"/>
  <c r="S280" s="1"/>
  <c r="Q280"/>
  <c r="O280"/>
  <c r="M280"/>
  <c r="K280"/>
  <c r="I280"/>
  <c r="G280"/>
  <c r="E280"/>
  <c r="C280"/>
  <c r="R279"/>
  <c r="S279" s="1"/>
  <c r="Q279"/>
  <c r="O279"/>
  <c r="M279"/>
  <c r="K279"/>
  <c r="I279"/>
  <c r="G279"/>
  <c r="E279"/>
  <c r="C279"/>
  <c r="R278"/>
  <c r="S278" s="1"/>
  <c r="Q278"/>
  <c r="O278"/>
  <c r="M278"/>
  <c r="K278"/>
  <c r="I278"/>
  <c r="G278"/>
  <c r="E278"/>
  <c r="C278"/>
  <c r="R277"/>
  <c r="S277" s="1"/>
  <c r="Q277"/>
  <c r="O277"/>
  <c r="M277"/>
  <c r="K277"/>
  <c r="I277"/>
  <c r="G277"/>
  <c r="E277"/>
  <c r="C277"/>
  <c r="R276"/>
  <c r="S276" s="1"/>
  <c r="Q276"/>
  <c r="O276"/>
  <c r="M276"/>
  <c r="K276"/>
  <c r="I276"/>
  <c r="G276"/>
  <c r="E276"/>
  <c r="C276"/>
  <c r="R275"/>
  <c r="S275" s="1"/>
  <c r="Q275"/>
  <c r="O275"/>
  <c r="M275"/>
  <c r="K275"/>
  <c r="I275"/>
  <c r="G275"/>
  <c r="E275"/>
  <c r="C275"/>
  <c r="R274"/>
  <c r="S274" s="1"/>
  <c r="Q274"/>
  <c r="O274"/>
  <c r="M274"/>
  <c r="K274"/>
  <c r="I274"/>
  <c r="G274"/>
  <c r="E274"/>
  <c r="C274"/>
  <c r="R273"/>
  <c r="S273" s="1"/>
  <c r="Q273"/>
  <c r="O273"/>
  <c r="M273"/>
  <c r="K273"/>
  <c r="I273"/>
  <c r="G273"/>
  <c r="E273"/>
  <c r="C273"/>
  <c r="R272"/>
  <c r="S272" s="1"/>
  <c r="Q272"/>
  <c r="O272"/>
  <c r="M272"/>
  <c r="K272"/>
  <c r="I272"/>
  <c r="G272"/>
  <c r="E272"/>
  <c r="C272"/>
  <c r="R271"/>
  <c r="S271" s="1"/>
  <c r="Q271"/>
  <c r="O271"/>
  <c r="M271"/>
  <c r="K271"/>
  <c r="I271"/>
  <c r="G271"/>
  <c r="E271"/>
  <c r="C271"/>
  <c r="R270"/>
  <c r="S270" s="1"/>
  <c r="Q270"/>
  <c r="O270"/>
  <c r="M270"/>
  <c r="K270"/>
  <c r="I270"/>
  <c r="G270"/>
  <c r="E270"/>
  <c r="C270"/>
  <c r="R269"/>
  <c r="S269" s="1"/>
  <c r="Q269"/>
  <c r="O269"/>
  <c r="M269"/>
  <c r="K269"/>
  <c r="I269"/>
  <c r="G269"/>
  <c r="E269"/>
  <c r="C269"/>
  <c r="R268"/>
  <c r="S268" s="1"/>
  <c r="Q268"/>
  <c r="O268"/>
  <c r="M268"/>
  <c r="K268"/>
  <c r="I268"/>
  <c r="G268"/>
  <c r="E268"/>
  <c r="C268"/>
  <c r="R267"/>
  <c r="S267" s="1"/>
  <c r="Q267"/>
  <c r="O267"/>
  <c r="M267"/>
  <c r="K267"/>
  <c r="I267"/>
  <c r="G267"/>
  <c r="E267"/>
  <c r="C267"/>
  <c r="R266"/>
  <c r="S266" s="1"/>
  <c r="Q266"/>
  <c r="O266"/>
  <c r="M266"/>
  <c r="K266"/>
  <c r="I266"/>
  <c r="G266"/>
  <c r="E266"/>
  <c r="C266"/>
  <c r="R265"/>
  <c r="S265" s="1"/>
  <c r="Q265"/>
  <c r="O265"/>
  <c r="M265"/>
  <c r="K265"/>
  <c r="I265"/>
  <c r="G265"/>
  <c r="E265"/>
  <c r="C265"/>
  <c r="R264"/>
  <c r="S264" s="1"/>
  <c r="Q264"/>
  <c r="O264"/>
  <c r="M264"/>
  <c r="K264"/>
  <c r="I264"/>
  <c r="G264"/>
  <c r="E264"/>
  <c r="C264"/>
  <c r="R263"/>
  <c r="S263" s="1"/>
  <c r="Q263"/>
  <c r="O263"/>
  <c r="M263"/>
  <c r="K263"/>
  <c r="I263"/>
  <c r="G263"/>
  <c r="E263"/>
  <c r="C263"/>
  <c r="R262"/>
  <c r="S262" s="1"/>
  <c r="Q262"/>
  <c r="O262"/>
  <c r="M262"/>
  <c r="K262"/>
  <c r="I262"/>
  <c r="G262"/>
  <c r="E262"/>
  <c r="C262"/>
  <c r="R261"/>
  <c r="S261" s="1"/>
  <c r="Q261"/>
  <c r="O261"/>
  <c r="M261"/>
  <c r="K261"/>
  <c r="I261"/>
  <c r="G261"/>
  <c r="E261"/>
  <c r="C261"/>
  <c r="R260"/>
  <c r="S260" s="1"/>
  <c r="Q260"/>
  <c r="O260"/>
  <c r="M260"/>
  <c r="K260"/>
  <c r="I260"/>
  <c r="G260"/>
  <c r="E260"/>
  <c r="C260"/>
  <c r="R259"/>
  <c r="S259" s="1"/>
  <c r="Q259"/>
  <c r="O259"/>
  <c r="M259"/>
  <c r="K259"/>
  <c r="I259"/>
  <c r="G259"/>
  <c r="E259"/>
  <c r="C259"/>
  <c r="R258"/>
  <c r="S258" s="1"/>
  <c r="Q258"/>
  <c r="O258"/>
  <c r="M258"/>
  <c r="K258"/>
  <c r="I258"/>
  <c r="G258"/>
  <c r="E258"/>
  <c r="C258"/>
  <c r="R257"/>
  <c r="S257" s="1"/>
  <c r="Q257"/>
  <c r="O257"/>
  <c r="M257"/>
  <c r="K257"/>
  <c r="I257"/>
  <c r="G257"/>
  <c r="E257"/>
  <c r="C257"/>
  <c r="R256"/>
  <c r="S256" s="1"/>
  <c r="Q256"/>
  <c r="O256"/>
  <c r="M256"/>
  <c r="K256"/>
  <c r="I256"/>
  <c r="G256"/>
  <c r="E256"/>
  <c r="C256"/>
  <c r="R255"/>
  <c r="S255" s="1"/>
  <c r="Q255"/>
  <c r="O255"/>
  <c r="M255"/>
  <c r="K255"/>
  <c r="I255"/>
  <c r="G255"/>
  <c r="E255"/>
  <c r="C255"/>
  <c r="R254"/>
  <c r="S254" s="1"/>
  <c r="Q254"/>
  <c r="O254"/>
  <c r="M254"/>
  <c r="K254"/>
  <c r="I254"/>
  <c r="G254"/>
  <c r="E254"/>
  <c r="C254"/>
  <c r="R253"/>
  <c r="S253" s="1"/>
  <c r="Q253"/>
  <c r="O253"/>
  <c r="M253"/>
  <c r="K253"/>
  <c r="I253"/>
  <c r="G253"/>
  <c r="E253"/>
  <c r="C253"/>
  <c r="R252"/>
  <c r="S252" s="1"/>
  <c r="Q252"/>
  <c r="O252"/>
  <c r="M252"/>
  <c r="K252"/>
  <c r="I252"/>
  <c r="G252"/>
  <c r="E252"/>
  <c r="C252"/>
  <c r="R251"/>
  <c r="S251" s="1"/>
  <c r="Q251"/>
  <c r="O251"/>
  <c r="M251"/>
  <c r="K251"/>
  <c r="I251"/>
  <c r="G251"/>
  <c r="E251"/>
  <c r="C251"/>
  <c r="R250"/>
  <c r="S250" s="1"/>
  <c r="Q250"/>
  <c r="O250"/>
  <c r="M250"/>
  <c r="K250"/>
  <c r="I250"/>
  <c r="G250"/>
  <c r="E250"/>
  <c r="C250"/>
  <c r="R249"/>
  <c r="S249" s="1"/>
  <c r="Q249"/>
  <c r="O249"/>
  <c r="M249"/>
  <c r="K249"/>
  <c r="I249"/>
  <c r="G249"/>
  <c r="E249"/>
  <c r="C249"/>
  <c r="R248"/>
  <c r="S248" s="1"/>
  <c r="Q248"/>
  <c r="O248"/>
  <c r="M248"/>
  <c r="K248"/>
  <c r="I248"/>
  <c r="G248"/>
  <c r="E248"/>
  <c r="C248"/>
  <c r="R247"/>
  <c r="S247" s="1"/>
  <c r="Q247"/>
  <c r="O247"/>
  <c r="M247"/>
  <c r="K247"/>
  <c r="I247"/>
  <c r="G247"/>
  <c r="E247"/>
  <c r="C247"/>
  <c r="R246"/>
  <c r="S246" s="1"/>
  <c r="Q246"/>
  <c r="O246"/>
  <c r="M246"/>
  <c r="K246"/>
  <c r="I246"/>
  <c r="G246"/>
  <c r="E246"/>
  <c r="C246"/>
  <c r="R245"/>
  <c r="S245" s="1"/>
  <c r="Q245"/>
  <c r="O245"/>
  <c r="M245"/>
  <c r="K245"/>
  <c r="I245"/>
  <c r="G245"/>
  <c r="E245"/>
  <c r="C245"/>
  <c r="R244"/>
  <c r="S244" s="1"/>
  <c r="Q244"/>
  <c r="O244"/>
  <c r="M244"/>
  <c r="K244"/>
  <c r="I244"/>
  <c r="G244"/>
  <c r="E244"/>
  <c r="C244"/>
  <c r="R243"/>
  <c r="S243" s="1"/>
  <c r="Q243"/>
  <c r="O243"/>
  <c r="M243"/>
  <c r="K243"/>
  <c r="I243"/>
  <c r="G243"/>
  <c r="E243"/>
  <c r="C243"/>
  <c r="R242"/>
  <c r="S242" s="1"/>
  <c r="Q242"/>
  <c r="O242"/>
  <c r="M242"/>
  <c r="K242"/>
  <c r="I242"/>
  <c r="G242"/>
  <c r="E242"/>
  <c r="C242"/>
  <c r="R241"/>
  <c r="S241" s="1"/>
  <c r="Q241"/>
  <c r="O241"/>
  <c r="M241"/>
  <c r="K241"/>
  <c r="I241"/>
  <c r="G241"/>
  <c r="E241"/>
  <c r="C241"/>
  <c r="R240"/>
  <c r="S240" s="1"/>
  <c r="Q240"/>
  <c r="O240"/>
  <c r="M240"/>
  <c r="K240"/>
  <c r="I240"/>
  <c r="G240"/>
  <c r="E240"/>
  <c r="C240"/>
  <c r="R239"/>
  <c r="S239" s="1"/>
  <c r="Q239"/>
  <c r="O239"/>
  <c r="M239"/>
  <c r="K239"/>
  <c r="I239"/>
  <c r="G239"/>
  <c r="E239"/>
  <c r="C239"/>
  <c r="R238"/>
  <c r="S238" s="1"/>
  <c r="Q238"/>
  <c r="O238"/>
  <c r="M238"/>
  <c r="K238"/>
  <c r="I238"/>
  <c r="G238"/>
  <c r="E238"/>
  <c r="C238"/>
  <c r="R237"/>
  <c r="S237" s="1"/>
  <c r="Q237"/>
  <c r="O237"/>
  <c r="M237"/>
  <c r="K237"/>
  <c r="I237"/>
  <c r="G237"/>
  <c r="E237"/>
  <c r="C237"/>
  <c r="R236"/>
  <c r="S236" s="1"/>
  <c r="Q236"/>
  <c r="O236"/>
  <c r="M236"/>
  <c r="K236"/>
  <c r="I236"/>
  <c r="G236"/>
  <c r="E236"/>
  <c r="C236"/>
  <c r="R235"/>
  <c r="S235" s="1"/>
  <c r="Q235"/>
  <c r="O235"/>
  <c r="M235"/>
  <c r="K235"/>
  <c r="I235"/>
  <c r="G235"/>
  <c r="E235"/>
  <c r="C235"/>
  <c r="R234"/>
  <c r="S234" s="1"/>
  <c r="Q234"/>
  <c r="O234"/>
  <c r="M234"/>
  <c r="K234"/>
  <c r="I234"/>
  <c r="G234"/>
  <c r="E234"/>
  <c r="C234"/>
  <c r="R233"/>
  <c r="S233" s="1"/>
  <c r="Q233"/>
  <c r="O233"/>
  <c r="M233"/>
  <c r="K233"/>
  <c r="I233"/>
  <c r="G233"/>
  <c r="E233"/>
  <c r="C233"/>
  <c r="R232"/>
  <c r="S232" s="1"/>
  <c r="Q232"/>
  <c r="O232"/>
  <c r="M232"/>
  <c r="K232"/>
  <c r="I232"/>
  <c r="G232"/>
  <c r="E232"/>
  <c r="C232"/>
  <c r="R231"/>
  <c r="S231" s="1"/>
  <c r="Q231"/>
  <c r="O231"/>
  <c r="M231"/>
  <c r="K231"/>
  <c r="I231"/>
  <c r="G231"/>
  <c r="E231"/>
  <c r="C231"/>
  <c r="R230"/>
  <c r="S230" s="1"/>
  <c r="Q230"/>
  <c r="O230"/>
  <c r="M230"/>
  <c r="K230"/>
  <c r="I230"/>
  <c r="G230"/>
  <c r="E230"/>
  <c r="C230"/>
  <c r="R229"/>
  <c r="S229" s="1"/>
  <c r="Q229"/>
  <c r="O229"/>
  <c r="M229"/>
  <c r="K229"/>
  <c r="I229"/>
  <c r="G229"/>
  <c r="E229"/>
  <c r="C229"/>
  <c r="R228"/>
  <c r="S228" s="1"/>
  <c r="Q228"/>
  <c r="O228"/>
  <c r="M228"/>
  <c r="K228"/>
  <c r="I228"/>
  <c r="G228"/>
  <c r="E228"/>
  <c r="C228"/>
  <c r="R227"/>
  <c r="S227" s="1"/>
  <c r="Q227"/>
  <c r="O227"/>
  <c r="M227"/>
  <c r="K227"/>
  <c r="I227"/>
  <c r="G227"/>
  <c r="E227"/>
  <c r="C227"/>
  <c r="R226"/>
  <c r="S226" s="1"/>
  <c r="Q226"/>
  <c r="O226"/>
  <c r="M226"/>
  <c r="K226"/>
  <c r="I226"/>
  <c r="G226"/>
  <c r="E226"/>
  <c r="C226"/>
  <c r="R225"/>
  <c r="S225" s="1"/>
  <c r="Q225"/>
  <c r="O225"/>
  <c r="M225"/>
  <c r="K225"/>
  <c r="I225"/>
  <c r="G225"/>
  <c r="E225"/>
  <c r="C225"/>
  <c r="R224"/>
  <c r="S224" s="1"/>
  <c r="Q224"/>
  <c r="O224"/>
  <c r="M224"/>
  <c r="K224"/>
  <c r="I224"/>
  <c r="G224"/>
  <c r="E224"/>
  <c r="C224"/>
  <c r="R223"/>
  <c r="S223" s="1"/>
  <c r="Q223"/>
  <c r="O223"/>
  <c r="M223"/>
  <c r="K223"/>
  <c r="I223"/>
  <c r="G223"/>
  <c r="E223"/>
  <c r="C223"/>
  <c r="R222"/>
  <c r="S222" s="1"/>
  <c r="Q222"/>
  <c r="O222"/>
  <c r="M222"/>
  <c r="K222"/>
  <c r="I222"/>
  <c r="G222"/>
  <c r="E222"/>
  <c r="C222"/>
  <c r="R221"/>
  <c r="S221" s="1"/>
  <c r="Q221"/>
  <c r="O221"/>
  <c r="M221"/>
  <c r="K221"/>
  <c r="I221"/>
  <c r="G221"/>
  <c r="E221"/>
  <c r="C221"/>
  <c r="R220"/>
  <c r="S220" s="1"/>
  <c r="Q220"/>
  <c r="O220"/>
  <c r="M220"/>
  <c r="K220"/>
  <c r="I220"/>
  <c r="G220"/>
  <c r="E220"/>
  <c r="C220"/>
  <c r="R219"/>
  <c r="S219" s="1"/>
  <c r="Q219"/>
  <c r="O219"/>
  <c r="M219"/>
  <c r="K219"/>
  <c r="I219"/>
  <c r="G219"/>
  <c r="E219"/>
  <c r="C219"/>
  <c r="R218"/>
  <c r="S218" s="1"/>
  <c r="Q218"/>
  <c r="O218"/>
  <c r="M218"/>
  <c r="K218"/>
  <c r="I218"/>
  <c r="G218"/>
  <c r="E218"/>
  <c r="C218"/>
  <c r="R217"/>
  <c r="S217" s="1"/>
  <c r="Q217"/>
  <c r="O217"/>
  <c r="M217"/>
  <c r="K217"/>
  <c r="I217"/>
  <c r="G217"/>
  <c r="E217"/>
  <c r="C217"/>
  <c r="R216"/>
  <c r="S216" s="1"/>
  <c r="Q216"/>
  <c r="O216"/>
  <c r="M216"/>
  <c r="K216"/>
  <c r="I216"/>
  <c r="G216"/>
  <c r="E216"/>
  <c r="C216"/>
  <c r="R215"/>
  <c r="S215" s="1"/>
  <c r="Q215"/>
  <c r="O215"/>
  <c r="M215"/>
  <c r="K215"/>
  <c r="I215"/>
  <c r="G215"/>
  <c r="E215"/>
  <c r="C215"/>
  <c r="R214"/>
  <c r="S214" s="1"/>
  <c r="Q214"/>
  <c r="O214"/>
  <c r="M214"/>
  <c r="K214"/>
  <c r="I214"/>
  <c r="G214"/>
  <c r="E214"/>
  <c r="C214"/>
  <c r="R213"/>
  <c r="S213" s="1"/>
  <c r="Q213"/>
  <c r="O213"/>
  <c r="M213"/>
  <c r="K213"/>
  <c r="I213"/>
  <c r="G213"/>
  <c r="E213"/>
  <c r="C213"/>
  <c r="R212"/>
  <c r="S212" s="1"/>
  <c r="Q212"/>
  <c r="O212"/>
  <c r="M212"/>
  <c r="K212"/>
  <c r="I212"/>
  <c r="G212"/>
  <c r="E212"/>
  <c r="C212"/>
  <c r="R211"/>
  <c r="S211" s="1"/>
  <c r="Q211"/>
  <c r="O211"/>
  <c r="M211"/>
  <c r="K211"/>
  <c r="I211"/>
  <c r="G211"/>
  <c r="E211"/>
  <c r="C211"/>
  <c r="R210"/>
  <c r="S210" s="1"/>
  <c r="Q210"/>
  <c r="O210"/>
  <c r="M210"/>
  <c r="K210"/>
  <c r="I210"/>
  <c r="G210"/>
  <c r="E210"/>
  <c r="C210"/>
  <c r="R209"/>
  <c r="S209" s="1"/>
  <c r="Q209"/>
  <c r="O209"/>
  <c r="M209"/>
  <c r="K209"/>
  <c r="I209"/>
  <c r="G209"/>
  <c r="E209"/>
  <c r="C209"/>
  <c r="R208"/>
  <c r="S208" s="1"/>
  <c r="Q208"/>
  <c r="O208"/>
  <c r="M208"/>
  <c r="K208"/>
  <c r="I208"/>
  <c r="G208"/>
  <c r="E208"/>
  <c r="C208"/>
  <c r="R207"/>
  <c r="S207" s="1"/>
  <c r="Q207"/>
  <c r="O207"/>
  <c r="M207"/>
  <c r="K207"/>
  <c r="I207"/>
  <c r="G207"/>
  <c r="E207"/>
  <c r="C207"/>
  <c r="R206"/>
  <c r="S206" s="1"/>
  <c r="Q206"/>
  <c r="O206"/>
  <c r="M206"/>
  <c r="K206"/>
  <c r="I206"/>
  <c r="G206"/>
  <c r="E206"/>
  <c r="C206"/>
  <c r="R205"/>
  <c r="S205" s="1"/>
  <c r="Q205"/>
  <c r="O205"/>
  <c r="M205"/>
  <c r="K205"/>
  <c r="I205"/>
  <c r="G205"/>
  <c r="E205"/>
  <c r="C205"/>
  <c r="R204"/>
  <c r="S204" s="1"/>
  <c r="Q204"/>
  <c r="O204"/>
  <c r="M204"/>
  <c r="K204"/>
  <c r="I204"/>
  <c r="G204"/>
  <c r="E204"/>
  <c r="C204"/>
  <c r="R203"/>
  <c r="S203" s="1"/>
  <c r="Q203"/>
  <c r="O203"/>
  <c r="M203"/>
  <c r="K203"/>
  <c r="I203"/>
  <c r="G203"/>
  <c r="E203"/>
  <c r="C203"/>
  <c r="R202"/>
  <c r="S202" s="1"/>
  <c r="Q202"/>
  <c r="O202"/>
  <c r="M202"/>
  <c r="K202"/>
  <c r="I202"/>
  <c r="G202"/>
  <c r="E202"/>
  <c r="C202"/>
  <c r="R201"/>
  <c r="S201" s="1"/>
  <c r="Q201"/>
  <c r="O201"/>
  <c r="M201"/>
  <c r="K201"/>
  <c r="I201"/>
  <c r="G201"/>
  <c r="E201"/>
  <c r="C201"/>
  <c r="R200"/>
  <c r="S200" s="1"/>
  <c r="Q200"/>
  <c r="O200"/>
  <c r="M200"/>
  <c r="K200"/>
  <c r="I200"/>
  <c r="G200"/>
  <c r="E200"/>
  <c r="C200"/>
  <c r="R199"/>
  <c r="S199" s="1"/>
  <c r="Q199"/>
  <c r="O199"/>
  <c r="M199"/>
  <c r="K199"/>
  <c r="I199"/>
  <c r="G199"/>
  <c r="E199"/>
  <c r="C199"/>
  <c r="R198"/>
  <c r="S198" s="1"/>
  <c r="Q198"/>
  <c r="O198"/>
  <c r="M198"/>
  <c r="K198"/>
  <c r="I198"/>
  <c r="G198"/>
  <c r="E198"/>
  <c r="C198"/>
  <c r="R197"/>
  <c r="S197" s="1"/>
  <c r="Q197"/>
  <c r="O197"/>
  <c r="M197"/>
  <c r="K197"/>
  <c r="I197"/>
  <c r="G197"/>
  <c r="E197"/>
  <c r="C197"/>
  <c r="R196"/>
  <c r="S196" s="1"/>
  <c r="Q196"/>
  <c r="O196"/>
  <c r="M196"/>
  <c r="K196"/>
  <c r="I196"/>
  <c r="G196"/>
  <c r="E196"/>
  <c r="C196"/>
  <c r="R195"/>
  <c r="S195" s="1"/>
  <c r="Q195"/>
  <c r="O195"/>
  <c r="M195"/>
  <c r="K195"/>
  <c r="I195"/>
  <c r="G195"/>
  <c r="E195"/>
  <c r="C195"/>
  <c r="R194"/>
  <c r="S194" s="1"/>
  <c r="Q194"/>
  <c r="O194"/>
  <c r="M194"/>
  <c r="K194"/>
  <c r="I194"/>
  <c r="G194"/>
  <c r="E194"/>
  <c r="C194"/>
  <c r="R193"/>
  <c r="S193" s="1"/>
  <c r="Q193"/>
  <c r="O193"/>
  <c r="M193"/>
  <c r="K193"/>
  <c r="I193"/>
  <c r="G193"/>
  <c r="E193"/>
  <c r="C193"/>
  <c r="R192"/>
  <c r="S192" s="1"/>
  <c r="Q192"/>
  <c r="O192"/>
  <c r="M192"/>
  <c r="K192"/>
  <c r="I192"/>
  <c r="G192"/>
  <c r="E192"/>
  <c r="C192"/>
  <c r="R191"/>
  <c r="S191" s="1"/>
  <c r="Q191"/>
  <c r="O191"/>
  <c r="M191"/>
  <c r="K191"/>
  <c r="I191"/>
  <c r="G191"/>
  <c r="E191"/>
  <c r="C191"/>
  <c r="R190"/>
  <c r="S190" s="1"/>
  <c r="Q190"/>
  <c r="O190"/>
  <c r="M190"/>
  <c r="K190"/>
  <c r="I190"/>
  <c r="G190"/>
  <c r="E190"/>
  <c r="C190"/>
  <c r="R189"/>
  <c r="S189" s="1"/>
  <c r="Q189"/>
  <c r="O189"/>
  <c r="M189"/>
  <c r="K189"/>
  <c r="I189"/>
  <c r="G189"/>
  <c r="E189"/>
  <c r="C189"/>
  <c r="R188"/>
  <c r="S188" s="1"/>
  <c r="Q188"/>
  <c r="O188"/>
  <c r="M188"/>
  <c r="K188"/>
  <c r="I188"/>
  <c r="G188"/>
  <c r="E188"/>
  <c r="C188"/>
  <c r="R187"/>
  <c r="S187" s="1"/>
  <c r="Q187"/>
  <c r="O187"/>
  <c r="M187"/>
  <c r="K187"/>
  <c r="I187"/>
  <c r="G187"/>
  <c r="E187"/>
  <c r="C187"/>
  <c r="R186"/>
  <c r="S186" s="1"/>
  <c r="Q186"/>
  <c r="O186"/>
  <c r="M186"/>
  <c r="K186"/>
  <c r="I186"/>
  <c r="G186"/>
  <c r="E186"/>
  <c r="C186"/>
  <c r="R185"/>
  <c r="S185" s="1"/>
  <c r="Q185"/>
  <c r="O185"/>
  <c r="M185"/>
  <c r="K185"/>
  <c r="I185"/>
  <c r="G185"/>
  <c r="E185"/>
  <c r="C185"/>
  <c r="R184"/>
  <c r="S184" s="1"/>
  <c r="Q184"/>
  <c r="O184"/>
  <c r="M184"/>
  <c r="K184"/>
  <c r="I184"/>
  <c r="G184"/>
  <c r="E184"/>
  <c r="C184"/>
  <c r="R183"/>
  <c r="S183" s="1"/>
  <c r="Q183"/>
  <c r="O183"/>
  <c r="M183"/>
  <c r="K183"/>
  <c r="I183"/>
  <c r="G183"/>
  <c r="E183"/>
  <c r="C183"/>
  <c r="R182"/>
  <c r="S182" s="1"/>
  <c r="Q182"/>
  <c r="O182"/>
  <c r="M182"/>
  <c r="K182"/>
  <c r="I182"/>
  <c r="G182"/>
  <c r="E182"/>
  <c r="C182"/>
  <c r="R181"/>
  <c r="S181" s="1"/>
  <c r="Q181"/>
  <c r="O181"/>
  <c r="M181"/>
  <c r="K181"/>
  <c r="I181"/>
  <c r="G181"/>
  <c r="E181"/>
  <c r="C181"/>
  <c r="R180"/>
  <c r="S180" s="1"/>
  <c r="Q180"/>
  <c r="O180"/>
  <c r="M180"/>
  <c r="K180"/>
  <c r="I180"/>
  <c r="G180"/>
  <c r="E180"/>
  <c r="C180"/>
  <c r="R179"/>
  <c r="S179" s="1"/>
  <c r="Q179"/>
  <c r="O179"/>
  <c r="M179"/>
  <c r="K179"/>
  <c r="I179"/>
  <c r="G179"/>
  <c r="E179"/>
  <c r="C179"/>
  <c r="R178"/>
  <c r="S178" s="1"/>
  <c r="Q178"/>
  <c r="O178"/>
  <c r="M178"/>
  <c r="K178"/>
  <c r="I178"/>
  <c r="G178"/>
  <c r="E178"/>
  <c r="C178"/>
  <c r="R177"/>
  <c r="S177" s="1"/>
  <c r="Q177"/>
  <c r="O177"/>
  <c r="M177"/>
  <c r="K177"/>
  <c r="I177"/>
  <c r="G177"/>
  <c r="E177"/>
  <c r="C177"/>
  <c r="R176"/>
  <c r="S176" s="1"/>
  <c r="Q176"/>
  <c r="O176"/>
  <c r="M176"/>
  <c r="K176"/>
  <c r="I176"/>
  <c r="G176"/>
  <c r="E176"/>
  <c r="C176"/>
  <c r="R175"/>
  <c r="S175" s="1"/>
  <c r="Q175"/>
  <c r="O175"/>
  <c r="M175"/>
  <c r="K175"/>
  <c r="I175"/>
  <c r="G175"/>
  <c r="E175"/>
  <c r="C175"/>
  <c r="R174"/>
  <c r="S174" s="1"/>
  <c r="Q174"/>
  <c r="O174"/>
  <c r="M174"/>
  <c r="K174"/>
  <c r="I174"/>
  <c r="G174"/>
  <c r="E174"/>
  <c r="C174"/>
  <c r="R173"/>
  <c r="S173" s="1"/>
  <c r="Q173"/>
  <c r="O173"/>
  <c r="M173"/>
  <c r="K173"/>
  <c r="I173"/>
  <c r="G173"/>
  <c r="E173"/>
  <c r="C173"/>
  <c r="R172"/>
  <c r="S172" s="1"/>
  <c r="Q172"/>
  <c r="O172"/>
  <c r="M172"/>
  <c r="K172"/>
  <c r="I172"/>
  <c r="G172"/>
  <c r="E172"/>
  <c r="C172"/>
  <c r="R171"/>
  <c r="S171" s="1"/>
  <c r="Q171"/>
  <c r="O171"/>
  <c r="M171"/>
  <c r="K171"/>
  <c r="I171"/>
  <c r="G171"/>
  <c r="E171"/>
  <c r="C171"/>
  <c r="R170"/>
  <c r="S170" s="1"/>
  <c r="Q170"/>
  <c r="O170"/>
  <c r="M170"/>
  <c r="K170"/>
  <c r="I170"/>
  <c r="G170"/>
  <c r="E170"/>
  <c r="C170"/>
  <c r="R169"/>
  <c r="S169" s="1"/>
  <c r="Q169"/>
  <c r="O169"/>
  <c r="M169"/>
  <c r="K169"/>
  <c r="I169"/>
  <c r="G169"/>
  <c r="E169"/>
  <c r="C169"/>
  <c r="R168"/>
  <c r="S168" s="1"/>
  <c r="Q168"/>
  <c r="O168"/>
  <c r="M168"/>
  <c r="K168"/>
  <c r="I168"/>
  <c r="G168"/>
  <c r="E168"/>
  <c r="C168"/>
  <c r="R167"/>
  <c r="S167" s="1"/>
  <c r="Q167"/>
  <c r="O167"/>
  <c r="M167"/>
  <c r="K167"/>
  <c r="I167"/>
  <c r="G167"/>
  <c r="E167"/>
  <c r="C167"/>
  <c r="R166"/>
  <c r="S166" s="1"/>
  <c r="Q166"/>
  <c r="O166"/>
  <c r="M166"/>
  <c r="K166"/>
  <c r="I166"/>
  <c r="G166"/>
  <c r="E166"/>
  <c r="C166"/>
  <c r="R165"/>
  <c r="S165" s="1"/>
  <c r="Q165"/>
  <c r="O165"/>
  <c r="M165"/>
  <c r="K165"/>
  <c r="I165"/>
  <c r="G165"/>
  <c r="E165"/>
  <c r="C165"/>
  <c r="R164"/>
  <c r="S164" s="1"/>
  <c r="Q164"/>
  <c r="O164"/>
  <c r="M164"/>
  <c r="K164"/>
  <c r="I164"/>
  <c r="G164"/>
  <c r="E164"/>
  <c r="C164"/>
  <c r="R163"/>
  <c r="S163" s="1"/>
  <c r="Q163"/>
  <c r="O163"/>
  <c r="M163"/>
  <c r="K163"/>
  <c r="I163"/>
  <c r="G163"/>
  <c r="E163"/>
  <c r="C163"/>
  <c r="R162"/>
  <c r="S162" s="1"/>
  <c r="Q162"/>
  <c r="O162"/>
  <c r="M162"/>
  <c r="K162"/>
  <c r="I162"/>
  <c r="G162"/>
  <c r="E162"/>
  <c r="C162"/>
  <c r="R161"/>
  <c r="S161" s="1"/>
  <c r="Q161"/>
  <c r="O161"/>
  <c r="M161"/>
  <c r="K161"/>
  <c r="I161"/>
  <c r="G161"/>
  <c r="E161"/>
  <c r="C161"/>
  <c r="R160"/>
  <c r="S160" s="1"/>
  <c r="Q160"/>
  <c r="O160"/>
  <c r="M160"/>
  <c r="K160"/>
  <c r="I160"/>
  <c r="G160"/>
  <c r="E160"/>
  <c r="C160"/>
  <c r="R159"/>
  <c r="S159" s="1"/>
  <c r="Q159"/>
  <c r="O159"/>
  <c r="M159"/>
  <c r="K159"/>
  <c r="I159"/>
  <c r="G159"/>
  <c r="E159"/>
  <c r="C159"/>
  <c r="R158"/>
  <c r="S158" s="1"/>
  <c r="Q158"/>
  <c r="O158"/>
  <c r="M158"/>
  <c r="K158"/>
  <c r="I158"/>
  <c r="G158"/>
  <c r="E158"/>
  <c r="C158"/>
  <c r="R157"/>
  <c r="S157" s="1"/>
  <c r="Q157"/>
  <c r="O157"/>
  <c r="M157"/>
  <c r="K157"/>
  <c r="I157"/>
  <c r="G157"/>
  <c r="E157"/>
  <c r="C157"/>
  <c r="R156"/>
  <c r="S156" s="1"/>
  <c r="Q156"/>
  <c r="O156"/>
  <c r="M156"/>
  <c r="K156"/>
  <c r="I156"/>
  <c r="G156"/>
  <c r="E156"/>
  <c r="C156"/>
  <c r="R155"/>
  <c r="S155" s="1"/>
  <c r="Q155"/>
  <c r="O155"/>
  <c r="M155"/>
  <c r="K155"/>
  <c r="I155"/>
  <c r="G155"/>
  <c r="E155"/>
  <c r="C155"/>
  <c r="R154"/>
  <c r="S154" s="1"/>
  <c r="Q154"/>
  <c r="O154"/>
  <c r="M154"/>
  <c r="K154"/>
  <c r="I154"/>
  <c r="G154"/>
  <c r="E154"/>
  <c r="C154"/>
  <c r="R153"/>
  <c r="S153" s="1"/>
  <c r="Q153"/>
  <c r="O153"/>
  <c r="M153"/>
  <c r="K153"/>
  <c r="I153"/>
  <c r="G153"/>
  <c r="E153"/>
  <c r="C153"/>
  <c r="R152"/>
  <c r="S152" s="1"/>
  <c r="Q152"/>
  <c r="O152"/>
  <c r="M152"/>
  <c r="K152"/>
  <c r="I152"/>
  <c r="G152"/>
  <c r="E152"/>
  <c r="C152"/>
  <c r="R151"/>
  <c r="S151" s="1"/>
  <c r="Q151"/>
  <c r="O151"/>
  <c r="M151"/>
  <c r="K151"/>
  <c r="I151"/>
  <c r="G151"/>
  <c r="E151"/>
  <c r="C151"/>
  <c r="R150"/>
  <c r="S150" s="1"/>
  <c r="Q150"/>
  <c r="O150"/>
  <c r="M150"/>
  <c r="K150"/>
  <c r="I150"/>
  <c r="G150"/>
  <c r="E150"/>
  <c r="C150"/>
  <c r="R149"/>
  <c r="S149" s="1"/>
  <c r="Q149"/>
  <c r="O149"/>
  <c r="M149"/>
  <c r="K149"/>
  <c r="I149"/>
  <c r="G149"/>
  <c r="E149"/>
  <c r="C149"/>
  <c r="R148"/>
  <c r="S148" s="1"/>
  <c r="Q148"/>
  <c r="O148"/>
  <c r="M148"/>
  <c r="K148"/>
  <c r="I148"/>
  <c r="G148"/>
  <c r="E148"/>
  <c r="C148"/>
  <c r="R147"/>
  <c r="S147" s="1"/>
  <c r="Q147"/>
  <c r="O147"/>
  <c r="M147"/>
  <c r="K147"/>
  <c r="I147"/>
  <c r="G147"/>
  <c r="E147"/>
  <c r="C147"/>
  <c r="R146"/>
  <c r="S146" s="1"/>
  <c r="Q146"/>
  <c r="O146"/>
  <c r="M146"/>
  <c r="K146"/>
  <c r="I146"/>
  <c r="G146"/>
  <c r="E146"/>
  <c r="C146"/>
  <c r="R145"/>
  <c r="S145" s="1"/>
  <c r="Q145"/>
  <c r="O145"/>
  <c r="M145"/>
  <c r="K145"/>
  <c r="I145"/>
  <c r="G145"/>
  <c r="E145"/>
  <c r="C145"/>
  <c r="R144"/>
  <c r="S144" s="1"/>
  <c r="Q144"/>
  <c r="O144"/>
  <c r="M144"/>
  <c r="K144"/>
  <c r="I144"/>
  <c r="G144"/>
  <c r="E144"/>
  <c r="C144"/>
  <c r="R143"/>
  <c r="S143" s="1"/>
  <c r="Q143"/>
  <c r="O143"/>
  <c r="M143"/>
  <c r="K143"/>
  <c r="I143"/>
  <c r="G143"/>
  <c r="E143"/>
  <c r="C143"/>
  <c r="R142"/>
  <c r="S142" s="1"/>
  <c r="Q142"/>
  <c r="O142"/>
  <c r="M142"/>
  <c r="K142"/>
  <c r="I142"/>
  <c r="G142"/>
  <c r="E142"/>
  <c r="C142"/>
  <c r="R141"/>
  <c r="S141" s="1"/>
  <c r="Q141"/>
  <c r="O141"/>
  <c r="M141"/>
  <c r="K141"/>
  <c r="I141"/>
  <c r="G141"/>
  <c r="E141"/>
  <c r="C141"/>
  <c r="R140"/>
  <c r="S140" s="1"/>
  <c r="Q140"/>
  <c r="O140"/>
  <c r="M140"/>
  <c r="K140"/>
  <c r="I140"/>
  <c r="G140"/>
  <c r="E140"/>
  <c r="C140"/>
  <c r="R139"/>
  <c r="S139" s="1"/>
  <c r="Q139"/>
  <c r="O139"/>
  <c r="M139"/>
  <c r="K139"/>
  <c r="I139"/>
  <c r="G139"/>
  <c r="E139"/>
  <c r="C139"/>
  <c r="R138"/>
  <c r="S138" s="1"/>
  <c r="Q138"/>
  <c r="O138"/>
  <c r="M138"/>
  <c r="K138"/>
  <c r="I138"/>
  <c r="G138"/>
  <c r="E138"/>
  <c r="C138"/>
  <c r="R137"/>
  <c r="S137" s="1"/>
  <c r="Q137"/>
  <c r="O137"/>
  <c r="M137"/>
  <c r="K137"/>
  <c r="I137"/>
  <c r="G137"/>
  <c r="E137"/>
  <c r="C137"/>
  <c r="R136"/>
  <c r="S136" s="1"/>
  <c r="Q136"/>
  <c r="O136"/>
  <c r="M136"/>
  <c r="K136"/>
  <c r="I136"/>
  <c r="G136"/>
  <c r="E136"/>
  <c r="C136"/>
  <c r="R135"/>
  <c r="S135" s="1"/>
  <c r="Q135"/>
  <c r="O135"/>
  <c r="M135"/>
  <c r="K135"/>
  <c r="I135"/>
  <c r="G135"/>
  <c r="E135"/>
  <c r="C135"/>
  <c r="R134"/>
  <c r="S134" s="1"/>
  <c r="Q134"/>
  <c r="O134"/>
  <c r="M134"/>
  <c r="K134"/>
  <c r="I134"/>
  <c r="G134"/>
  <c r="E134"/>
  <c r="C134"/>
  <c r="R133"/>
  <c r="S133" s="1"/>
  <c r="Q133"/>
  <c r="O133"/>
  <c r="M133"/>
  <c r="K133"/>
  <c r="I133"/>
  <c r="G133"/>
  <c r="E133"/>
  <c r="C133"/>
  <c r="R132"/>
  <c r="S132" s="1"/>
  <c r="Q132"/>
  <c r="O132"/>
  <c r="M132"/>
  <c r="K132"/>
  <c r="I132"/>
  <c r="G132"/>
  <c r="E132"/>
  <c r="C132"/>
  <c r="R131"/>
  <c r="S131" s="1"/>
  <c r="Q131"/>
  <c r="O131"/>
  <c r="M131"/>
  <c r="K131"/>
  <c r="I131"/>
  <c r="G131"/>
  <c r="E131"/>
  <c r="C131"/>
  <c r="R130"/>
  <c r="S130" s="1"/>
  <c r="Q130"/>
  <c r="O130"/>
  <c r="M130"/>
  <c r="K130"/>
  <c r="I130"/>
  <c r="G130"/>
  <c r="E130"/>
  <c r="C130"/>
  <c r="R129"/>
  <c r="S129" s="1"/>
  <c r="Q129"/>
  <c r="O129"/>
  <c r="M129"/>
  <c r="K129"/>
  <c r="I129"/>
  <c r="G129"/>
  <c r="E129"/>
  <c r="C129"/>
  <c r="R128"/>
  <c r="S128" s="1"/>
  <c r="Q128"/>
  <c r="O128"/>
  <c r="M128"/>
  <c r="K128"/>
  <c r="I128"/>
  <c r="G128"/>
  <c r="E128"/>
  <c r="C128"/>
  <c r="R127"/>
  <c r="S127" s="1"/>
  <c r="Q127"/>
  <c r="O127"/>
  <c r="M127"/>
  <c r="K127"/>
  <c r="I127"/>
  <c r="G127"/>
  <c r="E127"/>
  <c r="C127"/>
  <c r="R126"/>
  <c r="S126" s="1"/>
  <c r="Q126"/>
  <c r="O126"/>
  <c r="M126"/>
  <c r="K126"/>
  <c r="I126"/>
  <c r="G126"/>
  <c r="E126"/>
  <c r="C126"/>
  <c r="R125"/>
  <c r="S125" s="1"/>
  <c r="Q125"/>
  <c r="O125"/>
  <c r="M125"/>
  <c r="K125"/>
  <c r="I125"/>
  <c r="G125"/>
  <c r="E125"/>
  <c r="C125"/>
  <c r="R124"/>
  <c r="S124" s="1"/>
  <c r="Q124"/>
  <c r="O124"/>
  <c r="M124"/>
  <c r="K124"/>
  <c r="I124"/>
  <c r="G124"/>
  <c r="E124"/>
  <c r="C124"/>
  <c r="R123"/>
  <c r="S123" s="1"/>
  <c r="Q123"/>
  <c r="O123"/>
  <c r="M123"/>
  <c r="K123"/>
  <c r="I123"/>
  <c r="G123"/>
  <c r="E123"/>
  <c r="C123"/>
  <c r="R122"/>
  <c r="S122" s="1"/>
  <c r="Q122"/>
  <c r="O122"/>
  <c r="M122"/>
  <c r="K122"/>
  <c r="I122"/>
  <c r="G122"/>
  <c r="E122"/>
  <c r="C122"/>
  <c r="R121"/>
  <c r="S121" s="1"/>
  <c r="Q121"/>
  <c r="O121"/>
  <c r="M121"/>
  <c r="K121"/>
  <c r="I121"/>
  <c r="G121"/>
  <c r="E121"/>
  <c r="C121"/>
  <c r="R120"/>
  <c r="S120" s="1"/>
  <c r="Q120"/>
  <c r="O120"/>
  <c r="M120"/>
  <c r="K120"/>
  <c r="I120"/>
  <c r="G120"/>
  <c r="E120"/>
  <c r="C120"/>
  <c r="R119"/>
  <c r="S119" s="1"/>
  <c r="Q119"/>
  <c r="O119"/>
  <c r="M119"/>
  <c r="K119"/>
  <c r="I119"/>
  <c r="G119"/>
  <c r="E119"/>
  <c r="C119"/>
  <c r="R118"/>
  <c r="S118" s="1"/>
  <c r="Q118"/>
  <c r="O118"/>
  <c r="M118"/>
  <c r="K118"/>
  <c r="I118"/>
  <c r="G118"/>
  <c r="E118"/>
  <c r="C118"/>
  <c r="R117"/>
  <c r="S117" s="1"/>
  <c r="Q117"/>
  <c r="O117"/>
  <c r="M117"/>
  <c r="K117"/>
  <c r="I117"/>
  <c r="G117"/>
  <c r="E117"/>
  <c r="C117"/>
  <c r="R116"/>
  <c r="S116" s="1"/>
  <c r="Q116"/>
  <c r="O116"/>
  <c r="M116"/>
  <c r="K116"/>
  <c r="I116"/>
  <c r="G116"/>
  <c r="E116"/>
  <c r="C116"/>
  <c r="R115"/>
  <c r="S115" s="1"/>
  <c r="Q115"/>
  <c r="O115"/>
  <c r="M115"/>
  <c r="K115"/>
  <c r="I115"/>
  <c r="G115"/>
  <c r="E115"/>
  <c r="C115"/>
  <c r="R114"/>
  <c r="S114" s="1"/>
  <c r="Q114"/>
  <c r="O114"/>
  <c r="M114"/>
  <c r="K114"/>
  <c r="I114"/>
  <c r="G114"/>
  <c r="E114"/>
  <c r="C114"/>
  <c r="R113"/>
  <c r="S113" s="1"/>
  <c r="Q113"/>
  <c r="O113"/>
  <c r="M113"/>
  <c r="K113"/>
  <c r="I113"/>
  <c r="G113"/>
  <c r="E113"/>
  <c r="C113"/>
  <c r="R112"/>
  <c r="S112" s="1"/>
  <c r="Q112"/>
  <c r="O112"/>
  <c r="M112"/>
  <c r="K112"/>
  <c r="I112"/>
  <c r="G112"/>
  <c r="E112"/>
  <c r="C112"/>
  <c r="R111"/>
  <c r="S111" s="1"/>
  <c r="Q111"/>
  <c r="O111"/>
  <c r="M111"/>
  <c r="K111"/>
  <c r="I111"/>
  <c r="G111"/>
  <c r="E111"/>
  <c r="C111"/>
  <c r="R110"/>
  <c r="S110" s="1"/>
  <c r="Q110"/>
  <c r="O110"/>
  <c r="M110"/>
  <c r="K110"/>
  <c r="I110"/>
  <c r="G110"/>
  <c r="E110"/>
  <c r="C110"/>
  <c r="R109"/>
  <c r="S109" s="1"/>
  <c r="Q109"/>
  <c r="O109"/>
  <c r="M109"/>
  <c r="K109"/>
  <c r="I109"/>
  <c r="G109"/>
  <c r="E109"/>
  <c r="C109"/>
  <c r="R108"/>
  <c r="S108" s="1"/>
  <c r="Q108"/>
  <c r="O108"/>
  <c r="M108"/>
  <c r="K108"/>
  <c r="I108"/>
  <c r="G108"/>
  <c r="E108"/>
  <c r="C108"/>
  <c r="R107"/>
  <c r="S107" s="1"/>
  <c r="Q107"/>
  <c r="O107"/>
  <c r="M107"/>
  <c r="K107"/>
  <c r="I107"/>
  <c r="G107"/>
  <c r="E107"/>
  <c r="C107"/>
  <c r="R106"/>
  <c r="S106" s="1"/>
  <c r="Q106"/>
  <c r="O106"/>
  <c r="M106"/>
  <c r="K106"/>
  <c r="I106"/>
  <c r="G106"/>
  <c r="E106"/>
  <c r="C106"/>
  <c r="R105"/>
  <c r="S105" s="1"/>
  <c r="Q105"/>
  <c r="O105"/>
  <c r="M105"/>
  <c r="K105"/>
  <c r="I105"/>
  <c r="G105"/>
  <c r="E105"/>
  <c r="C105"/>
  <c r="R104"/>
  <c r="S104" s="1"/>
  <c r="Q104"/>
  <c r="O104"/>
  <c r="M104"/>
  <c r="K104"/>
  <c r="I104"/>
  <c r="G104"/>
  <c r="E104"/>
  <c r="C104"/>
  <c r="R103"/>
  <c r="S103" s="1"/>
  <c r="Q103"/>
  <c r="O103"/>
  <c r="M103"/>
  <c r="K103"/>
  <c r="I103"/>
  <c r="G103"/>
  <c r="E103"/>
  <c r="C103"/>
  <c r="Q102"/>
  <c r="O102"/>
  <c r="M102"/>
  <c r="K102"/>
  <c r="I102"/>
  <c r="G102"/>
  <c r="E102"/>
  <c r="Q101"/>
  <c r="O101"/>
  <c r="M101"/>
  <c r="K101"/>
  <c r="I101"/>
  <c r="G101"/>
  <c r="E101"/>
  <c r="Q100"/>
  <c r="O100"/>
  <c r="M100"/>
  <c r="K100"/>
  <c r="I100"/>
  <c r="G100"/>
  <c r="E100"/>
  <c r="Q99"/>
  <c r="O99"/>
  <c r="M99"/>
  <c r="K99"/>
  <c r="I99"/>
  <c r="G99"/>
  <c r="E99"/>
  <c r="Q98"/>
  <c r="O98"/>
  <c r="M98"/>
  <c r="K98"/>
  <c r="I98"/>
  <c r="G98"/>
  <c r="E98"/>
  <c r="Q97"/>
  <c r="O97"/>
  <c r="M97"/>
  <c r="K97"/>
  <c r="I97"/>
  <c r="G97"/>
  <c r="E97"/>
  <c r="Q96"/>
  <c r="O96"/>
  <c r="M96"/>
  <c r="K96"/>
  <c r="I96"/>
  <c r="G96"/>
  <c r="E96"/>
  <c r="Q95"/>
  <c r="O95"/>
  <c r="M95"/>
  <c r="K95"/>
  <c r="I95"/>
  <c r="G95"/>
  <c r="E95"/>
  <c r="Q94"/>
  <c r="O94"/>
  <c r="M94"/>
  <c r="K94"/>
  <c r="I94"/>
  <c r="G94"/>
  <c r="E94"/>
  <c r="Q93"/>
  <c r="O93"/>
  <c r="M93"/>
  <c r="K93"/>
  <c r="I93"/>
  <c r="G93"/>
  <c r="E93"/>
  <c r="Q92"/>
  <c r="O92"/>
  <c r="M92"/>
  <c r="K92"/>
  <c r="I92"/>
  <c r="G92"/>
  <c r="E92"/>
  <c r="Q91"/>
  <c r="O91"/>
  <c r="M91"/>
  <c r="K91"/>
  <c r="I91"/>
  <c r="G91"/>
  <c r="E91"/>
  <c r="Q90"/>
  <c r="O90"/>
  <c r="M90"/>
  <c r="K90"/>
  <c r="I90"/>
  <c r="G90"/>
  <c r="E90"/>
  <c r="Q89"/>
  <c r="O89"/>
  <c r="M89"/>
  <c r="K89"/>
  <c r="I89"/>
  <c r="G89"/>
  <c r="E89"/>
  <c r="Q88"/>
  <c r="O88"/>
  <c r="M88"/>
  <c r="K88"/>
  <c r="I88"/>
  <c r="G88"/>
  <c r="E88"/>
  <c r="Q87"/>
  <c r="O87"/>
  <c r="M87"/>
  <c r="K87"/>
  <c r="I87"/>
  <c r="G87"/>
  <c r="E87"/>
  <c r="Q86"/>
  <c r="O86"/>
  <c r="M86"/>
  <c r="K86"/>
  <c r="I86"/>
  <c r="G86"/>
  <c r="E86"/>
  <c r="Q85"/>
  <c r="O85"/>
  <c r="M85"/>
  <c r="K85"/>
  <c r="I85"/>
  <c r="G85"/>
  <c r="E85"/>
  <c r="Q84"/>
  <c r="O84"/>
  <c r="M84"/>
  <c r="K84"/>
  <c r="I84"/>
  <c r="G84"/>
  <c r="E84"/>
  <c r="Q83"/>
  <c r="O83"/>
  <c r="M83"/>
  <c r="K83"/>
  <c r="I83"/>
  <c r="G83"/>
  <c r="E83"/>
  <c r="Q82"/>
  <c r="O82"/>
  <c r="M82"/>
  <c r="K82"/>
  <c r="I82"/>
  <c r="G82"/>
  <c r="E82"/>
  <c r="Q81"/>
  <c r="O81"/>
  <c r="M81"/>
  <c r="K81"/>
  <c r="I81"/>
  <c r="G81"/>
  <c r="E81"/>
  <c r="Q80"/>
  <c r="O80"/>
  <c r="M80"/>
  <c r="K80"/>
  <c r="I80"/>
  <c r="G80"/>
  <c r="E80"/>
  <c r="Q79"/>
  <c r="O79"/>
  <c r="M79"/>
  <c r="K79"/>
  <c r="I79"/>
  <c r="G79"/>
  <c r="E79"/>
  <c r="Q78"/>
  <c r="O78"/>
  <c r="M78"/>
  <c r="K78"/>
  <c r="I78"/>
  <c r="G78"/>
  <c r="E78"/>
  <c r="Q77"/>
  <c r="O77"/>
  <c r="M77"/>
  <c r="K77"/>
  <c r="I77"/>
  <c r="G77"/>
  <c r="E77"/>
  <c r="Q76"/>
  <c r="O76"/>
  <c r="M76"/>
  <c r="K76"/>
  <c r="I76"/>
  <c r="G76"/>
  <c r="E76"/>
  <c r="Q75"/>
  <c r="O75"/>
  <c r="M75"/>
  <c r="K75"/>
  <c r="I75"/>
  <c r="G75"/>
  <c r="E75"/>
  <c r="Q74"/>
  <c r="O74"/>
  <c r="M74"/>
  <c r="K74"/>
  <c r="I74"/>
  <c r="G74"/>
  <c r="E74"/>
  <c r="Q73"/>
  <c r="O73"/>
  <c r="M73"/>
  <c r="K73"/>
  <c r="I73"/>
  <c r="G73"/>
  <c r="E73"/>
  <c r="Q72"/>
  <c r="O72"/>
  <c r="M72"/>
  <c r="K72"/>
  <c r="I72"/>
  <c r="G72"/>
  <c r="E72"/>
  <c r="Q71"/>
  <c r="O71"/>
  <c r="M71"/>
  <c r="K71"/>
  <c r="I71"/>
  <c r="G71"/>
  <c r="E71"/>
  <c r="Q70"/>
  <c r="O70"/>
  <c r="M70"/>
  <c r="K70"/>
  <c r="I70"/>
  <c r="G70"/>
  <c r="E70"/>
  <c r="Q69"/>
  <c r="O69"/>
  <c r="M69"/>
  <c r="K69"/>
  <c r="I69"/>
  <c r="G69"/>
  <c r="E69"/>
  <c r="Q68"/>
  <c r="O68"/>
  <c r="M68"/>
  <c r="K68"/>
  <c r="I68"/>
  <c r="G68"/>
  <c r="E68"/>
  <c r="Q67"/>
  <c r="O67"/>
  <c r="M67"/>
  <c r="K67"/>
  <c r="I67"/>
  <c r="G67"/>
  <c r="E67"/>
  <c r="Q66"/>
  <c r="O66"/>
  <c r="M66"/>
  <c r="K66"/>
  <c r="I66"/>
  <c r="G66"/>
  <c r="E66"/>
  <c r="Q65"/>
  <c r="O65"/>
  <c r="M65"/>
  <c r="K65"/>
  <c r="I65"/>
  <c r="G65"/>
  <c r="E65"/>
  <c r="Q64"/>
  <c r="O64"/>
  <c r="M64"/>
  <c r="K64"/>
  <c r="I64"/>
  <c r="G64"/>
  <c r="E64"/>
  <c r="Q63"/>
  <c r="O63"/>
  <c r="M63"/>
  <c r="K63"/>
  <c r="I63"/>
  <c r="G63"/>
  <c r="E63"/>
  <c r="Q62"/>
  <c r="O62"/>
  <c r="M62"/>
  <c r="K62"/>
  <c r="I62"/>
  <c r="G62"/>
  <c r="E62"/>
  <c r="Q61"/>
  <c r="O61"/>
  <c r="M61"/>
  <c r="K61"/>
  <c r="I61"/>
  <c r="G61"/>
  <c r="E61"/>
  <c r="Q60"/>
  <c r="O60"/>
  <c r="M60"/>
  <c r="K60"/>
  <c r="I60"/>
  <c r="G60"/>
  <c r="E60"/>
  <c r="Q59"/>
  <c r="O59"/>
  <c r="M59"/>
  <c r="K59"/>
  <c r="I59"/>
  <c r="G59"/>
  <c r="E59"/>
  <c r="Q58"/>
  <c r="O58"/>
  <c r="M58"/>
  <c r="K58"/>
  <c r="I58"/>
  <c r="G58"/>
  <c r="E58"/>
  <c r="Q57"/>
  <c r="O57"/>
  <c r="M57"/>
  <c r="K57"/>
  <c r="I57"/>
  <c r="G57"/>
  <c r="E57"/>
  <c r="Q56"/>
  <c r="O56"/>
  <c r="M56"/>
  <c r="K56"/>
  <c r="I56"/>
  <c r="G56"/>
  <c r="E56"/>
  <c r="Q55"/>
  <c r="O55"/>
  <c r="M55"/>
  <c r="K55"/>
  <c r="I55"/>
  <c r="G55"/>
  <c r="E55"/>
  <c r="Q54"/>
  <c r="O54"/>
  <c r="M54"/>
  <c r="K54"/>
  <c r="I54"/>
  <c r="G54"/>
  <c r="E54"/>
  <c r="Q53"/>
  <c r="O53"/>
  <c r="M53"/>
  <c r="K53"/>
  <c r="I53"/>
  <c r="G53"/>
  <c r="E53"/>
  <c r="Q52"/>
  <c r="O52"/>
  <c r="M52"/>
  <c r="K52"/>
  <c r="I52"/>
  <c r="G52"/>
  <c r="E52"/>
  <c r="Q51"/>
  <c r="O51"/>
  <c r="M51"/>
  <c r="K51"/>
  <c r="I51"/>
  <c r="G51"/>
  <c r="E51"/>
  <c r="Q50"/>
  <c r="O50"/>
  <c r="M50"/>
  <c r="K50"/>
  <c r="I50"/>
  <c r="G50"/>
  <c r="E50"/>
  <c r="Q49"/>
  <c r="O49"/>
  <c r="M49"/>
  <c r="K49"/>
  <c r="I49"/>
  <c r="G49"/>
  <c r="E49"/>
  <c r="Q48"/>
  <c r="O48"/>
  <c r="M48"/>
  <c r="K48"/>
  <c r="I48"/>
  <c r="G48"/>
  <c r="E48"/>
  <c r="Q47"/>
  <c r="O47"/>
  <c r="M47"/>
  <c r="K47"/>
  <c r="I47"/>
  <c r="G47"/>
  <c r="E47"/>
  <c r="Q46"/>
  <c r="O46"/>
  <c r="M46"/>
  <c r="K46"/>
  <c r="I46"/>
  <c r="G46"/>
  <c r="E46"/>
  <c r="Q45"/>
  <c r="O45"/>
  <c r="M45"/>
  <c r="K45"/>
  <c r="I45"/>
  <c r="G45"/>
  <c r="E45"/>
  <c r="Q44"/>
  <c r="O44"/>
  <c r="M44"/>
  <c r="K44"/>
  <c r="I44"/>
  <c r="G44"/>
  <c r="E44"/>
  <c r="Q43"/>
  <c r="O43"/>
  <c r="M43"/>
  <c r="K43"/>
  <c r="I43"/>
  <c r="G43"/>
  <c r="E43"/>
  <c r="Q42"/>
  <c r="O42"/>
  <c r="M42"/>
  <c r="K42"/>
  <c r="I42"/>
  <c r="G42"/>
  <c r="E42"/>
  <c r="Q41"/>
  <c r="O41"/>
  <c r="M41"/>
  <c r="K41"/>
  <c r="I41"/>
  <c r="G41"/>
  <c r="E41"/>
  <c r="Q40"/>
  <c r="O40"/>
  <c r="M40"/>
  <c r="K40"/>
  <c r="I40"/>
  <c r="G40"/>
  <c r="E40"/>
  <c r="Q39"/>
  <c r="O39"/>
  <c r="M39"/>
  <c r="K39"/>
  <c r="I39"/>
  <c r="G39"/>
  <c r="E39"/>
  <c r="Q38"/>
  <c r="O38"/>
  <c r="M38"/>
  <c r="K38"/>
  <c r="I38"/>
  <c r="G38"/>
  <c r="E38"/>
  <c r="Q37"/>
  <c r="O37"/>
  <c r="M37"/>
  <c r="K37"/>
  <c r="I37"/>
  <c r="G37"/>
  <c r="E37"/>
  <c r="Q36"/>
  <c r="O36"/>
  <c r="M36"/>
  <c r="K36"/>
  <c r="I36"/>
  <c r="G36"/>
  <c r="E36"/>
  <c r="Q35"/>
  <c r="O35"/>
  <c r="M35"/>
  <c r="K35"/>
  <c r="I35"/>
  <c r="G35"/>
  <c r="E35"/>
  <c r="Q34"/>
  <c r="O34"/>
  <c r="M34"/>
  <c r="K34"/>
  <c r="I34"/>
  <c r="G34"/>
  <c r="E34"/>
  <c r="Q33"/>
  <c r="O33"/>
  <c r="M33"/>
  <c r="K33"/>
  <c r="I33"/>
  <c r="G33"/>
  <c r="E33"/>
  <c r="Q32"/>
  <c r="O32"/>
  <c r="M32"/>
  <c r="K32"/>
  <c r="I32"/>
  <c r="G32"/>
  <c r="E32"/>
  <c r="Q31"/>
  <c r="O31"/>
  <c r="M31"/>
  <c r="K31"/>
  <c r="I31"/>
  <c r="G31"/>
  <c r="E31"/>
  <c r="Q30"/>
  <c r="O30"/>
  <c r="M30"/>
  <c r="K30"/>
  <c r="I30"/>
  <c r="G30"/>
  <c r="E30"/>
  <c r="Q29"/>
  <c r="O29"/>
  <c r="M29"/>
  <c r="K29"/>
  <c r="I29"/>
  <c r="G29"/>
  <c r="E29"/>
  <c r="Q28"/>
  <c r="O28"/>
  <c r="M28"/>
  <c r="K28"/>
  <c r="I28"/>
  <c r="G28"/>
  <c r="E28"/>
  <c r="Q27"/>
  <c r="O27"/>
  <c r="M27"/>
  <c r="K27"/>
  <c r="I27"/>
  <c r="G27"/>
  <c r="E27"/>
  <c r="Q26"/>
  <c r="O26"/>
  <c r="M26"/>
  <c r="K26"/>
  <c r="I26"/>
  <c r="G26"/>
  <c r="E26"/>
  <c r="Q25"/>
  <c r="O25"/>
  <c r="M25"/>
  <c r="K25"/>
  <c r="I25"/>
  <c r="G25"/>
  <c r="E25"/>
  <c r="B22"/>
  <c r="P23"/>
  <c r="N23"/>
  <c r="L23"/>
  <c r="J23"/>
  <c r="H23"/>
  <c r="F23"/>
  <c r="D23"/>
  <c r="F20"/>
  <c r="C25" l="1"/>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D12"/>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S2"/>
  <c r="R2"/>
  <c r="Q2"/>
  <c r="P2"/>
  <c r="O2"/>
  <c r="N2"/>
  <c r="M2"/>
  <c r="L2"/>
  <c r="K2"/>
  <c r="J2"/>
  <c r="I2"/>
  <c r="H2"/>
  <c r="G2"/>
  <c r="F2"/>
  <c r="E2"/>
  <c r="D2"/>
  <c r="C2"/>
  <c r="Q72" i="83"/>
  <c r="Q59"/>
  <c r="F59"/>
  <c r="Q58"/>
  <c r="Q51"/>
  <c r="J50"/>
  <c r="J51" s="1"/>
  <c r="M47"/>
  <c r="D46" l="1"/>
  <c r="F34"/>
  <c r="F62" s="1"/>
  <c r="F33"/>
  <c r="F61" s="1"/>
  <c r="F32"/>
  <c r="F60" s="1"/>
  <c r="F31"/>
  <c r="F28"/>
  <c r="C28" s="1"/>
  <c r="F23"/>
  <c r="D24" s="1"/>
  <c r="D23"/>
  <c r="D22"/>
  <c r="F21"/>
  <c r="M20"/>
  <c r="F20"/>
  <c r="M19"/>
  <c r="M18"/>
  <c r="F18"/>
  <c r="M17"/>
  <c r="F17"/>
  <c r="F15"/>
  <c r="G1"/>
  <c r="F6"/>
  <c r="M8"/>
  <c r="J15"/>
  <c r="M24"/>
  <c r="M28"/>
  <c r="F38"/>
  <c r="L47"/>
  <c r="M6"/>
  <c r="F9"/>
  <c r="F16"/>
  <c r="F26"/>
  <c r="M29"/>
  <c r="F40"/>
  <c r="L48"/>
  <c r="F7"/>
  <c r="M9"/>
  <c r="M22"/>
  <c r="M26"/>
  <c r="F36"/>
  <c r="F42"/>
  <c r="C76"/>
  <c r="F8"/>
  <c r="F13"/>
  <c r="M23"/>
  <c r="M27"/>
  <c r="F37"/>
  <c r="F43"/>
  <c r="J53" l="1"/>
  <c r="K53"/>
  <c r="Q71"/>
  <c r="L56"/>
  <c r="J57"/>
  <c r="J55" s="1"/>
  <c r="J58" s="1"/>
  <c r="Q50" s="1"/>
  <c r="L60"/>
  <c r="L58"/>
  <c r="L59"/>
  <c r="F71"/>
  <c r="F70"/>
  <c r="F68"/>
  <c r="F66"/>
  <c r="F65"/>
  <c r="F64"/>
  <c r="C27"/>
  <c r="F51"/>
  <c r="F50"/>
  <c r="M7"/>
  <c r="J6" s="1"/>
  <c r="C6"/>
  <c r="C17"/>
  <c r="C16"/>
  <c r="C14"/>
  <c r="C18" l="1"/>
  <c r="C15"/>
  <c r="C49"/>
  <c r="Q52"/>
  <c r="F1"/>
  <c r="Q73"/>
  <c r="Q60"/>
  <c r="Q61"/>
  <c r="Q74"/>
  <c r="Q66"/>
  <c r="Q57"/>
  <c r="C19" l="1"/>
  <c r="C20" s="1"/>
  <c r="C26" s="1"/>
  <c r="M15" i="79"/>
  <c r="L15"/>
  <c r="K15"/>
  <c r="M12"/>
  <c r="L12"/>
  <c r="K12"/>
  <c r="M11"/>
  <c r="L11"/>
  <c r="L13" s="1"/>
  <c r="K11"/>
  <c r="M10"/>
  <c r="I28"/>
  <c r="I27"/>
  <c r="A25" i="81"/>
  <c r="B25"/>
  <c r="A26"/>
  <c r="B26"/>
  <c r="A27"/>
  <c r="B27"/>
  <c r="A28"/>
  <c r="B28"/>
  <c r="A29"/>
  <c r="B29"/>
  <c r="A30"/>
  <c r="B30"/>
  <c r="A31"/>
  <c r="B31"/>
  <c r="A32"/>
  <c r="B32"/>
  <c r="A33"/>
  <c r="B33"/>
  <c r="A34"/>
  <c r="B34"/>
  <c r="A35"/>
  <c r="B35"/>
  <c r="A36"/>
  <c r="B36"/>
  <c r="A37"/>
  <c r="B37"/>
  <c r="A38"/>
  <c r="B38"/>
  <c r="A39"/>
  <c r="B39"/>
  <c r="A40"/>
  <c r="B40"/>
  <c r="A41"/>
  <c r="B41"/>
  <c r="A42"/>
  <c r="B42"/>
  <c r="A43"/>
  <c r="B43"/>
  <c r="A44"/>
  <c r="B44"/>
  <c r="A45"/>
  <c r="B45"/>
  <c r="A46"/>
  <c r="B46"/>
  <c r="A47"/>
  <c r="B47"/>
  <c r="A48"/>
  <c r="B48"/>
  <c r="A49"/>
  <c r="B49"/>
  <c r="A50"/>
  <c r="B50"/>
  <c r="A51"/>
  <c r="B51"/>
  <c r="A52"/>
  <c r="B52"/>
  <c r="A53"/>
  <c r="B53"/>
  <c r="A54"/>
  <c r="B54"/>
  <c r="A55"/>
  <c r="B55"/>
  <c r="A56"/>
  <c r="B56"/>
  <c r="A57"/>
  <c r="B57"/>
  <c r="A58"/>
  <c r="B58"/>
  <c r="A59"/>
  <c r="B59"/>
  <c r="A60"/>
  <c r="B60"/>
  <c r="A61"/>
  <c r="B61"/>
  <c r="A62"/>
  <c r="B62"/>
  <c r="A63"/>
  <c r="B63"/>
  <c r="A64"/>
  <c r="B64"/>
  <c r="A65"/>
  <c r="B65"/>
  <c r="A66"/>
  <c r="B66"/>
  <c r="A67"/>
  <c r="B67"/>
  <c r="A68"/>
  <c r="B68"/>
  <c r="A69"/>
  <c r="B69"/>
  <c r="A70"/>
  <c r="B70"/>
  <c r="A71"/>
  <c r="B71"/>
  <c r="A72"/>
  <c r="B72"/>
  <c r="A73"/>
  <c r="B73"/>
  <c r="A74"/>
  <c r="B74"/>
  <c r="A75"/>
  <c r="B75"/>
  <c r="A76"/>
  <c r="B76"/>
  <c r="A77"/>
  <c r="B77"/>
  <c r="A78"/>
  <c r="B78"/>
  <c r="A79"/>
  <c r="B79"/>
  <c r="A80"/>
  <c r="B80"/>
  <c r="A81"/>
  <c r="B81"/>
  <c r="A82"/>
  <c r="B82"/>
  <c r="A83"/>
  <c r="B83"/>
  <c r="A84"/>
  <c r="B84"/>
  <c r="A85"/>
  <c r="B85"/>
  <c r="A86"/>
  <c r="B86"/>
  <c r="A87"/>
  <c r="B87"/>
  <c r="A88"/>
  <c r="B88"/>
  <c r="A89"/>
  <c r="B89"/>
  <c r="A90"/>
  <c r="B90"/>
  <c r="A91"/>
  <c r="B91"/>
  <c r="A92"/>
  <c r="B92"/>
  <c r="A93"/>
  <c r="B93"/>
  <c r="A94"/>
  <c r="B94"/>
  <c r="A95"/>
  <c r="B95"/>
  <c r="A96"/>
  <c r="B96"/>
  <c r="A97"/>
  <c r="B97"/>
  <c r="A98"/>
  <c r="B98"/>
  <c r="A99"/>
  <c r="B99"/>
  <c r="A100"/>
  <c r="B100"/>
  <c r="A101"/>
  <c r="B101"/>
  <c r="A102"/>
  <c r="B102"/>
  <c r="B24"/>
  <c r="A24"/>
  <c r="R524"/>
  <c r="S524" s="1"/>
  <c r="Q524"/>
  <c r="O524"/>
  <c r="M524"/>
  <c r="K524"/>
  <c r="I524"/>
  <c r="G524"/>
  <c r="E524"/>
  <c r="C524"/>
  <c r="R523"/>
  <c r="S523" s="1"/>
  <c r="Q523"/>
  <c r="O523"/>
  <c r="M523"/>
  <c r="K523"/>
  <c r="I523"/>
  <c r="G523"/>
  <c r="E523"/>
  <c r="C523"/>
  <c r="R522"/>
  <c r="S522" s="1"/>
  <c r="Q522"/>
  <c r="O522"/>
  <c r="M522"/>
  <c r="K522"/>
  <c r="I522"/>
  <c r="G522"/>
  <c r="E522"/>
  <c r="C522"/>
  <c r="R521"/>
  <c r="S521" s="1"/>
  <c r="Q521"/>
  <c r="O521"/>
  <c r="M521"/>
  <c r="K521"/>
  <c r="I521"/>
  <c r="G521"/>
  <c r="E521"/>
  <c r="C521"/>
  <c r="R520"/>
  <c r="S520" s="1"/>
  <c r="Q520"/>
  <c r="O520"/>
  <c r="M520"/>
  <c r="K520"/>
  <c r="I520"/>
  <c r="G520"/>
  <c r="E520"/>
  <c r="C520"/>
  <c r="R519"/>
  <c r="S519" s="1"/>
  <c r="Q519"/>
  <c r="O519"/>
  <c r="M519"/>
  <c r="K519"/>
  <c r="I519"/>
  <c r="G519"/>
  <c r="E519"/>
  <c r="C519"/>
  <c r="R518"/>
  <c r="S518" s="1"/>
  <c r="Q518"/>
  <c r="O518"/>
  <c r="M518"/>
  <c r="K518"/>
  <c r="I518"/>
  <c r="G518"/>
  <c r="E518"/>
  <c r="C518"/>
  <c r="R517"/>
  <c r="S517" s="1"/>
  <c r="Q517"/>
  <c r="O517"/>
  <c r="M517"/>
  <c r="K517"/>
  <c r="I517"/>
  <c r="G517"/>
  <c r="E517"/>
  <c r="C517"/>
  <c r="R516"/>
  <c r="S516" s="1"/>
  <c r="Q516"/>
  <c r="O516"/>
  <c r="M516"/>
  <c r="K516"/>
  <c r="I516"/>
  <c r="G516"/>
  <c r="E516"/>
  <c r="C516"/>
  <c r="R515"/>
  <c r="S515" s="1"/>
  <c r="Q515"/>
  <c r="O515"/>
  <c r="M515"/>
  <c r="K515"/>
  <c r="I515"/>
  <c r="G515"/>
  <c r="E515"/>
  <c r="C515"/>
  <c r="R514"/>
  <c r="S514" s="1"/>
  <c r="Q514"/>
  <c r="O514"/>
  <c r="M514"/>
  <c r="K514"/>
  <c r="I514"/>
  <c r="G514"/>
  <c r="E514"/>
  <c r="C514"/>
  <c r="R513"/>
  <c r="S513" s="1"/>
  <c r="Q513"/>
  <c r="O513"/>
  <c r="M513"/>
  <c r="K513"/>
  <c r="I513"/>
  <c r="G513"/>
  <c r="E513"/>
  <c r="C513"/>
  <c r="R512"/>
  <c r="S512" s="1"/>
  <c r="Q512"/>
  <c r="O512"/>
  <c r="M512"/>
  <c r="K512"/>
  <c r="I512"/>
  <c r="G512"/>
  <c r="E512"/>
  <c r="C512"/>
  <c r="R511"/>
  <c r="S511" s="1"/>
  <c r="Q511"/>
  <c r="O511"/>
  <c r="M511"/>
  <c r="K511"/>
  <c r="I511"/>
  <c r="G511"/>
  <c r="E511"/>
  <c r="C511"/>
  <c r="R510"/>
  <c r="S510" s="1"/>
  <c r="Q510"/>
  <c r="O510"/>
  <c r="M510"/>
  <c r="K510"/>
  <c r="I510"/>
  <c r="G510"/>
  <c r="E510"/>
  <c r="C510"/>
  <c r="R509"/>
  <c r="S509" s="1"/>
  <c r="Q509"/>
  <c r="O509"/>
  <c r="M509"/>
  <c r="K509"/>
  <c r="I509"/>
  <c r="G509"/>
  <c r="E509"/>
  <c r="C509"/>
  <c r="R508"/>
  <c r="S508" s="1"/>
  <c r="Q508"/>
  <c r="O508"/>
  <c r="M508"/>
  <c r="K508"/>
  <c r="I508"/>
  <c r="G508"/>
  <c r="E508"/>
  <c r="C508"/>
  <c r="R507"/>
  <c r="S507" s="1"/>
  <c r="Q507"/>
  <c r="O507"/>
  <c r="M507"/>
  <c r="K507"/>
  <c r="I507"/>
  <c r="G507"/>
  <c r="E507"/>
  <c r="C507"/>
  <c r="R506"/>
  <c r="S506" s="1"/>
  <c r="Q506"/>
  <c r="O506"/>
  <c r="M506"/>
  <c r="K506"/>
  <c r="I506"/>
  <c r="G506"/>
  <c r="E506"/>
  <c r="C506"/>
  <c r="R505"/>
  <c r="S505" s="1"/>
  <c r="Q505"/>
  <c r="O505"/>
  <c r="M505"/>
  <c r="K505"/>
  <c r="I505"/>
  <c r="G505"/>
  <c r="E505"/>
  <c r="C505"/>
  <c r="R504"/>
  <c r="S504" s="1"/>
  <c r="Q504"/>
  <c r="O504"/>
  <c r="M504"/>
  <c r="K504"/>
  <c r="I504"/>
  <c r="G504"/>
  <c r="E504"/>
  <c r="C504"/>
  <c r="R503"/>
  <c r="S503" s="1"/>
  <c r="Q503"/>
  <c r="O503"/>
  <c r="M503"/>
  <c r="K503"/>
  <c r="I503"/>
  <c r="G503"/>
  <c r="E503"/>
  <c r="C503"/>
  <c r="R502"/>
  <c r="S502" s="1"/>
  <c r="Q502"/>
  <c r="O502"/>
  <c r="M502"/>
  <c r="K502"/>
  <c r="I502"/>
  <c r="G502"/>
  <c r="E502"/>
  <c r="C502"/>
  <c r="R501"/>
  <c r="S501" s="1"/>
  <c r="Q501"/>
  <c r="O501"/>
  <c r="M501"/>
  <c r="K501"/>
  <c r="I501"/>
  <c r="G501"/>
  <c r="E501"/>
  <c r="C501"/>
  <c r="R500"/>
  <c r="S500" s="1"/>
  <c r="Q500"/>
  <c r="O500"/>
  <c r="M500"/>
  <c r="K500"/>
  <c r="I500"/>
  <c r="G500"/>
  <c r="E500"/>
  <c r="C500"/>
  <c r="R499"/>
  <c r="S499" s="1"/>
  <c r="Q499"/>
  <c r="O499"/>
  <c r="M499"/>
  <c r="K499"/>
  <c r="I499"/>
  <c r="G499"/>
  <c r="E499"/>
  <c r="C499"/>
  <c r="R498"/>
  <c r="S498" s="1"/>
  <c r="Q498"/>
  <c r="O498"/>
  <c r="M498"/>
  <c r="K498"/>
  <c r="I498"/>
  <c r="G498"/>
  <c r="E498"/>
  <c r="C498"/>
  <c r="R497"/>
  <c r="S497" s="1"/>
  <c r="Q497"/>
  <c r="O497"/>
  <c r="M497"/>
  <c r="K497"/>
  <c r="I497"/>
  <c r="G497"/>
  <c r="E497"/>
  <c r="C497"/>
  <c r="R496"/>
  <c r="S496" s="1"/>
  <c r="Q496"/>
  <c r="O496"/>
  <c r="M496"/>
  <c r="K496"/>
  <c r="I496"/>
  <c r="G496"/>
  <c r="E496"/>
  <c r="C496"/>
  <c r="R495"/>
  <c r="S495" s="1"/>
  <c r="Q495"/>
  <c r="O495"/>
  <c r="M495"/>
  <c r="K495"/>
  <c r="I495"/>
  <c r="G495"/>
  <c r="E495"/>
  <c r="C495"/>
  <c r="R494"/>
  <c r="S494" s="1"/>
  <c r="Q494"/>
  <c r="O494"/>
  <c r="M494"/>
  <c r="K494"/>
  <c r="I494"/>
  <c r="G494"/>
  <c r="E494"/>
  <c r="C494"/>
  <c r="R493"/>
  <c r="S493" s="1"/>
  <c r="Q493"/>
  <c r="O493"/>
  <c r="M493"/>
  <c r="K493"/>
  <c r="I493"/>
  <c r="G493"/>
  <c r="E493"/>
  <c r="C493"/>
  <c r="R492"/>
  <c r="S492" s="1"/>
  <c r="Q492"/>
  <c r="O492"/>
  <c r="M492"/>
  <c r="K492"/>
  <c r="I492"/>
  <c r="G492"/>
  <c r="E492"/>
  <c r="C492"/>
  <c r="R491"/>
  <c r="S491" s="1"/>
  <c r="Q491"/>
  <c r="O491"/>
  <c r="M491"/>
  <c r="K491"/>
  <c r="I491"/>
  <c r="G491"/>
  <c r="E491"/>
  <c r="C491"/>
  <c r="R490"/>
  <c r="S490" s="1"/>
  <c r="Q490"/>
  <c r="O490"/>
  <c r="M490"/>
  <c r="K490"/>
  <c r="I490"/>
  <c r="G490"/>
  <c r="E490"/>
  <c r="C490"/>
  <c r="R489"/>
  <c r="S489" s="1"/>
  <c r="Q489"/>
  <c r="O489"/>
  <c r="M489"/>
  <c r="K489"/>
  <c r="I489"/>
  <c r="G489"/>
  <c r="E489"/>
  <c r="C489"/>
  <c r="R488"/>
  <c r="S488" s="1"/>
  <c r="Q488"/>
  <c r="O488"/>
  <c r="M488"/>
  <c r="K488"/>
  <c r="I488"/>
  <c r="G488"/>
  <c r="E488"/>
  <c r="C488"/>
  <c r="R487"/>
  <c r="S487" s="1"/>
  <c r="Q487"/>
  <c r="O487"/>
  <c r="M487"/>
  <c r="K487"/>
  <c r="I487"/>
  <c r="G487"/>
  <c r="E487"/>
  <c r="C487"/>
  <c r="R486"/>
  <c r="S486" s="1"/>
  <c r="Q486"/>
  <c r="O486"/>
  <c r="M486"/>
  <c r="K486"/>
  <c r="I486"/>
  <c r="G486"/>
  <c r="E486"/>
  <c r="C486"/>
  <c r="R485"/>
  <c r="S485" s="1"/>
  <c r="Q485"/>
  <c r="O485"/>
  <c r="M485"/>
  <c r="K485"/>
  <c r="I485"/>
  <c r="G485"/>
  <c r="E485"/>
  <c r="C485"/>
  <c r="R484"/>
  <c r="S484" s="1"/>
  <c r="Q484"/>
  <c r="O484"/>
  <c r="M484"/>
  <c r="K484"/>
  <c r="I484"/>
  <c r="G484"/>
  <c r="E484"/>
  <c r="C484"/>
  <c r="R483"/>
  <c r="S483" s="1"/>
  <c r="Q483"/>
  <c r="O483"/>
  <c r="M483"/>
  <c r="K483"/>
  <c r="I483"/>
  <c r="G483"/>
  <c r="E483"/>
  <c r="C483"/>
  <c r="R482"/>
  <c r="S482" s="1"/>
  <c r="Q482"/>
  <c r="O482"/>
  <c r="M482"/>
  <c r="K482"/>
  <c r="I482"/>
  <c r="G482"/>
  <c r="E482"/>
  <c r="C482"/>
  <c r="R481"/>
  <c r="S481" s="1"/>
  <c r="Q481"/>
  <c r="O481"/>
  <c r="M481"/>
  <c r="K481"/>
  <c r="I481"/>
  <c r="G481"/>
  <c r="E481"/>
  <c r="C481"/>
  <c r="R480"/>
  <c r="S480" s="1"/>
  <c r="Q480"/>
  <c r="O480"/>
  <c r="M480"/>
  <c r="K480"/>
  <c r="I480"/>
  <c r="G480"/>
  <c r="E480"/>
  <c r="C480"/>
  <c r="R479"/>
  <c r="S479" s="1"/>
  <c r="Q479"/>
  <c r="O479"/>
  <c r="M479"/>
  <c r="K479"/>
  <c r="I479"/>
  <c r="G479"/>
  <c r="E479"/>
  <c r="C479"/>
  <c r="R478"/>
  <c r="S478" s="1"/>
  <c r="Q478"/>
  <c r="O478"/>
  <c r="M478"/>
  <c r="K478"/>
  <c r="I478"/>
  <c r="G478"/>
  <c r="E478"/>
  <c r="C478"/>
  <c r="R477"/>
  <c r="S477" s="1"/>
  <c r="Q477"/>
  <c r="O477"/>
  <c r="M477"/>
  <c r="K477"/>
  <c r="I477"/>
  <c r="G477"/>
  <c r="E477"/>
  <c r="C477"/>
  <c r="R476"/>
  <c r="S476" s="1"/>
  <c r="Q476"/>
  <c r="O476"/>
  <c r="M476"/>
  <c r="K476"/>
  <c r="I476"/>
  <c r="G476"/>
  <c r="E476"/>
  <c r="C476"/>
  <c r="R475"/>
  <c r="S475" s="1"/>
  <c r="Q475"/>
  <c r="O475"/>
  <c r="M475"/>
  <c r="K475"/>
  <c r="I475"/>
  <c r="G475"/>
  <c r="E475"/>
  <c r="C475"/>
  <c r="R474"/>
  <c r="S474" s="1"/>
  <c r="Q474"/>
  <c r="O474"/>
  <c r="M474"/>
  <c r="K474"/>
  <c r="I474"/>
  <c r="G474"/>
  <c r="E474"/>
  <c r="C474"/>
  <c r="R473"/>
  <c r="S473" s="1"/>
  <c r="Q473"/>
  <c r="O473"/>
  <c r="M473"/>
  <c r="K473"/>
  <c r="I473"/>
  <c r="G473"/>
  <c r="E473"/>
  <c r="C473"/>
  <c r="R472"/>
  <c r="S472" s="1"/>
  <c r="Q472"/>
  <c r="O472"/>
  <c r="M472"/>
  <c r="K472"/>
  <c r="I472"/>
  <c r="G472"/>
  <c r="E472"/>
  <c r="C472"/>
  <c r="R471"/>
  <c r="S471" s="1"/>
  <c r="Q471"/>
  <c r="O471"/>
  <c r="M471"/>
  <c r="K471"/>
  <c r="I471"/>
  <c r="G471"/>
  <c r="E471"/>
  <c r="C471"/>
  <c r="R470"/>
  <c r="S470" s="1"/>
  <c r="Q470"/>
  <c r="O470"/>
  <c r="M470"/>
  <c r="K470"/>
  <c r="I470"/>
  <c r="G470"/>
  <c r="E470"/>
  <c r="C470"/>
  <c r="R469"/>
  <c r="S469" s="1"/>
  <c r="Q469"/>
  <c r="O469"/>
  <c r="M469"/>
  <c r="K469"/>
  <c r="I469"/>
  <c r="G469"/>
  <c r="E469"/>
  <c r="C469"/>
  <c r="R468"/>
  <c r="S468" s="1"/>
  <c r="Q468"/>
  <c r="O468"/>
  <c r="M468"/>
  <c r="K468"/>
  <c r="I468"/>
  <c r="G468"/>
  <c r="E468"/>
  <c r="C468"/>
  <c r="R467"/>
  <c r="S467" s="1"/>
  <c r="Q467"/>
  <c r="O467"/>
  <c r="M467"/>
  <c r="K467"/>
  <c r="I467"/>
  <c r="G467"/>
  <c r="E467"/>
  <c r="C467"/>
  <c r="R466"/>
  <c r="S466" s="1"/>
  <c r="Q466"/>
  <c r="O466"/>
  <c r="M466"/>
  <c r="K466"/>
  <c r="I466"/>
  <c r="G466"/>
  <c r="E466"/>
  <c r="C466"/>
  <c r="R465"/>
  <c r="S465" s="1"/>
  <c r="Q465"/>
  <c r="O465"/>
  <c r="M465"/>
  <c r="K465"/>
  <c r="I465"/>
  <c r="G465"/>
  <c r="E465"/>
  <c r="C465"/>
  <c r="R464"/>
  <c r="S464" s="1"/>
  <c r="Q464"/>
  <c r="O464"/>
  <c r="M464"/>
  <c r="K464"/>
  <c r="I464"/>
  <c r="G464"/>
  <c r="E464"/>
  <c r="C464"/>
  <c r="R463"/>
  <c r="S463" s="1"/>
  <c r="Q463"/>
  <c r="O463"/>
  <c r="M463"/>
  <c r="K463"/>
  <c r="I463"/>
  <c r="G463"/>
  <c r="E463"/>
  <c r="C463"/>
  <c r="R462"/>
  <c r="S462" s="1"/>
  <c r="Q462"/>
  <c r="O462"/>
  <c r="M462"/>
  <c r="K462"/>
  <c r="I462"/>
  <c r="G462"/>
  <c r="E462"/>
  <c r="C462"/>
  <c r="R461"/>
  <c r="S461" s="1"/>
  <c r="Q461"/>
  <c r="O461"/>
  <c r="M461"/>
  <c r="K461"/>
  <c r="I461"/>
  <c r="G461"/>
  <c r="E461"/>
  <c r="C461"/>
  <c r="R460"/>
  <c r="S460" s="1"/>
  <c r="Q460"/>
  <c r="O460"/>
  <c r="M460"/>
  <c r="K460"/>
  <c r="I460"/>
  <c r="G460"/>
  <c r="E460"/>
  <c r="C460"/>
  <c r="R459"/>
  <c r="S459" s="1"/>
  <c r="Q459"/>
  <c r="O459"/>
  <c r="M459"/>
  <c r="K459"/>
  <c r="I459"/>
  <c r="G459"/>
  <c r="E459"/>
  <c r="C459"/>
  <c r="R458"/>
  <c r="S458" s="1"/>
  <c r="Q458"/>
  <c r="O458"/>
  <c r="M458"/>
  <c r="K458"/>
  <c r="I458"/>
  <c r="G458"/>
  <c r="E458"/>
  <c r="C458"/>
  <c r="R457"/>
  <c r="S457" s="1"/>
  <c r="Q457"/>
  <c r="O457"/>
  <c r="M457"/>
  <c r="K457"/>
  <c r="I457"/>
  <c r="G457"/>
  <c r="E457"/>
  <c r="C457"/>
  <c r="R456"/>
  <c r="S456" s="1"/>
  <c r="Q456"/>
  <c r="O456"/>
  <c r="M456"/>
  <c r="K456"/>
  <c r="I456"/>
  <c r="G456"/>
  <c r="E456"/>
  <c r="C456"/>
  <c r="R455"/>
  <c r="S455" s="1"/>
  <c r="Q455"/>
  <c r="O455"/>
  <c r="M455"/>
  <c r="K455"/>
  <c r="I455"/>
  <c r="G455"/>
  <c r="E455"/>
  <c r="C455"/>
  <c r="R454"/>
  <c r="S454" s="1"/>
  <c r="Q454"/>
  <c r="O454"/>
  <c r="M454"/>
  <c r="K454"/>
  <c r="I454"/>
  <c r="G454"/>
  <c r="E454"/>
  <c r="C454"/>
  <c r="R453"/>
  <c r="S453" s="1"/>
  <c r="Q453"/>
  <c r="O453"/>
  <c r="M453"/>
  <c r="K453"/>
  <c r="I453"/>
  <c r="G453"/>
  <c r="E453"/>
  <c r="C453"/>
  <c r="R452"/>
  <c r="S452" s="1"/>
  <c r="Q452"/>
  <c r="O452"/>
  <c r="M452"/>
  <c r="K452"/>
  <c r="I452"/>
  <c r="G452"/>
  <c r="E452"/>
  <c r="C452"/>
  <c r="R451"/>
  <c r="S451" s="1"/>
  <c r="Q451"/>
  <c r="O451"/>
  <c r="M451"/>
  <c r="K451"/>
  <c r="I451"/>
  <c r="G451"/>
  <c r="E451"/>
  <c r="C451"/>
  <c r="R450"/>
  <c r="S450" s="1"/>
  <c r="Q450"/>
  <c r="O450"/>
  <c r="M450"/>
  <c r="K450"/>
  <c r="I450"/>
  <c r="G450"/>
  <c r="E450"/>
  <c r="C450"/>
  <c r="R449"/>
  <c r="S449" s="1"/>
  <c r="Q449"/>
  <c r="O449"/>
  <c r="M449"/>
  <c r="K449"/>
  <c r="I449"/>
  <c r="G449"/>
  <c r="E449"/>
  <c r="C449"/>
  <c r="R448"/>
  <c r="S448" s="1"/>
  <c r="Q448"/>
  <c r="O448"/>
  <c r="M448"/>
  <c r="K448"/>
  <c r="I448"/>
  <c r="G448"/>
  <c r="E448"/>
  <c r="C448"/>
  <c r="R447"/>
  <c r="S447" s="1"/>
  <c r="Q447"/>
  <c r="O447"/>
  <c r="M447"/>
  <c r="K447"/>
  <c r="I447"/>
  <c r="G447"/>
  <c r="E447"/>
  <c r="C447"/>
  <c r="R446"/>
  <c r="S446" s="1"/>
  <c r="Q446"/>
  <c r="O446"/>
  <c r="M446"/>
  <c r="K446"/>
  <c r="I446"/>
  <c r="G446"/>
  <c r="E446"/>
  <c r="C446"/>
  <c r="R445"/>
  <c r="S445" s="1"/>
  <c r="Q445"/>
  <c r="O445"/>
  <c r="M445"/>
  <c r="K445"/>
  <c r="I445"/>
  <c r="G445"/>
  <c r="E445"/>
  <c r="C445"/>
  <c r="R444"/>
  <c r="S444" s="1"/>
  <c r="Q444"/>
  <c r="O444"/>
  <c r="M444"/>
  <c r="K444"/>
  <c r="I444"/>
  <c r="G444"/>
  <c r="E444"/>
  <c r="C444"/>
  <c r="R443"/>
  <c r="S443" s="1"/>
  <c r="Q443"/>
  <c r="O443"/>
  <c r="M443"/>
  <c r="K443"/>
  <c r="I443"/>
  <c r="G443"/>
  <c r="E443"/>
  <c r="C443"/>
  <c r="R442"/>
  <c r="S442" s="1"/>
  <c r="Q442"/>
  <c r="O442"/>
  <c r="M442"/>
  <c r="K442"/>
  <c r="I442"/>
  <c r="G442"/>
  <c r="E442"/>
  <c r="C442"/>
  <c r="R441"/>
  <c r="S441" s="1"/>
  <c r="Q441"/>
  <c r="O441"/>
  <c r="M441"/>
  <c r="K441"/>
  <c r="I441"/>
  <c r="G441"/>
  <c r="E441"/>
  <c r="C441"/>
  <c r="R440"/>
  <c r="S440" s="1"/>
  <c r="Q440"/>
  <c r="O440"/>
  <c r="M440"/>
  <c r="K440"/>
  <c r="I440"/>
  <c r="G440"/>
  <c r="E440"/>
  <c r="C440"/>
  <c r="R439"/>
  <c r="S439" s="1"/>
  <c r="Q439"/>
  <c r="O439"/>
  <c r="M439"/>
  <c r="K439"/>
  <c r="I439"/>
  <c r="G439"/>
  <c r="E439"/>
  <c r="C439"/>
  <c r="R438"/>
  <c r="S438" s="1"/>
  <c r="Q438"/>
  <c r="O438"/>
  <c r="M438"/>
  <c r="K438"/>
  <c r="I438"/>
  <c r="G438"/>
  <c r="E438"/>
  <c r="C438"/>
  <c r="R437"/>
  <c r="S437" s="1"/>
  <c r="Q437"/>
  <c r="O437"/>
  <c r="M437"/>
  <c r="K437"/>
  <c r="I437"/>
  <c r="G437"/>
  <c r="E437"/>
  <c r="C437"/>
  <c r="R436"/>
  <c r="S436" s="1"/>
  <c r="Q436"/>
  <c r="O436"/>
  <c r="M436"/>
  <c r="K436"/>
  <c r="I436"/>
  <c r="G436"/>
  <c r="E436"/>
  <c r="C436"/>
  <c r="R435"/>
  <c r="S435" s="1"/>
  <c r="Q435"/>
  <c r="O435"/>
  <c r="M435"/>
  <c r="K435"/>
  <c r="I435"/>
  <c r="G435"/>
  <c r="E435"/>
  <c r="C435"/>
  <c r="R434"/>
  <c r="S434" s="1"/>
  <c r="Q434"/>
  <c r="O434"/>
  <c r="M434"/>
  <c r="K434"/>
  <c r="I434"/>
  <c r="G434"/>
  <c r="E434"/>
  <c r="C434"/>
  <c r="R433"/>
  <c r="S433" s="1"/>
  <c r="Q433"/>
  <c r="O433"/>
  <c r="M433"/>
  <c r="K433"/>
  <c r="I433"/>
  <c r="G433"/>
  <c r="E433"/>
  <c r="C433"/>
  <c r="R432"/>
  <c r="S432" s="1"/>
  <c r="Q432"/>
  <c r="O432"/>
  <c r="M432"/>
  <c r="K432"/>
  <c r="I432"/>
  <c r="G432"/>
  <c r="E432"/>
  <c r="C432"/>
  <c r="R431"/>
  <c r="S431" s="1"/>
  <c r="Q431"/>
  <c r="O431"/>
  <c r="M431"/>
  <c r="K431"/>
  <c r="I431"/>
  <c r="G431"/>
  <c r="E431"/>
  <c r="C431"/>
  <c r="R430"/>
  <c r="S430" s="1"/>
  <c r="Q430"/>
  <c r="O430"/>
  <c r="M430"/>
  <c r="K430"/>
  <c r="I430"/>
  <c r="G430"/>
  <c r="E430"/>
  <c r="C430"/>
  <c r="R429"/>
  <c r="S429" s="1"/>
  <c r="Q429"/>
  <c r="O429"/>
  <c r="M429"/>
  <c r="K429"/>
  <c r="I429"/>
  <c r="G429"/>
  <c r="E429"/>
  <c r="C429"/>
  <c r="R428"/>
  <c r="S428" s="1"/>
  <c r="Q428"/>
  <c r="O428"/>
  <c r="M428"/>
  <c r="K428"/>
  <c r="I428"/>
  <c r="G428"/>
  <c r="E428"/>
  <c r="C428"/>
  <c r="R427"/>
  <c r="S427" s="1"/>
  <c r="Q427"/>
  <c r="O427"/>
  <c r="M427"/>
  <c r="K427"/>
  <c r="I427"/>
  <c r="G427"/>
  <c r="E427"/>
  <c r="C427"/>
  <c r="R426"/>
  <c r="S426" s="1"/>
  <c r="Q426"/>
  <c r="O426"/>
  <c r="M426"/>
  <c r="K426"/>
  <c r="I426"/>
  <c r="G426"/>
  <c r="E426"/>
  <c r="C426"/>
  <c r="R425"/>
  <c r="S425" s="1"/>
  <c r="Q425"/>
  <c r="O425"/>
  <c r="M425"/>
  <c r="K425"/>
  <c r="I425"/>
  <c r="G425"/>
  <c r="E425"/>
  <c r="C425"/>
  <c r="R424"/>
  <c r="S424" s="1"/>
  <c r="Q424"/>
  <c r="O424"/>
  <c r="M424"/>
  <c r="K424"/>
  <c r="I424"/>
  <c r="G424"/>
  <c r="E424"/>
  <c r="C424"/>
  <c r="R423"/>
  <c r="S423" s="1"/>
  <c r="Q423"/>
  <c r="O423"/>
  <c r="M423"/>
  <c r="K423"/>
  <c r="I423"/>
  <c r="G423"/>
  <c r="E423"/>
  <c r="C423"/>
  <c r="R422"/>
  <c r="S422" s="1"/>
  <c r="Q422"/>
  <c r="O422"/>
  <c r="M422"/>
  <c r="K422"/>
  <c r="I422"/>
  <c r="G422"/>
  <c r="E422"/>
  <c r="C422"/>
  <c r="R421"/>
  <c r="S421" s="1"/>
  <c r="Q421"/>
  <c r="O421"/>
  <c r="M421"/>
  <c r="K421"/>
  <c r="I421"/>
  <c r="G421"/>
  <c r="E421"/>
  <c r="C421"/>
  <c r="R420"/>
  <c r="S420" s="1"/>
  <c r="Q420"/>
  <c r="O420"/>
  <c r="M420"/>
  <c r="K420"/>
  <c r="I420"/>
  <c r="G420"/>
  <c r="E420"/>
  <c r="C420"/>
  <c r="R419"/>
  <c r="S419" s="1"/>
  <c r="Q419"/>
  <c r="O419"/>
  <c r="M419"/>
  <c r="K419"/>
  <c r="I419"/>
  <c r="G419"/>
  <c r="E419"/>
  <c r="C419"/>
  <c r="R418"/>
  <c r="S418" s="1"/>
  <c r="Q418"/>
  <c r="O418"/>
  <c r="M418"/>
  <c r="K418"/>
  <c r="I418"/>
  <c r="G418"/>
  <c r="E418"/>
  <c r="C418"/>
  <c r="R417"/>
  <c r="S417" s="1"/>
  <c r="Q417"/>
  <c r="O417"/>
  <c r="M417"/>
  <c r="K417"/>
  <c r="I417"/>
  <c r="G417"/>
  <c r="E417"/>
  <c r="C417"/>
  <c r="R416"/>
  <c r="S416" s="1"/>
  <c r="Q416"/>
  <c r="O416"/>
  <c r="M416"/>
  <c r="K416"/>
  <c r="I416"/>
  <c r="G416"/>
  <c r="E416"/>
  <c r="C416"/>
  <c r="R415"/>
  <c r="S415" s="1"/>
  <c r="Q415"/>
  <c r="O415"/>
  <c r="M415"/>
  <c r="K415"/>
  <c r="I415"/>
  <c r="G415"/>
  <c r="E415"/>
  <c r="C415"/>
  <c r="R414"/>
  <c r="S414" s="1"/>
  <c r="Q414"/>
  <c r="O414"/>
  <c r="M414"/>
  <c r="K414"/>
  <c r="I414"/>
  <c r="G414"/>
  <c r="E414"/>
  <c r="C414"/>
  <c r="R413"/>
  <c r="S413" s="1"/>
  <c r="Q413"/>
  <c r="O413"/>
  <c r="M413"/>
  <c r="K413"/>
  <c r="I413"/>
  <c r="G413"/>
  <c r="E413"/>
  <c r="C413"/>
  <c r="R412"/>
  <c r="S412" s="1"/>
  <c r="Q412"/>
  <c r="O412"/>
  <c r="M412"/>
  <c r="K412"/>
  <c r="I412"/>
  <c r="G412"/>
  <c r="E412"/>
  <c r="C412"/>
  <c r="R411"/>
  <c r="S411" s="1"/>
  <c r="Q411"/>
  <c r="O411"/>
  <c r="M411"/>
  <c r="K411"/>
  <c r="I411"/>
  <c r="G411"/>
  <c r="E411"/>
  <c r="C411"/>
  <c r="R410"/>
  <c r="S410" s="1"/>
  <c r="Q410"/>
  <c r="O410"/>
  <c r="M410"/>
  <c r="K410"/>
  <c r="I410"/>
  <c r="G410"/>
  <c r="E410"/>
  <c r="C410"/>
  <c r="R409"/>
  <c r="S409" s="1"/>
  <c r="Q409"/>
  <c r="O409"/>
  <c r="M409"/>
  <c r="K409"/>
  <c r="I409"/>
  <c r="G409"/>
  <c r="E409"/>
  <c r="C409"/>
  <c r="R408"/>
  <c r="S408" s="1"/>
  <c r="Q408"/>
  <c r="O408"/>
  <c r="M408"/>
  <c r="K408"/>
  <c r="I408"/>
  <c r="G408"/>
  <c r="E408"/>
  <c r="C408"/>
  <c r="R407"/>
  <c r="S407" s="1"/>
  <c r="Q407"/>
  <c r="O407"/>
  <c r="M407"/>
  <c r="K407"/>
  <c r="I407"/>
  <c r="G407"/>
  <c r="E407"/>
  <c r="C407"/>
  <c r="R406"/>
  <c r="S406" s="1"/>
  <c r="Q406"/>
  <c r="O406"/>
  <c r="M406"/>
  <c r="K406"/>
  <c r="I406"/>
  <c r="G406"/>
  <c r="E406"/>
  <c r="C406"/>
  <c r="R405"/>
  <c r="S405" s="1"/>
  <c r="Q405"/>
  <c r="O405"/>
  <c r="M405"/>
  <c r="K405"/>
  <c r="I405"/>
  <c r="G405"/>
  <c r="E405"/>
  <c r="C405"/>
  <c r="R404"/>
  <c r="S404" s="1"/>
  <c r="Q404"/>
  <c r="O404"/>
  <c r="M404"/>
  <c r="K404"/>
  <c r="I404"/>
  <c r="G404"/>
  <c r="E404"/>
  <c r="C404"/>
  <c r="R403"/>
  <c r="S403" s="1"/>
  <c r="Q403"/>
  <c r="O403"/>
  <c r="M403"/>
  <c r="K403"/>
  <c r="I403"/>
  <c r="G403"/>
  <c r="E403"/>
  <c r="C403"/>
  <c r="R402"/>
  <c r="S402" s="1"/>
  <c r="Q402"/>
  <c r="O402"/>
  <c r="M402"/>
  <c r="K402"/>
  <c r="I402"/>
  <c r="G402"/>
  <c r="E402"/>
  <c r="C402"/>
  <c r="R401"/>
  <c r="S401" s="1"/>
  <c r="Q401"/>
  <c r="O401"/>
  <c r="M401"/>
  <c r="K401"/>
  <c r="I401"/>
  <c r="G401"/>
  <c r="E401"/>
  <c r="C401"/>
  <c r="R400"/>
  <c r="S400" s="1"/>
  <c r="Q400"/>
  <c r="O400"/>
  <c r="M400"/>
  <c r="K400"/>
  <c r="I400"/>
  <c r="G400"/>
  <c r="E400"/>
  <c r="C400"/>
  <c r="R399"/>
  <c r="S399" s="1"/>
  <c r="Q399"/>
  <c r="O399"/>
  <c r="M399"/>
  <c r="K399"/>
  <c r="I399"/>
  <c r="G399"/>
  <c r="E399"/>
  <c r="C399"/>
  <c r="R398"/>
  <c r="S398" s="1"/>
  <c r="Q398"/>
  <c r="O398"/>
  <c r="M398"/>
  <c r="K398"/>
  <c r="I398"/>
  <c r="G398"/>
  <c r="E398"/>
  <c r="C398"/>
  <c r="R397"/>
  <c r="S397" s="1"/>
  <c r="Q397"/>
  <c r="O397"/>
  <c r="M397"/>
  <c r="K397"/>
  <c r="I397"/>
  <c r="G397"/>
  <c r="E397"/>
  <c r="C397"/>
  <c r="R396"/>
  <c r="S396" s="1"/>
  <c r="Q396"/>
  <c r="O396"/>
  <c r="M396"/>
  <c r="K396"/>
  <c r="I396"/>
  <c r="G396"/>
  <c r="E396"/>
  <c r="C396"/>
  <c r="R395"/>
  <c r="S395" s="1"/>
  <c r="Q395"/>
  <c r="O395"/>
  <c r="M395"/>
  <c r="K395"/>
  <c r="I395"/>
  <c r="G395"/>
  <c r="E395"/>
  <c r="C395"/>
  <c r="R394"/>
  <c r="S394" s="1"/>
  <c r="Q394"/>
  <c r="O394"/>
  <c r="M394"/>
  <c r="K394"/>
  <c r="I394"/>
  <c r="G394"/>
  <c r="E394"/>
  <c r="C394"/>
  <c r="R393"/>
  <c r="S393" s="1"/>
  <c r="Q393"/>
  <c r="O393"/>
  <c r="M393"/>
  <c r="K393"/>
  <c r="I393"/>
  <c r="G393"/>
  <c r="E393"/>
  <c r="C393"/>
  <c r="R392"/>
  <c r="S392" s="1"/>
  <c r="Q392"/>
  <c r="O392"/>
  <c r="M392"/>
  <c r="K392"/>
  <c r="I392"/>
  <c r="G392"/>
  <c r="E392"/>
  <c r="C392"/>
  <c r="R391"/>
  <c r="S391" s="1"/>
  <c r="Q391"/>
  <c r="O391"/>
  <c r="M391"/>
  <c r="K391"/>
  <c r="I391"/>
  <c r="G391"/>
  <c r="E391"/>
  <c r="C391"/>
  <c r="R390"/>
  <c r="S390" s="1"/>
  <c r="Q390"/>
  <c r="O390"/>
  <c r="M390"/>
  <c r="K390"/>
  <c r="I390"/>
  <c r="G390"/>
  <c r="E390"/>
  <c r="C390"/>
  <c r="R389"/>
  <c r="S389" s="1"/>
  <c r="Q389"/>
  <c r="O389"/>
  <c r="M389"/>
  <c r="K389"/>
  <c r="I389"/>
  <c r="G389"/>
  <c r="E389"/>
  <c r="C389"/>
  <c r="R388"/>
  <c r="S388" s="1"/>
  <c r="Q388"/>
  <c r="O388"/>
  <c r="M388"/>
  <c r="K388"/>
  <c r="I388"/>
  <c r="G388"/>
  <c r="E388"/>
  <c r="C388"/>
  <c r="R387"/>
  <c r="S387" s="1"/>
  <c r="Q387"/>
  <c r="O387"/>
  <c r="M387"/>
  <c r="K387"/>
  <c r="I387"/>
  <c r="G387"/>
  <c r="E387"/>
  <c r="C387"/>
  <c r="R386"/>
  <c r="S386" s="1"/>
  <c r="Q386"/>
  <c r="O386"/>
  <c r="M386"/>
  <c r="K386"/>
  <c r="I386"/>
  <c r="G386"/>
  <c r="E386"/>
  <c r="C386"/>
  <c r="R385"/>
  <c r="S385" s="1"/>
  <c r="Q385"/>
  <c r="O385"/>
  <c r="M385"/>
  <c r="K385"/>
  <c r="I385"/>
  <c r="G385"/>
  <c r="E385"/>
  <c r="C385"/>
  <c r="R384"/>
  <c r="S384" s="1"/>
  <c r="Q384"/>
  <c r="O384"/>
  <c r="M384"/>
  <c r="K384"/>
  <c r="I384"/>
  <c r="G384"/>
  <c r="E384"/>
  <c r="C384"/>
  <c r="R383"/>
  <c r="S383" s="1"/>
  <c r="Q383"/>
  <c r="O383"/>
  <c r="M383"/>
  <c r="K383"/>
  <c r="I383"/>
  <c r="G383"/>
  <c r="E383"/>
  <c r="C383"/>
  <c r="R382"/>
  <c r="S382" s="1"/>
  <c r="Q382"/>
  <c r="O382"/>
  <c r="M382"/>
  <c r="K382"/>
  <c r="I382"/>
  <c r="G382"/>
  <c r="E382"/>
  <c r="C382"/>
  <c r="R381"/>
  <c r="S381" s="1"/>
  <c r="Q381"/>
  <c r="O381"/>
  <c r="M381"/>
  <c r="K381"/>
  <c r="I381"/>
  <c r="G381"/>
  <c r="E381"/>
  <c r="C381"/>
  <c r="R380"/>
  <c r="S380" s="1"/>
  <c r="Q380"/>
  <c r="O380"/>
  <c r="M380"/>
  <c r="K380"/>
  <c r="I380"/>
  <c r="G380"/>
  <c r="E380"/>
  <c r="C380"/>
  <c r="R379"/>
  <c r="S379" s="1"/>
  <c r="Q379"/>
  <c r="O379"/>
  <c r="M379"/>
  <c r="K379"/>
  <c r="I379"/>
  <c r="G379"/>
  <c r="E379"/>
  <c r="C379"/>
  <c r="R378"/>
  <c r="S378" s="1"/>
  <c r="Q378"/>
  <c r="O378"/>
  <c r="M378"/>
  <c r="K378"/>
  <c r="I378"/>
  <c r="G378"/>
  <c r="E378"/>
  <c r="C378"/>
  <c r="R377"/>
  <c r="S377" s="1"/>
  <c r="Q377"/>
  <c r="O377"/>
  <c r="M377"/>
  <c r="K377"/>
  <c r="I377"/>
  <c r="G377"/>
  <c r="E377"/>
  <c r="C377"/>
  <c r="R376"/>
  <c r="S376" s="1"/>
  <c r="Q376"/>
  <c r="O376"/>
  <c r="M376"/>
  <c r="K376"/>
  <c r="I376"/>
  <c r="G376"/>
  <c r="E376"/>
  <c r="C376"/>
  <c r="R375"/>
  <c r="S375" s="1"/>
  <c r="Q375"/>
  <c r="O375"/>
  <c r="M375"/>
  <c r="K375"/>
  <c r="I375"/>
  <c r="G375"/>
  <c r="E375"/>
  <c r="C375"/>
  <c r="R374"/>
  <c r="S374" s="1"/>
  <c r="Q374"/>
  <c r="O374"/>
  <c r="M374"/>
  <c r="K374"/>
  <c r="I374"/>
  <c r="G374"/>
  <c r="E374"/>
  <c r="C374"/>
  <c r="R373"/>
  <c r="S373" s="1"/>
  <c r="Q373"/>
  <c r="O373"/>
  <c r="M373"/>
  <c r="K373"/>
  <c r="I373"/>
  <c r="G373"/>
  <c r="E373"/>
  <c r="C373"/>
  <c r="R372"/>
  <c r="S372" s="1"/>
  <c r="Q372"/>
  <c r="O372"/>
  <c r="M372"/>
  <c r="K372"/>
  <c r="I372"/>
  <c r="G372"/>
  <c r="E372"/>
  <c r="C372"/>
  <c r="R371"/>
  <c r="S371" s="1"/>
  <c r="Q371"/>
  <c r="O371"/>
  <c r="M371"/>
  <c r="K371"/>
  <c r="I371"/>
  <c r="G371"/>
  <c r="E371"/>
  <c r="C371"/>
  <c r="R370"/>
  <c r="S370" s="1"/>
  <c r="Q370"/>
  <c r="O370"/>
  <c r="M370"/>
  <c r="K370"/>
  <c r="I370"/>
  <c r="G370"/>
  <c r="E370"/>
  <c r="C370"/>
  <c r="R369"/>
  <c r="S369" s="1"/>
  <c r="Q369"/>
  <c r="O369"/>
  <c r="M369"/>
  <c r="K369"/>
  <c r="I369"/>
  <c r="G369"/>
  <c r="E369"/>
  <c r="C369"/>
  <c r="R368"/>
  <c r="S368" s="1"/>
  <c r="Q368"/>
  <c r="O368"/>
  <c r="M368"/>
  <c r="K368"/>
  <c r="I368"/>
  <c r="G368"/>
  <c r="E368"/>
  <c r="C368"/>
  <c r="R367"/>
  <c r="S367" s="1"/>
  <c r="Q367"/>
  <c r="O367"/>
  <c r="M367"/>
  <c r="K367"/>
  <c r="I367"/>
  <c r="G367"/>
  <c r="E367"/>
  <c r="C367"/>
  <c r="R366"/>
  <c r="S366" s="1"/>
  <c r="Q366"/>
  <c r="O366"/>
  <c r="M366"/>
  <c r="K366"/>
  <c r="I366"/>
  <c r="G366"/>
  <c r="E366"/>
  <c r="C366"/>
  <c r="R365"/>
  <c r="S365" s="1"/>
  <c r="Q365"/>
  <c r="O365"/>
  <c r="M365"/>
  <c r="K365"/>
  <c r="I365"/>
  <c r="G365"/>
  <c r="E365"/>
  <c r="C365"/>
  <c r="R364"/>
  <c r="S364" s="1"/>
  <c r="Q364"/>
  <c r="O364"/>
  <c r="M364"/>
  <c r="K364"/>
  <c r="I364"/>
  <c r="G364"/>
  <c r="E364"/>
  <c r="C364"/>
  <c r="R363"/>
  <c r="S363" s="1"/>
  <c r="Q363"/>
  <c r="O363"/>
  <c r="M363"/>
  <c r="K363"/>
  <c r="I363"/>
  <c r="G363"/>
  <c r="E363"/>
  <c r="C363"/>
  <c r="R362"/>
  <c r="S362" s="1"/>
  <c r="Q362"/>
  <c r="O362"/>
  <c r="M362"/>
  <c r="K362"/>
  <c r="I362"/>
  <c r="G362"/>
  <c r="E362"/>
  <c r="C362"/>
  <c r="R361"/>
  <c r="S361" s="1"/>
  <c r="Q361"/>
  <c r="O361"/>
  <c r="M361"/>
  <c r="K361"/>
  <c r="I361"/>
  <c r="G361"/>
  <c r="E361"/>
  <c r="C361"/>
  <c r="R360"/>
  <c r="S360" s="1"/>
  <c r="Q360"/>
  <c r="O360"/>
  <c r="M360"/>
  <c r="K360"/>
  <c r="I360"/>
  <c r="G360"/>
  <c r="E360"/>
  <c r="C360"/>
  <c r="R359"/>
  <c r="S359" s="1"/>
  <c r="Q359"/>
  <c r="O359"/>
  <c r="M359"/>
  <c r="K359"/>
  <c r="I359"/>
  <c r="G359"/>
  <c r="E359"/>
  <c r="C359"/>
  <c r="R358"/>
  <c r="S358" s="1"/>
  <c r="Q358"/>
  <c r="O358"/>
  <c r="M358"/>
  <c r="K358"/>
  <c r="I358"/>
  <c r="G358"/>
  <c r="E358"/>
  <c r="C358"/>
  <c r="R357"/>
  <c r="S357" s="1"/>
  <c r="Q357"/>
  <c r="O357"/>
  <c r="M357"/>
  <c r="K357"/>
  <c r="I357"/>
  <c r="G357"/>
  <c r="E357"/>
  <c r="C357"/>
  <c r="R356"/>
  <c r="S356" s="1"/>
  <c r="Q356"/>
  <c r="O356"/>
  <c r="M356"/>
  <c r="K356"/>
  <c r="I356"/>
  <c r="G356"/>
  <c r="E356"/>
  <c r="C356"/>
  <c r="R355"/>
  <c r="S355" s="1"/>
  <c r="Q355"/>
  <c r="O355"/>
  <c r="M355"/>
  <c r="K355"/>
  <c r="I355"/>
  <c r="G355"/>
  <c r="E355"/>
  <c r="C355"/>
  <c r="R354"/>
  <c r="S354" s="1"/>
  <c r="Q354"/>
  <c r="O354"/>
  <c r="M354"/>
  <c r="K354"/>
  <c r="I354"/>
  <c r="G354"/>
  <c r="E354"/>
  <c r="C354"/>
  <c r="R353"/>
  <c r="S353" s="1"/>
  <c r="Q353"/>
  <c r="O353"/>
  <c r="M353"/>
  <c r="K353"/>
  <c r="I353"/>
  <c r="G353"/>
  <c r="E353"/>
  <c r="C353"/>
  <c r="R352"/>
  <c r="S352" s="1"/>
  <c r="Q352"/>
  <c r="O352"/>
  <c r="M352"/>
  <c r="K352"/>
  <c r="I352"/>
  <c r="G352"/>
  <c r="E352"/>
  <c r="C352"/>
  <c r="R351"/>
  <c r="S351" s="1"/>
  <c r="Q351"/>
  <c r="O351"/>
  <c r="M351"/>
  <c r="K351"/>
  <c r="I351"/>
  <c r="G351"/>
  <c r="E351"/>
  <c r="C351"/>
  <c r="R350"/>
  <c r="S350" s="1"/>
  <c r="Q350"/>
  <c r="O350"/>
  <c r="M350"/>
  <c r="K350"/>
  <c r="I350"/>
  <c r="G350"/>
  <c r="E350"/>
  <c r="C350"/>
  <c r="R349"/>
  <c r="S349" s="1"/>
  <c r="Q349"/>
  <c r="O349"/>
  <c r="M349"/>
  <c r="K349"/>
  <c r="I349"/>
  <c r="G349"/>
  <c r="E349"/>
  <c r="C349"/>
  <c r="R348"/>
  <c r="S348" s="1"/>
  <c r="Q348"/>
  <c r="O348"/>
  <c r="M348"/>
  <c r="K348"/>
  <c r="I348"/>
  <c r="G348"/>
  <c r="E348"/>
  <c r="C348"/>
  <c r="R347"/>
  <c r="S347" s="1"/>
  <c r="Q347"/>
  <c r="O347"/>
  <c r="M347"/>
  <c r="K347"/>
  <c r="I347"/>
  <c r="G347"/>
  <c r="E347"/>
  <c r="C347"/>
  <c r="R346"/>
  <c r="S346" s="1"/>
  <c r="Q346"/>
  <c r="O346"/>
  <c r="M346"/>
  <c r="K346"/>
  <c r="I346"/>
  <c r="G346"/>
  <c r="E346"/>
  <c r="C346"/>
  <c r="R345"/>
  <c r="S345" s="1"/>
  <c r="Q345"/>
  <c r="O345"/>
  <c r="M345"/>
  <c r="K345"/>
  <c r="I345"/>
  <c r="G345"/>
  <c r="E345"/>
  <c r="C345"/>
  <c r="R344"/>
  <c r="S344" s="1"/>
  <c r="Q344"/>
  <c r="O344"/>
  <c r="M344"/>
  <c r="K344"/>
  <c r="I344"/>
  <c r="G344"/>
  <c r="E344"/>
  <c r="C344"/>
  <c r="R343"/>
  <c r="S343" s="1"/>
  <c r="Q343"/>
  <c r="O343"/>
  <c r="M343"/>
  <c r="K343"/>
  <c r="I343"/>
  <c r="G343"/>
  <c r="E343"/>
  <c r="C343"/>
  <c r="R342"/>
  <c r="S342" s="1"/>
  <c r="Q342"/>
  <c r="O342"/>
  <c r="M342"/>
  <c r="K342"/>
  <c r="I342"/>
  <c r="G342"/>
  <c r="E342"/>
  <c r="C342"/>
  <c r="R341"/>
  <c r="S341" s="1"/>
  <c r="Q341"/>
  <c r="O341"/>
  <c r="M341"/>
  <c r="K341"/>
  <c r="I341"/>
  <c r="G341"/>
  <c r="E341"/>
  <c r="C341"/>
  <c r="R340"/>
  <c r="S340" s="1"/>
  <c r="Q340"/>
  <c r="O340"/>
  <c r="M340"/>
  <c r="K340"/>
  <c r="I340"/>
  <c r="G340"/>
  <c r="E340"/>
  <c r="C340"/>
  <c r="R339"/>
  <c r="S339" s="1"/>
  <c r="Q339"/>
  <c r="O339"/>
  <c r="M339"/>
  <c r="K339"/>
  <c r="I339"/>
  <c r="G339"/>
  <c r="E339"/>
  <c r="C339"/>
  <c r="R338"/>
  <c r="S338" s="1"/>
  <c r="Q338"/>
  <c r="O338"/>
  <c r="M338"/>
  <c r="K338"/>
  <c r="I338"/>
  <c r="G338"/>
  <c r="E338"/>
  <c r="C338"/>
  <c r="R337"/>
  <c r="S337" s="1"/>
  <c r="Q337"/>
  <c r="O337"/>
  <c r="M337"/>
  <c r="K337"/>
  <c r="I337"/>
  <c r="G337"/>
  <c r="E337"/>
  <c r="C337"/>
  <c r="R336"/>
  <c r="S336" s="1"/>
  <c r="Q336"/>
  <c r="O336"/>
  <c r="M336"/>
  <c r="K336"/>
  <c r="I336"/>
  <c r="G336"/>
  <c r="E336"/>
  <c r="C336"/>
  <c r="R335"/>
  <c r="S335" s="1"/>
  <c r="Q335"/>
  <c r="O335"/>
  <c r="M335"/>
  <c r="K335"/>
  <c r="I335"/>
  <c r="G335"/>
  <c r="E335"/>
  <c r="C335"/>
  <c r="R334"/>
  <c r="S334" s="1"/>
  <c r="Q334"/>
  <c r="O334"/>
  <c r="M334"/>
  <c r="K334"/>
  <c r="I334"/>
  <c r="G334"/>
  <c r="E334"/>
  <c r="C334"/>
  <c r="R333"/>
  <c r="S333" s="1"/>
  <c r="Q333"/>
  <c r="O333"/>
  <c r="M333"/>
  <c r="K333"/>
  <c r="I333"/>
  <c r="G333"/>
  <c r="E333"/>
  <c r="C333"/>
  <c r="R332"/>
  <c r="S332" s="1"/>
  <c r="Q332"/>
  <c r="O332"/>
  <c r="M332"/>
  <c r="K332"/>
  <c r="I332"/>
  <c r="G332"/>
  <c r="E332"/>
  <c r="C332"/>
  <c r="R331"/>
  <c r="S331" s="1"/>
  <c r="Q331"/>
  <c r="O331"/>
  <c r="M331"/>
  <c r="K331"/>
  <c r="I331"/>
  <c r="G331"/>
  <c r="E331"/>
  <c r="C331"/>
  <c r="R330"/>
  <c r="S330" s="1"/>
  <c r="Q330"/>
  <c r="O330"/>
  <c r="M330"/>
  <c r="K330"/>
  <c r="I330"/>
  <c r="G330"/>
  <c r="E330"/>
  <c r="C330"/>
  <c r="R329"/>
  <c r="S329" s="1"/>
  <c r="Q329"/>
  <c r="O329"/>
  <c r="M329"/>
  <c r="K329"/>
  <c r="I329"/>
  <c r="G329"/>
  <c r="E329"/>
  <c r="C329"/>
  <c r="R328"/>
  <c r="S328" s="1"/>
  <c r="Q328"/>
  <c r="O328"/>
  <c r="M328"/>
  <c r="K328"/>
  <c r="I328"/>
  <c r="G328"/>
  <c r="E328"/>
  <c r="C328"/>
  <c r="R327"/>
  <c r="S327" s="1"/>
  <c r="Q327"/>
  <c r="O327"/>
  <c r="M327"/>
  <c r="K327"/>
  <c r="I327"/>
  <c r="G327"/>
  <c r="E327"/>
  <c r="C327"/>
  <c r="R326"/>
  <c r="S326" s="1"/>
  <c r="Q326"/>
  <c r="O326"/>
  <c r="M326"/>
  <c r="K326"/>
  <c r="I326"/>
  <c r="G326"/>
  <c r="E326"/>
  <c r="C326"/>
  <c r="R325"/>
  <c r="S325" s="1"/>
  <c r="Q325"/>
  <c r="O325"/>
  <c r="M325"/>
  <c r="K325"/>
  <c r="I325"/>
  <c r="G325"/>
  <c r="E325"/>
  <c r="C325"/>
  <c r="R324"/>
  <c r="S324" s="1"/>
  <c r="Q324"/>
  <c r="O324"/>
  <c r="M324"/>
  <c r="K324"/>
  <c r="I324"/>
  <c r="G324"/>
  <c r="E324"/>
  <c r="C324"/>
  <c r="R323"/>
  <c r="S323" s="1"/>
  <c r="Q323"/>
  <c r="O323"/>
  <c r="M323"/>
  <c r="K323"/>
  <c r="I323"/>
  <c r="G323"/>
  <c r="E323"/>
  <c r="C323"/>
  <c r="R322"/>
  <c r="S322" s="1"/>
  <c r="Q322"/>
  <c r="O322"/>
  <c r="M322"/>
  <c r="K322"/>
  <c r="I322"/>
  <c r="G322"/>
  <c r="E322"/>
  <c r="C322"/>
  <c r="R321"/>
  <c r="S321" s="1"/>
  <c r="Q321"/>
  <c r="O321"/>
  <c r="M321"/>
  <c r="K321"/>
  <c r="I321"/>
  <c r="G321"/>
  <c r="E321"/>
  <c r="C321"/>
  <c r="R320"/>
  <c r="S320" s="1"/>
  <c r="Q320"/>
  <c r="O320"/>
  <c r="M320"/>
  <c r="K320"/>
  <c r="I320"/>
  <c r="G320"/>
  <c r="E320"/>
  <c r="C320"/>
  <c r="R319"/>
  <c r="S319" s="1"/>
  <c r="Q319"/>
  <c r="O319"/>
  <c r="M319"/>
  <c r="K319"/>
  <c r="I319"/>
  <c r="G319"/>
  <c r="E319"/>
  <c r="C319"/>
  <c r="R318"/>
  <c r="S318" s="1"/>
  <c r="Q318"/>
  <c r="O318"/>
  <c r="M318"/>
  <c r="K318"/>
  <c r="I318"/>
  <c r="G318"/>
  <c r="E318"/>
  <c r="C318"/>
  <c r="R317"/>
  <c r="S317" s="1"/>
  <c r="Q317"/>
  <c r="O317"/>
  <c r="M317"/>
  <c r="K317"/>
  <c r="I317"/>
  <c r="G317"/>
  <c r="E317"/>
  <c r="C317"/>
  <c r="R316"/>
  <c r="S316" s="1"/>
  <c r="Q316"/>
  <c r="O316"/>
  <c r="M316"/>
  <c r="K316"/>
  <c r="I316"/>
  <c r="G316"/>
  <c r="E316"/>
  <c r="C316"/>
  <c r="R315"/>
  <c r="S315" s="1"/>
  <c r="Q315"/>
  <c r="O315"/>
  <c r="M315"/>
  <c r="K315"/>
  <c r="I315"/>
  <c r="G315"/>
  <c r="E315"/>
  <c r="C315"/>
  <c r="R314"/>
  <c r="S314" s="1"/>
  <c r="Q314"/>
  <c r="O314"/>
  <c r="M314"/>
  <c r="K314"/>
  <c r="I314"/>
  <c r="G314"/>
  <c r="E314"/>
  <c r="C314"/>
  <c r="R313"/>
  <c r="S313" s="1"/>
  <c r="Q313"/>
  <c r="O313"/>
  <c r="M313"/>
  <c r="K313"/>
  <c r="I313"/>
  <c r="G313"/>
  <c r="E313"/>
  <c r="C313"/>
  <c r="R312"/>
  <c r="S312" s="1"/>
  <c r="Q312"/>
  <c r="O312"/>
  <c r="M312"/>
  <c r="K312"/>
  <c r="I312"/>
  <c r="G312"/>
  <c r="E312"/>
  <c r="C312"/>
  <c r="R311"/>
  <c r="S311" s="1"/>
  <c r="Q311"/>
  <c r="O311"/>
  <c r="M311"/>
  <c r="K311"/>
  <c r="I311"/>
  <c r="G311"/>
  <c r="E311"/>
  <c r="C311"/>
  <c r="R310"/>
  <c r="S310" s="1"/>
  <c r="Q310"/>
  <c r="O310"/>
  <c r="M310"/>
  <c r="K310"/>
  <c r="I310"/>
  <c r="G310"/>
  <c r="E310"/>
  <c r="C310"/>
  <c r="R309"/>
  <c r="S309" s="1"/>
  <c r="Q309"/>
  <c r="O309"/>
  <c r="M309"/>
  <c r="K309"/>
  <c r="I309"/>
  <c r="G309"/>
  <c r="E309"/>
  <c r="C309"/>
  <c r="R308"/>
  <c r="S308" s="1"/>
  <c r="Q308"/>
  <c r="O308"/>
  <c r="M308"/>
  <c r="K308"/>
  <c r="I308"/>
  <c r="G308"/>
  <c r="E308"/>
  <c r="C308"/>
  <c r="R307"/>
  <c r="S307" s="1"/>
  <c r="Q307"/>
  <c r="O307"/>
  <c r="M307"/>
  <c r="K307"/>
  <c r="I307"/>
  <c r="G307"/>
  <c r="E307"/>
  <c r="C307"/>
  <c r="R306"/>
  <c r="S306" s="1"/>
  <c r="Q306"/>
  <c r="O306"/>
  <c r="M306"/>
  <c r="K306"/>
  <c r="I306"/>
  <c r="G306"/>
  <c r="E306"/>
  <c r="C306"/>
  <c r="R305"/>
  <c r="S305" s="1"/>
  <c r="Q305"/>
  <c r="O305"/>
  <c r="M305"/>
  <c r="K305"/>
  <c r="I305"/>
  <c r="G305"/>
  <c r="E305"/>
  <c r="C305"/>
  <c r="R304"/>
  <c r="S304" s="1"/>
  <c r="Q304"/>
  <c r="O304"/>
  <c r="M304"/>
  <c r="K304"/>
  <c r="I304"/>
  <c r="G304"/>
  <c r="E304"/>
  <c r="C304"/>
  <c r="R303"/>
  <c r="S303" s="1"/>
  <c r="Q303"/>
  <c r="O303"/>
  <c r="M303"/>
  <c r="K303"/>
  <c r="I303"/>
  <c r="G303"/>
  <c r="E303"/>
  <c r="C303"/>
  <c r="R302"/>
  <c r="S302" s="1"/>
  <c r="Q302"/>
  <c r="O302"/>
  <c r="M302"/>
  <c r="K302"/>
  <c r="I302"/>
  <c r="G302"/>
  <c r="E302"/>
  <c r="C302"/>
  <c r="R301"/>
  <c r="S301" s="1"/>
  <c r="Q301"/>
  <c r="O301"/>
  <c r="M301"/>
  <c r="K301"/>
  <c r="I301"/>
  <c r="G301"/>
  <c r="E301"/>
  <c r="C301"/>
  <c r="R300"/>
  <c r="S300" s="1"/>
  <c r="Q300"/>
  <c r="O300"/>
  <c r="M300"/>
  <c r="K300"/>
  <c r="I300"/>
  <c r="G300"/>
  <c r="E300"/>
  <c r="C300"/>
  <c r="R299"/>
  <c r="S299" s="1"/>
  <c r="Q299"/>
  <c r="O299"/>
  <c r="M299"/>
  <c r="K299"/>
  <c r="I299"/>
  <c r="G299"/>
  <c r="E299"/>
  <c r="C299"/>
  <c r="R298"/>
  <c r="S298" s="1"/>
  <c r="Q298"/>
  <c r="O298"/>
  <c r="M298"/>
  <c r="K298"/>
  <c r="I298"/>
  <c r="G298"/>
  <c r="E298"/>
  <c r="C298"/>
  <c r="R297"/>
  <c r="S297" s="1"/>
  <c r="Q297"/>
  <c r="O297"/>
  <c r="M297"/>
  <c r="K297"/>
  <c r="I297"/>
  <c r="G297"/>
  <c r="E297"/>
  <c r="C297"/>
  <c r="R296"/>
  <c r="S296" s="1"/>
  <c r="Q296"/>
  <c r="O296"/>
  <c r="M296"/>
  <c r="K296"/>
  <c r="I296"/>
  <c r="G296"/>
  <c r="E296"/>
  <c r="C296"/>
  <c r="R295"/>
  <c r="S295" s="1"/>
  <c r="Q295"/>
  <c r="O295"/>
  <c r="M295"/>
  <c r="K295"/>
  <c r="I295"/>
  <c r="G295"/>
  <c r="E295"/>
  <c r="C295"/>
  <c r="R294"/>
  <c r="S294" s="1"/>
  <c r="Q294"/>
  <c r="O294"/>
  <c r="M294"/>
  <c r="K294"/>
  <c r="I294"/>
  <c r="G294"/>
  <c r="E294"/>
  <c r="C294"/>
  <c r="R293"/>
  <c r="S293" s="1"/>
  <c r="Q293"/>
  <c r="O293"/>
  <c r="M293"/>
  <c r="K293"/>
  <c r="I293"/>
  <c r="G293"/>
  <c r="E293"/>
  <c r="C293"/>
  <c r="R292"/>
  <c r="S292" s="1"/>
  <c r="Q292"/>
  <c r="O292"/>
  <c r="M292"/>
  <c r="K292"/>
  <c r="I292"/>
  <c r="G292"/>
  <c r="E292"/>
  <c r="C292"/>
  <c r="R291"/>
  <c r="S291" s="1"/>
  <c r="Q291"/>
  <c r="O291"/>
  <c r="M291"/>
  <c r="K291"/>
  <c r="I291"/>
  <c r="G291"/>
  <c r="E291"/>
  <c r="C291"/>
  <c r="R290"/>
  <c r="S290" s="1"/>
  <c r="Q290"/>
  <c r="O290"/>
  <c r="M290"/>
  <c r="K290"/>
  <c r="I290"/>
  <c r="G290"/>
  <c r="E290"/>
  <c r="C290"/>
  <c r="R289"/>
  <c r="S289" s="1"/>
  <c r="Q289"/>
  <c r="O289"/>
  <c r="M289"/>
  <c r="K289"/>
  <c r="I289"/>
  <c r="G289"/>
  <c r="E289"/>
  <c r="C289"/>
  <c r="R288"/>
  <c r="S288" s="1"/>
  <c r="Q288"/>
  <c r="O288"/>
  <c r="M288"/>
  <c r="K288"/>
  <c r="I288"/>
  <c r="G288"/>
  <c r="E288"/>
  <c r="C288"/>
  <c r="R287"/>
  <c r="S287" s="1"/>
  <c r="Q287"/>
  <c r="O287"/>
  <c r="M287"/>
  <c r="K287"/>
  <c r="I287"/>
  <c r="G287"/>
  <c r="E287"/>
  <c r="C287"/>
  <c r="R286"/>
  <c r="S286" s="1"/>
  <c r="Q286"/>
  <c r="O286"/>
  <c r="M286"/>
  <c r="K286"/>
  <c r="I286"/>
  <c r="G286"/>
  <c r="E286"/>
  <c r="C286"/>
  <c r="R285"/>
  <c r="S285" s="1"/>
  <c r="Q285"/>
  <c r="O285"/>
  <c r="M285"/>
  <c r="K285"/>
  <c r="I285"/>
  <c r="G285"/>
  <c r="E285"/>
  <c r="C285"/>
  <c r="R284"/>
  <c r="S284" s="1"/>
  <c r="Q284"/>
  <c r="O284"/>
  <c r="M284"/>
  <c r="K284"/>
  <c r="I284"/>
  <c r="G284"/>
  <c r="E284"/>
  <c r="C284"/>
  <c r="R283"/>
  <c r="S283" s="1"/>
  <c r="Q283"/>
  <c r="O283"/>
  <c r="M283"/>
  <c r="K283"/>
  <c r="I283"/>
  <c r="G283"/>
  <c r="E283"/>
  <c r="C283"/>
  <c r="R282"/>
  <c r="S282" s="1"/>
  <c r="Q282"/>
  <c r="O282"/>
  <c r="M282"/>
  <c r="K282"/>
  <c r="I282"/>
  <c r="G282"/>
  <c r="E282"/>
  <c r="C282"/>
  <c r="R281"/>
  <c r="S281" s="1"/>
  <c r="Q281"/>
  <c r="O281"/>
  <c r="M281"/>
  <c r="K281"/>
  <c r="I281"/>
  <c r="G281"/>
  <c r="E281"/>
  <c r="C281"/>
  <c r="R280"/>
  <c r="S280" s="1"/>
  <c r="Q280"/>
  <c r="O280"/>
  <c r="M280"/>
  <c r="K280"/>
  <c r="I280"/>
  <c r="G280"/>
  <c r="E280"/>
  <c r="C280"/>
  <c r="R279"/>
  <c r="S279" s="1"/>
  <c r="Q279"/>
  <c r="O279"/>
  <c r="M279"/>
  <c r="K279"/>
  <c r="I279"/>
  <c r="G279"/>
  <c r="E279"/>
  <c r="C279"/>
  <c r="R278"/>
  <c r="S278" s="1"/>
  <c r="Q278"/>
  <c r="O278"/>
  <c r="M278"/>
  <c r="K278"/>
  <c r="I278"/>
  <c r="G278"/>
  <c r="E278"/>
  <c r="C278"/>
  <c r="R277"/>
  <c r="S277" s="1"/>
  <c r="Q277"/>
  <c r="O277"/>
  <c r="M277"/>
  <c r="K277"/>
  <c r="I277"/>
  <c r="G277"/>
  <c r="E277"/>
  <c r="C277"/>
  <c r="R276"/>
  <c r="S276" s="1"/>
  <c r="Q276"/>
  <c r="O276"/>
  <c r="M276"/>
  <c r="K276"/>
  <c r="I276"/>
  <c r="G276"/>
  <c r="E276"/>
  <c r="C276"/>
  <c r="R275"/>
  <c r="S275" s="1"/>
  <c r="Q275"/>
  <c r="O275"/>
  <c r="M275"/>
  <c r="K275"/>
  <c r="I275"/>
  <c r="G275"/>
  <c r="E275"/>
  <c r="C275"/>
  <c r="R274"/>
  <c r="S274" s="1"/>
  <c r="Q274"/>
  <c r="O274"/>
  <c r="M274"/>
  <c r="K274"/>
  <c r="I274"/>
  <c r="G274"/>
  <c r="E274"/>
  <c r="C274"/>
  <c r="R273"/>
  <c r="S273" s="1"/>
  <c r="Q273"/>
  <c r="O273"/>
  <c r="M273"/>
  <c r="K273"/>
  <c r="I273"/>
  <c r="G273"/>
  <c r="E273"/>
  <c r="C273"/>
  <c r="R272"/>
  <c r="S272" s="1"/>
  <c r="Q272"/>
  <c r="O272"/>
  <c r="M272"/>
  <c r="K272"/>
  <c r="I272"/>
  <c r="G272"/>
  <c r="E272"/>
  <c r="C272"/>
  <c r="R271"/>
  <c r="S271" s="1"/>
  <c r="Q271"/>
  <c r="O271"/>
  <c r="M271"/>
  <c r="K271"/>
  <c r="I271"/>
  <c r="G271"/>
  <c r="E271"/>
  <c r="C271"/>
  <c r="R270"/>
  <c r="S270" s="1"/>
  <c r="Q270"/>
  <c r="O270"/>
  <c r="M270"/>
  <c r="K270"/>
  <c r="I270"/>
  <c r="G270"/>
  <c r="E270"/>
  <c r="C270"/>
  <c r="R269"/>
  <c r="S269" s="1"/>
  <c r="Q269"/>
  <c r="O269"/>
  <c r="M269"/>
  <c r="K269"/>
  <c r="I269"/>
  <c r="G269"/>
  <c r="E269"/>
  <c r="C269"/>
  <c r="R268"/>
  <c r="S268" s="1"/>
  <c r="Q268"/>
  <c r="O268"/>
  <c r="M268"/>
  <c r="K268"/>
  <c r="I268"/>
  <c r="G268"/>
  <c r="E268"/>
  <c r="C268"/>
  <c r="R267"/>
  <c r="S267" s="1"/>
  <c r="Q267"/>
  <c r="O267"/>
  <c r="M267"/>
  <c r="K267"/>
  <c r="I267"/>
  <c r="G267"/>
  <c r="E267"/>
  <c r="C267"/>
  <c r="R266"/>
  <c r="S266" s="1"/>
  <c r="Q266"/>
  <c r="O266"/>
  <c r="M266"/>
  <c r="K266"/>
  <c r="I266"/>
  <c r="G266"/>
  <c r="E266"/>
  <c r="C266"/>
  <c r="R265"/>
  <c r="S265" s="1"/>
  <c r="Q265"/>
  <c r="O265"/>
  <c r="M265"/>
  <c r="K265"/>
  <c r="I265"/>
  <c r="G265"/>
  <c r="E265"/>
  <c r="C265"/>
  <c r="R264"/>
  <c r="S264" s="1"/>
  <c r="Q264"/>
  <c r="O264"/>
  <c r="M264"/>
  <c r="K264"/>
  <c r="I264"/>
  <c r="G264"/>
  <c r="E264"/>
  <c r="C264"/>
  <c r="R263"/>
  <c r="S263" s="1"/>
  <c r="Q263"/>
  <c r="O263"/>
  <c r="M263"/>
  <c r="K263"/>
  <c r="I263"/>
  <c r="G263"/>
  <c r="E263"/>
  <c r="C263"/>
  <c r="R262"/>
  <c r="S262" s="1"/>
  <c r="Q262"/>
  <c r="O262"/>
  <c r="M262"/>
  <c r="K262"/>
  <c r="I262"/>
  <c r="G262"/>
  <c r="E262"/>
  <c r="C262"/>
  <c r="R261"/>
  <c r="S261" s="1"/>
  <c r="Q261"/>
  <c r="O261"/>
  <c r="M261"/>
  <c r="K261"/>
  <c r="I261"/>
  <c r="G261"/>
  <c r="E261"/>
  <c r="C261"/>
  <c r="R260"/>
  <c r="S260" s="1"/>
  <c r="Q260"/>
  <c r="O260"/>
  <c r="M260"/>
  <c r="K260"/>
  <c r="I260"/>
  <c r="G260"/>
  <c r="E260"/>
  <c r="C260"/>
  <c r="R259"/>
  <c r="S259" s="1"/>
  <c r="Q259"/>
  <c r="O259"/>
  <c r="M259"/>
  <c r="K259"/>
  <c r="I259"/>
  <c r="G259"/>
  <c r="E259"/>
  <c r="C259"/>
  <c r="R258"/>
  <c r="S258" s="1"/>
  <c r="Q258"/>
  <c r="O258"/>
  <c r="M258"/>
  <c r="K258"/>
  <c r="I258"/>
  <c r="G258"/>
  <c r="E258"/>
  <c r="C258"/>
  <c r="R257"/>
  <c r="S257" s="1"/>
  <c r="Q257"/>
  <c r="O257"/>
  <c r="M257"/>
  <c r="K257"/>
  <c r="I257"/>
  <c r="G257"/>
  <c r="E257"/>
  <c r="C257"/>
  <c r="R256"/>
  <c r="S256" s="1"/>
  <c r="Q256"/>
  <c r="O256"/>
  <c r="M256"/>
  <c r="K256"/>
  <c r="I256"/>
  <c r="G256"/>
  <c r="E256"/>
  <c r="C256"/>
  <c r="R255"/>
  <c r="S255" s="1"/>
  <c r="Q255"/>
  <c r="O255"/>
  <c r="M255"/>
  <c r="K255"/>
  <c r="I255"/>
  <c r="G255"/>
  <c r="E255"/>
  <c r="C255"/>
  <c r="R254"/>
  <c r="S254" s="1"/>
  <c r="Q254"/>
  <c r="O254"/>
  <c r="M254"/>
  <c r="K254"/>
  <c r="I254"/>
  <c r="G254"/>
  <c r="E254"/>
  <c r="C254"/>
  <c r="R253"/>
  <c r="S253" s="1"/>
  <c r="Q253"/>
  <c r="O253"/>
  <c r="M253"/>
  <c r="K253"/>
  <c r="I253"/>
  <c r="G253"/>
  <c r="E253"/>
  <c r="C253"/>
  <c r="R252"/>
  <c r="S252" s="1"/>
  <c r="Q252"/>
  <c r="O252"/>
  <c r="M252"/>
  <c r="K252"/>
  <c r="I252"/>
  <c r="G252"/>
  <c r="E252"/>
  <c r="C252"/>
  <c r="R251"/>
  <c r="S251" s="1"/>
  <c r="Q251"/>
  <c r="O251"/>
  <c r="M251"/>
  <c r="K251"/>
  <c r="I251"/>
  <c r="G251"/>
  <c r="E251"/>
  <c r="C251"/>
  <c r="R250"/>
  <c r="S250" s="1"/>
  <c r="Q250"/>
  <c r="O250"/>
  <c r="M250"/>
  <c r="K250"/>
  <c r="I250"/>
  <c r="G250"/>
  <c r="E250"/>
  <c r="C250"/>
  <c r="R249"/>
  <c r="S249" s="1"/>
  <c r="Q249"/>
  <c r="O249"/>
  <c r="M249"/>
  <c r="K249"/>
  <c r="I249"/>
  <c r="G249"/>
  <c r="E249"/>
  <c r="C249"/>
  <c r="R248"/>
  <c r="S248" s="1"/>
  <c r="Q248"/>
  <c r="O248"/>
  <c r="M248"/>
  <c r="K248"/>
  <c r="I248"/>
  <c r="G248"/>
  <c r="E248"/>
  <c r="C248"/>
  <c r="R247"/>
  <c r="S247" s="1"/>
  <c r="Q247"/>
  <c r="O247"/>
  <c r="M247"/>
  <c r="K247"/>
  <c r="I247"/>
  <c r="G247"/>
  <c r="E247"/>
  <c r="C247"/>
  <c r="R246"/>
  <c r="S246" s="1"/>
  <c r="Q246"/>
  <c r="O246"/>
  <c r="M246"/>
  <c r="K246"/>
  <c r="I246"/>
  <c r="G246"/>
  <c r="E246"/>
  <c r="C246"/>
  <c r="R245"/>
  <c r="S245" s="1"/>
  <c r="Q245"/>
  <c r="O245"/>
  <c r="M245"/>
  <c r="K245"/>
  <c r="I245"/>
  <c r="G245"/>
  <c r="E245"/>
  <c r="C245"/>
  <c r="R244"/>
  <c r="S244" s="1"/>
  <c r="Q244"/>
  <c r="O244"/>
  <c r="M244"/>
  <c r="K244"/>
  <c r="I244"/>
  <c r="G244"/>
  <c r="E244"/>
  <c r="C244"/>
  <c r="R243"/>
  <c r="S243" s="1"/>
  <c r="Q243"/>
  <c r="O243"/>
  <c r="M243"/>
  <c r="K243"/>
  <c r="I243"/>
  <c r="G243"/>
  <c r="E243"/>
  <c r="C243"/>
  <c r="R242"/>
  <c r="S242" s="1"/>
  <c r="Q242"/>
  <c r="O242"/>
  <c r="M242"/>
  <c r="K242"/>
  <c r="I242"/>
  <c r="G242"/>
  <c r="E242"/>
  <c r="C242"/>
  <c r="R241"/>
  <c r="S241" s="1"/>
  <c r="Q241"/>
  <c r="O241"/>
  <c r="M241"/>
  <c r="K241"/>
  <c r="I241"/>
  <c r="G241"/>
  <c r="E241"/>
  <c r="C241"/>
  <c r="R240"/>
  <c r="S240" s="1"/>
  <c r="Q240"/>
  <c r="O240"/>
  <c r="M240"/>
  <c r="K240"/>
  <c r="I240"/>
  <c r="G240"/>
  <c r="E240"/>
  <c r="C240"/>
  <c r="R239"/>
  <c r="S239" s="1"/>
  <c r="Q239"/>
  <c r="O239"/>
  <c r="M239"/>
  <c r="K239"/>
  <c r="I239"/>
  <c r="G239"/>
  <c r="E239"/>
  <c r="C239"/>
  <c r="R238"/>
  <c r="S238" s="1"/>
  <c r="Q238"/>
  <c r="O238"/>
  <c r="M238"/>
  <c r="K238"/>
  <c r="I238"/>
  <c r="G238"/>
  <c r="E238"/>
  <c r="C238"/>
  <c r="R237"/>
  <c r="S237" s="1"/>
  <c r="Q237"/>
  <c r="O237"/>
  <c r="M237"/>
  <c r="K237"/>
  <c r="I237"/>
  <c r="G237"/>
  <c r="E237"/>
  <c r="C237"/>
  <c r="R236"/>
  <c r="S236" s="1"/>
  <c r="Q236"/>
  <c r="O236"/>
  <c r="M236"/>
  <c r="K236"/>
  <c r="I236"/>
  <c r="G236"/>
  <c r="E236"/>
  <c r="C236"/>
  <c r="R235"/>
  <c r="S235" s="1"/>
  <c r="Q235"/>
  <c r="O235"/>
  <c r="M235"/>
  <c r="K235"/>
  <c r="I235"/>
  <c r="G235"/>
  <c r="E235"/>
  <c r="C235"/>
  <c r="R234"/>
  <c r="S234" s="1"/>
  <c r="Q234"/>
  <c r="O234"/>
  <c r="M234"/>
  <c r="K234"/>
  <c r="I234"/>
  <c r="G234"/>
  <c r="E234"/>
  <c r="C234"/>
  <c r="R233"/>
  <c r="S233" s="1"/>
  <c r="Q233"/>
  <c r="O233"/>
  <c r="M233"/>
  <c r="K233"/>
  <c r="I233"/>
  <c r="G233"/>
  <c r="E233"/>
  <c r="C233"/>
  <c r="R232"/>
  <c r="S232" s="1"/>
  <c r="Q232"/>
  <c r="O232"/>
  <c r="M232"/>
  <c r="K232"/>
  <c r="I232"/>
  <c r="G232"/>
  <c r="E232"/>
  <c r="C232"/>
  <c r="R231"/>
  <c r="S231" s="1"/>
  <c r="Q231"/>
  <c r="O231"/>
  <c r="M231"/>
  <c r="K231"/>
  <c r="I231"/>
  <c r="G231"/>
  <c r="E231"/>
  <c r="C231"/>
  <c r="R230"/>
  <c r="S230" s="1"/>
  <c r="Q230"/>
  <c r="O230"/>
  <c r="M230"/>
  <c r="K230"/>
  <c r="I230"/>
  <c r="G230"/>
  <c r="E230"/>
  <c r="C230"/>
  <c r="R229"/>
  <c r="S229" s="1"/>
  <c r="Q229"/>
  <c r="O229"/>
  <c r="M229"/>
  <c r="K229"/>
  <c r="I229"/>
  <c r="G229"/>
  <c r="E229"/>
  <c r="C229"/>
  <c r="R228"/>
  <c r="S228" s="1"/>
  <c r="Q228"/>
  <c r="O228"/>
  <c r="M228"/>
  <c r="K228"/>
  <c r="I228"/>
  <c r="G228"/>
  <c r="E228"/>
  <c r="C228"/>
  <c r="R227"/>
  <c r="S227" s="1"/>
  <c r="Q227"/>
  <c r="O227"/>
  <c r="M227"/>
  <c r="K227"/>
  <c r="I227"/>
  <c r="G227"/>
  <c r="E227"/>
  <c r="C227"/>
  <c r="R226"/>
  <c r="S226" s="1"/>
  <c r="Q226"/>
  <c r="O226"/>
  <c r="M226"/>
  <c r="K226"/>
  <c r="I226"/>
  <c r="G226"/>
  <c r="E226"/>
  <c r="C226"/>
  <c r="R225"/>
  <c r="S225" s="1"/>
  <c r="Q225"/>
  <c r="O225"/>
  <c r="M225"/>
  <c r="K225"/>
  <c r="I225"/>
  <c r="G225"/>
  <c r="E225"/>
  <c r="C225"/>
  <c r="R224"/>
  <c r="S224" s="1"/>
  <c r="Q224"/>
  <c r="O224"/>
  <c r="M224"/>
  <c r="K224"/>
  <c r="I224"/>
  <c r="G224"/>
  <c r="E224"/>
  <c r="C224"/>
  <c r="R223"/>
  <c r="S223" s="1"/>
  <c r="Q223"/>
  <c r="O223"/>
  <c r="M223"/>
  <c r="K223"/>
  <c r="I223"/>
  <c r="G223"/>
  <c r="E223"/>
  <c r="C223"/>
  <c r="R222"/>
  <c r="S222" s="1"/>
  <c r="Q222"/>
  <c r="O222"/>
  <c r="M222"/>
  <c r="K222"/>
  <c r="I222"/>
  <c r="G222"/>
  <c r="E222"/>
  <c r="C222"/>
  <c r="R221"/>
  <c r="S221" s="1"/>
  <c r="Q221"/>
  <c r="O221"/>
  <c r="M221"/>
  <c r="K221"/>
  <c r="I221"/>
  <c r="G221"/>
  <c r="E221"/>
  <c r="C221"/>
  <c r="R220"/>
  <c r="S220" s="1"/>
  <c r="Q220"/>
  <c r="O220"/>
  <c r="M220"/>
  <c r="K220"/>
  <c r="I220"/>
  <c r="G220"/>
  <c r="E220"/>
  <c r="C220"/>
  <c r="R219"/>
  <c r="S219" s="1"/>
  <c r="Q219"/>
  <c r="O219"/>
  <c r="M219"/>
  <c r="K219"/>
  <c r="I219"/>
  <c r="G219"/>
  <c r="E219"/>
  <c r="C219"/>
  <c r="R218"/>
  <c r="S218" s="1"/>
  <c r="Q218"/>
  <c r="O218"/>
  <c r="M218"/>
  <c r="K218"/>
  <c r="I218"/>
  <c r="G218"/>
  <c r="E218"/>
  <c r="C218"/>
  <c r="R217"/>
  <c r="S217" s="1"/>
  <c r="Q217"/>
  <c r="O217"/>
  <c r="M217"/>
  <c r="K217"/>
  <c r="I217"/>
  <c r="G217"/>
  <c r="E217"/>
  <c r="C217"/>
  <c r="R216"/>
  <c r="S216" s="1"/>
  <c r="Q216"/>
  <c r="O216"/>
  <c r="M216"/>
  <c r="K216"/>
  <c r="I216"/>
  <c r="G216"/>
  <c r="E216"/>
  <c r="C216"/>
  <c r="R215"/>
  <c r="S215" s="1"/>
  <c r="Q215"/>
  <c r="O215"/>
  <c r="M215"/>
  <c r="K215"/>
  <c r="I215"/>
  <c r="G215"/>
  <c r="E215"/>
  <c r="C215"/>
  <c r="R214"/>
  <c r="S214" s="1"/>
  <c r="Q214"/>
  <c r="O214"/>
  <c r="M214"/>
  <c r="K214"/>
  <c r="I214"/>
  <c r="G214"/>
  <c r="E214"/>
  <c r="C214"/>
  <c r="R213"/>
  <c r="S213" s="1"/>
  <c r="Q213"/>
  <c r="O213"/>
  <c r="M213"/>
  <c r="K213"/>
  <c r="I213"/>
  <c r="G213"/>
  <c r="E213"/>
  <c r="C213"/>
  <c r="R212"/>
  <c r="S212" s="1"/>
  <c r="Q212"/>
  <c r="O212"/>
  <c r="M212"/>
  <c r="K212"/>
  <c r="I212"/>
  <c r="G212"/>
  <c r="E212"/>
  <c r="C212"/>
  <c r="R211"/>
  <c r="S211" s="1"/>
  <c r="Q211"/>
  <c r="O211"/>
  <c r="M211"/>
  <c r="K211"/>
  <c r="I211"/>
  <c r="G211"/>
  <c r="E211"/>
  <c r="C211"/>
  <c r="R210"/>
  <c r="S210" s="1"/>
  <c r="Q210"/>
  <c r="O210"/>
  <c r="M210"/>
  <c r="K210"/>
  <c r="I210"/>
  <c r="G210"/>
  <c r="E210"/>
  <c r="C210"/>
  <c r="R209"/>
  <c r="S209" s="1"/>
  <c r="Q209"/>
  <c r="O209"/>
  <c r="M209"/>
  <c r="K209"/>
  <c r="I209"/>
  <c r="G209"/>
  <c r="E209"/>
  <c r="C209"/>
  <c r="R208"/>
  <c r="S208" s="1"/>
  <c r="Q208"/>
  <c r="O208"/>
  <c r="M208"/>
  <c r="K208"/>
  <c r="I208"/>
  <c r="G208"/>
  <c r="E208"/>
  <c r="C208"/>
  <c r="R207"/>
  <c r="S207" s="1"/>
  <c r="Q207"/>
  <c r="O207"/>
  <c r="M207"/>
  <c r="K207"/>
  <c r="I207"/>
  <c r="G207"/>
  <c r="E207"/>
  <c r="C207"/>
  <c r="R206"/>
  <c r="S206" s="1"/>
  <c r="Q206"/>
  <c r="O206"/>
  <c r="M206"/>
  <c r="K206"/>
  <c r="I206"/>
  <c r="G206"/>
  <c r="E206"/>
  <c r="C206"/>
  <c r="R205"/>
  <c r="S205" s="1"/>
  <c r="Q205"/>
  <c r="O205"/>
  <c r="M205"/>
  <c r="K205"/>
  <c r="I205"/>
  <c r="G205"/>
  <c r="E205"/>
  <c r="C205"/>
  <c r="R204"/>
  <c r="S204" s="1"/>
  <c r="Q204"/>
  <c r="O204"/>
  <c r="M204"/>
  <c r="K204"/>
  <c r="I204"/>
  <c r="G204"/>
  <c r="E204"/>
  <c r="C204"/>
  <c r="R203"/>
  <c r="S203" s="1"/>
  <c r="Q203"/>
  <c r="O203"/>
  <c r="M203"/>
  <c r="K203"/>
  <c r="I203"/>
  <c r="G203"/>
  <c r="E203"/>
  <c r="C203"/>
  <c r="R202"/>
  <c r="S202" s="1"/>
  <c r="Q202"/>
  <c r="O202"/>
  <c r="M202"/>
  <c r="K202"/>
  <c r="I202"/>
  <c r="G202"/>
  <c r="E202"/>
  <c r="C202"/>
  <c r="R201"/>
  <c r="S201" s="1"/>
  <c r="Q201"/>
  <c r="O201"/>
  <c r="M201"/>
  <c r="K201"/>
  <c r="I201"/>
  <c r="G201"/>
  <c r="E201"/>
  <c r="C201"/>
  <c r="R200"/>
  <c r="S200" s="1"/>
  <c r="Q200"/>
  <c r="O200"/>
  <c r="M200"/>
  <c r="K200"/>
  <c r="I200"/>
  <c r="G200"/>
  <c r="E200"/>
  <c r="C200"/>
  <c r="R199"/>
  <c r="S199" s="1"/>
  <c r="Q199"/>
  <c r="O199"/>
  <c r="M199"/>
  <c r="K199"/>
  <c r="I199"/>
  <c r="G199"/>
  <c r="E199"/>
  <c r="C199"/>
  <c r="R198"/>
  <c r="S198" s="1"/>
  <c r="Q198"/>
  <c r="O198"/>
  <c r="M198"/>
  <c r="K198"/>
  <c r="I198"/>
  <c r="G198"/>
  <c r="E198"/>
  <c r="C198"/>
  <c r="R197"/>
  <c r="S197" s="1"/>
  <c r="Q197"/>
  <c r="O197"/>
  <c r="M197"/>
  <c r="K197"/>
  <c r="I197"/>
  <c r="G197"/>
  <c r="E197"/>
  <c r="C197"/>
  <c r="R196"/>
  <c r="S196" s="1"/>
  <c r="Q196"/>
  <c r="O196"/>
  <c r="M196"/>
  <c r="K196"/>
  <c r="I196"/>
  <c r="G196"/>
  <c r="E196"/>
  <c r="C196"/>
  <c r="R195"/>
  <c r="S195" s="1"/>
  <c r="Q195"/>
  <c r="O195"/>
  <c r="M195"/>
  <c r="K195"/>
  <c r="I195"/>
  <c r="G195"/>
  <c r="E195"/>
  <c r="C195"/>
  <c r="R194"/>
  <c r="S194" s="1"/>
  <c r="Q194"/>
  <c r="O194"/>
  <c r="M194"/>
  <c r="K194"/>
  <c r="I194"/>
  <c r="G194"/>
  <c r="E194"/>
  <c r="C194"/>
  <c r="R193"/>
  <c r="S193" s="1"/>
  <c r="Q193"/>
  <c r="O193"/>
  <c r="M193"/>
  <c r="K193"/>
  <c r="I193"/>
  <c r="G193"/>
  <c r="E193"/>
  <c r="C193"/>
  <c r="R192"/>
  <c r="S192" s="1"/>
  <c r="Q192"/>
  <c r="O192"/>
  <c r="M192"/>
  <c r="K192"/>
  <c r="I192"/>
  <c r="G192"/>
  <c r="E192"/>
  <c r="C192"/>
  <c r="R191"/>
  <c r="S191" s="1"/>
  <c r="Q191"/>
  <c r="O191"/>
  <c r="M191"/>
  <c r="K191"/>
  <c r="I191"/>
  <c r="G191"/>
  <c r="E191"/>
  <c r="C191"/>
  <c r="R190"/>
  <c r="S190" s="1"/>
  <c r="Q190"/>
  <c r="O190"/>
  <c r="M190"/>
  <c r="K190"/>
  <c r="I190"/>
  <c r="G190"/>
  <c r="E190"/>
  <c r="C190"/>
  <c r="R189"/>
  <c r="S189" s="1"/>
  <c r="Q189"/>
  <c r="O189"/>
  <c r="M189"/>
  <c r="K189"/>
  <c r="I189"/>
  <c r="G189"/>
  <c r="E189"/>
  <c r="C189"/>
  <c r="R188"/>
  <c r="S188" s="1"/>
  <c r="Q188"/>
  <c r="O188"/>
  <c r="M188"/>
  <c r="K188"/>
  <c r="I188"/>
  <c r="G188"/>
  <c r="E188"/>
  <c r="C188"/>
  <c r="R187"/>
  <c r="S187" s="1"/>
  <c r="Q187"/>
  <c r="O187"/>
  <c r="M187"/>
  <c r="K187"/>
  <c r="I187"/>
  <c r="G187"/>
  <c r="E187"/>
  <c r="C187"/>
  <c r="R186"/>
  <c r="S186" s="1"/>
  <c r="Q186"/>
  <c r="O186"/>
  <c r="M186"/>
  <c r="K186"/>
  <c r="I186"/>
  <c r="G186"/>
  <c r="E186"/>
  <c r="C186"/>
  <c r="R185"/>
  <c r="S185" s="1"/>
  <c r="Q185"/>
  <c r="O185"/>
  <c r="M185"/>
  <c r="K185"/>
  <c r="I185"/>
  <c r="G185"/>
  <c r="E185"/>
  <c r="C185"/>
  <c r="R184"/>
  <c r="S184" s="1"/>
  <c r="Q184"/>
  <c r="O184"/>
  <c r="M184"/>
  <c r="K184"/>
  <c r="I184"/>
  <c r="G184"/>
  <c r="E184"/>
  <c r="C184"/>
  <c r="R183"/>
  <c r="S183" s="1"/>
  <c r="Q183"/>
  <c r="O183"/>
  <c r="M183"/>
  <c r="K183"/>
  <c r="I183"/>
  <c r="G183"/>
  <c r="E183"/>
  <c r="C183"/>
  <c r="R182"/>
  <c r="S182" s="1"/>
  <c r="Q182"/>
  <c r="O182"/>
  <c r="M182"/>
  <c r="K182"/>
  <c r="I182"/>
  <c r="G182"/>
  <c r="E182"/>
  <c r="C182"/>
  <c r="R181"/>
  <c r="S181" s="1"/>
  <c r="Q181"/>
  <c r="O181"/>
  <c r="M181"/>
  <c r="K181"/>
  <c r="I181"/>
  <c r="G181"/>
  <c r="E181"/>
  <c r="C181"/>
  <c r="R180"/>
  <c r="S180" s="1"/>
  <c r="Q180"/>
  <c r="O180"/>
  <c r="M180"/>
  <c r="K180"/>
  <c r="I180"/>
  <c r="G180"/>
  <c r="E180"/>
  <c r="C180"/>
  <c r="R179"/>
  <c r="S179" s="1"/>
  <c r="Q179"/>
  <c r="O179"/>
  <c r="M179"/>
  <c r="K179"/>
  <c r="I179"/>
  <c r="G179"/>
  <c r="E179"/>
  <c r="C179"/>
  <c r="R178"/>
  <c r="S178" s="1"/>
  <c r="Q178"/>
  <c r="O178"/>
  <c r="M178"/>
  <c r="K178"/>
  <c r="I178"/>
  <c r="G178"/>
  <c r="E178"/>
  <c r="C178"/>
  <c r="R177"/>
  <c r="S177" s="1"/>
  <c r="Q177"/>
  <c r="O177"/>
  <c r="M177"/>
  <c r="K177"/>
  <c r="I177"/>
  <c r="G177"/>
  <c r="E177"/>
  <c r="C177"/>
  <c r="R176"/>
  <c r="S176" s="1"/>
  <c r="Q176"/>
  <c r="O176"/>
  <c r="M176"/>
  <c r="K176"/>
  <c r="I176"/>
  <c r="G176"/>
  <c r="E176"/>
  <c r="C176"/>
  <c r="R175"/>
  <c r="S175" s="1"/>
  <c r="Q175"/>
  <c r="O175"/>
  <c r="M175"/>
  <c r="K175"/>
  <c r="I175"/>
  <c r="G175"/>
  <c r="E175"/>
  <c r="C175"/>
  <c r="R174"/>
  <c r="S174" s="1"/>
  <c r="Q174"/>
  <c r="O174"/>
  <c r="M174"/>
  <c r="K174"/>
  <c r="I174"/>
  <c r="G174"/>
  <c r="E174"/>
  <c r="C174"/>
  <c r="R173"/>
  <c r="S173" s="1"/>
  <c r="Q173"/>
  <c r="O173"/>
  <c r="M173"/>
  <c r="K173"/>
  <c r="I173"/>
  <c r="G173"/>
  <c r="E173"/>
  <c r="C173"/>
  <c r="R172"/>
  <c r="S172" s="1"/>
  <c r="Q172"/>
  <c r="O172"/>
  <c r="M172"/>
  <c r="K172"/>
  <c r="I172"/>
  <c r="G172"/>
  <c r="E172"/>
  <c r="C172"/>
  <c r="R171"/>
  <c r="S171" s="1"/>
  <c r="Q171"/>
  <c r="O171"/>
  <c r="M171"/>
  <c r="K171"/>
  <c r="I171"/>
  <c r="G171"/>
  <c r="E171"/>
  <c r="C171"/>
  <c r="R170"/>
  <c r="S170" s="1"/>
  <c r="Q170"/>
  <c r="O170"/>
  <c r="M170"/>
  <c r="K170"/>
  <c r="I170"/>
  <c r="G170"/>
  <c r="E170"/>
  <c r="C170"/>
  <c r="R169"/>
  <c r="S169" s="1"/>
  <c r="Q169"/>
  <c r="O169"/>
  <c r="M169"/>
  <c r="K169"/>
  <c r="I169"/>
  <c r="G169"/>
  <c r="E169"/>
  <c r="C169"/>
  <c r="R168"/>
  <c r="S168" s="1"/>
  <c r="Q168"/>
  <c r="O168"/>
  <c r="M168"/>
  <c r="K168"/>
  <c r="I168"/>
  <c r="G168"/>
  <c r="E168"/>
  <c r="C168"/>
  <c r="R167"/>
  <c r="S167" s="1"/>
  <c r="Q167"/>
  <c r="O167"/>
  <c r="M167"/>
  <c r="K167"/>
  <c r="I167"/>
  <c r="G167"/>
  <c r="E167"/>
  <c r="C167"/>
  <c r="R166"/>
  <c r="S166" s="1"/>
  <c r="Q166"/>
  <c r="O166"/>
  <c r="M166"/>
  <c r="K166"/>
  <c r="I166"/>
  <c r="G166"/>
  <c r="E166"/>
  <c r="C166"/>
  <c r="R165"/>
  <c r="S165" s="1"/>
  <c r="Q165"/>
  <c r="O165"/>
  <c r="M165"/>
  <c r="K165"/>
  <c r="I165"/>
  <c r="G165"/>
  <c r="E165"/>
  <c r="C165"/>
  <c r="Q164"/>
  <c r="O164"/>
  <c r="M164"/>
  <c r="K164"/>
  <c r="I164"/>
  <c r="G164"/>
  <c r="E164"/>
  <c r="Q163"/>
  <c r="O163"/>
  <c r="M163"/>
  <c r="K163"/>
  <c r="I163"/>
  <c r="G163"/>
  <c r="E163"/>
  <c r="C163"/>
  <c r="Q162"/>
  <c r="O162"/>
  <c r="M162"/>
  <c r="K162"/>
  <c r="I162"/>
  <c r="G162"/>
  <c r="E162"/>
  <c r="Q161"/>
  <c r="O161"/>
  <c r="M161"/>
  <c r="K161"/>
  <c r="I161"/>
  <c r="G161"/>
  <c r="E161"/>
  <c r="C161"/>
  <c r="Q160"/>
  <c r="O160"/>
  <c r="M160"/>
  <c r="K160"/>
  <c r="I160"/>
  <c r="G160"/>
  <c r="E160"/>
  <c r="Q159"/>
  <c r="O159"/>
  <c r="M159"/>
  <c r="K159"/>
  <c r="I159"/>
  <c r="G159"/>
  <c r="E159"/>
  <c r="C159"/>
  <c r="Q158"/>
  <c r="O158"/>
  <c r="M158"/>
  <c r="K158"/>
  <c r="I158"/>
  <c r="G158"/>
  <c r="E158"/>
  <c r="Q157"/>
  <c r="O157"/>
  <c r="M157"/>
  <c r="K157"/>
  <c r="I157"/>
  <c r="G157"/>
  <c r="E157"/>
  <c r="C157"/>
  <c r="Q156"/>
  <c r="O156"/>
  <c r="M156"/>
  <c r="K156"/>
  <c r="I156"/>
  <c r="G156"/>
  <c r="E156"/>
  <c r="Q155"/>
  <c r="O155"/>
  <c r="M155"/>
  <c r="K155"/>
  <c r="I155"/>
  <c r="G155"/>
  <c r="E155"/>
  <c r="C155"/>
  <c r="Q154"/>
  <c r="O154"/>
  <c r="M154"/>
  <c r="K154"/>
  <c r="I154"/>
  <c r="G154"/>
  <c r="E154"/>
  <c r="Q153"/>
  <c r="O153"/>
  <c r="M153"/>
  <c r="K153"/>
  <c r="I153"/>
  <c r="G153"/>
  <c r="E153"/>
  <c r="C153"/>
  <c r="Q152"/>
  <c r="O152"/>
  <c r="M152"/>
  <c r="K152"/>
  <c r="I152"/>
  <c r="G152"/>
  <c r="E152"/>
  <c r="Q151"/>
  <c r="O151"/>
  <c r="M151"/>
  <c r="K151"/>
  <c r="I151"/>
  <c r="G151"/>
  <c r="E151"/>
  <c r="C151"/>
  <c r="Q150"/>
  <c r="O150"/>
  <c r="M150"/>
  <c r="K150"/>
  <c r="I150"/>
  <c r="G150"/>
  <c r="E150"/>
  <c r="Q149"/>
  <c r="O149"/>
  <c r="M149"/>
  <c r="K149"/>
  <c r="I149"/>
  <c r="G149"/>
  <c r="E149"/>
  <c r="C149"/>
  <c r="Q148"/>
  <c r="O148"/>
  <c r="M148"/>
  <c r="K148"/>
  <c r="I148"/>
  <c r="G148"/>
  <c r="E148"/>
  <c r="Q147"/>
  <c r="O147"/>
  <c r="M147"/>
  <c r="K147"/>
  <c r="I147"/>
  <c r="G147"/>
  <c r="E147"/>
  <c r="C147"/>
  <c r="Q146"/>
  <c r="O146"/>
  <c r="M146"/>
  <c r="K146"/>
  <c r="I146"/>
  <c r="G146"/>
  <c r="E146"/>
  <c r="Q145"/>
  <c r="O145"/>
  <c r="M145"/>
  <c r="K145"/>
  <c r="I145"/>
  <c r="G145"/>
  <c r="E145"/>
  <c r="C145"/>
  <c r="Q144"/>
  <c r="O144"/>
  <c r="M144"/>
  <c r="K144"/>
  <c r="I144"/>
  <c r="G144"/>
  <c r="E144"/>
  <c r="Q143"/>
  <c r="O143"/>
  <c r="M143"/>
  <c r="K143"/>
  <c r="I143"/>
  <c r="G143"/>
  <c r="E143"/>
  <c r="C143"/>
  <c r="Q142"/>
  <c r="O142"/>
  <c r="M142"/>
  <c r="K142"/>
  <c r="I142"/>
  <c r="G142"/>
  <c r="E142"/>
  <c r="Q141"/>
  <c r="O141"/>
  <c r="M141"/>
  <c r="K141"/>
  <c r="I141"/>
  <c r="G141"/>
  <c r="E141"/>
  <c r="C141"/>
  <c r="Q140"/>
  <c r="O140"/>
  <c r="M140"/>
  <c r="K140"/>
  <c r="I140"/>
  <c r="G140"/>
  <c r="E140"/>
  <c r="Q139"/>
  <c r="O139"/>
  <c r="M139"/>
  <c r="K139"/>
  <c r="I139"/>
  <c r="G139"/>
  <c r="E139"/>
  <c r="C139"/>
  <c r="Q138"/>
  <c r="O138"/>
  <c r="M138"/>
  <c r="K138"/>
  <c r="I138"/>
  <c r="G138"/>
  <c r="E138"/>
  <c r="Q137"/>
  <c r="O137"/>
  <c r="M137"/>
  <c r="K137"/>
  <c r="I137"/>
  <c r="G137"/>
  <c r="E137"/>
  <c r="C137"/>
  <c r="Q136"/>
  <c r="O136"/>
  <c r="M136"/>
  <c r="K136"/>
  <c r="I136"/>
  <c r="G136"/>
  <c r="E136"/>
  <c r="Q135"/>
  <c r="O135"/>
  <c r="M135"/>
  <c r="K135"/>
  <c r="I135"/>
  <c r="G135"/>
  <c r="E135"/>
  <c r="C135"/>
  <c r="Q134"/>
  <c r="O134"/>
  <c r="M134"/>
  <c r="K134"/>
  <c r="I134"/>
  <c r="G134"/>
  <c r="E134"/>
  <c r="Q133"/>
  <c r="O133"/>
  <c r="M133"/>
  <c r="K133"/>
  <c r="I133"/>
  <c r="G133"/>
  <c r="E133"/>
  <c r="C133"/>
  <c r="Q132"/>
  <c r="O132"/>
  <c r="M132"/>
  <c r="K132"/>
  <c r="I132"/>
  <c r="G132"/>
  <c r="E132"/>
  <c r="Q131"/>
  <c r="O131"/>
  <c r="M131"/>
  <c r="K131"/>
  <c r="I131"/>
  <c r="G131"/>
  <c r="E131"/>
  <c r="C131"/>
  <c r="Q130"/>
  <c r="O130"/>
  <c r="M130"/>
  <c r="K130"/>
  <c r="I130"/>
  <c r="G130"/>
  <c r="E130"/>
  <c r="Q129"/>
  <c r="O129"/>
  <c r="M129"/>
  <c r="K129"/>
  <c r="I129"/>
  <c r="G129"/>
  <c r="E129"/>
  <c r="C129"/>
  <c r="Q128"/>
  <c r="O128"/>
  <c r="M128"/>
  <c r="K128"/>
  <c r="I128"/>
  <c r="G128"/>
  <c r="E128"/>
  <c r="Q127"/>
  <c r="O127"/>
  <c r="M127"/>
  <c r="K127"/>
  <c r="I127"/>
  <c r="G127"/>
  <c r="E127"/>
  <c r="C127"/>
  <c r="Q126"/>
  <c r="O126"/>
  <c r="M126"/>
  <c r="K126"/>
  <c r="I126"/>
  <c r="G126"/>
  <c r="E126"/>
  <c r="Q125"/>
  <c r="O125"/>
  <c r="M125"/>
  <c r="K125"/>
  <c r="I125"/>
  <c r="G125"/>
  <c r="E125"/>
  <c r="C125"/>
  <c r="Q124"/>
  <c r="O124"/>
  <c r="M124"/>
  <c r="K124"/>
  <c r="I124"/>
  <c r="G124"/>
  <c r="E124"/>
  <c r="Q123"/>
  <c r="O123"/>
  <c r="M123"/>
  <c r="K123"/>
  <c r="I123"/>
  <c r="G123"/>
  <c r="E123"/>
  <c r="C123"/>
  <c r="Q122"/>
  <c r="O122"/>
  <c r="M122"/>
  <c r="K122"/>
  <c r="I122"/>
  <c r="G122"/>
  <c r="E122"/>
  <c r="Q121"/>
  <c r="O121"/>
  <c r="M121"/>
  <c r="K121"/>
  <c r="I121"/>
  <c r="G121"/>
  <c r="E121"/>
  <c r="C121"/>
  <c r="Q120"/>
  <c r="O120"/>
  <c r="M120"/>
  <c r="K120"/>
  <c r="I120"/>
  <c r="G120"/>
  <c r="E120"/>
  <c r="Q119"/>
  <c r="O119"/>
  <c r="M119"/>
  <c r="K119"/>
  <c r="I119"/>
  <c r="G119"/>
  <c r="E119"/>
  <c r="C119"/>
  <c r="Q118"/>
  <c r="O118"/>
  <c r="M118"/>
  <c r="K118"/>
  <c r="I118"/>
  <c r="G118"/>
  <c r="E118"/>
  <c r="Q117"/>
  <c r="O117"/>
  <c r="M117"/>
  <c r="K117"/>
  <c r="I117"/>
  <c r="G117"/>
  <c r="E117"/>
  <c r="C117"/>
  <c r="Q116"/>
  <c r="O116"/>
  <c r="M116"/>
  <c r="K116"/>
  <c r="I116"/>
  <c r="G116"/>
  <c r="E116"/>
  <c r="Q115"/>
  <c r="O115"/>
  <c r="M115"/>
  <c r="K115"/>
  <c r="I115"/>
  <c r="G115"/>
  <c r="E115"/>
  <c r="C115"/>
  <c r="Q114"/>
  <c r="O114"/>
  <c r="M114"/>
  <c r="K114"/>
  <c r="I114"/>
  <c r="G114"/>
  <c r="E114"/>
  <c r="Q113"/>
  <c r="O113"/>
  <c r="M113"/>
  <c r="K113"/>
  <c r="I113"/>
  <c r="G113"/>
  <c r="E113"/>
  <c r="C113"/>
  <c r="Q112"/>
  <c r="O112"/>
  <c r="M112"/>
  <c r="K112"/>
  <c r="I112"/>
  <c r="G112"/>
  <c r="E112"/>
  <c r="Q111"/>
  <c r="O111"/>
  <c r="M111"/>
  <c r="K111"/>
  <c r="I111"/>
  <c r="G111"/>
  <c r="E111"/>
  <c r="C111"/>
  <c r="Q110"/>
  <c r="O110"/>
  <c r="M110"/>
  <c r="K110"/>
  <c r="I110"/>
  <c r="G110"/>
  <c r="E110"/>
  <c r="Q109"/>
  <c r="O109"/>
  <c r="M109"/>
  <c r="K109"/>
  <c r="I109"/>
  <c r="G109"/>
  <c r="E109"/>
  <c r="C109"/>
  <c r="Q108"/>
  <c r="O108"/>
  <c r="M108"/>
  <c r="K108"/>
  <c r="I108"/>
  <c r="G108"/>
  <c r="E108"/>
  <c r="Q107"/>
  <c r="O107"/>
  <c r="M107"/>
  <c r="K107"/>
  <c r="I107"/>
  <c r="G107"/>
  <c r="E107"/>
  <c r="C107"/>
  <c r="Q106"/>
  <c r="O106"/>
  <c r="M106"/>
  <c r="K106"/>
  <c r="I106"/>
  <c r="G106"/>
  <c r="E106"/>
  <c r="Q105"/>
  <c r="O105"/>
  <c r="M105"/>
  <c r="K105"/>
  <c r="I105"/>
  <c r="G105"/>
  <c r="E105"/>
  <c r="C105"/>
  <c r="Q104"/>
  <c r="O104"/>
  <c r="M104"/>
  <c r="K104"/>
  <c r="I104"/>
  <c r="G104"/>
  <c r="E104"/>
  <c r="Q103"/>
  <c r="O103"/>
  <c r="M103"/>
  <c r="K103"/>
  <c r="I103"/>
  <c r="G103"/>
  <c r="E103"/>
  <c r="C103"/>
  <c r="Q102"/>
  <c r="O102"/>
  <c r="M102"/>
  <c r="K102"/>
  <c r="I102"/>
  <c r="G102"/>
  <c r="E102"/>
  <c r="Q101"/>
  <c r="O101"/>
  <c r="M101"/>
  <c r="K101"/>
  <c r="I101"/>
  <c r="G101"/>
  <c r="E101"/>
  <c r="C101"/>
  <c r="Q100"/>
  <c r="O100"/>
  <c r="M100"/>
  <c r="K100"/>
  <c r="I100"/>
  <c r="G100"/>
  <c r="E100"/>
  <c r="Q99"/>
  <c r="O99"/>
  <c r="M99"/>
  <c r="K99"/>
  <c r="I99"/>
  <c r="G99"/>
  <c r="E99"/>
  <c r="Q98"/>
  <c r="O98"/>
  <c r="M98"/>
  <c r="K98"/>
  <c r="I98"/>
  <c r="G98"/>
  <c r="E98"/>
  <c r="Q97"/>
  <c r="O97"/>
  <c r="M97"/>
  <c r="K97"/>
  <c r="I97"/>
  <c r="G97"/>
  <c r="E97"/>
  <c r="C97"/>
  <c r="Q96"/>
  <c r="O96"/>
  <c r="M96"/>
  <c r="K96"/>
  <c r="I96"/>
  <c r="G96"/>
  <c r="E96"/>
  <c r="Q95"/>
  <c r="O95"/>
  <c r="M95"/>
  <c r="K95"/>
  <c r="I95"/>
  <c r="G95"/>
  <c r="E95"/>
  <c r="Q94"/>
  <c r="O94"/>
  <c r="M94"/>
  <c r="K94"/>
  <c r="I94"/>
  <c r="G94"/>
  <c r="E94"/>
  <c r="Q93"/>
  <c r="O93"/>
  <c r="M93"/>
  <c r="K93"/>
  <c r="I93"/>
  <c r="G93"/>
  <c r="E93"/>
  <c r="C93"/>
  <c r="Q92"/>
  <c r="O92"/>
  <c r="M92"/>
  <c r="K92"/>
  <c r="I92"/>
  <c r="G92"/>
  <c r="E92"/>
  <c r="Q91"/>
  <c r="O91"/>
  <c r="M91"/>
  <c r="K91"/>
  <c r="I91"/>
  <c r="G91"/>
  <c r="E91"/>
  <c r="Q90"/>
  <c r="O90"/>
  <c r="M90"/>
  <c r="K90"/>
  <c r="I90"/>
  <c r="G90"/>
  <c r="E90"/>
  <c r="Q89"/>
  <c r="O89"/>
  <c r="M89"/>
  <c r="K89"/>
  <c r="I89"/>
  <c r="G89"/>
  <c r="E89"/>
  <c r="C89"/>
  <c r="Q88"/>
  <c r="O88"/>
  <c r="M88"/>
  <c r="K88"/>
  <c r="I88"/>
  <c r="G88"/>
  <c r="E88"/>
  <c r="Q87"/>
  <c r="O87"/>
  <c r="M87"/>
  <c r="K87"/>
  <c r="I87"/>
  <c r="G87"/>
  <c r="E87"/>
  <c r="Q86"/>
  <c r="O86"/>
  <c r="M86"/>
  <c r="K86"/>
  <c r="I86"/>
  <c r="G86"/>
  <c r="E86"/>
  <c r="Q85"/>
  <c r="O85"/>
  <c r="M85"/>
  <c r="K85"/>
  <c r="I85"/>
  <c r="G85"/>
  <c r="E85"/>
  <c r="C85"/>
  <c r="Q84"/>
  <c r="O84"/>
  <c r="M84"/>
  <c r="K84"/>
  <c r="I84"/>
  <c r="G84"/>
  <c r="E84"/>
  <c r="Q83"/>
  <c r="O83"/>
  <c r="M83"/>
  <c r="K83"/>
  <c r="I83"/>
  <c r="G83"/>
  <c r="E83"/>
  <c r="Q82"/>
  <c r="O82"/>
  <c r="M82"/>
  <c r="K82"/>
  <c r="I82"/>
  <c r="G82"/>
  <c r="E82"/>
  <c r="Q81"/>
  <c r="O81"/>
  <c r="M81"/>
  <c r="K81"/>
  <c r="I81"/>
  <c r="G81"/>
  <c r="E81"/>
  <c r="C81"/>
  <c r="Q80"/>
  <c r="O80"/>
  <c r="M80"/>
  <c r="K80"/>
  <c r="I80"/>
  <c r="G80"/>
  <c r="E80"/>
  <c r="Q79"/>
  <c r="O79"/>
  <c r="M79"/>
  <c r="K79"/>
  <c r="I79"/>
  <c r="G79"/>
  <c r="E79"/>
  <c r="Q78"/>
  <c r="O78"/>
  <c r="M78"/>
  <c r="K78"/>
  <c r="I78"/>
  <c r="G78"/>
  <c r="E78"/>
  <c r="Q77"/>
  <c r="O77"/>
  <c r="M77"/>
  <c r="K77"/>
  <c r="I77"/>
  <c r="G77"/>
  <c r="E77"/>
  <c r="C77"/>
  <c r="Q76"/>
  <c r="O76"/>
  <c r="M76"/>
  <c r="K76"/>
  <c r="I76"/>
  <c r="G76"/>
  <c r="E76"/>
  <c r="Q75"/>
  <c r="O75"/>
  <c r="M75"/>
  <c r="K75"/>
  <c r="I75"/>
  <c r="G75"/>
  <c r="E75"/>
  <c r="Q74"/>
  <c r="O74"/>
  <c r="M74"/>
  <c r="K74"/>
  <c r="I74"/>
  <c r="G74"/>
  <c r="E74"/>
  <c r="Q73"/>
  <c r="O73"/>
  <c r="M73"/>
  <c r="K73"/>
  <c r="I73"/>
  <c r="G73"/>
  <c r="E73"/>
  <c r="C73"/>
  <c r="Q72"/>
  <c r="O72"/>
  <c r="M72"/>
  <c r="K72"/>
  <c r="I72"/>
  <c r="G72"/>
  <c r="E72"/>
  <c r="Q71"/>
  <c r="O71"/>
  <c r="M71"/>
  <c r="K71"/>
  <c r="I71"/>
  <c r="G71"/>
  <c r="E71"/>
  <c r="Q70"/>
  <c r="O70"/>
  <c r="M70"/>
  <c r="K70"/>
  <c r="I70"/>
  <c r="G70"/>
  <c r="E70"/>
  <c r="Q69"/>
  <c r="O69"/>
  <c r="M69"/>
  <c r="K69"/>
  <c r="I69"/>
  <c r="G69"/>
  <c r="E69"/>
  <c r="C69"/>
  <c r="Q68"/>
  <c r="O68"/>
  <c r="M68"/>
  <c r="K68"/>
  <c r="I68"/>
  <c r="G68"/>
  <c r="E68"/>
  <c r="Q67"/>
  <c r="O67"/>
  <c r="M67"/>
  <c r="K67"/>
  <c r="I67"/>
  <c r="G67"/>
  <c r="E67"/>
  <c r="Q66"/>
  <c r="O66"/>
  <c r="M66"/>
  <c r="K66"/>
  <c r="I66"/>
  <c r="G66"/>
  <c r="E66"/>
  <c r="Q65"/>
  <c r="O65"/>
  <c r="M65"/>
  <c r="K65"/>
  <c r="I65"/>
  <c r="G65"/>
  <c r="E65"/>
  <c r="C65"/>
  <c r="Q64"/>
  <c r="O64"/>
  <c r="M64"/>
  <c r="K64"/>
  <c r="I64"/>
  <c r="G64"/>
  <c r="E64"/>
  <c r="Q63"/>
  <c r="O63"/>
  <c r="M63"/>
  <c r="K63"/>
  <c r="I63"/>
  <c r="G63"/>
  <c r="E63"/>
  <c r="Q62"/>
  <c r="O62"/>
  <c r="M62"/>
  <c r="K62"/>
  <c r="I62"/>
  <c r="G62"/>
  <c r="E62"/>
  <c r="Q61"/>
  <c r="O61"/>
  <c r="M61"/>
  <c r="K61"/>
  <c r="I61"/>
  <c r="G61"/>
  <c r="E61"/>
  <c r="C61"/>
  <c r="Q60"/>
  <c r="O60"/>
  <c r="M60"/>
  <c r="K60"/>
  <c r="I60"/>
  <c r="G60"/>
  <c r="E60"/>
  <c r="Q59"/>
  <c r="O59"/>
  <c r="M59"/>
  <c r="K59"/>
  <c r="I59"/>
  <c r="G59"/>
  <c r="E59"/>
  <c r="Q58"/>
  <c r="O58"/>
  <c r="M58"/>
  <c r="K58"/>
  <c r="I58"/>
  <c r="G58"/>
  <c r="E58"/>
  <c r="Q57"/>
  <c r="O57"/>
  <c r="M57"/>
  <c r="K57"/>
  <c r="I57"/>
  <c r="G57"/>
  <c r="E57"/>
  <c r="C57"/>
  <c r="Q56"/>
  <c r="O56"/>
  <c r="M56"/>
  <c r="K56"/>
  <c r="I56"/>
  <c r="G56"/>
  <c r="E56"/>
  <c r="Q55"/>
  <c r="O55"/>
  <c r="M55"/>
  <c r="K55"/>
  <c r="I55"/>
  <c r="G55"/>
  <c r="E55"/>
  <c r="Q54"/>
  <c r="O54"/>
  <c r="M54"/>
  <c r="K54"/>
  <c r="I54"/>
  <c r="G54"/>
  <c r="E54"/>
  <c r="Q53"/>
  <c r="O53"/>
  <c r="M53"/>
  <c r="K53"/>
  <c r="I53"/>
  <c r="G53"/>
  <c r="E53"/>
  <c r="C53"/>
  <c r="Q52"/>
  <c r="O52"/>
  <c r="M52"/>
  <c r="K52"/>
  <c r="I52"/>
  <c r="G52"/>
  <c r="E52"/>
  <c r="Q51"/>
  <c r="O51"/>
  <c r="M51"/>
  <c r="K51"/>
  <c r="I51"/>
  <c r="G51"/>
  <c r="E51"/>
  <c r="Q50"/>
  <c r="O50"/>
  <c r="M50"/>
  <c r="K50"/>
  <c r="I50"/>
  <c r="G50"/>
  <c r="E50"/>
  <c r="Q49"/>
  <c r="O49"/>
  <c r="M49"/>
  <c r="K49"/>
  <c r="I49"/>
  <c r="G49"/>
  <c r="E49"/>
  <c r="C49"/>
  <c r="Q48"/>
  <c r="O48"/>
  <c r="M48"/>
  <c r="K48"/>
  <c r="I48"/>
  <c r="G48"/>
  <c r="E48"/>
  <c r="Q47"/>
  <c r="O47"/>
  <c r="M47"/>
  <c r="K47"/>
  <c r="I47"/>
  <c r="G47"/>
  <c r="E47"/>
  <c r="Q46"/>
  <c r="O46"/>
  <c r="M46"/>
  <c r="K46"/>
  <c r="I46"/>
  <c r="G46"/>
  <c r="E46"/>
  <c r="Q45"/>
  <c r="O45"/>
  <c r="M45"/>
  <c r="K45"/>
  <c r="I45"/>
  <c r="G45"/>
  <c r="E45"/>
  <c r="C45"/>
  <c r="Q44"/>
  <c r="O44"/>
  <c r="M44"/>
  <c r="K44"/>
  <c r="I44"/>
  <c r="G44"/>
  <c r="E44"/>
  <c r="Q43"/>
  <c r="O43"/>
  <c r="M43"/>
  <c r="K43"/>
  <c r="I43"/>
  <c r="G43"/>
  <c r="E43"/>
  <c r="Q42"/>
  <c r="O42"/>
  <c r="M42"/>
  <c r="K42"/>
  <c r="I42"/>
  <c r="G42"/>
  <c r="E42"/>
  <c r="Q41"/>
  <c r="O41"/>
  <c r="M41"/>
  <c r="K41"/>
  <c r="I41"/>
  <c r="G41"/>
  <c r="E41"/>
  <c r="Q40"/>
  <c r="O40"/>
  <c r="M40"/>
  <c r="K40"/>
  <c r="I40"/>
  <c r="G40"/>
  <c r="E40"/>
  <c r="Q39"/>
  <c r="O39"/>
  <c r="M39"/>
  <c r="K39"/>
  <c r="I39"/>
  <c r="G39"/>
  <c r="E39"/>
  <c r="Q38"/>
  <c r="O38"/>
  <c r="M38"/>
  <c r="K38"/>
  <c r="I38"/>
  <c r="G38"/>
  <c r="E38"/>
  <c r="Q37"/>
  <c r="O37"/>
  <c r="M37"/>
  <c r="K37"/>
  <c r="I37"/>
  <c r="G37"/>
  <c r="E37"/>
  <c r="Q36"/>
  <c r="O36"/>
  <c r="M36"/>
  <c r="K36"/>
  <c r="I36"/>
  <c r="G36"/>
  <c r="E36"/>
  <c r="Q35"/>
  <c r="O35"/>
  <c r="M35"/>
  <c r="K35"/>
  <c r="I35"/>
  <c r="G35"/>
  <c r="E35"/>
  <c r="Q34"/>
  <c r="O34"/>
  <c r="M34"/>
  <c r="K34"/>
  <c r="I34"/>
  <c r="G34"/>
  <c r="E34"/>
  <c r="Q33"/>
  <c r="O33"/>
  <c r="M33"/>
  <c r="K33"/>
  <c r="I33"/>
  <c r="G33"/>
  <c r="E33"/>
  <c r="Q32"/>
  <c r="O32"/>
  <c r="M32"/>
  <c r="K32"/>
  <c r="I32"/>
  <c r="G32"/>
  <c r="E32"/>
  <c r="Q31"/>
  <c r="O31"/>
  <c r="M31"/>
  <c r="K31"/>
  <c r="I31"/>
  <c r="G31"/>
  <c r="E31"/>
  <c r="Q30"/>
  <c r="O30"/>
  <c r="M30"/>
  <c r="K30"/>
  <c r="I30"/>
  <c r="G30"/>
  <c r="E30"/>
  <c r="Q29"/>
  <c r="O29"/>
  <c r="M29"/>
  <c r="K29"/>
  <c r="I29"/>
  <c r="G29"/>
  <c r="E29"/>
  <c r="Q28"/>
  <c r="O28"/>
  <c r="M28"/>
  <c r="K28"/>
  <c r="I28"/>
  <c r="G28"/>
  <c r="E28"/>
  <c r="Q27"/>
  <c r="O27"/>
  <c r="M27"/>
  <c r="K27"/>
  <c r="I27"/>
  <c r="G27"/>
  <c r="E27"/>
  <c r="Q26"/>
  <c r="O26"/>
  <c r="M26"/>
  <c r="K26"/>
  <c r="I26"/>
  <c r="G26"/>
  <c r="E26"/>
  <c r="Q25"/>
  <c r="O25"/>
  <c r="M25"/>
  <c r="K25"/>
  <c r="I25"/>
  <c r="G25"/>
  <c r="E25"/>
  <c r="P23"/>
  <c r="N23"/>
  <c r="L23"/>
  <c r="J23"/>
  <c r="H23"/>
  <c r="F23"/>
  <c r="D23"/>
  <c r="F20"/>
  <c r="N15" i="79" l="1"/>
  <c r="I29"/>
  <c r="M13"/>
  <c r="M16" s="1"/>
  <c r="N11"/>
  <c r="N12"/>
  <c r="C99" i="81"/>
  <c r="C95"/>
  <c r="C91"/>
  <c r="C87"/>
  <c r="C83"/>
  <c r="C79"/>
  <c r="C75"/>
  <c r="C71"/>
  <c r="C67"/>
  <c r="C63"/>
  <c r="C59"/>
  <c r="C55"/>
  <c r="C51"/>
  <c r="C47"/>
  <c r="C43"/>
  <c r="B22"/>
  <c r="C42"/>
  <c r="C44"/>
  <c r="C46"/>
  <c r="C48"/>
  <c r="C50"/>
  <c r="C52"/>
  <c r="C54"/>
  <c r="C56"/>
  <c r="C58"/>
  <c r="C60"/>
  <c r="C62"/>
  <c r="C64"/>
  <c r="C66"/>
  <c r="C68"/>
  <c r="C70"/>
  <c r="C72"/>
  <c r="C74"/>
  <c r="C76"/>
  <c r="C78"/>
  <c r="C80"/>
  <c r="C82"/>
  <c r="C84"/>
  <c r="C86"/>
  <c r="C88"/>
  <c r="C90"/>
  <c r="C92"/>
  <c r="C94"/>
  <c r="C96"/>
  <c r="C98"/>
  <c r="C100"/>
  <c r="C102"/>
  <c r="C104"/>
  <c r="C106"/>
  <c r="C108"/>
  <c r="C110"/>
  <c r="C112"/>
  <c r="C114"/>
  <c r="C116"/>
  <c r="C118"/>
  <c r="C120"/>
  <c r="C122"/>
  <c r="C124"/>
  <c r="C126"/>
  <c r="C128"/>
  <c r="C130"/>
  <c r="C132"/>
  <c r="C134"/>
  <c r="C136"/>
  <c r="C138"/>
  <c r="C140"/>
  <c r="C142"/>
  <c r="C144"/>
  <c r="C146"/>
  <c r="C148"/>
  <c r="C150"/>
  <c r="C152"/>
  <c r="C154"/>
  <c r="C156"/>
  <c r="C158"/>
  <c r="C160"/>
  <c r="C162"/>
  <c r="C164"/>
  <c r="C25"/>
  <c r="C26"/>
  <c r="C27"/>
  <c r="C28"/>
  <c r="C29"/>
  <c r="C30"/>
  <c r="C31"/>
  <c r="C32"/>
  <c r="C33"/>
  <c r="C34"/>
  <c r="C35"/>
  <c r="C36"/>
  <c r="C37"/>
  <c r="C38"/>
  <c r="C39"/>
  <c r="C40"/>
  <c r="C41"/>
  <c r="E12"/>
  <c r="F12" s="1"/>
  <c r="G12" s="1"/>
  <c r="H12" s="1"/>
  <c r="I12" s="1"/>
  <c r="J12" s="1"/>
  <c r="K12" s="1"/>
  <c r="L12" s="1"/>
  <c r="M12" s="1"/>
  <c r="N12" s="1"/>
  <c r="O12" s="1"/>
  <c r="P12" s="1"/>
  <c r="Q12" s="1"/>
  <c r="R12" s="1"/>
  <c r="S12" s="1"/>
  <c r="D12"/>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S2"/>
  <c r="R2"/>
  <c r="Q2"/>
  <c r="P2"/>
  <c r="O2"/>
  <c r="N2"/>
  <c r="M2"/>
  <c r="L2"/>
  <c r="K2"/>
  <c r="J2"/>
  <c r="I2"/>
  <c r="H2"/>
  <c r="G2"/>
  <c r="F2"/>
  <c r="E2"/>
  <c r="D2"/>
  <c r="C2"/>
  <c r="A120" i="80"/>
  <c r="E111"/>
  <c r="A126" s="1"/>
  <c r="E109"/>
  <c r="A124" s="1"/>
  <c r="E107"/>
  <c r="A122" s="1"/>
  <c r="H106"/>
  <c r="H105"/>
  <c r="H104"/>
  <c r="H103"/>
  <c r="D120" s="1"/>
  <c r="D101"/>
  <c r="C101"/>
  <c r="C91"/>
  <c r="E90"/>
  <c r="D89"/>
  <c r="C89" s="1"/>
  <c r="C87" s="1"/>
  <c r="H77"/>
  <c r="D77"/>
  <c r="C76"/>
  <c r="F59"/>
  <c r="E59"/>
  <c r="D59"/>
  <c r="F56"/>
  <c r="O55"/>
  <c r="N55"/>
  <c r="M55"/>
  <c r="K55"/>
  <c r="J55"/>
  <c r="I55"/>
  <c r="F55" s="1"/>
  <c r="O53" s="1"/>
  <c r="O54"/>
  <c r="N54"/>
  <c r="N53"/>
  <c r="K49"/>
  <c r="F48"/>
  <c r="O52" s="1"/>
  <c r="E48"/>
  <c r="N52" s="1"/>
  <c r="D48"/>
  <c r="M52" s="1"/>
  <c r="D35"/>
  <c r="H109" l="1"/>
  <c r="D124" s="1"/>
  <c r="D125" s="1"/>
  <c r="C92"/>
  <c r="C94"/>
  <c r="K120"/>
  <c r="D121"/>
  <c r="H110"/>
  <c r="F33"/>
  <c r="B30"/>
  <c r="C24" s="1"/>
  <c r="D27"/>
  <c r="D30" s="1"/>
  <c r="C30" s="1"/>
  <c r="C25"/>
  <c r="D34"/>
  <c r="D17" l="1"/>
  <c r="C17"/>
  <c r="L4"/>
  <c r="K4"/>
  <c r="H1"/>
  <c r="Q72" i="78"/>
  <c r="Q59"/>
  <c r="F59"/>
  <c r="Q58"/>
  <c r="Q51"/>
  <c r="J50"/>
  <c r="M47"/>
  <c r="C18" i="80" l="1"/>
  <c r="D18" s="1"/>
  <c r="D46" i="78"/>
  <c r="F33"/>
  <c r="F61" s="1"/>
  <c r="F31"/>
  <c r="F23"/>
  <c r="D24" s="1"/>
  <c r="F21"/>
  <c r="F20"/>
  <c r="M19"/>
  <c r="F18"/>
  <c r="M17"/>
  <c r="F17"/>
  <c r="F15"/>
  <c r="I37" i="35"/>
  <c r="G37"/>
  <c r="E37"/>
  <c r="C6"/>
  <c r="B25" i="31"/>
  <c r="B26"/>
  <c r="B27"/>
  <c r="B28"/>
  <c r="B29"/>
  <c r="B30"/>
  <c r="B31"/>
  <c r="B32"/>
  <c r="B33"/>
  <c r="B34"/>
  <c r="B35"/>
  <c r="B36"/>
  <c r="B37"/>
  <c r="B38"/>
  <c r="B39"/>
  <c r="B40"/>
  <c r="B41"/>
  <c r="A38"/>
  <c r="A39"/>
  <c r="A40"/>
  <c r="A41"/>
  <c r="A25"/>
  <c r="A26"/>
  <c r="A27"/>
  <c r="A28"/>
  <c r="A29"/>
  <c r="A30"/>
  <c r="A31"/>
  <c r="A32"/>
  <c r="A33"/>
  <c r="A34"/>
  <c r="A35"/>
  <c r="A36"/>
  <c r="A37"/>
  <c r="B24"/>
  <c r="A24"/>
  <c r="E107" i="79"/>
  <c r="F22"/>
  <c r="K10" s="1"/>
  <c r="N10" l="1"/>
  <c r="N13" s="1"/>
  <c r="N16" s="1"/>
  <c r="K13"/>
  <c r="K16" s="1"/>
  <c r="K18" s="1"/>
  <c r="D22" i="78"/>
  <c r="D23"/>
  <c r="G21" i="6"/>
  <c r="F19"/>
  <c r="F38" i="77"/>
  <c r="F37"/>
  <c r="F36"/>
  <c r="L29"/>
  <c r="K29"/>
  <c r="M29" s="1"/>
  <c r="F28" s="1"/>
  <c r="G22"/>
  <c r="G25" s="1"/>
  <c r="P9"/>
  <c r="F7"/>
  <c r="E7" s="1"/>
  <c r="E23" s="1"/>
  <c r="F39" l="1"/>
  <c r="F23"/>
  <c r="E25" s="1"/>
  <c r="E28" s="1"/>
  <c r="A21" i="62" l="1"/>
  <c r="A20"/>
  <c r="A22" i="51"/>
  <c r="A21"/>
  <c r="A20"/>
  <c r="A14" i="62" l="1"/>
  <c r="A13"/>
  <c r="A2" i="53"/>
  <c r="A19" i="62" l="1"/>
  <c r="A12"/>
  <c r="A120" i="9"/>
  <c r="H2" i="52"/>
  <c r="A1"/>
  <c r="A3" i="53"/>
  <c r="L5" i="71" l="1"/>
  <c r="Q5" s="1"/>
  <c r="K5"/>
  <c r="P5" s="1"/>
  <c r="J5"/>
  <c r="O5" s="1"/>
  <c r="I5"/>
  <c r="N5" s="1"/>
  <c r="D5" i="43" l="1"/>
  <c r="B8" i="76"/>
  <c r="E8"/>
  <c r="B10"/>
  <c r="E10"/>
  <c r="B12"/>
  <c r="B11"/>
  <c r="B9"/>
  <c r="E12"/>
  <c r="B13"/>
  <c r="E9"/>
  <c r="E13"/>
  <c r="E7"/>
  <c r="E11"/>
  <c r="B7"/>
  <c r="P15" i="79" l="1"/>
  <c r="A15" i="51"/>
  <c r="C76" i="9" l="1"/>
  <c r="I107" i="40" l="1"/>
  <c r="K6" i="4" l="1"/>
  <c r="N56" i="80" l="1"/>
  <c r="K56"/>
  <c r="M56"/>
  <c r="J56"/>
  <c r="J57" s="1"/>
  <c r="J59" s="1"/>
  <c r="J61" s="1"/>
  <c r="B22" i="31"/>
  <c r="N56" i="9" l="1"/>
  <c r="M56"/>
  <c r="K56"/>
  <c r="E15" i="74" l="1"/>
  <c r="F15"/>
  <c r="E16"/>
  <c r="F16"/>
  <c r="E17"/>
  <c r="F17"/>
  <c r="E18"/>
  <c r="F18"/>
  <c r="E19"/>
  <c r="F19"/>
  <c r="E20"/>
  <c r="F20"/>
  <c r="E21"/>
  <c r="F21"/>
  <c r="E22"/>
  <c r="F22"/>
  <c r="E23"/>
  <c r="F23"/>
  <c r="B3" l="1"/>
  <c r="B8" i="72" l="1"/>
  <c r="M19" i="43" l="1"/>
  <c r="O6" i="71" l="1"/>
  <c r="P6"/>
  <c r="Q6"/>
  <c r="N6"/>
  <c r="AD3" l="1"/>
  <c r="AE3"/>
  <c r="AF3" s="1"/>
  <c r="AG3"/>
  <c r="AH3"/>
  <c r="AD4"/>
  <c r="AE4"/>
  <c r="AF4" s="1"/>
  <c r="AG4"/>
  <c r="AH4"/>
  <c r="AD5"/>
  <c r="AE5"/>
  <c r="AF5" s="1"/>
  <c r="AG5"/>
  <c r="AH5"/>
  <c r="AD6"/>
  <c r="AE6"/>
  <c r="AF6" s="1"/>
  <c r="AG6"/>
  <c r="AH6"/>
  <c r="AD7"/>
  <c r="AE7"/>
  <c r="AF7" s="1"/>
  <c r="AG7"/>
  <c r="AH7"/>
  <c r="AD8"/>
  <c r="AE8"/>
  <c r="AF8" s="1"/>
  <c r="AG8"/>
  <c r="AH8"/>
  <c r="AD9"/>
  <c r="AE9"/>
  <c r="AF9" s="1"/>
  <c r="AG9"/>
  <c r="AH9"/>
  <c r="AD10"/>
  <c r="AE10"/>
  <c r="AF10"/>
  <c r="AG10"/>
  <c r="AH10"/>
  <c r="AD11"/>
  <c r="AE11"/>
  <c r="AF11" s="1"/>
  <c r="AG11"/>
  <c r="AH11"/>
  <c r="AD12"/>
  <c r="AE12"/>
  <c r="AF12" s="1"/>
  <c r="AG12"/>
  <c r="AH12"/>
  <c r="AD13"/>
  <c r="AE13"/>
  <c r="AF13" s="1"/>
  <c r="AG13"/>
  <c r="AH13"/>
  <c r="AD14"/>
  <c r="AE14"/>
  <c r="AF14"/>
  <c r="AG14"/>
  <c r="AH14"/>
  <c r="AD15"/>
  <c r="AE15"/>
  <c r="AF15" s="1"/>
  <c r="AG15"/>
  <c r="AH15"/>
  <c r="AD16"/>
  <c r="AE16"/>
  <c r="AF16" s="1"/>
  <c r="AG16"/>
  <c r="AH16"/>
  <c r="AD17"/>
  <c r="AE17"/>
  <c r="AF17" s="1"/>
  <c r="AG17"/>
  <c r="AH17"/>
  <c r="AH18"/>
  <c r="AG18"/>
  <c r="AE18"/>
  <c r="AF18" s="1"/>
  <c r="AD18"/>
  <c r="AD19"/>
  <c r="AE19"/>
  <c r="AF19"/>
  <c r="AG19"/>
  <c r="AH19"/>
  <c r="S2" i="31" l="1"/>
  <c r="M2"/>
  <c r="N2"/>
  <c r="O2"/>
  <c r="P2"/>
  <c r="Q2"/>
  <c r="R2"/>
  <c r="C1" i="73" l="1"/>
  <c r="L1" s="1"/>
  <c r="F7"/>
  <c r="J1" l="1"/>
  <c r="B74" i="72"/>
  <c r="D3" i="73"/>
  <c r="F4"/>
  <c r="F5"/>
  <c r="F6"/>
  <c r="F3"/>
  <c r="I1" l="1"/>
  <c r="B39" i="1" s="1"/>
  <c r="D4" i="73"/>
  <c r="D5"/>
  <c r="D7"/>
  <c r="D6"/>
  <c r="M11" i="83" l="1"/>
  <c r="J10" s="1"/>
  <c r="J5" s="1"/>
  <c r="F11"/>
  <c r="E20" i="43"/>
  <c r="M11" i="78"/>
  <c r="F11"/>
  <c r="Y12" i="43"/>
  <c r="Y10"/>
  <c r="AJ9"/>
  <c r="AJ12" s="1"/>
  <c r="AI9"/>
  <c r="AI12" s="1"/>
  <c r="AH9"/>
  <c r="AH12" s="1"/>
  <c r="AG9"/>
  <c r="AG12" s="1"/>
  <c r="AF9"/>
  <c r="AF12" s="1"/>
  <c r="AE9"/>
  <c r="AE12" s="1"/>
  <c r="AD9"/>
  <c r="AD12" s="1"/>
  <c r="AC9"/>
  <c r="AC12" s="1"/>
  <c r="AB9"/>
  <c r="AB12" s="1"/>
  <c r="AA9"/>
  <c r="AA12" s="1"/>
  <c r="Z9"/>
  <c r="Z12" s="1"/>
  <c r="J26" i="83" l="1"/>
  <c r="J24"/>
  <c r="J18"/>
  <c r="C53"/>
  <c r="C48" s="1"/>
  <c r="C10"/>
  <c r="C5" s="1"/>
  <c r="C53" i="78"/>
  <c r="AA10" i="43"/>
  <c r="AC10"/>
  <c r="AE10"/>
  <c r="AG10"/>
  <c r="AI10"/>
  <c r="Z10"/>
  <c r="AB10"/>
  <c r="AD10"/>
  <c r="AF10"/>
  <c r="AH10"/>
  <c r="AJ10"/>
  <c r="C66" i="83" l="1"/>
  <c r="C60"/>
  <c r="C38"/>
  <c r="C32"/>
  <c r="K49" i="9"/>
  <c r="E107"/>
  <c r="A122" s="1"/>
  <c r="A8" i="52" s="1"/>
  <c r="E111" i="9"/>
  <c r="A126" s="1"/>
  <c r="E109"/>
  <c r="A124" s="1"/>
  <c r="B44" i="72" l="1"/>
  <c r="B42"/>
  <c r="B69"/>
  <c r="B68"/>
  <c r="B63"/>
  <c r="B62"/>
  <c r="B16"/>
  <c r="B65" l="1"/>
  <c r="B60"/>
  <c r="B59"/>
  <c r="B58"/>
  <c r="B67"/>
  <c r="B66"/>
  <c r="B12" l="1"/>
  <c r="B10" l="1"/>
  <c r="C53" i="10" l="1"/>
  <c r="B51"/>
  <c r="B19" i="72"/>
  <c r="A18" i="51"/>
  <c r="B13" i="72" s="1"/>
  <c r="C8" i="68" l="1"/>
  <c r="B49" i="48" l="1"/>
  <c r="B5" i="72" s="1"/>
  <c r="I19" i="43" l="1"/>
  <c r="D68" i="71" l="1"/>
  <c r="F67"/>
  <c r="E67"/>
  <c r="E66" s="1"/>
  <c r="E65" s="1"/>
  <c r="C67"/>
  <c r="D67" s="1"/>
  <c r="B67"/>
  <c r="F66"/>
  <c r="F65" s="1"/>
  <c r="B66"/>
  <c r="B65" s="1"/>
  <c r="D64"/>
  <c r="F63"/>
  <c r="E63"/>
  <c r="E62" s="1"/>
  <c r="E61" s="1"/>
  <c r="C63"/>
  <c r="D63" s="1"/>
  <c r="B63"/>
  <c r="F62"/>
  <c r="F61" s="1"/>
  <c r="B62"/>
  <c r="B61" s="1"/>
  <c r="D60"/>
  <c r="Q59"/>
  <c r="P59"/>
  <c r="O59"/>
  <c r="N59"/>
  <c r="F59"/>
  <c r="V59" s="1"/>
  <c r="E59"/>
  <c r="U59" s="1"/>
  <c r="C59"/>
  <c r="T59" s="1"/>
  <c r="B59"/>
  <c r="S59" s="1"/>
  <c r="Q58"/>
  <c r="P58"/>
  <c r="O58"/>
  <c r="N58"/>
  <c r="F58"/>
  <c r="F57" s="1"/>
  <c r="B58"/>
  <c r="B57" s="1"/>
  <c r="Q57"/>
  <c r="P57"/>
  <c r="O57"/>
  <c r="N57"/>
  <c r="Q56"/>
  <c r="P56"/>
  <c r="O56"/>
  <c r="N56"/>
  <c r="D56"/>
  <c r="Q55"/>
  <c r="P55"/>
  <c r="O55"/>
  <c r="N55"/>
  <c r="F55"/>
  <c r="V55" s="1"/>
  <c r="E55"/>
  <c r="U55" s="1"/>
  <c r="C55"/>
  <c r="T55" s="1"/>
  <c r="B55"/>
  <c r="S55" s="1"/>
  <c r="Q54"/>
  <c r="P54"/>
  <c r="O54"/>
  <c r="N54"/>
  <c r="F54"/>
  <c r="F53" s="1"/>
  <c r="B54"/>
  <c r="B53" s="1"/>
  <c r="Q53"/>
  <c r="P53"/>
  <c r="O53"/>
  <c r="N53"/>
  <c r="Q52"/>
  <c r="P52"/>
  <c r="O52"/>
  <c r="N52"/>
  <c r="D52"/>
  <c r="Q51"/>
  <c r="P51"/>
  <c r="O51"/>
  <c r="N51"/>
  <c r="F51"/>
  <c r="V51" s="1"/>
  <c r="E51"/>
  <c r="U51" s="1"/>
  <c r="C51"/>
  <c r="T51" s="1"/>
  <c r="B51"/>
  <c r="S51" s="1"/>
  <c r="Q50"/>
  <c r="P50"/>
  <c r="O50"/>
  <c r="N50"/>
  <c r="F50"/>
  <c r="F49" s="1"/>
  <c r="B50"/>
  <c r="B49" s="1"/>
  <c r="Q49"/>
  <c r="P49"/>
  <c r="O49"/>
  <c r="N49"/>
  <c r="Q48"/>
  <c r="P48"/>
  <c r="O48"/>
  <c r="N48"/>
  <c r="D48"/>
  <c r="F47"/>
  <c r="V47" s="1"/>
  <c r="E47"/>
  <c r="P47" s="1"/>
  <c r="C47"/>
  <c r="B47"/>
  <c r="S47" s="1"/>
  <c r="F46"/>
  <c r="F45" s="1"/>
  <c r="Q45" s="1"/>
  <c r="B46"/>
  <c r="D44"/>
  <c r="Q43"/>
  <c r="P43"/>
  <c r="O43"/>
  <c r="N43"/>
  <c r="Q42"/>
  <c r="P42"/>
  <c r="O42"/>
  <c r="N42"/>
  <c r="Q41"/>
  <c r="P41"/>
  <c r="O41"/>
  <c r="N41"/>
  <c r="E41"/>
  <c r="Q40"/>
  <c r="F41" s="1"/>
  <c r="F42" s="1"/>
  <c r="F43" s="1"/>
  <c r="V43" s="1"/>
  <c r="P40"/>
  <c r="O40"/>
  <c r="C41" s="1"/>
  <c r="N40"/>
  <c r="B41" s="1"/>
  <c r="B42" s="1"/>
  <c r="B43" s="1"/>
  <c r="S43" s="1"/>
  <c r="D40"/>
  <c r="Q39"/>
  <c r="P39"/>
  <c r="O39"/>
  <c r="N39"/>
  <c r="Q38"/>
  <c r="P38"/>
  <c r="O38"/>
  <c r="N38"/>
  <c r="Q37"/>
  <c r="P37"/>
  <c r="O37"/>
  <c r="N37"/>
  <c r="Q36"/>
  <c r="F37" s="1"/>
  <c r="F38" s="1"/>
  <c r="F39" s="1"/>
  <c r="V39" s="1"/>
  <c r="P36"/>
  <c r="E37" s="1"/>
  <c r="O36"/>
  <c r="C37" s="1"/>
  <c r="N36"/>
  <c r="B37" s="1"/>
  <c r="B38" s="1"/>
  <c r="B39" s="1"/>
  <c r="S39" s="1"/>
  <c r="D36"/>
  <c r="Q35"/>
  <c r="P35"/>
  <c r="O35"/>
  <c r="N35"/>
  <c r="Q34"/>
  <c r="P34"/>
  <c r="O34"/>
  <c r="N34"/>
  <c r="Q33"/>
  <c r="P33"/>
  <c r="O33"/>
  <c r="N33"/>
  <c r="C33"/>
  <c r="Q32"/>
  <c r="F33" s="1"/>
  <c r="F34" s="1"/>
  <c r="F35" s="1"/>
  <c r="V35" s="1"/>
  <c r="P32"/>
  <c r="E33" s="1"/>
  <c r="O32"/>
  <c r="N32"/>
  <c r="B33" s="1"/>
  <c r="B34" s="1"/>
  <c r="B35" s="1"/>
  <c r="S35" s="1"/>
  <c r="D32"/>
  <c r="Q31"/>
  <c r="P31"/>
  <c r="O31"/>
  <c r="N31"/>
  <c r="Q30"/>
  <c r="P30"/>
  <c r="O30"/>
  <c r="N30"/>
  <c r="Q29"/>
  <c r="P29"/>
  <c r="O29"/>
  <c r="N29"/>
  <c r="Q28"/>
  <c r="F29" s="1"/>
  <c r="P28"/>
  <c r="E29" s="1"/>
  <c r="E30" s="1"/>
  <c r="E31" s="1"/>
  <c r="U31" s="1"/>
  <c r="O28"/>
  <c r="C29" s="1"/>
  <c r="N28"/>
  <c r="B29" s="1"/>
  <c r="B30" s="1"/>
  <c r="B31" s="1"/>
  <c r="S31" s="1"/>
  <c r="D28"/>
  <c r="T27"/>
  <c r="Q27"/>
  <c r="P27"/>
  <c r="O27"/>
  <c r="N27"/>
  <c r="D27"/>
  <c r="Q26"/>
  <c r="P26"/>
  <c r="O26"/>
  <c r="N26"/>
  <c r="Q25"/>
  <c r="P25"/>
  <c r="O25"/>
  <c r="N25"/>
  <c r="F25"/>
  <c r="F26" s="1"/>
  <c r="F27" s="1"/>
  <c r="V27" s="1"/>
  <c r="Q24"/>
  <c r="P24"/>
  <c r="E25" s="1"/>
  <c r="E26" s="1"/>
  <c r="E27" s="1"/>
  <c r="U27" s="1"/>
  <c r="O24"/>
  <c r="C25" s="1"/>
  <c r="N24"/>
  <c r="B25" s="1"/>
  <c r="B26" s="1"/>
  <c r="B27" s="1"/>
  <c r="S27" s="1"/>
  <c r="D24"/>
  <c r="Q23"/>
  <c r="P23"/>
  <c r="O23"/>
  <c r="N23"/>
  <c r="Q22"/>
  <c r="P22"/>
  <c r="O22"/>
  <c r="N22"/>
  <c r="Q21"/>
  <c r="P21"/>
  <c r="O21"/>
  <c r="N21"/>
  <c r="F21"/>
  <c r="F22" s="1"/>
  <c r="F23" s="1"/>
  <c r="V23" s="1"/>
  <c r="Q20"/>
  <c r="P20"/>
  <c r="E21" s="1"/>
  <c r="E22" s="1"/>
  <c r="E23" s="1"/>
  <c r="U23" s="1"/>
  <c r="O20"/>
  <c r="C21" s="1"/>
  <c r="N20"/>
  <c r="B21" s="1"/>
  <c r="B22" s="1"/>
  <c r="B23" s="1"/>
  <c r="S23" s="1"/>
  <c r="D20"/>
  <c r="Q19"/>
  <c r="P19"/>
  <c r="O19"/>
  <c r="N19"/>
  <c r="AB18"/>
  <c r="Q18"/>
  <c r="P18"/>
  <c r="AA18" s="1"/>
  <c r="O18"/>
  <c r="Y18" s="1"/>
  <c r="Z18" s="1"/>
  <c r="N18"/>
  <c r="X18" s="1"/>
  <c r="Q17"/>
  <c r="AB17" s="1"/>
  <c r="P17"/>
  <c r="O17"/>
  <c r="Y17" s="1"/>
  <c r="Z17" s="1"/>
  <c r="N17"/>
  <c r="X17" s="1"/>
  <c r="F17"/>
  <c r="F18" s="1"/>
  <c r="F19" s="1"/>
  <c r="V19" s="1"/>
  <c r="Q16"/>
  <c r="AB16" s="1"/>
  <c r="P16"/>
  <c r="O16"/>
  <c r="N16"/>
  <c r="D16"/>
  <c r="Q15"/>
  <c r="AB15" s="1"/>
  <c r="P15"/>
  <c r="O15"/>
  <c r="Y15" s="1"/>
  <c r="Z15" s="1"/>
  <c r="N15"/>
  <c r="X15" s="1"/>
  <c r="Q14"/>
  <c r="AB14" s="1"/>
  <c r="P14"/>
  <c r="AA14" s="1"/>
  <c r="O14"/>
  <c r="Y14" s="1"/>
  <c r="Z14" s="1"/>
  <c r="N14"/>
  <c r="X14" s="1"/>
  <c r="Q13"/>
  <c r="AB13" s="1"/>
  <c r="P13"/>
  <c r="AA13" s="1"/>
  <c r="O13"/>
  <c r="Y13" s="1"/>
  <c r="Z13" s="1"/>
  <c r="N13"/>
  <c r="X13" s="1"/>
  <c r="F13"/>
  <c r="F14" s="1"/>
  <c r="F15" s="1"/>
  <c r="V15" s="1"/>
  <c r="Q12"/>
  <c r="AB12" s="1"/>
  <c r="P12"/>
  <c r="O12"/>
  <c r="N12"/>
  <c r="D12"/>
  <c r="Q11"/>
  <c r="AB11" s="1"/>
  <c r="P11"/>
  <c r="O11"/>
  <c r="Y11" s="1"/>
  <c r="Z11" s="1"/>
  <c r="N11"/>
  <c r="X11" s="1"/>
  <c r="Q10"/>
  <c r="AB10" s="1"/>
  <c r="P10"/>
  <c r="AA10" s="1"/>
  <c r="O10"/>
  <c r="Y10" s="1"/>
  <c r="Z10" s="1"/>
  <c r="N10"/>
  <c r="X10" s="1"/>
  <c r="Q9"/>
  <c r="AB9" s="1"/>
  <c r="P9"/>
  <c r="AA9" s="1"/>
  <c r="O9"/>
  <c r="Y9" s="1"/>
  <c r="Z9" s="1"/>
  <c r="N9"/>
  <c r="X9" s="1"/>
  <c r="F9"/>
  <c r="F10" s="1"/>
  <c r="F11" s="1"/>
  <c r="V11" s="1"/>
  <c r="Q8"/>
  <c r="AB8" s="1"/>
  <c r="P8"/>
  <c r="O8"/>
  <c r="N8"/>
  <c r="D8"/>
  <c r="O7"/>
  <c r="N7"/>
  <c r="B13" l="1"/>
  <c r="B14" s="1"/>
  <c r="B15" s="1"/>
  <c r="S15" s="1"/>
  <c r="X12"/>
  <c r="E13"/>
  <c r="E14" s="1"/>
  <c r="E15" s="1"/>
  <c r="U15" s="1"/>
  <c r="AA12"/>
  <c r="B17"/>
  <c r="B18" s="1"/>
  <c r="B19" s="1"/>
  <c r="S19" s="1"/>
  <c r="X16"/>
  <c r="E17"/>
  <c r="E18" s="1"/>
  <c r="E19" s="1"/>
  <c r="U19" s="1"/>
  <c r="AA16"/>
  <c r="N47"/>
  <c r="B9"/>
  <c r="B10" s="1"/>
  <c r="B11" s="1"/>
  <c r="S11" s="1"/>
  <c r="X8"/>
  <c r="E9"/>
  <c r="E10" s="1"/>
  <c r="E11" s="1"/>
  <c r="U11" s="1"/>
  <c r="AA8"/>
  <c r="C9"/>
  <c r="Y8"/>
  <c r="Z8" s="1"/>
  <c r="AA11"/>
  <c r="C13"/>
  <c r="Y12"/>
  <c r="Z12" s="1"/>
  <c r="AA15"/>
  <c r="C17"/>
  <c r="Y16"/>
  <c r="Z16" s="1"/>
  <c r="AA17"/>
  <c r="F30"/>
  <c r="F31" s="1"/>
  <c r="V31" s="1"/>
  <c r="C7"/>
  <c r="Y3"/>
  <c r="Z3" s="1"/>
  <c r="Y4"/>
  <c r="Z4" s="1"/>
  <c r="Y5"/>
  <c r="Z5" s="1"/>
  <c r="Y6"/>
  <c r="Z6" s="1"/>
  <c r="Y7"/>
  <c r="Z7" s="1"/>
  <c r="B7"/>
  <c r="B6" s="1"/>
  <c r="B5" s="1"/>
  <c r="X4"/>
  <c r="X5"/>
  <c r="X6"/>
  <c r="X3"/>
  <c r="X7"/>
  <c r="C10"/>
  <c r="D9"/>
  <c r="C14"/>
  <c r="D13"/>
  <c r="C18"/>
  <c r="D17"/>
  <c r="C22"/>
  <c r="D21"/>
  <c r="C26"/>
  <c r="D26" s="1"/>
  <c r="D25"/>
  <c r="C30"/>
  <c r="D29"/>
  <c r="P7"/>
  <c r="E34"/>
  <c r="E35" s="1"/>
  <c r="U35" s="1"/>
  <c r="E38"/>
  <c r="E39" s="1"/>
  <c r="U39" s="1"/>
  <c r="E42"/>
  <c r="E43" s="1"/>
  <c r="U43" s="1"/>
  <c r="Q44"/>
  <c r="U47"/>
  <c r="E46"/>
  <c r="Q7"/>
  <c r="C34"/>
  <c r="D33"/>
  <c r="C38"/>
  <c r="D37"/>
  <c r="C42"/>
  <c r="D41"/>
  <c r="N46"/>
  <c r="B45"/>
  <c r="Q46"/>
  <c r="T47"/>
  <c r="O47"/>
  <c r="D47"/>
  <c r="C46"/>
  <c r="Q47"/>
  <c r="C50"/>
  <c r="E50"/>
  <c r="E49" s="1"/>
  <c r="D51"/>
  <c r="C54"/>
  <c r="E54"/>
  <c r="E53" s="1"/>
  <c r="D55"/>
  <c r="C58"/>
  <c r="E58"/>
  <c r="E57" s="1"/>
  <c r="D59"/>
  <c r="C62"/>
  <c r="C66"/>
  <c r="T7" l="1"/>
  <c r="C6"/>
  <c r="S7"/>
  <c r="F7"/>
  <c r="F6" s="1"/>
  <c r="F5" s="1"/>
  <c r="AB3"/>
  <c r="AB4"/>
  <c r="AB5"/>
  <c r="AB6"/>
  <c r="AB7"/>
  <c r="E7"/>
  <c r="E6" s="1"/>
  <c r="E5" s="1"/>
  <c r="AA3"/>
  <c r="AA4"/>
  <c r="AA5"/>
  <c r="AA6"/>
  <c r="AA7"/>
  <c r="D7"/>
  <c r="U7" s="1"/>
  <c r="C45"/>
  <c r="O46"/>
  <c r="D46"/>
  <c r="C43"/>
  <c r="D42"/>
  <c r="D62"/>
  <c r="C61"/>
  <c r="D61" s="1"/>
  <c r="D54"/>
  <c r="C53"/>
  <c r="D53" s="1"/>
  <c r="N44"/>
  <c r="N45"/>
  <c r="D66"/>
  <c r="C65"/>
  <c r="D65" s="1"/>
  <c r="D58"/>
  <c r="C57"/>
  <c r="D57" s="1"/>
  <c r="D50"/>
  <c r="C49"/>
  <c r="D49" s="1"/>
  <c r="C39"/>
  <c r="D38"/>
  <c r="C35"/>
  <c r="D34"/>
  <c r="P46"/>
  <c r="E45"/>
  <c r="C31"/>
  <c r="D30"/>
  <c r="C23"/>
  <c r="D22"/>
  <c r="C19"/>
  <c r="D18"/>
  <c r="C15"/>
  <c r="D14"/>
  <c r="C11"/>
  <c r="D10"/>
  <c r="C5" l="1"/>
  <c r="D5" s="1"/>
  <c r="D6"/>
  <c r="V7"/>
  <c r="P44"/>
  <c r="P45"/>
  <c r="O45"/>
  <c r="D45"/>
  <c r="O44"/>
  <c r="T11"/>
  <c r="D11"/>
  <c r="T15"/>
  <c r="D15"/>
  <c r="T19"/>
  <c r="D19"/>
  <c r="T23"/>
  <c r="D23"/>
  <c r="T31"/>
  <c r="D31"/>
  <c r="T35"/>
  <c r="D35"/>
  <c r="T39"/>
  <c r="D39"/>
  <c r="T43"/>
  <c r="D43"/>
  <c r="O27" i="6" l="1"/>
  <c r="N27"/>
  <c r="P20"/>
  <c r="P21"/>
  <c r="P22"/>
  <c r="P23"/>
  <c r="P24"/>
  <c r="P25"/>
  <c r="P26"/>
  <c r="P19"/>
  <c r="AP8" i="1"/>
  <c r="AP9"/>
  <c r="AP10"/>
  <c r="AP11"/>
  <c r="AP12"/>
  <c r="AP13"/>
  <c r="L21" i="6"/>
  <c r="L22"/>
  <c r="L23"/>
  <c r="L24"/>
  <c r="L25"/>
  <c r="L26"/>
  <c r="P27" l="1"/>
  <c r="A7" i="70"/>
  <c r="A8"/>
  <c r="E8" s="1"/>
  <c r="A9"/>
  <c r="A10"/>
  <c r="E10" s="1"/>
  <c r="A11"/>
  <c r="E11" s="1"/>
  <c r="A12"/>
  <c r="E12" s="1"/>
  <c r="A13"/>
  <c r="E13" s="1"/>
  <c r="A6"/>
  <c r="Q25" i="40" l="1"/>
  <c r="Z25" s="1"/>
  <c r="D94"/>
  <c r="E94" s="1"/>
  <c r="F25"/>
  <c r="AA25" s="1"/>
  <c r="Z29" i="39"/>
  <c r="Q29"/>
  <c r="D103"/>
  <c r="E103" s="1"/>
  <c r="F29"/>
  <c r="AA29" s="1"/>
  <c r="Z18" i="36"/>
  <c r="Q18"/>
  <c r="E66"/>
  <c r="F66" s="1"/>
  <c r="D66"/>
  <c r="H18"/>
  <c r="AB18" s="1"/>
  <c r="F18"/>
  <c r="AA18" s="1"/>
  <c r="C18"/>
  <c r="Q18" i="35"/>
  <c r="Z18" s="1"/>
  <c r="D68"/>
  <c r="E68" s="1"/>
  <c r="F18"/>
  <c r="AA18" s="1"/>
  <c r="C18"/>
  <c r="Z21" i="37"/>
  <c r="Q21"/>
  <c r="D77"/>
  <c r="E77" s="1"/>
  <c r="C21"/>
  <c r="Z21" i="34"/>
  <c r="Q21"/>
  <c r="D84"/>
  <c r="E84" s="1"/>
  <c r="F21"/>
  <c r="AA21" s="1"/>
  <c r="C21"/>
  <c r="Z21" i="33"/>
  <c r="Q21"/>
  <c r="D83"/>
  <c r="E83" s="1"/>
  <c r="C21"/>
  <c r="C21" i="21"/>
  <c r="Q21"/>
  <c r="Z21" s="1"/>
  <c r="H19"/>
  <c r="D83"/>
  <c r="F21" s="1"/>
  <c r="AA21" s="1"/>
  <c r="D81"/>
  <c r="G20" i="20"/>
  <c r="B86" i="43" s="1"/>
  <c r="C22" i="20"/>
  <c r="C29" i="39" s="1"/>
  <c r="AO12" i="1"/>
  <c r="AO10"/>
  <c r="AO11"/>
  <c r="AO13"/>
  <c r="B11" i="70" l="1"/>
  <c r="B12"/>
  <c r="B13"/>
  <c r="B10"/>
  <c r="B66" i="43"/>
  <c r="B55"/>
  <c r="B75"/>
  <c r="C25" i="40"/>
  <c r="S25"/>
  <c r="S29" i="39"/>
  <c r="S18" i="36"/>
  <c r="U18"/>
  <c r="S21" i="34"/>
  <c r="F94" i="40"/>
  <c r="H25"/>
  <c r="G94"/>
  <c r="J25"/>
  <c r="F103" i="39"/>
  <c r="H29"/>
  <c r="G103"/>
  <c r="J29"/>
  <c r="G66" i="36"/>
  <c r="J18"/>
  <c r="F68" i="35"/>
  <c r="H18"/>
  <c r="S18"/>
  <c r="G68"/>
  <c r="J18"/>
  <c r="F77" i="37"/>
  <c r="H21"/>
  <c r="F21"/>
  <c r="F84" i="34"/>
  <c r="H21"/>
  <c r="F83" i="33"/>
  <c r="H21"/>
  <c r="F21"/>
  <c r="E83" i="21"/>
  <c r="S21"/>
  <c r="H1" i="69"/>
  <c r="AC25" i="40" l="1"/>
  <c r="W25"/>
  <c r="AB25"/>
  <c r="U25"/>
  <c r="AB29" i="39"/>
  <c r="U29"/>
  <c r="AC29"/>
  <c r="W29"/>
  <c r="AC18" i="36"/>
  <c r="W18"/>
  <c r="AB21" i="37"/>
  <c r="U21"/>
  <c r="AA21"/>
  <c r="S21"/>
  <c r="AB21" i="34"/>
  <c r="U21"/>
  <c r="U21" i="33"/>
  <c r="AB21"/>
  <c r="AA21"/>
  <c r="S21"/>
  <c r="AB18" i="35"/>
  <c r="U18"/>
  <c r="AC18"/>
  <c r="W18"/>
  <c r="G77" i="37"/>
  <c r="J21"/>
  <c r="G84" i="34"/>
  <c r="J21"/>
  <c r="G83" i="33"/>
  <c r="J21"/>
  <c r="F83" i="21"/>
  <c r="H21"/>
  <c r="F38" i="69"/>
  <c r="E37"/>
  <c r="F36"/>
  <c r="F35"/>
  <c r="F21"/>
  <c r="C21" s="1"/>
  <c r="F20"/>
  <c r="E10"/>
  <c r="E9"/>
  <c r="F7"/>
  <c r="C7" s="1"/>
  <c r="AC21" i="37" l="1"/>
  <c r="W21"/>
  <c r="AC21" i="34"/>
  <c r="W21"/>
  <c r="AC21" i="33"/>
  <c r="W21"/>
  <c r="AB21" i="21"/>
  <c r="U21"/>
  <c r="G83"/>
  <c r="J21"/>
  <c r="C40" i="69"/>
  <c r="F38" i="68"/>
  <c r="E37"/>
  <c r="F36"/>
  <c r="F35"/>
  <c r="F21"/>
  <c r="C21" s="1"/>
  <c r="F20"/>
  <c r="E10"/>
  <c r="E9"/>
  <c r="F7"/>
  <c r="C7" s="1"/>
  <c r="W21" i="21" l="1"/>
  <c r="AC21"/>
  <c r="C40" i="68"/>
  <c r="Q72" i="67" l="1"/>
  <c r="Q59"/>
  <c r="Q58"/>
  <c r="Q51"/>
  <c r="J50"/>
  <c r="M47"/>
  <c r="D46"/>
  <c r="F33"/>
  <c r="F61" s="1"/>
  <c r="F23"/>
  <c r="D24" s="1"/>
  <c r="F21"/>
  <c r="F20"/>
  <c r="M19"/>
  <c r="F18"/>
  <c r="F17"/>
  <c r="F15"/>
  <c r="D22" l="1"/>
  <c r="D23"/>
  <c r="S2" i="4" l="1"/>
  <c r="S1"/>
  <c r="B1"/>
  <c r="C31" i="66"/>
  <c r="C27"/>
  <c r="C32" s="1"/>
  <c r="I23"/>
  <c r="D20"/>
  <c r="I19"/>
  <c r="I18"/>
  <c r="I17"/>
  <c r="I20" s="1"/>
  <c r="D1" s="1"/>
  <c r="E10" s="1"/>
  <c r="E15"/>
  <c r="I14"/>
  <c r="I13"/>
  <c r="I12"/>
  <c r="I15"/>
  <c r="I9"/>
  <c r="I8"/>
  <c r="I7"/>
  <c r="I6"/>
  <c r="I5"/>
  <c r="I4"/>
  <c r="I3"/>
  <c r="I10"/>
  <c r="I21" s="1"/>
  <c r="M11" i="15"/>
  <c r="D1" i="43"/>
  <c r="F113"/>
  <c r="N99"/>
  <c r="N108" s="1"/>
  <c r="D99"/>
  <c r="D108" s="1"/>
  <c r="E99"/>
  <c r="E108" s="1"/>
  <c r="F99"/>
  <c r="F108" s="1"/>
  <c r="G99"/>
  <c r="G108" s="1"/>
  <c r="H99"/>
  <c r="H108" s="1"/>
  <c r="I99"/>
  <c r="I108" s="1"/>
  <c r="J99"/>
  <c r="J108" s="1"/>
  <c r="K99"/>
  <c r="K108" s="1"/>
  <c r="L99"/>
  <c r="L108" s="1"/>
  <c r="M99"/>
  <c r="M108" s="1"/>
  <c r="C99"/>
  <c r="C108" s="1"/>
  <c r="N100"/>
  <c r="D100"/>
  <c r="H100"/>
  <c r="L100"/>
  <c r="E100"/>
  <c r="G100"/>
  <c r="I100"/>
  <c r="K100"/>
  <c r="M100"/>
  <c r="B48"/>
  <c r="B84"/>
  <c r="B83"/>
  <c r="B72"/>
  <c r="B61"/>
  <c r="B50"/>
  <c r="D82"/>
  <c r="D83"/>
  <c r="D84"/>
  <c r="D85"/>
  <c r="D86"/>
  <c r="D87"/>
  <c r="D88"/>
  <c r="D81"/>
  <c r="D67"/>
  <c r="D60"/>
  <c r="D61"/>
  <c r="D62"/>
  <c r="D63"/>
  <c r="D64"/>
  <c r="D65"/>
  <c r="D66"/>
  <c r="D59"/>
  <c r="E59" s="1"/>
  <c r="B57" s="1"/>
  <c r="C24" s="1"/>
  <c r="M88"/>
  <c r="N88"/>
  <c r="K88"/>
  <c r="J88"/>
  <c r="M87"/>
  <c r="N87"/>
  <c r="K87"/>
  <c r="J87"/>
  <c r="M86"/>
  <c r="N86"/>
  <c r="K86"/>
  <c r="J86"/>
  <c r="M85"/>
  <c r="N85"/>
  <c r="K85"/>
  <c r="J85"/>
  <c r="M84"/>
  <c r="N84"/>
  <c r="K84"/>
  <c r="J84"/>
  <c r="M83"/>
  <c r="N83"/>
  <c r="K83"/>
  <c r="J83"/>
  <c r="M82"/>
  <c r="N82"/>
  <c r="K82"/>
  <c r="J82"/>
  <c r="M81"/>
  <c r="N81"/>
  <c r="K81"/>
  <c r="J81"/>
  <c r="M78"/>
  <c r="N78"/>
  <c r="K78"/>
  <c r="J78"/>
  <c r="D78" s="1"/>
  <c r="M77"/>
  <c r="N77" s="1"/>
  <c r="K77"/>
  <c r="J77" s="1"/>
  <c r="D77" s="1"/>
  <c r="M76"/>
  <c r="N76"/>
  <c r="K76"/>
  <c r="J76"/>
  <c r="D76" s="1"/>
  <c r="M75"/>
  <c r="N75" s="1"/>
  <c r="K75"/>
  <c r="J75" s="1"/>
  <c r="D75" s="1"/>
  <c r="M74"/>
  <c r="N74"/>
  <c r="K74"/>
  <c r="J74"/>
  <c r="D74" s="1"/>
  <c r="M73"/>
  <c r="N73" s="1"/>
  <c r="K73"/>
  <c r="J73" s="1"/>
  <c r="D73" s="1"/>
  <c r="M72"/>
  <c r="N72" s="1"/>
  <c r="K72"/>
  <c r="J72" s="1"/>
  <c r="D72" s="1"/>
  <c r="M71"/>
  <c r="N71" s="1"/>
  <c r="K71"/>
  <c r="J71" s="1"/>
  <c r="D71" s="1"/>
  <c r="M70"/>
  <c r="N70" s="1"/>
  <c r="K70"/>
  <c r="J70" s="1"/>
  <c r="D70" s="1"/>
  <c r="M67"/>
  <c r="N67"/>
  <c r="K67"/>
  <c r="J67"/>
  <c r="M66"/>
  <c r="N66"/>
  <c r="K66"/>
  <c r="J66"/>
  <c r="M65"/>
  <c r="N65"/>
  <c r="K65"/>
  <c r="J65"/>
  <c r="M64"/>
  <c r="N64"/>
  <c r="K64"/>
  <c r="J64"/>
  <c r="M63"/>
  <c r="N63"/>
  <c r="K63"/>
  <c r="J63"/>
  <c r="M62"/>
  <c r="N62"/>
  <c r="K62"/>
  <c r="J62"/>
  <c r="M61"/>
  <c r="N61"/>
  <c r="K61"/>
  <c r="J61"/>
  <c r="M60"/>
  <c r="N60"/>
  <c r="K60"/>
  <c r="J60"/>
  <c r="M59"/>
  <c r="N59"/>
  <c r="K59"/>
  <c r="J59"/>
  <c r="M56"/>
  <c r="N56"/>
  <c r="K56"/>
  <c r="J56"/>
  <c r="D56" s="1"/>
  <c r="M55"/>
  <c r="N55" s="1"/>
  <c r="K55"/>
  <c r="J55" s="1"/>
  <c r="D55" s="1"/>
  <c r="M54"/>
  <c r="N54"/>
  <c r="K54"/>
  <c r="J54"/>
  <c r="D54" s="1"/>
  <c r="M53"/>
  <c r="N53" s="1"/>
  <c r="K53"/>
  <c r="J53" s="1"/>
  <c r="D53" s="1"/>
  <c r="M52"/>
  <c r="N52"/>
  <c r="K52"/>
  <c r="J52"/>
  <c r="D52" s="1"/>
  <c r="M51"/>
  <c r="N51" s="1"/>
  <c r="K51"/>
  <c r="J51" s="1"/>
  <c r="D51" s="1"/>
  <c r="M50"/>
  <c r="N50"/>
  <c r="K50"/>
  <c r="J50"/>
  <c r="D50" s="1"/>
  <c r="M49"/>
  <c r="N49" s="1"/>
  <c r="K49"/>
  <c r="J49" s="1"/>
  <c r="D49" s="1"/>
  <c r="M48"/>
  <c r="N48"/>
  <c r="K48"/>
  <c r="J48"/>
  <c r="D48" s="1"/>
  <c r="Q72" i="15"/>
  <c r="Q58"/>
  <c r="Q51"/>
  <c r="Q59"/>
  <c r="AE10" i="1"/>
  <c r="AE11"/>
  <c r="AE12"/>
  <c r="AE13"/>
  <c r="M47" i="15"/>
  <c r="AG7" i="1"/>
  <c r="AG8"/>
  <c r="AG9"/>
  <c r="AG10"/>
  <c r="AG11"/>
  <c r="AG12"/>
  <c r="AG13"/>
  <c r="J50" i="15"/>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B2" i="1"/>
  <c r="F15" i="4"/>
  <c r="F10" i="1"/>
  <c r="F11"/>
  <c r="F12"/>
  <c r="F13"/>
  <c r="D6"/>
  <c r="D9"/>
  <c r="D10"/>
  <c r="D11"/>
  <c r="D12"/>
  <c r="D13"/>
  <c r="D7"/>
  <c r="D8"/>
  <c r="A7"/>
  <c r="A8"/>
  <c r="B8" s="1"/>
  <c r="E8" s="1"/>
  <c r="A9"/>
  <c r="A10"/>
  <c r="K10" s="1"/>
  <c r="A11"/>
  <c r="A12"/>
  <c r="K12" s="1"/>
  <c r="M12" s="1"/>
  <c r="O12" s="1"/>
  <c r="P12" s="1"/>
  <c r="A13"/>
  <c r="A6"/>
  <c r="G1" i="78" s="1"/>
  <c r="B11" i="1"/>
  <c r="E11" s="1"/>
  <c r="B7"/>
  <c r="E7" s="1"/>
  <c r="B13"/>
  <c r="E13" s="1"/>
  <c r="K13"/>
  <c r="G79" i="36"/>
  <c r="G85" i="35"/>
  <c r="G97" i="37"/>
  <c r="G110" i="34"/>
  <c r="G111" i="21"/>
  <c r="G109" i="33"/>
  <c r="D23" i="31"/>
  <c r="L2"/>
  <c r="K2"/>
  <c r="J2"/>
  <c r="I2"/>
  <c r="H2"/>
  <c r="G2"/>
  <c r="F2"/>
  <c r="E2"/>
  <c r="D2"/>
  <c r="C2"/>
  <c r="D46" i="15"/>
  <c r="BT112" i="3"/>
  <c r="BS112"/>
  <c r="BR112"/>
  <c r="BQ112"/>
  <c r="BP112"/>
  <c r="BO112"/>
  <c r="BN112"/>
  <c r="BM112"/>
  <c r="BL112"/>
  <c r="BK112"/>
  <c r="BJ112"/>
  <c r="BI112"/>
  <c r="BH112"/>
  <c r="BG112"/>
  <c r="BF112"/>
  <c r="BE112"/>
  <c r="BD112"/>
  <c r="BC112"/>
  <c r="BB112"/>
  <c r="BA112" s="1"/>
  <c r="AZ112"/>
  <c r="AX112"/>
  <c r="AW112"/>
  <c r="AV112"/>
  <c r="AC112"/>
  <c r="H112"/>
  <c r="G112"/>
  <c r="BT111"/>
  <c r="BS111"/>
  <c r="BR111"/>
  <c r="BQ111"/>
  <c r="BP111"/>
  <c r="BO111"/>
  <c r="BN111"/>
  <c r="BM111"/>
  <c r="BL111" s="1"/>
  <c r="BK111"/>
  <c r="BJ111"/>
  <c r="BI111"/>
  <c r="BH111"/>
  <c r="BG111"/>
  <c r="BF111"/>
  <c r="BE111"/>
  <c r="BD111"/>
  <c r="BC111"/>
  <c r="BB111"/>
  <c r="BA111"/>
  <c r="AX111"/>
  <c r="AW111"/>
  <c r="AV111"/>
  <c r="AC111"/>
  <c r="H111"/>
  <c r="G111" s="1"/>
  <c r="BT110"/>
  <c r="BS110"/>
  <c r="BR110"/>
  <c r="BQ110"/>
  <c r="BP110"/>
  <c r="BO110"/>
  <c r="BN110"/>
  <c r="BM110"/>
  <c r="BL110"/>
  <c r="BK110"/>
  <c r="BJ110"/>
  <c r="BI110"/>
  <c r="BH110"/>
  <c r="BG110"/>
  <c r="BF110"/>
  <c r="BE110"/>
  <c r="BD110"/>
  <c r="BC110"/>
  <c r="BB110"/>
  <c r="BA110" s="1"/>
  <c r="AX110"/>
  <c r="AW110"/>
  <c r="AV110"/>
  <c r="AC110"/>
  <c r="H110"/>
  <c r="G110" s="1"/>
  <c r="BT109"/>
  <c r="BS109"/>
  <c r="BR109"/>
  <c r="BQ109"/>
  <c r="BP109"/>
  <c r="BO109"/>
  <c r="BN109"/>
  <c r="BM109"/>
  <c r="BL109"/>
  <c r="BK109"/>
  <c r="BJ109"/>
  <c r="BI109"/>
  <c r="BH109"/>
  <c r="BG109"/>
  <c r="BF109"/>
  <c r="BE109"/>
  <c r="BD109"/>
  <c r="BC109"/>
  <c r="BB109"/>
  <c r="BA109" s="1"/>
  <c r="AX109"/>
  <c r="AW109"/>
  <c r="AV109"/>
  <c r="AC109"/>
  <c r="H109"/>
  <c r="G109" s="1"/>
  <c r="BT108"/>
  <c r="BS108"/>
  <c r="BR108"/>
  <c r="BQ108"/>
  <c r="BP108"/>
  <c r="BO108"/>
  <c r="BN108"/>
  <c r="BM108"/>
  <c r="BL108"/>
  <c r="BK108"/>
  <c r="BJ108"/>
  <c r="BI108"/>
  <c r="BH108"/>
  <c r="BG108"/>
  <c r="BF108"/>
  <c r="BE108"/>
  <c r="BD108"/>
  <c r="BC108"/>
  <c r="BB108"/>
  <c r="BA108" s="1"/>
  <c r="AZ108"/>
  <c r="AX108"/>
  <c r="AW108"/>
  <c r="AV108"/>
  <c r="AC108"/>
  <c r="H108"/>
  <c r="G108"/>
  <c r="BT107"/>
  <c r="BS107"/>
  <c r="BR107"/>
  <c r="BQ107"/>
  <c r="BP107"/>
  <c r="BO107"/>
  <c r="BN107"/>
  <c r="BM107"/>
  <c r="BL107" s="1"/>
  <c r="BK107"/>
  <c r="BJ107"/>
  <c r="BI107"/>
  <c r="BH107"/>
  <c r="BG107"/>
  <c r="BF107"/>
  <c r="BE107"/>
  <c r="BD107"/>
  <c r="BC107"/>
  <c r="BB107"/>
  <c r="BA107"/>
  <c r="AX107"/>
  <c r="AW107"/>
  <c r="AV107"/>
  <c r="AC107"/>
  <c r="H107"/>
  <c r="G107" s="1"/>
  <c r="BT106"/>
  <c r="BS106"/>
  <c r="BR106"/>
  <c r="BQ106"/>
  <c r="BP106"/>
  <c r="BO106"/>
  <c r="BN106"/>
  <c r="BM106"/>
  <c r="BL106"/>
  <c r="BK106"/>
  <c r="BJ106"/>
  <c r="BI106"/>
  <c r="BH106"/>
  <c r="BG106"/>
  <c r="BF106"/>
  <c r="BE106"/>
  <c r="BD106"/>
  <c r="BC106"/>
  <c r="BB106"/>
  <c r="BA106" s="1"/>
  <c r="AZ106"/>
  <c r="AX106"/>
  <c r="AW106"/>
  <c r="AV106"/>
  <c r="AC106"/>
  <c r="H106"/>
  <c r="G106"/>
  <c r="BT105"/>
  <c r="BS105"/>
  <c r="BR105"/>
  <c r="BQ105"/>
  <c r="BP105"/>
  <c r="BO105"/>
  <c r="BN105"/>
  <c r="BM105"/>
  <c r="BL105" s="1"/>
  <c r="BK105"/>
  <c r="BJ105"/>
  <c r="BI105"/>
  <c r="BH105"/>
  <c r="BG105"/>
  <c r="BF105"/>
  <c r="BE105"/>
  <c r="BD105"/>
  <c r="BC105"/>
  <c r="BB105"/>
  <c r="BA105"/>
  <c r="AX105"/>
  <c r="AW105"/>
  <c r="AV105"/>
  <c r="AC105"/>
  <c r="H105"/>
  <c r="G105"/>
  <c r="BT104"/>
  <c r="BS104"/>
  <c r="BR104"/>
  <c r="BQ104"/>
  <c r="BP104"/>
  <c r="BO104"/>
  <c r="BN104"/>
  <c r="BM104"/>
  <c r="BL104" s="1"/>
  <c r="BK104"/>
  <c r="BJ104"/>
  <c r="BI104"/>
  <c r="BH104"/>
  <c r="BG104"/>
  <c r="BF104"/>
  <c r="BE104"/>
  <c r="BD104"/>
  <c r="BC104"/>
  <c r="BB104"/>
  <c r="BA104"/>
  <c r="AZ104" s="1"/>
  <c r="AX104"/>
  <c r="AW104"/>
  <c r="AV104"/>
  <c r="AC104"/>
  <c r="H104"/>
  <c r="G104" s="1"/>
  <c r="BT103"/>
  <c r="BS103"/>
  <c r="BR103"/>
  <c r="BQ103"/>
  <c r="BP103"/>
  <c r="BO103"/>
  <c r="BN103"/>
  <c r="BM103"/>
  <c r="BL103"/>
  <c r="BK103"/>
  <c r="BJ103"/>
  <c r="BI103"/>
  <c r="BH103"/>
  <c r="BG103"/>
  <c r="BF103"/>
  <c r="BE103"/>
  <c r="BD103"/>
  <c r="BC103"/>
  <c r="BB103"/>
  <c r="BA103" s="1"/>
  <c r="AZ103" s="1"/>
  <c r="AX103"/>
  <c r="AW103"/>
  <c r="AV103"/>
  <c r="AC103"/>
  <c r="H103"/>
  <c r="G103"/>
  <c r="BT102"/>
  <c r="BS102"/>
  <c r="BR102"/>
  <c r="BQ102"/>
  <c r="BP102"/>
  <c r="BO102"/>
  <c r="BN102"/>
  <c r="BM102"/>
  <c r="BL102" s="1"/>
  <c r="BK102"/>
  <c r="BJ102"/>
  <c r="BI102"/>
  <c r="BH102"/>
  <c r="BG102"/>
  <c r="BF102"/>
  <c r="BE102"/>
  <c r="BD102"/>
  <c r="BC102"/>
  <c r="BB102"/>
  <c r="BA102"/>
  <c r="AX102"/>
  <c r="AW102"/>
  <c r="AV102"/>
  <c r="AC102"/>
  <c r="H102"/>
  <c r="G102"/>
  <c r="BT101"/>
  <c r="BS101"/>
  <c r="BR101"/>
  <c r="BQ101"/>
  <c r="BP101"/>
  <c r="BO101"/>
  <c r="BN101"/>
  <c r="BM101"/>
  <c r="BL101" s="1"/>
  <c r="BK101"/>
  <c r="BJ101"/>
  <c r="BI101"/>
  <c r="BH101"/>
  <c r="BG101"/>
  <c r="BF101"/>
  <c r="BE101"/>
  <c r="BD101"/>
  <c r="BC101"/>
  <c r="BB101"/>
  <c r="BA101"/>
  <c r="AX101"/>
  <c r="AW101"/>
  <c r="AV101"/>
  <c r="AC101"/>
  <c r="H101"/>
  <c r="G101"/>
  <c r="BT100"/>
  <c r="BS100"/>
  <c r="BR100"/>
  <c r="BQ100"/>
  <c r="BP100"/>
  <c r="BO100"/>
  <c r="BN100"/>
  <c r="BM100"/>
  <c r="BL100" s="1"/>
  <c r="BK100"/>
  <c r="BJ100"/>
  <c r="BI100"/>
  <c r="BH100"/>
  <c r="BG100"/>
  <c r="BF100"/>
  <c r="BE100"/>
  <c r="BD100"/>
  <c r="BC100"/>
  <c r="BB100"/>
  <c r="BA100"/>
  <c r="AZ100" s="1"/>
  <c r="AX100"/>
  <c r="AW100"/>
  <c r="AV100"/>
  <c r="AC100"/>
  <c r="H100"/>
  <c r="G100" s="1"/>
  <c r="BT99"/>
  <c r="BS99"/>
  <c r="BR99"/>
  <c r="BQ99"/>
  <c r="BP99"/>
  <c r="BO99"/>
  <c r="BN99"/>
  <c r="BM99"/>
  <c r="BL99"/>
  <c r="BK99"/>
  <c r="BJ99"/>
  <c r="BI99"/>
  <c r="BH99"/>
  <c r="BG99"/>
  <c r="BF99"/>
  <c r="BE99"/>
  <c r="BD99"/>
  <c r="BC99"/>
  <c r="BB99"/>
  <c r="BA99" s="1"/>
  <c r="AZ99" s="1"/>
  <c r="AX99"/>
  <c r="AW99"/>
  <c r="AV99"/>
  <c r="AC99"/>
  <c r="H99"/>
  <c r="G99"/>
  <c r="BT98"/>
  <c r="BS98"/>
  <c r="BR98"/>
  <c r="BQ98"/>
  <c r="BP98"/>
  <c r="BO98"/>
  <c r="BN98"/>
  <c r="BM98"/>
  <c r="BL98" s="1"/>
  <c r="BK98"/>
  <c r="BJ98"/>
  <c r="BI98"/>
  <c r="BH98"/>
  <c r="BG98"/>
  <c r="BF98"/>
  <c r="BE98"/>
  <c r="BD98"/>
  <c r="BC98"/>
  <c r="BB98"/>
  <c r="BA98"/>
  <c r="AZ98" s="1"/>
  <c r="AX98"/>
  <c r="AW98"/>
  <c r="AV98"/>
  <c r="AC98"/>
  <c r="H98"/>
  <c r="G98" s="1"/>
  <c r="BT97"/>
  <c r="BS97"/>
  <c r="BR97"/>
  <c r="BQ97"/>
  <c r="BP97"/>
  <c r="BO97"/>
  <c r="BN97"/>
  <c r="BM97"/>
  <c r="BL97"/>
  <c r="BK97"/>
  <c r="BJ97"/>
  <c r="BI97"/>
  <c r="BH97"/>
  <c r="BG97"/>
  <c r="BF97"/>
  <c r="BE97"/>
  <c r="BD97"/>
  <c r="BC97"/>
  <c r="BB97"/>
  <c r="BA97" s="1"/>
  <c r="AX97"/>
  <c r="AW97"/>
  <c r="AV97"/>
  <c r="AC97"/>
  <c r="H97"/>
  <c r="G97" s="1"/>
  <c r="BT96"/>
  <c r="BS96"/>
  <c r="BR96"/>
  <c r="BQ96"/>
  <c r="BP96"/>
  <c r="BO96"/>
  <c r="BN96"/>
  <c r="BM96"/>
  <c r="BL96"/>
  <c r="BK96"/>
  <c r="BJ96"/>
  <c r="BI96"/>
  <c r="BH96"/>
  <c r="BG96"/>
  <c r="BF96"/>
  <c r="BE96"/>
  <c r="BD96"/>
  <c r="BC96"/>
  <c r="BB96"/>
  <c r="BA96" s="1"/>
  <c r="AZ96" s="1"/>
  <c r="AX96"/>
  <c r="AW96"/>
  <c r="AV96"/>
  <c r="AC96"/>
  <c r="H96"/>
  <c r="G96"/>
  <c r="BT95"/>
  <c r="BS95"/>
  <c r="BR95"/>
  <c r="BQ95"/>
  <c r="BP95"/>
  <c r="BO95"/>
  <c r="BN95"/>
  <c r="BM95"/>
  <c r="BL95" s="1"/>
  <c r="BK95"/>
  <c r="BJ95"/>
  <c r="BI95"/>
  <c r="BH95"/>
  <c r="BG95"/>
  <c r="BF95"/>
  <c r="BE95"/>
  <c r="BD95"/>
  <c r="BC95"/>
  <c r="BB95"/>
  <c r="BA95"/>
  <c r="AZ95" s="1"/>
  <c r="AX95"/>
  <c r="AW95"/>
  <c r="AV95"/>
  <c r="AC95"/>
  <c r="H95"/>
  <c r="G95" s="1"/>
  <c r="BT94"/>
  <c r="BS94"/>
  <c r="BR94"/>
  <c r="BQ94"/>
  <c r="BP94"/>
  <c r="BO94"/>
  <c r="BN94"/>
  <c r="BM94"/>
  <c r="BL94"/>
  <c r="BK94"/>
  <c r="BJ94"/>
  <c r="BI94"/>
  <c r="BH94"/>
  <c r="BG94"/>
  <c r="BF94"/>
  <c r="BE94"/>
  <c r="BD94"/>
  <c r="BC94"/>
  <c r="BB94"/>
  <c r="BA94" s="1"/>
  <c r="AX94"/>
  <c r="AW94"/>
  <c r="AV94"/>
  <c r="AC94"/>
  <c r="H94"/>
  <c r="G94" s="1"/>
  <c r="BT93"/>
  <c r="BS93"/>
  <c r="BR93"/>
  <c r="BQ93"/>
  <c r="BP93"/>
  <c r="BO93"/>
  <c r="BN93"/>
  <c r="BM93"/>
  <c r="BL93"/>
  <c r="BK93"/>
  <c r="BJ93"/>
  <c r="BI93"/>
  <c r="BH93"/>
  <c r="BG93"/>
  <c r="BF93"/>
  <c r="BE93"/>
  <c r="BD93"/>
  <c r="BC93"/>
  <c r="BB93"/>
  <c r="BA93" s="1"/>
  <c r="AX93"/>
  <c r="AW93"/>
  <c r="AV93"/>
  <c r="AC93"/>
  <c r="H93"/>
  <c r="G93" s="1"/>
  <c r="BT92"/>
  <c r="BS92"/>
  <c r="BR92"/>
  <c r="BQ92"/>
  <c r="BP92"/>
  <c r="BO92"/>
  <c r="BN92"/>
  <c r="BM92"/>
  <c r="BL92"/>
  <c r="BK92"/>
  <c r="BJ92"/>
  <c r="BI92"/>
  <c r="BH92"/>
  <c r="BG92"/>
  <c r="BF92"/>
  <c r="BE92"/>
  <c r="BD92"/>
  <c r="BC92"/>
  <c r="BB92"/>
  <c r="BA92" s="1"/>
  <c r="AZ92" s="1"/>
  <c r="AX92"/>
  <c r="AW92"/>
  <c r="AV92"/>
  <c r="AC92"/>
  <c r="H92"/>
  <c r="G92"/>
  <c r="BT91"/>
  <c r="BS91"/>
  <c r="BR91"/>
  <c r="BQ91"/>
  <c r="BP91"/>
  <c r="BO91"/>
  <c r="BN91"/>
  <c r="BM91"/>
  <c r="BL91" s="1"/>
  <c r="BK91"/>
  <c r="BJ91"/>
  <c r="BI91"/>
  <c r="BH91"/>
  <c r="BG91"/>
  <c r="BF91"/>
  <c r="BE91"/>
  <c r="BD91"/>
  <c r="BC91"/>
  <c r="BB91"/>
  <c r="BA91"/>
  <c r="AZ91" s="1"/>
  <c r="AX91"/>
  <c r="AW91"/>
  <c r="AV91"/>
  <c r="AC91"/>
  <c r="H91"/>
  <c r="G91" s="1"/>
  <c r="BT90"/>
  <c r="BS90"/>
  <c r="BR90"/>
  <c r="BQ90"/>
  <c r="BP90"/>
  <c r="BO90"/>
  <c r="BN90"/>
  <c r="BM90"/>
  <c r="BL90"/>
  <c r="BK90"/>
  <c r="BJ90"/>
  <c r="BI90"/>
  <c r="BH90"/>
  <c r="BG90"/>
  <c r="BF90"/>
  <c r="BE90"/>
  <c r="BD90"/>
  <c r="BC90"/>
  <c r="BB90"/>
  <c r="BA90" s="1"/>
  <c r="AZ90" s="1"/>
  <c r="AX90"/>
  <c r="AW90"/>
  <c r="AV90"/>
  <c r="AC90"/>
  <c r="H90"/>
  <c r="G90"/>
  <c r="BT89"/>
  <c r="BS89"/>
  <c r="BR89"/>
  <c r="BQ89"/>
  <c r="BP89"/>
  <c r="BO89"/>
  <c r="BN89"/>
  <c r="BM89"/>
  <c r="BL89" s="1"/>
  <c r="BK89"/>
  <c r="BJ89"/>
  <c r="BI89"/>
  <c r="BH89"/>
  <c r="BG89"/>
  <c r="BF89"/>
  <c r="BE89"/>
  <c r="BD89"/>
  <c r="BC89"/>
  <c r="BB89"/>
  <c r="BA89"/>
  <c r="AX89"/>
  <c r="AW89"/>
  <c r="AV89"/>
  <c r="AC89"/>
  <c r="H89"/>
  <c r="G89"/>
  <c r="BT88"/>
  <c r="BS88"/>
  <c r="BR88"/>
  <c r="BQ88"/>
  <c r="BP88"/>
  <c r="BO88"/>
  <c r="BN88"/>
  <c r="BM88"/>
  <c r="BL88" s="1"/>
  <c r="BK88"/>
  <c r="BJ88"/>
  <c r="BI88"/>
  <c r="BH88"/>
  <c r="BG88"/>
  <c r="BF88"/>
  <c r="BE88"/>
  <c r="BD88"/>
  <c r="BC88"/>
  <c r="BB88"/>
  <c r="BA88"/>
  <c r="AX88"/>
  <c r="AW88"/>
  <c r="AV88"/>
  <c r="AC88"/>
  <c r="H88"/>
  <c r="G88" s="1"/>
  <c r="BT87"/>
  <c r="BS87"/>
  <c r="BR87"/>
  <c r="BQ87"/>
  <c r="BP87"/>
  <c r="BO87"/>
  <c r="BN87"/>
  <c r="BM87"/>
  <c r="BL87"/>
  <c r="BK87"/>
  <c r="BJ87"/>
  <c r="BI87"/>
  <c r="BH87"/>
  <c r="BG87"/>
  <c r="BF87"/>
  <c r="BE87"/>
  <c r="BD87"/>
  <c r="BC87"/>
  <c r="BB87"/>
  <c r="BA87" s="1"/>
  <c r="AZ87"/>
  <c r="AX87"/>
  <c r="AW87"/>
  <c r="AV87"/>
  <c r="AC87"/>
  <c r="H87"/>
  <c r="G87"/>
  <c r="BT86"/>
  <c r="BS86"/>
  <c r="BR86"/>
  <c r="BQ86"/>
  <c r="BP86"/>
  <c r="BO86"/>
  <c r="BN86"/>
  <c r="BM86"/>
  <c r="BL86" s="1"/>
  <c r="BK86"/>
  <c r="BJ86"/>
  <c r="BI86"/>
  <c r="BH86"/>
  <c r="BG86"/>
  <c r="BF86"/>
  <c r="BE86"/>
  <c r="BD86"/>
  <c r="BC86"/>
  <c r="BB86"/>
  <c r="BA86"/>
  <c r="AX86"/>
  <c r="AW86"/>
  <c r="AV86"/>
  <c r="AC86"/>
  <c r="H86"/>
  <c r="G86"/>
  <c r="BT85"/>
  <c r="BS85"/>
  <c r="BR85"/>
  <c r="BQ85"/>
  <c r="BP85"/>
  <c r="BO85"/>
  <c r="BN85"/>
  <c r="BM85"/>
  <c r="BL85" s="1"/>
  <c r="BK85"/>
  <c r="BJ85"/>
  <c r="BI85"/>
  <c r="BH85"/>
  <c r="BG85"/>
  <c r="BF85"/>
  <c r="BE85"/>
  <c r="BD85"/>
  <c r="BC85"/>
  <c r="BB85"/>
  <c r="BA85"/>
  <c r="AX85"/>
  <c r="AW85"/>
  <c r="AV85"/>
  <c r="AC85"/>
  <c r="H85"/>
  <c r="G85"/>
  <c r="BT84"/>
  <c r="BS84"/>
  <c r="BR84"/>
  <c r="BQ84"/>
  <c r="BP84"/>
  <c r="BO84"/>
  <c r="BN84"/>
  <c r="BM84"/>
  <c r="BL84" s="1"/>
  <c r="BK84"/>
  <c r="BJ84"/>
  <c r="BI84"/>
  <c r="BH84"/>
  <c r="BG84"/>
  <c r="BF84"/>
  <c r="BE84"/>
  <c r="BD84"/>
  <c r="BC84"/>
  <c r="BB84"/>
  <c r="BA84"/>
  <c r="AX84"/>
  <c r="AW84"/>
  <c r="AV84"/>
  <c r="AC84"/>
  <c r="H84"/>
  <c r="G84" s="1"/>
  <c r="BT83"/>
  <c r="BS83"/>
  <c r="BR83"/>
  <c r="BQ83"/>
  <c r="BP83"/>
  <c r="BO83"/>
  <c r="BN83"/>
  <c r="BM83"/>
  <c r="BL83"/>
  <c r="BK83"/>
  <c r="BJ83"/>
  <c r="BI83"/>
  <c r="BH83"/>
  <c r="BG83"/>
  <c r="BF83"/>
  <c r="BE83"/>
  <c r="BD83"/>
  <c r="BC83"/>
  <c r="BB83"/>
  <c r="BA83" s="1"/>
  <c r="AX83"/>
  <c r="AW83"/>
  <c r="AV83"/>
  <c r="AC83"/>
  <c r="H83"/>
  <c r="G83" s="1"/>
  <c r="BT82"/>
  <c r="BS82"/>
  <c r="BR82"/>
  <c r="BQ82"/>
  <c r="BP82"/>
  <c r="BO82"/>
  <c r="BN82"/>
  <c r="BM82"/>
  <c r="BL82"/>
  <c r="BK82"/>
  <c r="BJ82"/>
  <c r="BI82"/>
  <c r="BH82"/>
  <c r="BG82"/>
  <c r="BF82"/>
  <c r="BE82"/>
  <c r="BD82"/>
  <c r="BC82"/>
  <c r="BB82"/>
  <c r="BA82" s="1"/>
  <c r="AX82"/>
  <c r="AW82"/>
  <c r="AV82"/>
  <c r="AC82"/>
  <c r="H82"/>
  <c r="G82" s="1"/>
  <c r="BT81"/>
  <c r="BS81"/>
  <c r="BR81"/>
  <c r="BQ81"/>
  <c r="BP81"/>
  <c r="BO81"/>
  <c r="BN81"/>
  <c r="BM81"/>
  <c r="BL81"/>
  <c r="BK81"/>
  <c r="BJ81"/>
  <c r="BI81"/>
  <c r="BH81"/>
  <c r="BG81"/>
  <c r="BF81"/>
  <c r="BE81"/>
  <c r="BD81"/>
  <c r="BC81"/>
  <c r="BB81"/>
  <c r="BA81" s="1"/>
  <c r="AZ81"/>
  <c r="AX81"/>
  <c r="AW81"/>
  <c r="AV81"/>
  <c r="AC81"/>
  <c r="H81"/>
  <c r="G81"/>
  <c r="BT80"/>
  <c r="BS80"/>
  <c r="BR80"/>
  <c r="BQ80"/>
  <c r="BP80"/>
  <c r="BO80"/>
  <c r="BN80"/>
  <c r="BM80"/>
  <c r="BL80" s="1"/>
  <c r="BK80"/>
  <c r="BJ80"/>
  <c r="BI80"/>
  <c r="BH80"/>
  <c r="BG80"/>
  <c r="BF80"/>
  <c r="BE80"/>
  <c r="BD80"/>
  <c r="BC80"/>
  <c r="BB80"/>
  <c r="BA80"/>
  <c r="AX80"/>
  <c r="AW80"/>
  <c r="AV80"/>
  <c r="AC80"/>
  <c r="H80"/>
  <c r="G80" s="1"/>
  <c r="BT79"/>
  <c r="BS79"/>
  <c r="BR79"/>
  <c r="BQ79"/>
  <c r="BP79"/>
  <c r="BO79"/>
  <c r="BN79"/>
  <c r="BM79"/>
  <c r="BL79"/>
  <c r="BK79"/>
  <c r="BJ79"/>
  <c r="BI79"/>
  <c r="BH79"/>
  <c r="BG79"/>
  <c r="BF79"/>
  <c r="BE79"/>
  <c r="BD79"/>
  <c r="BC79"/>
  <c r="BB79"/>
  <c r="BA79" s="1"/>
  <c r="AX79"/>
  <c r="AW79"/>
  <c r="AV79"/>
  <c r="AC79"/>
  <c r="H79"/>
  <c r="G79" s="1"/>
  <c r="BT78"/>
  <c r="BS78"/>
  <c r="BR78"/>
  <c r="BQ78"/>
  <c r="BP78"/>
  <c r="BO78"/>
  <c r="BN78"/>
  <c r="BM78"/>
  <c r="BL78"/>
  <c r="BK78"/>
  <c r="BJ78"/>
  <c r="BI78"/>
  <c r="BH78"/>
  <c r="BG78"/>
  <c r="BF78"/>
  <c r="BE78"/>
  <c r="BD78"/>
  <c r="BC78"/>
  <c r="BB78"/>
  <c r="BA78" s="1"/>
  <c r="AZ78"/>
  <c r="AX78"/>
  <c r="AW78"/>
  <c r="AV78"/>
  <c r="AC78"/>
  <c r="H78"/>
  <c r="G78"/>
  <c r="BT77"/>
  <c r="BS77"/>
  <c r="BR77"/>
  <c r="BQ77"/>
  <c r="BP77"/>
  <c r="BO77"/>
  <c r="BN77"/>
  <c r="BM77"/>
  <c r="BL77" s="1"/>
  <c r="BK77"/>
  <c r="BJ77"/>
  <c r="BI77"/>
  <c r="BH77"/>
  <c r="BG77"/>
  <c r="BF77"/>
  <c r="BE77"/>
  <c r="BD77"/>
  <c r="BC77"/>
  <c r="BB77"/>
  <c r="BA77"/>
  <c r="AX77"/>
  <c r="AW77"/>
  <c r="AV77"/>
  <c r="AC77"/>
  <c r="H77"/>
  <c r="G77"/>
  <c r="BT76"/>
  <c r="BS76"/>
  <c r="BR76"/>
  <c r="BQ76"/>
  <c r="BP76"/>
  <c r="BO76"/>
  <c r="BN76"/>
  <c r="BM76"/>
  <c r="BL76" s="1"/>
  <c r="BK76"/>
  <c r="BJ76"/>
  <c r="BI76"/>
  <c r="BH76"/>
  <c r="BG76"/>
  <c r="BF76"/>
  <c r="BE76"/>
  <c r="BD76"/>
  <c r="BC76"/>
  <c r="BB76"/>
  <c r="BA76"/>
  <c r="AZ76" s="1"/>
  <c r="AX76"/>
  <c r="AW76"/>
  <c r="AV76"/>
  <c r="AC76"/>
  <c r="H76"/>
  <c r="G76" s="1"/>
  <c r="BT75"/>
  <c r="BS75"/>
  <c r="BR75"/>
  <c r="BQ75"/>
  <c r="BP75"/>
  <c r="BO75"/>
  <c r="BN75"/>
  <c r="BM75"/>
  <c r="BL75"/>
  <c r="BK75"/>
  <c r="BJ75"/>
  <c r="BI75"/>
  <c r="BH75"/>
  <c r="BG75"/>
  <c r="BF75"/>
  <c r="BE75"/>
  <c r="BD75"/>
  <c r="BC75"/>
  <c r="BB75"/>
  <c r="BA75" s="1"/>
  <c r="AX75"/>
  <c r="AW75"/>
  <c r="AV75"/>
  <c r="AC75"/>
  <c r="H75"/>
  <c r="G75" s="1"/>
  <c r="BT74"/>
  <c r="BS74"/>
  <c r="BR74"/>
  <c r="BQ74"/>
  <c r="BP74"/>
  <c r="BO74"/>
  <c r="BN74"/>
  <c r="BM74"/>
  <c r="BL74"/>
  <c r="BK74"/>
  <c r="BJ74"/>
  <c r="BI74"/>
  <c r="BH74"/>
  <c r="BG74"/>
  <c r="BF74"/>
  <c r="BE74"/>
  <c r="BD74"/>
  <c r="BC74"/>
  <c r="BB74"/>
  <c r="BA74" s="1"/>
  <c r="AX74"/>
  <c r="AW74"/>
  <c r="AV74"/>
  <c r="AC74"/>
  <c r="H74"/>
  <c r="G74" s="1"/>
  <c r="BT73"/>
  <c r="BS73"/>
  <c r="BR73"/>
  <c r="BQ73"/>
  <c r="BP73"/>
  <c r="BO73"/>
  <c r="BN73"/>
  <c r="BM73"/>
  <c r="BL73"/>
  <c r="BK73"/>
  <c r="BJ73"/>
  <c r="BI73"/>
  <c r="BH73"/>
  <c r="BG73"/>
  <c r="BF73"/>
  <c r="BE73"/>
  <c r="BD73"/>
  <c r="BC73"/>
  <c r="BB73"/>
  <c r="BA73" s="1"/>
  <c r="AZ73" s="1"/>
  <c r="AX73"/>
  <c r="AW73"/>
  <c r="AV73"/>
  <c r="AC73"/>
  <c r="H73"/>
  <c r="G73"/>
  <c r="BT72"/>
  <c r="BS72"/>
  <c r="BR72"/>
  <c r="BQ72"/>
  <c r="BP72"/>
  <c r="BO72"/>
  <c r="BN72"/>
  <c r="BM72"/>
  <c r="BL72" s="1"/>
  <c r="BK72"/>
  <c r="BJ72"/>
  <c r="BI72"/>
  <c r="BH72"/>
  <c r="BG72"/>
  <c r="BF72"/>
  <c r="BE72"/>
  <c r="BD72"/>
  <c r="BC72"/>
  <c r="BB72"/>
  <c r="BA72"/>
  <c r="AX72"/>
  <c r="AW72"/>
  <c r="AV72"/>
  <c r="AC72"/>
  <c r="H72"/>
  <c r="G72"/>
  <c r="BT71"/>
  <c r="BS71"/>
  <c r="BR71"/>
  <c r="BQ71"/>
  <c r="BP71"/>
  <c r="BO71"/>
  <c r="BN71"/>
  <c r="BM71"/>
  <c r="BL71" s="1"/>
  <c r="BK71"/>
  <c r="BJ71"/>
  <c r="BI71"/>
  <c r="BH71"/>
  <c r="BG71"/>
  <c r="BF71"/>
  <c r="BE71"/>
  <c r="BD71"/>
  <c r="BC71"/>
  <c r="BB71"/>
  <c r="BA71"/>
  <c r="AX71"/>
  <c r="AW71"/>
  <c r="AV71"/>
  <c r="AC71"/>
  <c r="H71"/>
  <c r="G71"/>
  <c r="BT70"/>
  <c r="BS70"/>
  <c r="BR70"/>
  <c r="BQ70"/>
  <c r="BP70"/>
  <c r="BO70"/>
  <c r="BN70"/>
  <c r="BM70"/>
  <c r="BL70" s="1"/>
  <c r="BK70"/>
  <c r="BJ70"/>
  <c r="BI70"/>
  <c r="BH70"/>
  <c r="BG70"/>
  <c r="BF70"/>
  <c r="BE70"/>
  <c r="BD70"/>
  <c r="BC70"/>
  <c r="BB70"/>
  <c r="BA70"/>
  <c r="AZ70" s="1"/>
  <c r="AX70"/>
  <c r="AW70"/>
  <c r="AV70"/>
  <c r="AC70"/>
  <c r="H70"/>
  <c r="G70"/>
  <c r="BT69"/>
  <c r="BS69"/>
  <c r="BR69"/>
  <c r="BQ69"/>
  <c r="BP69"/>
  <c r="BO69"/>
  <c r="BN69"/>
  <c r="BM69"/>
  <c r="BL69" s="1"/>
  <c r="BK69"/>
  <c r="BJ69"/>
  <c r="BI69"/>
  <c r="BH69"/>
  <c r="BG69"/>
  <c r="BF69"/>
  <c r="BE69"/>
  <c r="BD69"/>
  <c r="BC69"/>
  <c r="BB69"/>
  <c r="BA69"/>
  <c r="AX69"/>
  <c r="AW69"/>
  <c r="AV69"/>
  <c r="AC69"/>
  <c r="H69"/>
  <c r="G69"/>
  <c r="BT68"/>
  <c r="BS68"/>
  <c r="BR68"/>
  <c r="BQ68"/>
  <c r="BP68"/>
  <c r="BO68"/>
  <c r="BN68"/>
  <c r="BM68"/>
  <c r="BL68" s="1"/>
  <c r="BK68"/>
  <c r="BJ68"/>
  <c r="BI68"/>
  <c r="BH68"/>
  <c r="BG68"/>
  <c r="BF68"/>
  <c r="BE68"/>
  <c r="BD68"/>
  <c r="BC68"/>
  <c r="BB68"/>
  <c r="BA68"/>
  <c r="AX68"/>
  <c r="AW68"/>
  <c r="AV68"/>
  <c r="AC68"/>
  <c r="H68"/>
  <c r="G68" s="1"/>
  <c r="BT67"/>
  <c r="BS67"/>
  <c r="BR67"/>
  <c r="BQ67"/>
  <c r="BP67"/>
  <c r="BO67"/>
  <c r="BN67"/>
  <c r="BM67"/>
  <c r="BL67"/>
  <c r="BK67"/>
  <c r="BJ67"/>
  <c r="BI67"/>
  <c r="BH67"/>
  <c r="BG67"/>
  <c r="BF67"/>
  <c r="BE67"/>
  <c r="BD67"/>
  <c r="BC67"/>
  <c r="BB67"/>
  <c r="BA67" s="1"/>
  <c r="AX67"/>
  <c r="AW67"/>
  <c r="AV67"/>
  <c r="AC67"/>
  <c r="H67"/>
  <c r="G67" s="1"/>
  <c r="BT66"/>
  <c r="BS66"/>
  <c r="BR66"/>
  <c r="BQ66"/>
  <c r="BP66"/>
  <c r="BO66"/>
  <c r="BN66"/>
  <c r="BM66"/>
  <c r="BL66"/>
  <c r="BK66"/>
  <c r="BJ66"/>
  <c r="BI66"/>
  <c r="BH66"/>
  <c r="BG66"/>
  <c r="BF66"/>
  <c r="BE66"/>
  <c r="BD66"/>
  <c r="BC66"/>
  <c r="BB66"/>
  <c r="BA66" s="1"/>
  <c r="AX66"/>
  <c r="AW66"/>
  <c r="AV66"/>
  <c r="AC66"/>
  <c r="H66"/>
  <c r="G66" s="1"/>
  <c r="BT65"/>
  <c r="BS65"/>
  <c r="BR65"/>
  <c r="BQ65"/>
  <c r="BP65"/>
  <c r="BO65"/>
  <c r="BN65"/>
  <c r="BM65"/>
  <c r="BL65"/>
  <c r="BK65"/>
  <c r="BJ65"/>
  <c r="BI65"/>
  <c r="BH65"/>
  <c r="BG65"/>
  <c r="BF65"/>
  <c r="BE65"/>
  <c r="BD65"/>
  <c r="BC65"/>
  <c r="BB65"/>
  <c r="BA65" s="1"/>
  <c r="AZ65"/>
  <c r="AX65"/>
  <c r="AW65"/>
  <c r="AV65"/>
  <c r="AC65"/>
  <c r="H65"/>
  <c r="G65"/>
  <c r="BT64"/>
  <c r="BS64"/>
  <c r="BR64"/>
  <c r="BQ64"/>
  <c r="BP64"/>
  <c r="BO64"/>
  <c r="BN64"/>
  <c r="BM64"/>
  <c r="BL64" s="1"/>
  <c r="BK64"/>
  <c r="BJ64"/>
  <c r="BI64"/>
  <c r="BH64"/>
  <c r="BG64"/>
  <c r="BF64"/>
  <c r="BE64"/>
  <c r="BD64"/>
  <c r="BC64"/>
  <c r="BB64"/>
  <c r="BA64"/>
  <c r="AX64"/>
  <c r="AW64"/>
  <c r="AV64"/>
  <c r="AC64"/>
  <c r="H64"/>
  <c r="G64" s="1"/>
  <c r="BT63"/>
  <c r="BS63"/>
  <c r="BR63"/>
  <c r="BQ63"/>
  <c r="BP63"/>
  <c r="BO63"/>
  <c r="BN63"/>
  <c r="BM63"/>
  <c r="BL63"/>
  <c r="BK63"/>
  <c r="BJ63"/>
  <c r="BI63"/>
  <c r="BH63"/>
  <c r="BG63"/>
  <c r="BF63"/>
  <c r="BE63"/>
  <c r="BD63"/>
  <c r="BC63"/>
  <c r="BB63"/>
  <c r="BA63" s="1"/>
  <c r="AX63"/>
  <c r="AW63"/>
  <c r="AV63"/>
  <c r="AC63"/>
  <c r="H63"/>
  <c r="G63" s="1"/>
  <c r="BT62"/>
  <c r="BS62"/>
  <c r="BR62"/>
  <c r="BQ62"/>
  <c r="BP62"/>
  <c r="BO62"/>
  <c r="BN62"/>
  <c r="BM62"/>
  <c r="BL62"/>
  <c r="BK62"/>
  <c r="BJ62"/>
  <c r="BI62"/>
  <c r="BH62"/>
  <c r="BG62"/>
  <c r="BF62"/>
  <c r="BE62"/>
  <c r="BD62"/>
  <c r="BC62"/>
  <c r="BB62"/>
  <c r="BA62" s="1"/>
  <c r="AZ62"/>
  <c r="AX62"/>
  <c r="AW62"/>
  <c r="AV62"/>
  <c r="AC62"/>
  <c r="H62"/>
  <c r="G62"/>
  <c r="BT61"/>
  <c r="BS61"/>
  <c r="BR61"/>
  <c r="BQ61"/>
  <c r="BP61"/>
  <c r="BO61"/>
  <c r="BN61"/>
  <c r="BM61"/>
  <c r="BL61" s="1"/>
  <c r="BK61"/>
  <c r="BJ61"/>
  <c r="BI61"/>
  <c r="BH61"/>
  <c r="BG61"/>
  <c r="BF61"/>
  <c r="BE61"/>
  <c r="BD61"/>
  <c r="BC61"/>
  <c r="BB61"/>
  <c r="BA61"/>
  <c r="AX61"/>
  <c r="AW61"/>
  <c r="AV61"/>
  <c r="AC61"/>
  <c r="H61"/>
  <c r="G61"/>
  <c r="BT60"/>
  <c r="BS60"/>
  <c r="BR60"/>
  <c r="BQ60"/>
  <c r="BP60"/>
  <c r="BO60"/>
  <c r="BN60"/>
  <c r="BM60"/>
  <c r="BL60" s="1"/>
  <c r="BK60"/>
  <c r="BJ60"/>
  <c r="BI60"/>
  <c r="BH60"/>
  <c r="BG60"/>
  <c r="BF60"/>
  <c r="BE60"/>
  <c r="BD60"/>
  <c r="BC60"/>
  <c r="BB60"/>
  <c r="BA60"/>
  <c r="AZ60" s="1"/>
  <c r="AX60"/>
  <c r="AW60"/>
  <c r="AV60"/>
  <c r="AC60"/>
  <c r="H60"/>
  <c r="G60" s="1"/>
  <c r="BT59"/>
  <c r="BS59"/>
  <c r="BR59"/>
  <c r="BQ59"/>
  <c r="BP59"/>
  <c r="BO59"/>
  <c r="BN59"/>
  <c r="BM59"/>
  <c r="BL59"/>
  <c r="BK59"/>
  <c r="BJ59"/>
  <c r="BI59"/>
  <c r="BH59"/>
  <c r="BG59"/>
  <c r="BF59"/>
  <c r="BE59"/>
  <c r="BD59"/>
  <c r="BC59"/>
  <c r="BB59"/>
  <c r="BA59" s="1"/>
  <c r="AX59"/>
  <c r="AW59"/>
  <c r="AV59"/>
  <c r="AC59"/>
  <c r="H59"/>
  <c r="G59" s="1"/>
  <c r="BT58"/>
  <c r="BS58"/>
  <c r="BR58"/>
  <c r="BQ58"/>
  <c r="BP58"/>
  <c r="BO58"/>
  <c r="BN58"/>
  <c r="BM58"/>
  <c r="BL58"/>
  <c r="BK58"/>
  <c r="BJ58"/>
  <c r="BI58"/>
  <c r="BH58"/>
  <c r="BG58"/>
  <c r="BF58"/>
  <c r="BE58"/>
  <c r="BD58"/>
  <c r="BC58"/>
  <c r="BB58"/>
  <c r="BA58" s="1"/>
  <c r="AX58"/>
  <c r="AW58"/>
  <c r="AV58"/>
  <c r="AC58"/>
  <c r="H58"/>
  <c r="G58" s="1"/>
  <c r="BT57"/>
  <c r="BS57"/>
  <c r="BR57"/>
  <c r="BQ57"/>
  <c r="BP57"/>
  <c r="BO57"/>
  <c r="BN57"/>
  <c r="BM57"/>
  <c r="BL57"/>
  <c r="BK57"/>
  <c r="BJ57"/>
  <c r="BI57"/>
  <c r="BH57"/>
  <c r="BG57"/>
  <c r="BF57"/>
  <c r="BE57"/>
  <c r="BD57"/>
  <c r="BC57"/>
  <c r="BB57"/>
  <c r="BA57" s="1"/>
  <c r="AZ57" s="1"/>
  <c r="AX57"/>
  <c r="AW57"/>
  <c r="AV57"/>
  <c r="AC57"/>
  <c r="H57"/>
  <c r="G57"/>
  <c r="BT56"/>
  <c r="BS56"/>
  <c r="BR56"/>
  <c r="BQ56"/>
  <c r="BP56"/>
  <c r="BO56"/>
  <c r="BN56"/>
  <c r="BM56"/>
  <c r="BL56" s="1"/>
  <c r="BK56"/>
  <c r="BJ56"/>
  <c r="BI56"/>
  <c r="BH56"/>
  <c r="BG56"/>
  <c r="BF56"/>
  <c r="BE56"/>
  <c r="BD56"/>
  <c r="BC56"/>
  <c r="BB56"/>
  <c r="BA56"/>
  <c r="AZ56" s="1"/>
  <c r="AX56"/>
  <c r="AW56"/>
  <c r="AV56"/>
  <c r="AC56"/>
  <c r="H56"/>
  <c r="G56" s="1"/>
  <c r="BT55"/>
  <c r="BS55"/>
  <c r="BR55"/>
  <c r="BQ55"/>
  <c r="BP55"/>
  <c r="BO55"/>
  <c r="BN55"/>
  <c r="BM55"/>
  <c r="BL55"/>
  <c r="BK55"/>
  <c r="BJ55"/>
  <c r="BI55"/>
  <c r="BH55"/>
  <c r="BG55"/>
  <c r="BF55"/>
  <c r="BE55"/>
  <c r="BD55"/>
  <c r="BC55"/>
  <c r="BB55"/>
  <c r="BA55" s="1"/>
  <c r="AX55"/>
  <c r="AW55"/>
  <c r="AV55"/>
  <c r="AC55"/>
  <c r="H55"/>
  <c r="G55" s="1"/>
  <c r="BT54"/>
  <c r="BS54"/>
  <c r="BR54"/>
  <c r="BQ54"/>
  <c r="BP54"/>
  <c r="BO54"/>
  <c r="BN54"/>
  <c r="BM54"/>
  <c r="BL54"/>
  <c r="BK54"/>
  <c r="BJ54"/>
  <c r="BI54"/>
  <c r="BH54"/>
  <c r="BG54"/>
  <c r="BF54"/>
  <c r="BE54"/>
  <c r="BD54"/>
  <c r="BC54"/>
  <c r="BB54"/>
  <c r="BA54" s="1"/>
  <c r="AZ54" s="1"/>
  <c r="AX54"/>
  <c r="AW54"/>
  <c r="AV54"/>
  <c r="AC54"/>
  <c r="H54"/>
  <c r="G54"/>
  <c r="BT53"/>
  <c r="BS53"/>
  <c r="BR53"/>
  <c r="BQ53"/>
  <c r="BP53"/>
  <c r="BO53"/>
  <c r="BN53"/>
  <c r="BM53"/>
  <c r="BL53" s="1"/>
  <c r="BK53"/>
  <c r="BJ53"/>
  <c r="BI53"/>
  <c r="BH53"/>
  <c r="BG53"/>
  <c r="BF53"/>
  <c r="BE53"/>
  <c r="BD53"/>
  <c r="BC53"/>
  <c r="BB53"/>
  <c r="BA53"/>
  <c r="AX53"/>
  <c r="AW53"/>
  <c r="AV53"/>
  <c r="AC53"/>
  <c r="H53"/>
  <c r="G53"/>
  <c r="BT52"/>
  <c r="BS52"/>
  <c r="BR52"/>
  <c r="BQ52"/>
  <c r="BP52"/>
  <c r="BO52"/>
  <c r="BN52"/>
  <c r="BM52"/>
  <c r="BL52" s="1"/>
  <c r="BK52"/>
  <c r="BJ52"/>
  <c r="BI52"/>
  <c r="BH52"/>
  <c r="BG52"/>
  <c r="BF52"/>
  <c r="BE52"/>
  <c r="BD52"/>
  <c r="BC52"/>
  <c r="BB52"/>
  <c r="BA52"/>
  <c r="AX52"/>
  <c r="AW52"/>
  <c r="AV52"/>
  <c r="AC52"/>
  <c r="H52"/>
  <c r="G52" s="1"/>
  <c r="BT51"/>
  <c r="BS51"/>
  <c r="BR51"/>
  <c r="BQ51"/>
  <c r="BP51"/>
  <c r="BO51"/>
  <c r="BN51"/>
  <c r="BM51"/>
  <c r="BL51"/>
  <c r="BK51"/>
  <c r="BJ51"/>
  <c r="BI51"/>
  <c r="BH51"/>
  <c r="BG51"/>
  <c r="BF51"/>
  <c r="BE51"/>
  <c r="BD51"/>
  <c r="BC51"/>
  <c r="BB51"/>
  <c r="BA51" s="1"/>
  <c r="AX51"/>
  <c r="AW51"/>
  <c r="AV51"/>
  <c r="AC51"/>
  <c r="H51"/>
  <c r="G51" s="1"/>
  <c r="BT50"/>
  <c r="BS50"/>
  <c r="BR50"/>
  <c r="BQ50"/>
  <c r="BP50"/>
  <c r="BO50"/>
  <c r="BN50"/>
  <c r="BM50"/>
  <c r="BL50"/>
  <c r="BK50"/>
  <c r="BJ50"/>
  <c r="BI50"/>
  <c r="BH50"/>
  <c r="BG50"/>
  <c r="BF50"/>
  <c r="BE50"/>
  <c r="BD50"/>
  <c r="BC50"/>
  <c r="BB50"/>
  <c r="BA50" s="1"/>
  <c r="AX50"/>
  <c r="AW50"/>
  <c r="AV50"/>
  <c r="AC50"/>
  <c r="H50"/>
  <c r="G50" s="1"/>
  <c r="BT49"/>
  <c r="BS49"/>
  <c r="BR49"/>
  <c r="BQ49"/>
  <c r="BP49"/>
  <c r="BO49"/>
  <c r="BN49"/>
  <c r="BM49"/>
  <c r="BL49"/>
  <c r="BK49"/>
  <c r="BJ49"/>
  <c r="BI49"/>
  <c r="BH49"/>
  <c r="BG49"/>
  <c r="BF49"/>
  <c r="BE49"/>
  <c r="BD49"/>
  <c r="BC49"/>
  <c r="BB49"/>
  <c r="BA49" s="1"/>
  <c r="AZ49"/>
  <c r="AX49"/>
  <c r="AW49"/>
  <c r="AV49"/>
  <c r="AC49"/>
  <c r="H49"/>
  <c r="G49"/>
  <c r="BT48"/>
  <c r="BS48"/>
  <c r="BR48"/>
  <c r="BQ48"/>
  <c r="BP48"/>
  <c r="BO48"/>
  <c r="BN48"/>
  <c r="BM48"/>
  <c r="BL48" s="1"/>
  <c r="BK48"/>
  <c r="BJ48"/>
  <c r="BI48"/>
  <c r="BH48"/>
  <c r="BG48"/>
  <c r="BF48"/>
  <c r="BE48"/>
  <c r="BD48"/>
  <c r="BC48"/>
  <c r="BB48"/>
  <c r="BA48"/>
  <c r="AX48"/>
  <c r="AW48"/>
  <c r="AV48"/>
  <c r="AC48"/>
  <c r="H48"/>
  <c r="G48" s="1"/>
  <c r="BT47"/>
  <c r="BS47"/>
  <c r="BR47"/>
  <c r="BQ47"/>
  <c r="BP47"/>
  <c r="BO47"/>
  <c r="BN47"/>
  <c r="BM47"/>
  <c r="BL47"/>
  <c r="BK47"/>
  <c r="BJ47"/>
  <c r="BI47"/>
  <c r="BH47"/>
  <c r="BG47"/>
  <c r="BF47"/>
  <c r="BE47"/>
  <c r="BD47"/>
  <c r="BC47"/>
  <c r="BB47"/>
  <c r="BA47" s="1"/>
  <c r="AX47"/>
  <c r="AW47"/>
  <c r="AV47"/>
  <c r="AC47"/>
  <c r="H47"/>
  <c r="G47" s="1"/>
  <c r="BT46"/>
  <c r="BS46"/>
  <c r="BR46"/>
  <c r="BQ46"/>
  <c r="BP46"/>
  <c r="BO46"/>
  <c r="BN46"/>
  <c r="BM46"/>
  <c r="BL46"/>
  <c r="BK46"/>
  <c r="BJ46"/>
  <c r="BI46"/>
  <c r="BH46"/>
  <c r="BG46"/>
  <c r="BF46"/>
  <c r="BE46"/>
  <c r="BD46"/>
  <c r="BC46"/>
  <c r="BB46"/>
  <c r="BA46" s="1"/>
  <c r="AZ46"/>
  <c r="AX46"/>
  <c r="AW46"/>
  <c r="AV46"/>
  <c r="AC46"/>
  <c r="H46"/>
  <c r="G46"/>
  <c r="BT45"/>
  <c r="BS45"/>
  <c r="BR45"/>
  <c r="BQ45"/>
  <c r="BP45"/>
  <c r="BO45"/>
  <c r="BN45"/>
  <c r="BM45"/>
  <c r="BL45" s="1"/>
  <c r="BK45"/>
  <c r="BJ45"/>
  <c r="BI45"/>
  <c r="BH45"/>
  <c r="BG45"/>
  <c r="BF45"/>
  <c r="BE45"/>
  <c r="BD45"/>
  <c r="BC45"/>
  <c r="BB45"/>
  <c r="BA45"/>
  <c r="AX45"/>
  <c r="AW45"/>
  <c r="AV45"/>
  <c r="AC45"/>
  <c r="H45"/>
  <c r="G45"/>
  <c r="BT44"/>
  <c r="BS44"/>
  <c r="BR44"/>
  <c r="BQ44"/>
  <c r="BP44"/>
  <c r="BO44"/>
  <c r="BN44"/>
  <c r="BM44"/>
  <c r="BL44" s="1"/>
  <c r="BK44"/>
  <c r="BJ44"/>
  <c r="BI44"/>
  <c r="BH44"/>
  <c r="BG44"/>
  <c r="BF44"/>
  <c r="BE44"/>
  <c r="BD44"/>
  <c r="BC44"/>
  <c r="BB44"/>
  <c r="BA44"/>
  <c r="AZ44" s="1"/>
  <c r="AX44"/>
  <c r="AW44"/>
  <c r="AV44"/>
  <c r="AC44"/>
  <c r="H44"/>
  <c r="G44" s="1"/>
  <c r="BT43"/>
  <c r="BS43"/>
  <c r="BR43"/>
  <c r="BQ43"/>
  <c r="BP43"/>
  <c r="BO43"/>
  <c r="BN43"/>
  <c r="BM43"/>
  <c r="BL43"/>
  <c r="BK43"/>
  <c r="BJ43"/>
  <c r="BI43"/>
  <c r="BH43"/>
  <c r="BG43"/>
  <c r="BF43"/>
  <c r="BE43"/>
  <c r="BD43"/>
  <c r="BC43"/>
  <c r="BB43"/>
  <c r="BA43" s="1"/>
  <c r="AX43"/>
  <c r="AW43"/>
  <c r="AV43"/>
  <c r="AC43"/>
  <c r="H43"/>
  <c r="G43" s="1"/>
  <c r="BT42"/>
  <c r="BS42"/>
  <c r="BR42"/>
  <c r="BQ42"/>
  <c r="BP42"/>
  <c r="BO42"/>
  <c r="BN42"/>
  <c r="BM42"/>
  <c r="BL42"/>
  <c r="BK42"/>
  <c r="BJ42"/>
  <c r="BI42"/>
  <c r="BH42"/>
  <c r="BG42"/>
  <c r="BF42"/>
  <c r="BE42"/>
  <c r="BD42"/>
  <c r="BC42"/>
  <c r="BB42"/>
  <c r="BA42" s="1"/>
  <c r="AX42"/>
  <c r="AW42"/>
  <c r="AV42"/>
  <c r="AC42"/>
  <c r="H42"/>
  <c r="G42" s="1"/>
  <c r="BT41"/>
  <c r="BS41"/>
  <c r="BR41"/>
  <c r="BQ41"/>
  <c r="BP41"/>
  <c r="BO41"/>
  <c r="BN41"/>
  <c r="BM41"/>
  <c r="BL41"/>
  <c r="BK41"/>
  <c r="BJ41"/>
  <c r="BI41"/>
  <c r="BH41"/>
  <c r="BG41"/>
  <c r="BF41"/>
  <c r="BE41"/>
  <c r="BD41"/>
  <c r="BC41"/>
  <c r="BB41"/>
  <c r="BA41" s="1"/>
  <c r="AZ41" s="1"/>
  <c r="AX41"/>
  <c r="AW41"/>
  <c r="AV41"/>
  <c r="AC41"/>
  <c r="H41"/>
  <c r="G41"/>
  <c r="BT40"/>
  <c r="BS40"/>
  <c r="BR40"/>
  <c r="BQ40"/>
  <c r="BP40"/>
  <c r="BO40"/>
  <c r="BN40"/>
  <c r="BM40"/>
  <c r="BL40" s="1"/>
  <c r="BK40"/>
  <c r="BJ40"/>
  <c r="BI40"/>
  <c r="BH40"/>
  <c r="BG40"/>
  <c r="BF40"/>
  <c r="BE40"/>
  <c r="BD40"/>
  <c r="BC40"/>
  <c r="BB40"/>
  <c r="BA40"/>
  <c r="AZ40" s="1"/>
  <c r="AX40"/>
  <c r="AW40"/>
  <c r="AV40"/>
  <c r="AC40"/>
  <c r="H40"/>
  <c r="G40" s="1"/>
  <c r="BT39"/>
  <c r="BS39"/>
  <c r="BR39"/>
  <c r="BQ39"/>
  <c r="BP39"/>
  <c r="BO39"/>
  <c r="BN39"/>
  <c r="BM39"/>
  <c r="BL39"/>
  <c r="BK39"/>
  <c r="BJ39"/>
  <c r="BI39"/>
  <c r="BH39"/>
  <c r="BG39"/>
  <c r="BF39"/>
  <c r="BE39"/>
  <c r="BD39"/>
  <c r="BC39"/>
  <c r="BB39"/>
  <c r="BA39" s="1"/>
  <c r="AX39"/>
  <c r="AW39"/>
  <c r="AV39"/>
  <c r="AC39"/>
  <c r="H39"/>
  <c r="G39" s="1"/>
  <c r="BT38"/>
  <c r="BS38"/>
  <c r="BR38"/>
  <c r="BQ38"/>
  <c r="BP38"/>
  <c r="BO38"/>
  <c r="BN38"/>
  <c r="BM38"/>
  <c r="BL38"/>
  <c r="BK38"/>
  <c r="BJ38"/>
  <c r="BI38"/>
  <c r="BH38"/>
  <c r="BG38"/>
  <c r="BF38"/>
  <c r="BE38"/>
  <c r="BD38"/>
  <c r="BC38"/>
  <c r="BB38"/>
  <c r="BA38" s="1"/>
  <c r="AZ38" s="1"/>
  <c r="AX38"/>
  <c r="AW38"/>
  <c r="AV38"/>
  <c r="AC38"/>
  <c r="H38"/>
  <c r="G38"/>
  <c r="BT37"/>
  <c r="BS37"/>
  <c r="BR37"/>
  <c r="BQ37"/>
  <c r="BP37"/>
  <c r="BO37"/>
  <c r="BN37"/>
  <c r="BM37"/>
  <c r="BL37" s="1"/>
  <c r="BK37"/>
  <c r="BJ37"/>
  <c r="BI37"/>
  <c r="BH37"/>
  <c r="BG37"/>
  <c r="BF37"/>
  <c r="BE37"/>
  <c r="BD37"/>
  <c r="BC37"/>
  <c r="BB37"/>
  <c r="BA37"/>
  <c r="AX37"/>
  <c r="AW37"/>
  <c r="AV37"/>
  <c r="AC37"/>
  <c r="H37"/>
  <c r="G37"/>
  <c r="BT36"/>
  <c r="BS36"/>
  <c r="BR36"/>
  <c r="BQ36"/>
  <c r="BP36"/>
  <c r="BO36"/>
  <c r="BN36"/>
  <c r="BM36"/>
  <c r="BL36" s="1"/>
  <c r="BK36"/>
  <c r="BJ36"/>
  <c r="BI36"/>
  <c r="BH36"/>
  <c r="BG36"/>
  <c r="BF36"/>
  <c r="BE36"/>
  <c r="BD36"/>
  <c r="BC36"/>
  <c r="BB36"/>
  <c r="BA36"/>
  <c r="AX36"/>
  <c r="AW36"/>
  <c r="AV36"/>
  <c r="AC36"/>
  <c r="H36"/>
  <c r="G36" s="1"/>
  <c r="BT35"/>
  <c r="BS35"/>
  <c r="BR35"/>
  <c r="BQ35"/>
  <c r="BP35"/>
  <c r="BO35"/>
  <c r="BN35"/>
  <c r="BM35"/>
  <c r="BL35"/>
  <c r="BK35"/>
  <c r="BJ35"/>
  <c r="BI35"/>
  <c r="BH35"/>
  <c r="BG35"/>
  <c r="BF35"/>
  <c r="BE35"/>
  <c r="BD35"/>
  <c r="BC35"/>
  <c r="BB35"/>
  <c r="BA35" s="1"/>
  <c r="AZ35"/>
  <c r="AX35"/>
  <c r="AW35"/>
  <c r="AV35"/>
  <c r="AC35"/>
  <c r="H35"/>
  <c r="G35"/>
  <c r="BT34"/>
  <c r="BS34"/>
  <c r="BR34"/>
  <c r="BQ34"/>
  <c r="BP34"/>
  <c r="BO34"/>
  <c r="BN34"/>
  <c r="BM34"/>
  <c r="BL34" s="1"/>
  <c r="BK34"/>
  <c r="BJ34"/>
  <c r="BI34"/>
  <c r="BH34"/>
  <c r="BG34"/>
  <c r="BF34"/>
  <c r="BE34"/>
  <c r="BD34"/>
  <c r="BC34"/>
  <c r="BB34"/>
  <c r="BA34"/>
  <c r="AX34"/>
  <c r="AW34"/>
  <c r="AV34"/>
  <c r="AC34"/>
  <c r="H34"/>
  <c r="G34" s="1"/>
  <c r="BT33"/>
  <c r="BS33"/>
  <c r="BR33"/>
  <c r="BQ33"/>
  <c r="BP33"/>
  <c r="BO33"/>
  <c r="BN33"/>
  <c r="BM33"/>
  <c r="BL33"/>
  <c r="BK33"/>
  <c r="BJ33"/>
  <c r="BI33"/>
  <c r="BH33"/>
  <c r="BG33"/>
  <c r="BF33"/>
  <c r="BE33"/>
  <c r="BD33"/>
  <c r="BC33"/>
  <c r="BB33"/>
  <c r="BA33" s="1"/>
  <c r="AX33"/>
  <c r="AW33"/>
  <c r="AV33"/>
  <c r="AC33"/>
  <c r="H33"/>
  <c r="G33" s="1"/>
  <c r="BT32"/>
  <c r="BS32"/>
  <c r="BR32"/>
  <c r="BQ32"/>
  <c r="BP32"/>
  <c r="BO32"/>
  <c r="BN32"/>
  <c r="BM32"/>
  <c r="BL32"/>
  <c r="BK32"/>
  <c r="BJ32"/>
  <c r="BI32"/>
  <c r="BH32"/>
  <c r="BG32"/>
  <c r="BF32"/>
  <c r="BE32"/>
  <c r="BD32"/>
  <c r="BC32"/>
  <c r="BB32"/>
  <c r="BA32" s="1"/>
  <c r="AX32"/>
  <c r="AW32"/>
  <c r="AV32"/>
  <c r="AC32"/>
  <c r="H32"/>
  <c r="G32" s="1"/>
  <c r="BT31"/>
  <c r="BS31"/>
  <c r="BR31"/>
  <c r="BQ31"/>
  <c r="BP31"/>
  <c r="BO31"/>
  <c r="BN31"/>
  <c r="BM31"/>
  <c r="BL31"/>
  <c r="BK31"/>
  <c r="BJ31"/>
  <c r="BI31"/>
  <c r="BH31"/>
  <c r="BG31"/>
  <c r="BF31"/>
  <c r="BE31"/>
  <c r="BD31"/>
  <c r="BC31"/>
  <c r="BB31"/>
  <c r="BA31" s="1"/>
  <c r="AX31"/>
  <c r="AW31"/>
  <c r="AV31"/>
  <c r="AC31"/>
  <c r="H31"/>
  <c r="G31" s="1"/>
  <c r="BT30"/>
  <c r="BS30"/>
  <c r="BR30"/>
  <c r="BQ30"/>
  <c r="BP30"/>
  <c r="BO30"/>
  <c r="BN30"/>
  <c r="BM30"/>
  <c r="BL30" s="1"/>
  <c r="BK30"/>
  <c r="BJ30"/>
  <c r="BI30"/>
  <c r="BH30"/>
  <c r="BG30"/>
  <c r="BF30"/>
  <c r="BE30"/>
  <c r="BD30"/>
  <c r="BC30"/>
  <c r="BB30"/>
  <c r="BA30"/>
  <c r="AZ30" s="1"/>
  <c r="AX30"/>
  <c r="AW30"/>
  <c r="AV30"/>
  <c r="AC30"/>
  <c r="H30"/>
  <c r="G30" s="1"/>
  <c r="BT29"/>
  <c r="BS29"/>
  <c r="BR29"/>
  <c r="BQ29"/>
  <c r="BP29"/>
  <c r="BO29"/>
  <c r="BN29"/>
  <c r="BM29"/>
  <c r="BL29"/>
  <c r="BK29"/>
  <c r="BJ29"/>
  <c r="BI29"/>
  <c r="BH29"/>
  <c r="BG29"/>
  <c r="BF29"/>
  <c r="BE29"/>
  <c r="BD29"/>
  <c r="BC29"/>
  <c r="BB29"/>
  <c r="BA29" s="1"/>
  <c r="AX29"/>
  <c r="AW29"/>
  <c r="AV29"/>
  <c r="AC29"/>
  <c r="H29"/>
  <c r="G29" s="1"/>
  <c r="BT28"/>
  <c r="BS28"/>
  <c r="BR28"/>
  <c r="BQ28"/>
  <c r="BP28"/>
  <c r="BO28"/>
  <c r="BN28"/>
  <c r="BM28"/>
  <c r="BL28"/>
  <c r="BK28"/>
  <c r="BJ28"/>
  <c r="BI28"/>
  <c r="BH28"/>
  <c r="BG28"/>
  <c r="BF28"/>
  <c r="BE28"/>
  <c r="BD28"/>
  <c r="BC28"/>
  <c r="BB28"/>
  <c r="BA28" s="1"/>
  <c r="AX28"/>
  <c r="AW28"/>
  <c r="AV28"/>
  <c r="AC28"/>
  <c r="H28"/>
  <c r="G28" s="1"/>
  <c r="BT27"/>
  <c r="BS27"/>
  <c r="BR27"/>
  <c r="BQ27"/>
  <c r="BP27"/>
  <c r="BO27"/>
  <c r="BN27"/>
  <c r="BM27"/>
  <c r="BL27"/>
  <c r="BK27"/>
  <c r="BJ27"/>
  <c r="BI27"/>
  <c r="BH27"/>
  <c r="BG27"/>
  <c r="BF27"/>
  <c r="BE27"/>
  <c r="BD27"/>
  <c r="BC27"/>
  <c r="BB27"/>
  <c r="BA27" s="1"/>
  <c r="AZ27" s="1"/>
  <c r="AX27"/>
  <c r="AW27"/>
  <c r="AV27"/>
  <c r="AC27"/>
  <c r="H27"/>
  <c r="G27"/>
  <c r="BT26"/>
  <c r="BS26"/>
  <c r="BR26"/>
  <c r="BQ26"/>
  <c r="BP26"/>
  <c r="BO26"/>
  <c r="BN26"/>
  <c r="BM26"/>
  <c r="BL26" s="1"/>
  <c r="BK26"/>
  <c r="BJ26"/>
  <c r="BI26"/>
  <c r="BH26"/>
  <c r="BG26"/>
  <c r="BF26"/>
  <c r="BE26"/>
  <c r="BD26"/>
  <c r="BC26"/>
  <c r="BB26"/>
  <c r="BA26"/>
  <c r="AX26"/>
  <c r="AW26"/>
  <c r="AV26"/>
  <c r="AC26"/>
  <c r="H26"/>
  <c r="G26" s="1"/>
  <c r="BT25"/>
  <c r="BS25"/>
  <c r="BR25"/>
  <c r="BQ25"/>
  <c r="BP25"/>
  <c r="BO25"/>
  <c r="BN25"/>
  <c r="BM25"/>
  <c r="BL25"/>
  <c r="BK25"/>
  <c r="BJ25"/>
  <c r="BI25"/>
  <c r="BH25"/>
  <c r="BG25"/>
  <c r="BF25"/>
  <c r="BE25"/>
  <c r="BD25"/>
  <c r="BC25"/>
  <c r="BB25"/>
  <c r="BA25" s="1"/>
  <c r="AZ25" s="1"/>
  <c r="AX25"/>
  <c r="AW25"/>
  <c r="AV25"/>
  <c r="AC25"/>
  <c r="H25"/>
  <c r="G25"/>
  <c r="BT24"/>
  <c r="BS24"/>
  <c r="BR24"/>
  <c r="BQ24"/>
  <c r="BP24"/>
  <c r="BO24"/>
  <c r="BN24"/>
  <c r="BM24"/>
  <c r="BL24" s="1"/>
  <c r="BK24"/>
  <c r="BJ24"/>
  <c r="BI24"/>
  <c r="BH24"/>
  <c r="BG24"/>
  <c r="BF24"/>
  <c r="BE24"/>
  <c r="BD24"/>
  <c r="BC24"/>
  <c r="BB24"/>
  <c r="BA24"/>
  <c r="AX24"/>
  <c r="AW24"/>
  <c r="AV24"/>
  <c r="AC24"/>
  <c r="H24"/>
  <c r="G24"/>
  <c r="BT23"/>
  <c r="BS23"/>
  <c r="BR23"/>
  <c r="BQ23"/>
  <c r="BP23"/>
  <c r="BO23"/>
  <c r="BN23"/>
  <c r="BM23"/>
  <c r="BL23" s="1"/>
  <c r="BK23"/>
  <c r="BJ23"/>
  <c r="BI23"/>
  <c r="BH23"/>
  <c r="BG23"/>
  <c r="BF23"/>
  <c r="BE23"/>
  <c r="BD23"/>
  <c r="BC23"/>
  <c r="BB23"/>
  <c r="BA23"/>
  <c r="AX23"/>
  <c r="AW23"/>
  <c r="AV23"/>
  <c r="AC23"/>
  <c r="H23"/>
  <c r="G23" s="1"/>
  <c r="BT22"/>
  <c r="BS22"/>
  <c r="BR22"/>
  <c r="BQ22"/>
  <c r="BP22"/>
  <c r="BO22"/>
  <c r="BN22"/>
  <c r="BM22"/>
  <c r="BL22"/>
  <c r="BK22"/>
  <c r="BJ22"/>
  <c r="BI22"/>
  <c r="BH22"/>
  <c r="BG22"/>
  <c r="BF22"/>
  <c r="BE22"/>
  <c r="BD22"/>
  <c r="BC22"/>
  <c r="BB22"/>
  <c r="BA22" s="1"/>
  <c r="AZ22" s="1"/>
  <c r="AX22"/>
  <c r="AW22"/>
  <c r="AV22"/>
  <c r="AC22"/>
  <c r="H22"/>
  <c r="G22"/>
  <c r="BT21"/>
  <c r="BS21"/>
  <c r="BR21"/>
  <c r="BQ21"/>
  <c r="BP21"/>
  <c r="BO21"/>
  <c r="BN21"/>
  <c r="BM21"/>
  <c r="BL21" s="1"/>
  <c r="BK21"/>
  <c r="BJ21"/>
  <c r="BI21"/>
  <c r="BH21"/>
  <c r="BG21"/>
  <c r="BF21"/>
  <c r="BE21"/>
  <c r="BD21"/>
  <c r="BC21"/>
  <c r="BB21"/>
  <c r="BA21"/>
  <c r="AX21"/>
  <c r="AW21"/>
  <c r="AV21"/>
  <c r="AC21"/>
  <c r="H21"/>
  <c r="G21"/>
  <c r="BT20"/>
  <c r="BS20"/>
  <c r="BR20"/>
  <c r="BQ20"/>
  <c r="BP20"/>
  <c r="BO20"/>
  <c r="BN20"/>
  <c r="BM20"/>
  <c r="BL20" s="1"/>
  <c r="BK20"/>
  <c r="BJ20"/>
  <c r="BI20"/>
  <c r="BH20"/>
  <c r="BG20"/>
  <c r="BF20"/>
  <c r="BE20"/>
  <c r="BD20"/>
  <c r="BC20"/>
  <c r="BB20"/>
  <c r="BA20"/>
  <c r="AX20"/>
  <c r="AW20"/>
  <c r="AV20"/>
  <c r="AC20"/>
  <c r="H20"/>
  <c r="G20"/>
  <c r="BT19"/>
  <c r="BS19"/>
  <c r="BR19"/>
  <c r="BQ19"/>
  <c r="BP19"/>
  <c r="BO19"/>
  <c r="BN19"/>
  <c r="BM19"/>
  <c r="BL19" s="1"/>
  <c r="BK19"/>
  <c r="BJ19"/>
  <c r="BI19"/>
  <c r="BH19"/>
  <c r="BG19"/>
  <c r="BF19"/>
  <c r="BE19"/>
  <c r="BD19"/>
  <c r="BC19"/>
  <c r="BB19"/>
  <c r="BA19"/>
  <c r="AZ19" s="1"/>
  <c r="AX19"/>
  <c r="AW19"/>
  <c r="AV19"/>
  <c r="AC19"/>
  <c r="H19"/>
  <c r="G19" s="1"/>
  <c r="BT18"/>
  <c r="BS18"/>
  <c r="BR18"/>
  <c r="BQ18"/>
  <c r="BP18"/>
  <c r="BO18"/>
  <c r="BN18"/>
  <c r="BM18"/>
  <c r="BL18"/>
  <c r="BK18"/>
  <c r="BJ18"/>
  <c r="BI18"/>
  <c r="BH18"/>
  <c r="BG18"/>
  <c r="BF18"/>
  <c r="BE18"/>
  <c r="BD18"/>
  <c r="BC18"/>
  <c r="BB18"/>
  <c r="BA18" s="1"/>
  <c r="AZ18" s="1"/>
  <c r="AX18"/>
  <c r="AW18"/>
  <c r="AV18"/>
  <c r="AC18"/>
  <c r="H18"/>
  <c r="G18"/>
  <c r="BT207"/>
  <c r="BS207"/>
  <c r="BR207"/>
  <c r="BQ207"/>
  <c r="BP207"/>
  <c r="BO207"/>
  <c r="BN207"/>
  <c r="BM207"/>
  <c r="BL207" s="1"/>
  <c r="BK207"/>
  <c r="BJ207"/>
  <c r="BI207"/>
  <c r="BH207"/>
  <c r="BG207"/>
  <c r="BF207"/>
  <c r="BE207"/>
  <c r="BD207"/>
  <c r="BC207"/>
  <c r="BB207"/>
  <c r="BA207"/>
  <c r="AX207"/>
  <c r="AW207"/>
  <c r="AV207"/>
  <c r="AC207"/>
  <c r="H207"/>
  <c r="G207" s="1"/>
  <c r="BT206"/>
  <c r="BS206"/>
  <c r="BR206"/>
  <c r="BQ206"/>
  <c r="BP206"/>
  <c r="BO206"/>
  <c r="BN206"/>
  <c r="BM206"/>
  <c r="BL206"/>
  <c r="BK206"/>
  <c r="BJ206"/>
  <c r="BI206"/>
  <c r="BH206"/>
  <c r="BG206"/>
  <c r="BF206"/>
  <c r="BE206"/>
  <c r="BD206"/>
  <c r="BC206"/>
  <c r="BB206"/>
  <c r="BA206" s="1"/>
  <c r="AX206"/>
  <c r="AW206"/>
  <c r="AV206"/>
  <c r="AC206"/>
  <c r="H206"/>
  <c r="G206" s="1"/>
  <c r="BT205"/>
  <c r="BS205"/>
  <c r="BR205"/>
  <c r="BQ205"/>
  <c r="BP205"/>
  <c r="BO205"/>
  <c r="BN205"/>
  <c r="BM205"/>
  <c r="BL205"/>
  <c r="BK205"/>
  <c r="BJ205"/>
  <c r="BI205"/>
  <c r="BH205"/>
  <c r="BG205"/>
  <c r="BF205"/>
  <c r="BE205"/>
  <c r="BD205"/>
  <c r="BC205"/>
  <c r="BB205"/>
  <c r="BA205" s="1"/>
  <c r="AZ205" s="1"/>
  <c r="AX205"/>
  <c r="AW205"/>
  <c r="AV205"/>
  <c r="AC205"/>
  <c r="H205"/>
  <c r="G205"/>
  <c r="BT204"/>
  <c r="BS204"/>
  <c r="BR204"/>
  <c r="BQ204"/>
  <c r="BP204"/>
  <c r="BO204"/>
  <c r="BN204"/>
  <c r="BM204"/>
  <c r="BK204"/>
  <c r="BJ204"/>
  <c r="BI204"/>
  <c r="BH204"/>
  <c r="BG204"/>
  <c r="BF204"/>
  <c r="BE204"/>
  <c r="BD204"/>
  <c r="BC204"/>
  <c r="BB204"/>
  <c r="BA204" s="1"/>
  <c r="AX204"/>
  <c r="AW204"/>
  <c r="AV204"/>
  <c r="AC204"/>
  <c r="H204"/>
  <c r="G204" s="1"/>
  <c r="BT203"/>
  <c r="BS203"/>
  <c r="BR203"/>
  <c r="BQ203"/>
  <c r="BP203"/>
  <c r="BO203"/>
  <c r="BN203"/>
  <c r="BM203"/>
  <c r="BL203"/>
  <c r="BK203"/>
  <c r="BJ203"/>
  <c r="BI203"/>
  <c r="BH203"/>
  <c r="BG203"/>
  <c r="BF203"/>
  <c r="BE203"/>
  <c r="BD203"/>
  <c r="BC203"/>
  <c r="BB203"/>
  <c r="AX203"/>
  <c r="AW203"/>
  <c r="AV203"/>
  <c r="AC203"/>
  <c r="H203"/>
  <c r="G203"/>
  <c r="BT202"/>
  <c r="BS202"/>
  <c r="BR202"/>
  <c r="BQ202"/>
  <c r="BP202"/>
  <c r="BO202"/>
  <c r="BN202"/>
  <c r="BM202"/>
  <c r="BL202" s="1"/>
  <c r="BK202"/>
  <c r="BJ202"/>
  <c r="BI202"/>
  <c r="BH202"/>
  <c r="BG202"/>
  <c r="BF202"/>
  <c r="BE202"/>
  <c r="BD202"/>
  <c r="BC202"/>
  <c r="BB202"/>
  <c r="BA202"/>
  <c r="AX202"/>
  <c r="AW202"/>
  <c r="AV202"/>
  <c r="AC202"/>
  <c r="H202"/>
  <c r="G202"/>
  <c r="BT201"/>
  <c r="BS201"/>
  <c r="BR201"/>
  <c r="BQ201"/>
  <c r="BP201"/>
  <c r="BO201"/>
  <c r="BN201"/>
  <c r="BM201"/>
  <c r="BL201" s="1"/>
  <c r="BK201"/>
  <c r="BJ201"/>
  <c r="BI201"/>
  <c r="BH201"/>
  <c r="BG201"/>
  <c r="BF201"/>
  <c r="BE201"/>
  <c r="BD201"/>
  <c r="BC201"/>
  <c r="BB201"/>
  <c r="BA201"/>
  <c r="AX201"/>
  <c r="AW201"/>
  <c r="AV201"/>
  <c r="AC201"/>
  <c r="H201"/>
  <c r="BT200"/>
  <c r="BS200"/>
  <c r="BR200"/>
  <c r="BQ200"/>
  <c r="BP200"/>
  <c r="BO200"/>
  <c r="BN200"/>
  <c r="BM200"/>
  <c r="BK200"/>
  <c r="BJ200"/>
  <c r="BI200"/>
  <c r="BH200"/>
  <c r="BG200"/>
  <c r="BF200"/>
  <c r="BE200"/>
  <c r="BD200"/>
  <c r="BC200"/>
  <c r="BB200"/>
  <c r="BA200" s="1"/>
  <c r="AX200"/>
  <c r="AW200"/>
  <c r="AV200"/>
  <c r="AC200"/>
  <c r="H200"/>
  <c r="G200" s="1"/>
  <c r="BT199"/>
  <c r="BS199"/>
  <c r="BR199"/>
  <c r="BQ199"/>
  <c r="BP199"/>
  <c r="BO199"/>
  <c r="BN199"/>
  <c r="BM199"/>
  <c r="BL199"/>
  <c r="BK199"/>
  <c r="BJ199"/>
  <c r="BI199"/>
  <c r="BH199"/>
  <c r="BG199"/>
  <c r="BF199"/>
  <c r="BE199"/>
  <c r="BD199"/>
  <c r="BC199"/>
  <c r="BB199"/>
  <c r="AX199"/>
  <c r="AW199"/>
  <c r="AV199"/>
  <c r="AC199"/>
  <c r="H199"/>
  <c r="G199"/>
  <c r="BT198"/>
  <c r="BS198"/>
  <c r="BR198"/>
  <c r="BQ198"/>
  <c r="BP198"/>
  <c r="BO198"/>
  <c r="BN198"/>
  <c r="BM198"/>
  <c r="BL198" s="1"/>
  <c r="BK198"/>
  <c r="BJ198"/>
  <c r="BI198"/>
  <c r="BH198"/>
  <c r="BG198"/>
  <c r="BF198"/>
  <c r="BE198"/>
  <c r="BD198"/>
  <c r="BC198"/>
  <c r="BB198"/>
  <c r="BA198"/>
  <c r="AX198"/>
  <c r="AW198"/>
  <c r="AV198"/>
  <c r="AC198"/>
  <c r="H198"/>
  <c r="G198"/>
  <c r="BT197"/>
  <c r="BS197"/>
  <c r="BR197"/>
  <c r="BQ197"/>
  <c r="BP197"/>
  <c r="BO197"/>
  <c r="BN197"/>
  <c r="BM197"/>
  <c r="BL197" s="1"/>
  <c r="BK197"/>
  <c r="BJ197"/>
  <c r="BI197"/>
  <c r="BH197"/>
  <c r="BG197"/>
  <c r="BF197"/>
  <c r="BE197"/>
  <c r="BD197"/>
  <c r="BC197"/>
  <c r="BB197"/>
  <c r="BA197"/>
  <c r="AZ197" s="1"/>
  <c r="AX197"/>
  <c r="AW197"/>
  <c r="AV197"/>
  <c r="AC197"/>
  <c r="H197"/>
  <c r="BT196"/>
  <c r="BS196"/>
  <c r="BR196"/>
  <c r="BQ196"/>
  <c r="BP196"/>
  <c r="BO196"/>
  <c r="BN196"/>
  <c r="BM196"/>
  <c r="BK196"/>
  <c r="BJ196"/>
  <c r="BI196"/>
  <c r="BH196"/>
  <c r="BG196"/>
  <c r="BF196"/>
  <c r="BE196"/>
  <c r="BD196"/>
  <c r="BC196"/>
  <c r="BB196"/>
  <c r="BA196" s="1"/>
  <c r="AX196"/>
  <c r="AW196"/>
  <c r="AV196"/>
  <c r="AC196"/>
  <c r="H196"/>
  <c r="G196" s="1"/>
  <c r="BT195"/>
  <c r="BS195"/>
  <c r="BR195"/>
  <c r="BQ195"/>
  <c r="BP195"/>
  <c r="BO195"/>
  <c r="BN195"/>
  <c r="BM195"/>
  <c r="BL195"/>
  <c r="BK195"/>
  <c r="BJ195"/>
  <c r="BI195"/>
  <c r="BH195"/>
  <c r="BG195"/>
  <c r="BF195"/>
  <c r="BE195"/>
  <c r="BD195"/>
  <c r="BC195"/>
  <c r="BB195"/>
  <c r="AX195"/>
  <c r="AW195"/>
  <c r="AV195"/>
  <c r="AC195"/>
  <c r="H195"/>
  <c r="G195"/>
  <c r="BT194"/>
  <c r="BS194"/>
  <c r="BR194"/>
  <c r="BQ194"/>
  <c r="BP194"/>
  <c r="BO194"/>
  <c r="BN194"/>
  <c r="BM194"/>
  <c r="BL194" s="1"/>
  <c r="BK194"/>
  <c r="BJ194"/>
  <c r="BI194"/>
  <c r="BH194"/>
  <c r="BG194"/>
  <c r="BF194"/>
  <c r="BE194"/>
  <c r="BD194"/>
  <c r="BC194"/>
  <c r="BB194"/>
  <c r="BA194"/>
  <c r="AX194"/>
  <c r="AW194"/>
  <c r="AV194"/>
  <c r="AC194"/>
  <c r="H194"/>
  <c r="G194"/>
  <c r="BT193"/>
  <c r="BS193"/>
  <c r="BR193"/>
  <c r="BQ193"/>
  <c r="BP193"/>
  <c r="BO193"/>
  <c r="BN193"/>
  <c r="BM193"/>
  <c r="BL193" s="1"/>
  <c r="BK193"/>
  <c r="BJ193"/>
  <c r="BI193"/>
  <c r="BH193"/>
  <c r="BG193"/>
  <c r="BF193"/>
  <c r="BE193"/>
  <c r="BD193"/>
  <c r="BC193"/>
  <c r="BB193"/>
  <c r="BA193"/>
  <c r="AX193"/>
  <c r="AW193"/>
  <c r="AV193"/>
  <c r="AC193"/>
  <c r="H193"/>
  <c r="BT192"/>
  <c r="BS192"/>
  <c r="BR192"/>
  <c r="BQ192"/>
  <c r="BP192"/>
  <c r="BO192"/>
  <c r="BN192"/>
  <c r="BM192"/>
  <c r="BK192"/>
  <c r="BJ192"/>
  <c r="BI192"/>
  <c r="BH192"/>
  <c r="BG192"/>
  <c r="BF192"/>
  <c r="BE192"/>
  <c r="BD192"/>
  <c r="BC192"/>
  <c r="BB192"/>
  <c r="BA192" s="1"/>
  <c r="AX192"/>
  <c r="AW192"/>
  <c r="AV192"/>
  <c r="AC192"/>
  <c r="H192"/>
  <c r="G192" s="1"/>
  <c r="BT191"/>
  <c r="BS191"/>
  <c r="BR191"/>
  <c r="BQ191"/>
  <c r="BP191"/>
  <c r="BO191"/>
  <c r="BN191"/>
  <c r="BM191"/>
  <c r="BL191"/>
  <c r="BK191"/>
  <c r="BJ191"/>
  <c r="BI191"/>
  <c r="BH191"/>
  <c r="BG191"/>
  <c r="BF191"/>
  <c r="BE191"/>
  <c r="BD191"/>
  <c r="BC191"/>
  <c r="BB191"/>
  <c r="AX191"/>
  <c r="AW191"/>
  <c r="AV191"/>
  <c r="AC191"/>
  <c r="H191"/>
  <c r="G191"/>
  <c r="BT190"/>
  <c r="BS190"/>
  <c r="BR190"/>
  <c r="BQ190"/>
  <c r="BP190"/>
  <c r="BO190"/>
  <c r="BN190"/>
  <c r="BM190"/>
  <c r="BL190" s="1"/>
  <c r="BK190"/>
  <c r="BJ190"/>
  <c r="BI190"/>
  <c r="BH190"/>
  <c r="BG190"/>
  <c r="BF190"/>
  <c r="BE190"/>
  <c r="BD190"/>
  <c r="BC190"/>
  <c r="BB190"/>
  <c r="BA190"/>
  <c r="AX190"/>
  <c r="AW190"/>
  <c r="AV190"/>
  <c r="AC190"/>
  <c r="H190"/>
  <c r="G190"/>
  <c r="BT189"/>
  <c r="BS189"/>
  <c r="BR189"/>
  <c r="BQ189"/>
  <c r="BP189"/>
  <c r="BO189"/>
  <c r="BN189"/>
  <c r="BM189"/>
  <c r="BL189" s="1"/>
  <c r="BK189"/>
  <c r="BJ189"/>
  <c r="BI189"/>
  <c r="BH189"/>
  <c r="BG189"/>
  <c r="BF189"/>
  <c r="BE189"/>
  <c r="BD189"/>
  <c r="BC189"/>
  <c r="BB189"/>
  <c r="BA189"/>
  <c r="AZ189" s="1"/>
  <c r="AX189"/>
  <c r="AW189"/>
  <c r="AV189"/>
  <c r="AC189"/>
  <c r="H189"/>
  <c r="BT188"/>
  <c r="BS188"/>
  <c r="BR188"/>
  <c r="BQ188"/>
  <c r="BP188"/>
  <c r="BO188"/>
  <c r="BN188"/>
  <c r="BM188"/>
  <c r="BK188"/>
  <c r="BJ188"/>
  <c r="BI188"/>
  <c r="BH188"/>
  <c r="BG188"/>
  <c r="BF188"/>
  <c r="BE188"/>
  <c r="BD188"/>
  <c r="BC188"/>
  <c r="BB188"/>
  <c r="BA188" s="1"/>
  <c r="AX188"/>
  <c r="AW188"/>
  <c r="AV188"/>
  <c r="AC188"/>
  <c r="H188"/>
  <c r="G188" s="1"/>
  <c r="BT187"/>
  <c r="BS187"/>
  <c r="BR187"/>
  <c r="BQ187"/>
  <c r="BP187"/>
  <c r="BO187"/>
  <c r="BN187"/>
  <c r="BM187"/>
  <c r="BL187"/>
  <c r="BK187"/>
  <c r="BJ187"/>
  <c r="BI187"/>
  <c r="BH187"/>
  <c r="BG187"/>
  <c r="BF187"/>
  <c r="BE187"/>
  <c r="BD187"/>
  <c r="BC187"/>
  <c r="BB187"/>
  <c r="AX187"/>
  <c r="AW187"/>
  <c r="AV187"/>
  <c r="AC187"/>
  <c r="H187"/>
  <c r="G187"/>
  <c r="BT186"/>
  <c r="BS186"/>
  <c r="BR186"/>
  <c r="BQ186"/>
  <c r="BP186"/>
  <c r="BO186"/>
  <c r="BN186"/>
  <c r="BM186"/>
  <c r="BL186" s="1"/>
  <c r="BK186"/>
  <c r="BJ186"/>
  <c r="BI186"/>
  <c r="BH186"/>
  <c r="BG186"/>
  <c r="BF186"/>
  <c r="BE186"/>
  <c r="BD186"/>
  <c r="BC186"/>
  <c r="BB186"/>
  <c r="BA186"/>
  <c r="AX186"/>
  <c r="AW186"/>
  <c r="AV186"/>
  <c r="AC186"/>
  <c r="H186"/>
  <c r="G186"/>
  <c r="BT185"/>
  <c r="BS185"/>
  <c r="BR185"/>
  <c r="BQ185"/>
  <c r="BP185"/>
  <c r="BO185"/>
  <c r="BN185"/>
  <c r="BM185"/>
  <c r="BL185" s="1"/>
  <c r="BK185"/>
  <c r="BJ185"/>
  <c r="BI185"/>
  <c r="BH185"/>
  <c r="BG185"/>
  <c r="BF185"/>
  <c r="BE185"/>
  <c r="BD185"/>
  <c r="BC185"/>
  <c r="BB185"/>
  <c r="BA185"/>
  <c r="AX185"/>
  <c r="AW185"/>
  <c r="AV185"/>
  <c r="AC185"/>
  <c r="H185"/>
  <c r="BT184"/>
  <c r="BS184"/>
  <c r="BR184"/>
  <c r="BQ184"/>
  <c r="BP184"/>
  <c r="BO184"/>
  <c r="BN184"/>
  <c r="BM184"/>
  <c r="BK184"/>
  <c r="BJ184"/>
  <c r="BI184"/>
  <c r="BH184"/>
  <c r="BG184"/>
  <c r="BF184"/>
  <c r="BE184"/>
  <c r="BD184"/>
  <c r="BC184"/>
  <c r="BB184"/>
  <c r="BA184" s="1"/>
  <c r="AX184"/>
  <c r="AW184"/>
  <c r="AV184"/>
  <c r="AC184"/>
  <c r="H184"/>
  <c r="G184" s="1"/>
  <c r="BT183"/>
  <c r="BS183"/>
  <c r="BR183"/>
  <c r="BQ183"/>
  <c r="BP183"/>
  <c r="BO183"/>
  <c r="BN183"/>
  <c r="BM183"/>
  <c r="BL183"/>
  <c r="BK183"/>
  <c r="BJ183"/>
  <c r="BI183"/>
  <c r="BH183"/>
  <c r="BG183"/>
  <c r="BF183"/>
  <c r="BE183"/>
  <c r="BD183"/>
  <c r="BC183"/>
  <c r="BB183"/>
  <c r="AX183"/>
  <c r="AW183"/>
  <c r="AV183"/>
  <c r="AC183"/>
  <c r="H183"/>
  <c r="G183"/>
  <c r="BT182"/>
  <c r="BS182"/>
  <c r="BR182"/>
  <c r="BQ182"/>
  <c r="BP182"/>
  <c r="BO182"/>
  <c r="BN182"/>
  <c r="BM182"/>
  <c r="BL182" s="1"/>
  <c r="BK182"/>
  <c r="BJ182"/>
  <c r="BI182"/>
  <c r="BH182"/>
  <c r="BG182"/>
  <c r="BF182"/>
  <c r="BE182"/>
  <c r="BD182"/>
  <c r="BC182"/>
  <c r="BB182"/>
  <c r="BA182"/>
  <c r="AX182"/>
  <c r="AW182"/>
  <c r="AV182"/>
  <c r="AC182"/>
  <c r="H182"/>
  <c r="G182"/>
  <c r="BT181"/>
  <c r="BS181"/>
  <c r="BR181"/>
  <c r="BQ181"/>
  <c r="BP181"/>
  <c r="BO181"/>
  <c r="BN181"/>
  <c r="BM181"/>
  <c r="BL181" s="1"/>
  <c r="BK181"/>
  <c r="BJ181"/>
  <c r="BI181"/>
  <c r="BH181"/>
  <c r="BG181"/>
  <c r="BF181"/>
  <c r="BE181"/>
  <c r="BD181"/>
  <c r="BC181"/>
  <c r="BB181"/>
  <c r="BA181"/>
  <c r="AZ181" s="1"/>
  <c r="AX181"/>
  <c r="AW181"/>
  <c r="AV181"/>
  <c r="AC181"/>
  <c r="H181"/>
  <c r="BT180"/>
  <c r="BS180"/>
  <c r="BR180"/>
  <c r="BQ180"/>
  <c r="BP180"/>
  <c r="BO180"/>
  <c r="BN180"/>
  <c r="BM180"/>
  <c r="BK180"/>
  <c r="BJ180"/>
  <c r="BI180"/>
  <c r="BH180"/>
  <c r="BG180"/>
  <c r="BF180"/>
  <c r="BE180"/>
  <c r="BD180"/>
  <c r="BC180"/>
  <c r="BB180"/>
  <c r="BA180" s="1"/>
  <c r="AX180"/>
  <c r="AW180"/>
  <c r="AV180"/>
  <c r="AC180"/>
  <c r="H180"/>
  <c r="G180" s="1"/>
  <c r="BT179"/>
  <c r="BS179"/>
  <c r="BR179"/>
  <c r="BQ179"/>
  <c r="BP179"/>
  <c r="BO179"/>
  <c r="BN179"/>
  <c r="BM179"/>
  <c r="BL179"/>
  <c r="BK179"/>
  <c r="BJ179"/>
  <c r="BI179"/>
  <c r="BH179"/>
  <c r="BG179"/>
  <c r="BF179"/>
  <c r="BE179"/>
  <c r="BD179"/>
  <c r="BC179"/>
  <c r="BB179"/>
  <c r="AX179"/>
  <c r="AW179"/>
  <c r="AV179"/>
  <c r="AC179"/>
  <c r="H179"/>
  <c r="G179"/>
  <c r="BT178"/>
  <c r="BS178"/>
  <c r="BR178"/>
  <c r="BQ178"/>
  <c r="BP178"/>
  <c r="BO178"/>
  <c r="BN178"/>
  <c r="BM178"/>
  <c r="BL178" s="1"/>
  <c r="BK178"/>
  <c r="BJ178"/>
  <c r="BI178"/>
  <c r="BH178"/>
  <c r="BG178"/>
  <c r="BF178"/>
  <c r="BE178"/>
  <c r="BD178"/>
  <c r="BC178"/>
  <c r="BB178"/>
  <c r="BA178"/>
  <c r="AX178"/>
  <c r="AW178"/>
  <c r="AV178"/>
  <c r="AC178"/>
  <c r="H178"/>
  <c r="G178"/>
  <c r="BT177"/>
  <c r="BS177"/>
  <c r="BR177"/>
  <c r="BQ177"/>
  <c r="BP177"/>
  <c r="BO177"/>
  <c r="BN177"/>
  <c r="BM177"/>
  <c r="BL177" s="1"/>
  <c r="BK177"/>
  <c r="BJ177"/>
  <c r="BI177"/>
  <c r="BH177"/>
  <c r="BG177"/>
  <c r="BF177"/>
  <c r="BE177"/>
  <c r="BD177"/>
  <c r="BC177"/>
  <c r="BB177"/>
  <c r="BA177"/>
  <c r="AX177"/>
  <c r="AW177"/>
  <c r="AV177"/>
  <c r="AC177"/>
  <c r="H177"/>
  <c r="BT176"/>
  <c r="BS176"/>
  <c r="BR176"/>
  <c r="BQ176"/>
  <c r="BP176"/>
  <c r="BO176"/>
  <c r="BN176"/>
  <c r="BM176"/>
  <c r="BK176"/>
  <c r="BJ176"/>
  <c r="BI176"/>
  <c r="BH176"/>
  <c r="BG176"/>
  <c r="BF176"/>
  <c r="BE176"/>
  <c r="BD176"/>
  <c r="BC176"/>
  <c r="BB176"/>
  <c r="BA176" s="1"/>
  <c r="AX176"/>
  <c r="AW176"/>
  <c r="AV176"/>
  <c r="AC176"/>
  <c r="H176"/>
  <c r="G176" s="1"/>
  <c r="BT175"/>
  <c r="BS175"/>
  <c r="BR175"/>
  <c r="BQ175"/>
  <c r="BP175"/>
  <c r="BO175"/>
  <c r="BN175"/>
  <c r="BM175"/>
  <c r="BL175"/>
  <c r="BK175"/>
  <c r="BJ175"/>
  <c r="BI175"/>
  <c r="BH175"/>
  <c r="BG175"/>
  <c r="BF175"/>
  <c r="BE175"/>
  <c r="BD175"/>
  <c r="BC175"/>
  <c r="BB175"/>
  <c r="AX175"/>
  <c r="AW175"/>
  <c r="AV175"/>
  <c r="AC175"/>
  <c r="H175"/>
  <c r="G175"/>
  <c r="BT174"/>
  <c r="BS174"/>
  <c r="BR174"/>
  <c r="BQ174"/>
  <c r="BP174"/>
  <c r="BO174"/>
  <c r="BN174"/>
  <c r="BM174"/>
  <c r="BL174" s="1"/>
  <c r="BK174"/>
  <c r="BJ174"/>
  <c r="BI174"/>
  <c r="BH174"/>
  <c r="BG174"/>
  <c r="BF174"/>
  <c r="BE174"/>
  <c r="BD174"/>
  <c r="BC174"/>
  <c r="BB174"/>
  <c r="BA174"/>
  <c r="AX174"/>
  <c r="AW174"/>
  <c r="AV174"/>
  <c r="AC174"/>
  <c r="H174"/>
  <c r="G174"/>
  <c r="BT173"/>
  <c r="BS173"/>
  <c r="BR173"/>
  <c r="BQ173"/>
  <c r="BP173"/>
  <c r="BO173"/>
  <c r="BN173"/>
  <c r="BM173"/>
  <c r="BL173" s="1"/>
  <c r="BK173"/>
  <c r="BJ173"/>
  <c r="BI173"/>
  <c r="BH173"/>
  <c r="BG173"/>
  <c r="BF173"/>
  <c r="BE173"/>
  <c r="BD173"/>
  <c r="BC173"/>
  <c r="BB173"/>
  <c r="BA173"/>
  <c r="AZ173" s="1"/>
  <c r="AX173"/>
  <c r="AW173"/>
  <c r="AV173"/>
  <c r="AC173"/>
  <c r="H173"/>
  <c r="BT172"/>
  <c r="BS172"/>
  <c r="BR172"/>
  <c r="BQ172"/>
  <c r="BP172"/>
  <c r="BO172"/>
  <c r="BN172"/>
  <c r="BM172"/>
  <c r="BK172"/>
  <c r="BJ172"/>
  <c r="BI172"/>
  <c r="BH172"/>
  <c r="BG172"/>
  <c r="BF172"/>
  <c r="BE172"/>
  <c r="BD172"/>
  <c r="BC172"/>
  <c r="BB172"/>
  <c r="BA172" s="1"/>
  <c r="AX172"/>
  <c r="AW172"/>
  <c r="AV172"/>
  <c r="AC172"/>
  <c r="H172"/>
  <c r="G172" s="1"/>
  <c r="BT171"/>
  <c r="BS171"/>
  <c r="BR171"/>
  <c r="BQ171"/>
  <c r="BP171"/>
  <c r="BO171"/>
  <c r="BN171"/>
  <c r="BM171"/>
  <c r="BL171"/>
  <c r="BK171"/>
  <c r="BJ171"/>
  <c r="BI171"/>
  <c r="BH171"/>
  <c r="BG171"/>
  <c r="BF171"/>
  <c r="BE171"/>
  <c r="BD171"/>
  <c r="BC171"/>
  <c r="BB171"/>
  <c r="AX171"/>
  <c r="AW171"/>
  <c r="AV171"/>
  <c r="AC171"/>
  <c r="H171"/>
  <c r="G171"/>
  <c r="BT170"/>
  <c r="BS170"/>
  <c r="BR170"/>
  <c r="BQ170"/>
  <c r="BP170"/>
  <c r="BO170"/>
  <c r="BN170"/>
  <c r="BM170"/>
  <c r="BL170" s="1"/>
  <c r="BK170"/>
  <c r="BJ170"/>
  <c r="BI170"/>
  <c r="BH170"/>
  <c r="BG170"/>
  <c r="BF170"/>
  <c r="BE170"/>
  <c r="BD170"/>
  <c r="BC170"/>
  <c r="BB170"/>
  <c r="BA170"/>
  <c r="AX170"/>
  <c r="AW170"/>
  <c r="AV170"/>
  <c r="AC170"/>
  <c r="H170"/>
  <c r="G170"/>
  <c r="BT169"/>
  <c r="BS169"/>
  <c r="BR169"/>
  <c r="BQ169"/>
  <c r="BP169"/>
  <c r="BO169"/>
  <c r="BN169"/>
  <c r="BM169"/>
  <c r="BL169" s="1"/>
  <c r="BK169"/>
  <c r="BJ169"/>
  <c r="BI169"/>
  <c r="BH169"/>
  <c r="BG169"/>
  <c r="BF169"/>
  <c r="BE169"/>
  <c r="BD169"/>
  <c r="BC169"/>
  <c r="BB169"/>
  <c r="BA169"/>
  <c r="AX169"/>
  <c r="AW169"/>
  <c r="AV169"/>
  <c r="AC169"/>
  <c r="H169"/>
  <c r="BT168"/>
  <c r="BS168"/>
  <c r="BR168"/>
  <c r="BQ168"/>
  <c r="BP168"/>
  <c r="BO168"/>
  <c r="BN168"/>
  <c r="BM168"/>
  <c r="BK168"/>
  <c r="BJ168"/>
  <c r="BI168"/>
  <c r="BH168"/>
  <c r="BG168"/>
  <c r="BF168"/>
  <c r="BE168"/>
  <c r="BD168"/>
  <c r="BC168"/>
  <c r="BB168"/>
  <c r="BA168" s="1"/>
  <c r="AX168"/>
  <c r="AW168"/>
  <c r="AV168"/>
  <c r="AC168"/>
  <c r="H168"/>
  <c r="G168" s="1"/>
  <c r="BT167"/>
  <c r="BS167"/>
  <c r="BR167"/>
  <c r="BQ167"/>
  <c r="BP167"/>
  <c r="BO167"/>
  <c r="BN167"/>
  <c r="BM167"/>
  <c r="BL167"/>
  <c r="BK167"/>
  <c r="BJ167"/>
  <c r="BI167"/>
  <c r="BH167"/>
  <c r="BG167"/>
  <c r="BF167"/>
  <c r="BE167"/>
  <c r="BD167"/>
  <c r="BC167"/>
  <c r="BB167"/>
  <c r="AX167"/>
  <c r="AW167"/>
  <c r="AV167"/>
  <c r="AC167"/>
  <c r="H167"/>
  <c r="G167"/>
  <c r="BT166"/>
  <c r="BS166"/>
  <c r="BR166"/>
  <c r="BQ166"/>
  <c r="BP166"/>
  <c r="BO166"/>
  <c r="BN166"/>
  <c r="BM166"/>
  <c r="BL166" s="1"/>
  <c r="BK166"/>
  <c r="BJ166"/>
  <c r="BI166"/>
  <c r="BH166"/>
  <c r="BG166"/>
  <c r="BF166"/>
  <c r="BE166"/>
  <c r="BD166"/>
  <c r="BC166"/>
  <c r="BB166"/>
  <c r="BA166"/>
  <c r="AX166"/>
  <c r="AW166"/>
  <c r="AV166"/>
  <c r="AC166"/>
  <c r="H166"/>
  <c r="G166"/>
  <c r="BT165"/>
  <c r="BS165"/>
  <c r="BR165"/>
  <c r="BQ165"/>
  <c r="BP165"/>
  <c r="BO165"/>
  <c r="BN165"/>
  <c r="BM165"/>
  <c r="BL165" s="1"/>
  <c r="BK165"/>
  <c r="BJ165"/>
  <c r="BI165"/>
  <c r="BH165"/>
  <c r="BG165"/>
  <c r="BF165"/>
  <c r="BE165"/>
  <c r="BD165"/>
  <c r="BC165"/>
  <c r="BB165"/>
  <c r="BA165"/>
  <c r="AZ165" s="1"/>
  <c r="AX165"/>
  <c r="AW165"/>
  <c r="AV165"/>
  <c r="AC165"/>
  <c r="H165"/>
  <c r="BT164"/>
  <c r="BS164"/>
  <c r="BR164"/>
  <c r="BQ164"/>
  <c r="BP164"/>
  <c r="BO164"/>
  <c r="BN164"/>
  <c r="BM164"/>
  <c r="BK164"/>
  <c r="BJ164"/>
  <c r="BI164"/>
  <c r="BH164"/>
  <c r="BG164"/>
  <c r="BF164"/>
  <c r="BE164"/>
  <c r="BD164"/>
  <c r="BC164"/>
  <c r="BB164"/>
  <c r="BA164" s="1"/>
  <c r="AX164"/>
  <c r="AW164"/>
  <c r="AV164"/>
  <c r="AC164"/>
  <c r="H164"/>
  <c r="G164" s="1"/>
  <c r="BT163"/>
  <c r="BS163"/>
  <c r="BR163"/>
  <c r="BQ163"/>
  <c r="BP163"/>
  <c r="BO163"/>
  <c r="BN163"/>
  <c r="BM163"/>
  <c r="BL163"/>
  <c r="BK163"/>
  <c r="BJ163"/>
  <c r="BI163"/>
  <c r="BH163"/>
  <c r="BG163"/>
  <c r="BF163"/>
  <c r="BE163"/>
  <c r="BD163"/>
  <c r="BC163"/>
  <c r="BB163"/>
  <c r="AX163"/>
  <c r="AW163"/>
  <c r="AV163"/>
  <c r="AC163"/>
  <c r="H163"/>
  <c r="G163"/>
  <c r="BT162"/>
  <c r="BS162"/>
  <c r="BR162"/>
  <c r="BQ162"/>
  <c r="BP162"/>
  <c r="BO162"/>
  <c r="BN162"/>
  <c r="BM162"/>
  <c r="BL162" s="1"/>
  <c r="BK162"/>
  <c r="BJ162"/>
  <c r="BI162"/>
  <c r="BH162"/>
  <c r="BG162"/>
  <c r="BF162"/>
  <c r="BE162"/>
  <c r="BD162"/>
  <c r="BC162"/>
  <c r="BB162"/>
  <c r="BA162"/>
  <c r="AX162"/>
  <c r="AW162"/>
  <c r="AV162"/>
  <c r="AC162"/>
  <c r="H162"/>
  <c r="G162"/>
  <c r="BT161"/>
  <c r="BS161"/>
  <c r="BR161"/>
  <c r="BQ161"/>
  <c r="BP161"/>
  <c r="BO161"/>
  <c r="BN161"/>
  <c r="BM161"/>
  <c r="BL161" s="1"/>
  <c r="BK161"/>
  <c r="BJ161"/>
  <c r="BI161"/>
  <c r="BH161"/>
  <c r="BG161"/>
  <c r="BF161"/>
  <c r="BE161"/>
  <c r="BD161"/>
  <c r="BC161"/>
  <c r="BB161"/>
  <c r="BA161"/>
  <c r="AX161"/>
  <c r="AW161"/>
  <c r="AV161"/>
  <c r="AC161"/>
  <c r="H161"/>
  <c r="BT160"/>
  <c r="BS160"/>
  <c r="BR160"/>
  <c r="BQ160"/>
  <c r="BP160"/>
  <c r="BO160"/>
  <c r="BN160"/>
  <c r="BM160"/>
  <c r="BK160"/>
  <c r="BJ160"/>
  <c r="BI160"/>
  <c r="BH160"/>
  <c r="BG160"/>
  <c r="BF160"/>
  <c r="BE160"/>
  <c r="BD160"/>
  <c r="BC160"/>
  <c r="BB160"/>
  <c r="BA160" s="1"/>
  <c r="AX160"/>
  <c r="AW160"/>
  <c r="AV160"/>
  <c r="AC160"/>
  <c r="H160"/>
  <c r="G160" s="1"/>
  <c r="BT159"/>
  <c r="BS159"/>
  <c r="BR159"/>
  <c r="BQ159"/>
  <c r="BP159"/>
  <c r="BO159"/>
  <c r="BN159"/>
  <c r="BM159"/>
  <c r="BL159"/>
  <c r="BK159"/>
  <c r="BJ159"/>
  <c r="BI159"/>
  <c r="BH159"/>
  <c r="BG159"/>
  <c r="BF159"/>
  <c r="BE159"/>
  <c r="BD159"/>
  <c r="BC159"/>
  <c r="BB159"/>
  <c r="AX159"/>
  <c r="AW159"/>
  <c r="AV159"/>
  <c r="AC159"/>
  <c r="H159"/>
  <c r="G159"/>
  <c r="BT158"/>
  <c r="BS158"/>
  <c r="BR158"/>
  <c r="BQ158"/>
  <c r="BP158"/>
  <c r="BO158"/>
  <c r="BN158"/>
  <c r="BM158"/>
  <c r="BL158" s="1"/>
  <c r="BK158"/>
  <c r="BJ158"/>
  <c r="BI158"/>
  <c r="BH158"/>
  <c r="BG158"/>
  <c r="BF158"/>
  <c r="BE158"/>
  <c r="BD158"/>
  <c r="BC158"/>
  <c r="BB158"/>
  <c r="BA158"/>
  <c r="AX158"/>
  <c r="AW158"/>
  <c r="AV158"/>
  <c r="AC158"/>
  <c r="H158"/>
  <c r="G158"/>
  <c r="BT157"/>
  <c r="BS157"/>
  <c r="BR157"/>
  <c r="BQ157"/>
  <c r="BP157"/>
  <c r="BO157"/>
  <c r="BN157"/>
  <c r="BM157"/>
  <c r="BL157" s="1"/>
  <c r="BK157"/>
  <c r="BJ157"/>
  <c r="BI157"/>
  <c r="BH157"/>
  <c r="BG157"/>
  <c r="BF157"/>
  <c r="BE157"/>
  <c r="BD157"/>
  <c r="BC157"/>
  <c r="BB157"/>
  <c r="BA157"/>
  <c r="AZ157" s="1"/>
  <c r="AX157"/>
  <c r="AW157"/>
  <c r="AV157"/>
  <c r="AC157"/>
  <c r="H157"/>
  <c r="BT156"/>
  <c r="BS156"/>
  <c r="BR156"/>
  <c r="BQ156"/>
  <c r="BP156"/>
  <c r="BO156"/>
  <c r="BN156"/>
  <c r="BM156"/>
  <c r="BK156"/>
  <c r="BJ156"/>
  <c r="BI156"/>
  <c r="BH156"/>
  <c r="BG156"/>
  <c r="BF156"/>
  <c r="BE156"/>
  <c r="BD156"/>
  <c r="BC156"/>
  <c r="BB156"/>
  <c r="BA156" s="1"/>
  <c r="AX156"/>
  <c r="AW156"/>
  <c r="AV156"/>
  <c r="AC156"/>
  <c r="H156"/>
  <c r="G156" s="1"/>
  <c r="BT155"/>
  <c r="BS155"/>
  <c r="BR155"/>
  <c r="BQ155"/>
  <c r="BP155"/>
  <c r="BO155"/>
  <c r="BN155"/>
  <c r="BM155"/>
  <c r="BL155"/>
  <c r="BK155"/>
  <c r="BJ155"/>
  <c r="BI155"/>
  <c r="BH155"/>
  <c r="BG155"/>
  <c r="BF155"/>
  <c r="BE155"/>
  <c r="BD155"/>
  <c r="BC155"/>
  <c r="BB155"/>
  <c r="AX155"/>
  <c r="AW155"/>
  <c r="AV155"/>
  <c r="AC155"/>
  <c r="H155"/>
  <c r="G155"/>
  <c r="BT154"/>
  <c r="BS154"/>
  <c r="BR154"/>
  <c r="BQ154"/>
  <c r="BP154"/>
  <c r="BO154"/>
  <c r="BN154"/>
  <c r="BM154"/>
  <c r="BL154" s="1"/>
  <c r="BK154"/>
  <c r="BJ154"/>
  <c r="BI154"/>
  <c r="BH154"/>
  <c r="BG154"/>
  <c r="BF154"/>
  <c r="BE154"/>
  <c r="BD154"/>
  <c r="BC154"/>
  <c r="BB154"/>
  <c r="BA154"/>
  <c r="AX154"/>
  <c r="AW154"/>
  <c r="AV154"/>
  <c r="AC154"/>
  <c r="H154"/>
  <c r="G154"/>
  <c r="BT153"/>
  <c r="BS153"/>
  <c r="BR153"/>
  <c r="BQ153"/>
  <c r="BP153"/>
  <c r="BO153"/>
  <c r="BN153"/>
  <c r="BM153"/>
  <c r="BL153" s="1"/>
  <c r="BK153"/>
  <c r="BJ153"/>
  <c r="BI153"/>
  <c r="BH153"/>
  <c r="BG153"/>
  <c r="BF153"/>
  <c r="BE153"/>
  <c r="BD153"/>
  <c r="BC153"/>
  <c r="BB153"/>
  <c r="BA153"/>
  <c r="AX153"/>
  <c r="AW153"/>
  <c r="AV153"/>
  <c r="AC153"/>
  <c r="H153"/>
  <c r="BT152"/>
  <c r="BS152"/>
  <c r="BR152"/>
  <c r="BQ152"/>
  <c r="BP152"/>
  <c r="BO152"/>
  <c r="BN152"/>
  <c r="BM152"/>
  <c r="BK152"/>
  <c r="BJ152"/>
  <c r="BI152"/>
  <c r="BH152"/>
  <c r="BG152"/>
  <c r="BF152"/>
  <c r="BE152"/>
  <c r="BD152"/>
  <c r="BC152"/>
  <c r="BB152"/>
  <c r="BA152" s="1"/>
  <c r="AX152"/>
  <c r="AW152"/>
  <c r="AV152"/>
  <c r="AC152"/>
  <c r="H152"/>
  <c r="G152" s="1"/>
  <c r="BT151"/>
  <c r="BS151"/>
  <c r="BR151"/>
  <c r="BQ151"/>
  <c r="BP151"/>
  <c r="BO151"/>
  <c r="BN151"/>
  <c r="BM151"/>
  <c r="BL151"/>
  <c r="BK151"/>
  <c r="BJ151"/>
  <c r="BI151"/>
  <c r="BH151"/>
  <c r="BG151"/>
  <c r="BF151"/>
  <c r="BE151"/>
  <c r="BD151"/>
  <c r="BC151"/>
  <c r="BB151"/>
  <c r="AX151"/>
  <c r="AW151"/>
  <c r="AV151"/>
  <c r="AC151"/>
  <c r="H151"/>
  <c r="G151"/>
  <c r="BT150"/>
  <c r="BS150"/>
  <c r="BR150"/>
  <c r="BQ150"/>
  <c r="BP150"/>
  <c r="BO150"/>
  <c r="BN150"/>
  <c r="BM150"/>
  <c r="BL150" s="1"/>
  <c r="BK150"/>
  <c r="BJ150"/>
  <c r="BI150"/>
  <c r="BH150"/>
  <c r="BG150"/>
  <c r="BF150"/>
  <c r="BE150"/>
  <c r="BD150"/>
  <c r="BC150"/>
  <c r="BB150"/>
  <c r="BA150"/>
  <c r="AX150"/>
  <c r="AW150"/>
  <c r="AV150"/>
  <c r="AC150"/>
  <c r="H150"/>
  <c r="G150"/>
  <c r="BT149"/>
  <c r="BS149"/>
  <c r="BR149"/>
  <c r="BQ149"/>
  <c r="BP149"/>
  <c r="BO149"/>
  <c r="BN149"/>
  <c r="BM149"/>
  <c r="BL149" s="1"/>
  <c r="BK149"/>
  <c r="BJ149"/>
  <c r="BI149"/>
  <c r="BH149"/>
  <c r="BG149"/>
  <c r="BF149"/>
  <c r="BE149"/>
  <c r="BD149"/>
  <c r="BC149"/>
  <c r="BB149"/>
  <c r="BA149"/>
  <c r="AZ149" s="1"/>
  <c r="AX149"/>
  <c r="AW149"/>
  <c r="AV149"/>
  <c r="AC149"/>
  <c r="H149"/>
  <c r="BT148"/>
  <c r="BS148"/>
  <c r="BR148"/>
  <c r="BQ148"/>
  <c r="BP148"/>
  <c r="BO148"/>
  <c r="BN148"/>
  <c r="BM148"/>
  <c r="BK148"/>
  <c r="BJ148"/>
  <c r="BI148"/>
  <c r="BH148"/>
  <c r="BG148"/>
  <c r="BF148"/>
  <c r="BE148"/>
  <c r="BD148"/>
  <c r="BC148"/>
  <c r="BB148"/>
  <c r="BA148" s="1"/>
  <c r="AX148"/>
  <c r="AW148"/>
  <c r="AV148"/>
  <c r="AC148"/>
  <c r="H148"/>
  <c r="G148" s="1"/>
  <c r="BT147"/>
  <c r="BS147"/>
  <c r="BR147"/>
  <c r="BQ147"/>
  <c r="BP147"/>
  <c r="BO147"/>
  <c r="BN147"/>
  <c r="BM147"/>
  <c r="BL147"/>
  <c r="BK147"/>
  <c r="BJ147"/>
  <c r="BI147"/>
  <c r="BH147"/>
  <c r="BG147"/>
  <c r="BF147"/>
  <c r="BE147"/>
  <c r="BD147"/>
  <c r="BC147"/>
  <c r="BB147"/>
  <c r="AX147"/>
  <c r="AW147"/>
  <c r="AV147"/>
  <c r="AC147"/>
  <c r="H147"/>
  <c r="G147"/>
  <c r="BT146"/>
  <c r="BS146"/>
  <c r="BR146"/>
  <c r="BQ146"/>
  <c r="BP146"/>
  <c r="BO146"/>
  <c r="BN146"/>
  <c r="BM146"/>
  <c r="BL146" s="1"/>
  <c r="BK146"/>
  <c r="BJ146"/>
  <c r="BI146"/>
  <c r="BH146"/>
  <c r="BG146"/>
  <c r="BF146"/>
  <c r="BE146"/>
  <c r="BD146"/>
  <c r="BC146"/>
  <c r="BB146"/>
  <c r="BA146"/>
  <c r="AX146"/>
  <c r="AW146"/>
  <c r="AV146"/>
  <c r="AC146"/>
  <c r="H146"/>
  <c r="G146"/>
  <c r="BT145"/>
  <c r="BS145"/>
  <c r="BR145"/>
  <c r="BQ145"/>
  <c r="BP145"/>
  <c r="BO145"/>
  <c r="BN145"/>
  <c r="BM145"/>
  <c r="BL145" s="1"/>
  <c r="BK145"/>
  <c r="BJ145"/>
  <c r="BI145"/>
  <c r="BH145"/>
  <c r="BG145"/>
  <c r="BF145"/>
  <c r="BE145"/>
  <c r="BD145"/>
  <c r="BC145"/>
  <c r="BB145"/>
  <c r="BA145"/>
  <c r="AX145"/>
  <c r="AW145"/>
  <c r="AV145"/>
  <c r="AC145"/>
  <c r="H145"/>
  <c r="BT144"/>
  <c r="BS144"/>
  <c r="BR144"/>
  <c r="BQ144"/>
  <c r="BP144"/>
  <c r="BO144"/>
  <c r="BN144"/>
  <c r="BM144"/>
  <c r="BK144"/>
  <c r="BJ144"/>
  <c r="BI144"/>
  <c r="BH144"/>
  <c r="BG144"/>
  <c r="BF144"/>
  <c r="BE144"/>
  <c r="BD144"/>
  <c r="BC144"/>
  <c r="BB144"/>
  <c r="BA144" s="1"/>
  <c r="AX144"/>
  <c r="AW144"/>
  <c r="AV144"/>
  <c r="AC144"/>
  <c r="H144"/>
  <c r="G144" s="1"/>
  <c r="BT143"/>
  <c r="BS143"/>
  <c r="BR143"/>
  <c r="BQ143"/>
  <c r="BP143"/>
  <c r="BO143"/>
  <c r="BN143"/>
  <c r="BM143"/>
  <c r="BL143"/>
  <c r="BK143"/>
  <c r="BJ143"/>
  <c r="BI143"/>
  <c r="BH143"/>
  <c r="BG143"/>
  <c r="BF143"/>
  <c r="BE143"/>
  <c r="BD143"/>
  <c r="BC143"/>
  <c r="BB143"/>
  <c r="AX143"/>
  <c r="AW143"/>
  <c r="AV143"/>
  <c r="AC143"/>
  <c r="H143"/>
  <c r="G143"/>
  <c r="BT142"/>
  <c r="BS142"/>
  <c r="BR142"/>
  <c r="BQ142"/>
  <c r="BP142"/>
  <c r="BO142"/>
  <c r="BN142"/>
  <c r="BM142"/>
  <c r="BL142" s="1"/>
  <c r="BK142"/>
  <c r="BJ142"/>
  <c r="BI142"/>
  <c r="BH142"/>
  <c r="BG142"/>
  <c r="BF142"/>
  <c r="BE142"/>
  <c r="BD142"/>
  <c r="BC142"/>
  <c r="BB142"/>
  <c r="BA142"/>
  <c r="AX142"/>
  <c r="AW142"/>
  <c r="AV142"/>
  <c r="AC142"/>
  <c r="H142"/>
  <c r="G142"/>
  <c r="BT141"/>
  <c r="BS141"/>
  <c r="BR141"/>
  <c r="BQ141"/>
  <c r="BP141"/>
  <c r="BO141"/>
  <c r="BN141"/>
  <c r="BM141"/>
  <c r="BL141" s="1"/>
  <c r="BK141"/>
  <c r="BJ141"/>
  <c r="BI141"/>
  <c r="BH141"/>
  <c r="BG141"/>
  <c r="BF141"/>
  <c r="BE141"/>
  <c r="BD141"/>
  <c r="BC141"/>
  <c r="BB141"/>
  <c r="BA141"/>
  <c r="AZ141" s="1"/>
  <c r="AX141"/>
  <c r="AW141"/>
  <c r="AV141"/>
  <c r="AC141"/>
  <c r="H141"/>
  <c r="BT140"/>
  <c r="BS140"/>
  <c r="BR140"/>
  <c r="BQ140"/>
  <c r="BP140"/>
  <c r="BO140"/>
  <c r="BN140"/>
  <c r="BM140"/>
  <c r="BK140"/>
  <c r="BJ140"/>
  <c r="BI140"/>
  <c r="BH140"/>
  <c r="BG140"/>
  <c r="BF140"/>
  <c r="BE140"/>
  <c r="BD140"/>
  <c r="BC140"/>
  <c r="BB140"/>
  <c r="BA140" s="1"/>
  <c r="AX140"/>
  <c r="AW140"/>
  <c r="AV140"/>
  <c r="AC140"/>
  <c r="H140"/>
  <c r="G140" s="1"/>
  <c r="BT139"/>
  <c r="BS139"/>
  <c r="BR139"/>
  <c r="BQ139"/>
  <c r="BP139"/>
  <c r="BO139"/>
  <c r="BN139"/>
  <c r="BM139"/>
  <c r="BL139"/>
  <c r="BK139"/>
  <c r="BJ139"/>
  <c r="BI139"/>
  <c r="BH139"/>
  <c r="BG139"/>
  <c r="BF139"/>
  <c r="BE139"/>
  <c r="BD139"/>
  <c r="BC139"/>
  <c r="BB139"/>
  <c r="AX139"/>
  <c r="AW139"/>
  <c r="AV139"/>
  <c r="AC139"/>
  <c r="H139"/>
  <c r="G139"/>
  <c r="BT138"/>
  <c r="BS138"/>
  <c r="BR138"/>
  <c r="BQ138"/>
  <c r="BP138"/>
  <c r="BO138"/>
  <c r="BN138"/>
  <c r="BM138"/>
  <c r="BL138" s="1"/>
  <c r="BK138"/>
  <c r="BJ138"/>
  <c r="BI138"/>
  <c r="BH138"/>
  <c r="BG138"/>
  <c r="BF138"/>
  <c r="BE138"/>
  <c r="BD138"/>
  <c r="BC138"/>
  <c r="BB138"/>
  <c r="BA138"/>
  <c r="AX138"/>
  <c r="AW138"/>
  <c r="AV138"/>
  <c r="AC138"/>
  <c r="H138"/>
  <c r="G138"/>
  <c r="BT137"/>
  <c r="BS137"/>
  <c r="BR137"/>
  <c r="BQ137"/>
  <c r="BP137"/>
  <c r="BO137"/>
  <c r="BN137"/>
  <c r="BM137"/>
  <c r="BL137" s="1"/>
  <c r="BK137"/>
  <c r="BJ137"/>
  <c r="BI137"/>
  <c r="BH137"/>
  <c r="BG137"/>
  <c r="BF137"/>
  <c r="BE137"/>
  <c r="BD137"/>
  <c r="BC137"/>
  <c r="BB137"/>
  <c r="BA137"/>
  <c r="AX137"/>
  <c r="AW137"/>
  <c r="AV137"/>
  <c r="AC137"/>
  <c r="H137"/>
  <c r="BT136"/>
  <c r="BS136"/>
  <c r="BR136"/>
  <c r="BQ136"/>
  <c r="BP136"/>
  <c r="BO136"/>
  <c r="BN136"/>
  <c r="BM136"/>
  <c r="BK136"/>
  <c r="BJ136"/>
  <c r="BI136"/>
  <c r="BH136"/>
  <c r="BG136"/>
  <c r="BF136"/>
  <c r="BE136"/>
  <c r="BD136"/>
  <c r="BC136"/>
  <c r="BB136"/>
  <c r="BA136" s="1"/>
  <c r="AX136"/>
  <c r="AW136"/>
  <c r="AV136"/>
  <c r="AC136"/>
  <c r="H136"/>
  <c r="G136" s="1"/>
  <c r="BT135"/>
  <c r="BS135"/>
  <c r="BR135"/>
  <c r="BQ135"/>
  <c r="BP135"/>
  <c r="BO135"/>
  <c r="BN135"/>
  <c r="BM135"/>
  <c r="BL135"/>
  <c r="BK135"/>
  <c r="BJ135"/>
  <c r="BI135"/>
  <c r="BH135"/>
  <c r="BG135"/>
  <c r="BF135"/>
  <c r="BE135"/>
  <c r="BD135"/>
  <c r="BC135"/>
  <c r="BB135"/>
  <c r="AX135"/>
  <c r="AW135"/>
  <c r="AV135"/>
  <c r="AC135"/>
  <c r="H135"/>
  <c r="G135"/>
  <c r="BT134"/>
  <c r="BS134"/>
  <c r="BR134"/>
  <c r="BQ134"/>
  <c r="BP134"/>
  <c r="BO134"/>
  <c r="BN134"/>
  <c r="BM134"/>
  <c r="BL134" s="1"/>
  <c r="BK134"/>
  <c r="BJ134"/>
  <c r="BI134"/>
  <c r="BH134"/>
  <c r="BG134"/>
  <c r="BF134"/>
  <c r="BE134"/>
  <c r="BD134"/>
  <c r="BC134"/>
  <c r="BB134"/>
  <c r="BA134"/>
  <c r="AX134"/>
  <c r="AW134"/>
  <c r="AV134"/>
  <c r="AC134"/>
  <c r="H134"/>
  <c r="G134" s="1"/>
  <c r="BT133"/>
  <c r="BS133"/>
  <c r="BR133"/>
  <c r="BQ133"/>
  <c r="BP133"/>
  <c r="BO133"/>
  <c r="BN133"/>
  <c r="BM133"/>
  <c r="BL133"/>
  <c r="BK133"/>
  <c r="BJ133"/>
  <c r="BI133"/>
  <c r="BH133"/>
  <c r="BG133"/>
  <c r="BF133"/>
  <c r="BE133"/>
  <c r="BD133"/>
  <c r="BC133"/>
  <c r="BB133"/>
  <c r="BA133" s="1"/>
  <c r="AX133"/>
  <c r="AW133"/>
  <c r="AV133"/>
  <c r="AC133"/>
  <c r="H133"/>
  <c r="BT132"/>
  <c r="BS132"/>
  <c r="BR132"/>
  <c r="BQ132"/>
  <c r="BP132"/>
  <c r="BO132"/>
  <c r="BN132"/>
  <c r="BM132"/>
  <c r="BK132"/>
  <c r="BJ132"/>
  <c r="BI132"/>
  <c r="BH132"/>
  <c r="BG132"/>
  <c r="BF132"/>
  <c r="BE132"/>
  <c r="BD132"/>
  <c r="BC132"/>
  <c r="BB132"/>
  <c r="BA132" s="1"/>
  <c r="AX132"/>
  <c r="AW132"/>
  <c r="AV132"/>
  <c r="AC132"/>
  <c r="H132"/>
  <c r="G132" s="1"/>
  <c r="BT131"/>
  <c r="BS131"/>
  <c r="BR131"/>
  <c r="BQ131"/>
  <c r="BP131"/>
  <c r="BO131"/>
  <c r="BN131"/>
  <c r="BM131"/>
  <c r="BL131"/>
  <c r="BK131"/>
  <c r="BJ131"/>
  <c r="BI131"/>
  <c r="BH131"/>
  <c r="BG131"/>
  <c r="BF131"/>
  <c r="BE131"/>
  <c r="BD131"/>
  <c r="BC131"/>
  <c r="BB131"/>
  <c r="AX131"/>
  <c r="AW131"/>
  <c r="AV131"/>
  <c r="AC131"/>
  <c r="H131"/>
  <c r="G131"/>
  <c r="BT130"/>
  <c r="BS130"/>
  <c r="BR130"/>
  <c r="BQ130"/>
  <c r="BP130"/>
  <c r="BO130"/>
  <c r="BN130"/>
  <c r="BM130"/>
  <c r="BL130" s="1"/>
  <c r="BK130"/>
  <c r="BJ130"/>
  <c r="BI130"/>
  <c r="BH130"/>
  <c r="BG130"/>
  <c r="BF130"/>
  <c r="BE130"/>
  <c r="BD130"/>
  <c r="BC130"/>
  <c r="BB130"/>
  <c r="BA130"/>
  <c r="AX130"/>
  <c r="AW130"/>
  <c r="AV130"/>
  <c r="AC130"/>
  <c r="H130"/>
  <c r="G130"/>
  <c r="BT129"/>
  <c r="BS129"/>
  <c r="BR129"/>
  <c r="BQ129"/>
  <c r="BP129"/>
  <c r="BO129"/>
  <c r="BN129"/>
  <c r="BM129"/>
  <c r="BL129" s="1"/>
  <c r="BK129"/>
  <c r="BJ129"/>
  <c r="BI129"/>
  <c r="BH129"/>
  <c r="BG129"/>
  <c r="BF129"/>
  <c r="BE129"/>
  <c r="BD129"/>
  <c r="BC129"/>
  <c r="BB129"/>
  <c r="BA129"/>
  <c r="AZ129" s="1"/>
  <c r="AX129"/>
  <c r="AW129"/>
  <c r="AV129"/>
  <c r="AC129"/>
  <c r="H129"/>
  <c r="BT128"/>
  <c r="BS128"/>
  <c r="BR128"/>
  <c r="BQ128"/>
  <c r="BP128"/>
  <c r="BO128"/>
  <c r="BN128"/>
  <c r="BM128"/>
  <c r="BK128"/>
  <c r="BJ128"/>
  <c r="BI128"/>
  <c r="BH128"/>
  <c r="BG128"/>
  <c r="BF128"/>
  <c r="BE128"/>
  <c r="BD128"/>
  <c r="BC128"/>
  <c r="BB128"/>
  <c r="BA128" s="1"/>
  <c r="AX128"/>
  <c r="AW128"/>
  <c r="AV128"/>
  <c r="AC128"/>
  <c r="H128"/>
  <c r="G128" s="1"/>
  <c r="BT127"/>
  <c r="BS127"/>
  <c r="BR127"/>
  <c r="BQ127"/>
  <c r="BP127"/>
  <c r="BO127"/>
  <c r="BN127"/>
  <c r="BM127"/>
  <c r="BL127"/>
  <c r="BK127"/>
  <c r="BJ127"/>
  <c r="BI127"/>
  <c r="BH127"/>
  <c r="BG127"/>
  <c r="BF127"/>
  <c r="BE127"/>
  <c r="BD127"/>
  <c r="BC127"/>
  <c r="BB127"/>
  <c r="AX127"/>
  <c r="AW127"/>
  <c r="AV127"/>
  <c r="AC127"/>
  <c r="H127"/>
  <c r="G127"/>
  <c r="BT126"/>
  <c r="BS126"/>
  <c r="BR126"/>
  <c r="BQ126"/>
  <c r="BP126"/>
  <c r="BO126"/>
  <c r="BN126"/>
  <c r="BM126"/>
  <c r="BL126" s="1"/>
  <c r="BK126"/>
  <c r="BJ126"/>
  <c r="BI126"/>
  <c r="BH126"/>
  <c r="BG126"/>
  <c r="BF126"/>
  <c r="BE126"/>
  <c r="BD126"/>
  <c r="BC126"/>
  <c r="BB126"/>
  <c r="BA126"/>
  <c r="AZ126" s="1"/>
  <c r="AX126"/>
  <c r="AW126"/>
  <c r="AV126"/>
  <c r="AC126"/>
  <c r="H126"/>
  <c r="G126" s="1"/>
  <c r="BT125"/>
  <c r="BS125"/>
  <c r="BR125"/>
  <c r="BQ125"/>
  <c r="BP125"/>
  <c r="BO125"/>
  <c r="BN125"/>
  <c r="BM125"/>
  <c r="BL125"/>
  <c r="BK125"/>
  <c r="BJ125"/>
  <c r="BI125"/>
  <c r="BH125"/>
  <c r="BG125"/>
  <c r="BF125"/>
  <c r="BE125"/>
  <c r="BD125"/>
  <c r="BC125"/>
  <c r="BB125"/>
  <c r="BA125" s="1"/>
  <c r="AZ125" s="1"/>
  <c r="AX125"/>
  <c r="AW125"/>
  <c r="AV125"/>
  <c r="AC125"/>
  <c r="H125"/>
  <c r="BT124"/>
  <c r="BS124"/>
  <c r="BR124"/>
  <c r="BQ124"/>
  <c r="BP124"/>
  <c r="BO124"/>
  <c r="BN124"/>
  <c r="BM124"/>
  <c r="BK124"/>
  <c r="BJ124"/>
  <c r="BI124"/>
  <c r="BH124"/>
  <c r="BG124"/>
  <c r="BF124"/>
  <c r="BE124"/>
  <c r="BD124"/>
  <c r="BC124"/>
  <c r="BB124"/>
  <c r="BA124"/>
  <c r="AX124"/>
  <c r="AW124"/>
  <c r="AV124"/>
  <c r="AC124"/>
  <c r="H124"/>
  <c r="G124"/>
  <c r="BT123"/>
  <c r="BS123"/>
  <c r="BR123"/>
  <c r="BQ123"/>
  <c r="BP123"/>
  <c r="BO123"/>
  <c r="BN123"/>
  <c r="BM123"/>
  <c r="BL123" s="1"/>
  <c r="BK123"/>
  <c r="BJ123"/>
  <c r="BI123"/>
  <c r="BH123"/>
  <c r="BG123"/>
  <c r="BF123"/>
  <c r="BE123"/>
  <c r="BD123"/>
  <c r="BC123"/>
  <c r="BB123"/>
  <c r="AX123"/>
  <c r="AW123"/>
  <c r="AV123"/>
  <c r="AC123"/>
  <c r="H123"/>
  <c r="G123" s="1"/>
  <c r="BT122"/>
  <c r="BS122"/>
  <c r="BR122"/>
  <c r="BQ122"/>
  <c r="BP122"/>
  <c r="BO122"/>
  <c r="BN122"/>
  <c r="BM122"/>
  <c r="BL122"/>
  <c r="BK122"/>
  <c r="BJ122"/>
  <c r="BI122"/>
  <c r="BH122"/>
  <c r="BG122"/>
  <c r="BF122"/>
  <c r="BE122"/>
  <c r="BD122"/>
  <c r="BC122"/>
  <c r="BB122"/>
  <c r="BA122" s="1"/>
  <c r="AZ122" s="1"/>
  <c r="AX122"/>
  <c r="AW122"/>
  <c r="AV122"/>
  <c r="AC122"/>
  <c r="H122"/>
  <c r="G122"/>
  <c r="BT121"/>
  <c r="BS121"/>
  <c r="BR121"/>
  <c r="BQ121"/>
  <c r="BP121"/>
  <c r="BO121"/>
  <c r="BN121"/>
  <c r="BM121"/>
  <c r="BL121" s="1"/>
  <c r="BK121"/>
  <c r="BJ121"/>
  <c r="BI121"/>
  <c r="BH121"/>
  <c r="BG121"/>
  <c r="BF121"/>
  <c r="BE121"/>
  <c r="BD121"/>
  <c r="BC121"/>
  <c r="BB121"/>
  <c r="BA121"/>
  <c r="AX121"/>
  <c r="AW121"/>
  <c r="AV121"/>
  <c r="AC121"/>
  <c r="H121"/>
  <c r="BT120"/>
  <c r="BS120"/>
  <c r="BR120"/>
  <c r="BQ120"/>
  <c r="BP120"/>
  <c r="BO120"/>
  <c r="BN120"/>
  <c r="BM120"/>
  <c r="BK120"/>
  <c r="BJ120"/>
  <c r="BI120"/>
  <c r="BH120"/>
  <c r="BG120"/>
  <c r="BF120"/>
  <c r="BE120"/>
  <c r="BD120"/>
  <c r="BC120"/>
  <c r="BB120"/>
  <c r="BA120" s="1"/>
  <c r="AX120"/>
  <c r="AW120"/>
  <c r="AV120"/>
  <c r="AC120"/>
  <c r="H120"/>
  <c r="G120" s="1"/>
  <c r="BT119"/>
  <c r="BS119"/>
  <c r="BR119"/>
  <c r="BQ119"/>
  <c r="BP119"/>
  <c r="BO119"/>
  <c r="BN119"/>
  <c r="BM119"/>
  <c r="BL119"/>
  <c r="BK119"/>
  <c r="BJ119"/>
  <c r="BI119"/>
  <c r="BH119"/>
  <c r="BG119"/>
  <c r="BF119"/>
  <c r="BE119"/>
  <c r="BD119"/>
  <c r="BC119"/>
  <c r="BB119"/>
  <c r="AX119"/>
  <c r="AW119"/>
  <c r="AV119"/>
  <c r="AC119"/>
  <c r="H119"/>
  <c r="G119"/>
  <c r="BT118"/>
  <c r="BS118"/>
  <c r="BR118"/>
  <c r="BQ118"/>
  <c r="BP118"/>
  <c r="BO118"/>
  <c r="BN118"/>
  <c r="BM118"/>
  <c r="BL118" s="1"/>
  <c r="BK118"/>
  <c r="BJ118"/>
  <c r="BI118"/>
  <c r="BH118"/>
  <c r="BG118"/>
  <c r="BF118"/>
  <c r="BE118"/>
  <c r="BD118"/>
  <c r="BC118"/>
  <c r="BB118"/>
  <c r="BA118"/>
  <c r="AX118"/>
  <c r="AW118"/>
  <c r="AV118"/>
  <c r="AC118"/>
  <c r="H118"/>
  <c r="G118" s="1"/>
  <c r="BT117"/>
  <c r="BS117"/>
  <c r="BR117"/>
  <c r="BQ117"/>
  <c r="BP117"/>
  <c r="BO117"/>
  <c r="BN117"/>
  <c r="BM117"/>
  <c r="BL117"/>
  <c r="BK117"/>
  <c r="BJ117"/>
  <c r="BI117"/>
  <c r="BH117"/>
  <c r="BG117"/>
  <c r="BF117"/>
  <c r="BE117"/>
  <c r="BD117"/>
  <c r="BC117"/>
  <c r="BB117"/>
  <c r="BA117" s="1"/>
  <c r="AX117"/>
  <c r="AW117"/>
  <c r="AV117"/>
  <c r="AC117"/>
  <c r="H117"/>
  <c r="BT116"/>
  <c r="BS116"/>
  <c r="BR116"/>
  <c r="BQ116"/>
  <c r="BP116"/>
  <c r="BO116"/>
  <c r="BN116"/>
  <c r="BM116"/>
  <c r="BK116"/>
  <c r="BJ116"/>
  <c r="BI116"/>
  <c r="BH116"/>
  <c r="BG116"/>
  <c r="BF116"/>
  <c r="BE116"/>
  <c r="BD116"/>
  <c r="BC116"/>
  <c r="BB116"/>
  <c r="BA116" s="1"/>
  <c r="AX116"/>
  <c r="AW116"/>
  <c r="AV116"/>
  <c r="AC116"/>
  <c r="H116"/>
  <c r="G116" s="1"/>
  <c r="BT115"/>
  <c r="BS115"/>
  <c r="BR115"/>
  <c r="BQ115"/>
  <c r="BP115"/>
  <c r="BO115"/>
  <c r="BN115"/>
  <c r="BM115"/>
  <c r="BL115"/>
  <c r="BK115"/>
  <c r="BJ115"/>
  <c r="BI115"/>
  <c r="BH115"/>
  <c r="BG115"/>
  <c r="BF115"/>
  <c r="BE115"/>
  <c r="BD115"/>
  <c r="BC115"/>
  <c r="BB115"/>
  <c r="AX115"/>
  <c r="AW115"/>
  <c r="AV115"/>
  <c r="AC115"/>
  <c r="H115"/>
  <c r="G115"/>
  <c r="BT114"/>
  <c r="BS114"/>
  <c r="BR114"/>
  <c r="BQ114"/>
  <c r="BP114"/>
  <c r="BO114"/>
  <c r="BN114"/>
  <c r="BM114"/>
  <c r="BL114" s="1"/>
  <c r="BK114"/>
  <c r="BJ114"/>
  <c r="BI114"/>
  <c r="BH114"/>
  <c r="BG114"/>
  <c r="BF114"/>
  <c r="BE114"/>
  <c r="BD114"/>
  <c r="BC114"/>
  <c r="BB114"/>
  <c r="BA114"/>
  <c r="AX114"/>
  <c r="AW114"/>
  <c r="AV114"/>
  <c r="AC114"/>
  <c r="H114"/>
  <c r="G114"/>
  <c r="BT113"/>
  <c r="BS113"/>
  <c r="BR113"/>
  <c r="BQ113"/>
  <c r="BP113"/>
  <c r="BO113"/>
  <c r="BN113"/>
  <c r="BM113"/>
  <c r="BL113" s="1"/>
  <c r="BK113"/>
  <c r="BJ113"/>
  <c r="BI113"/>
  <c r="BH113"/>
  <c r="BG113"/>
  <c r="BF113"/>
  <c r="BE113"/>
  <c r="BD113"/>
  <c r="BC113"/>
  <c r="BB113"/>
  <c r="BA113"/>
  <c r="AZ113" s="1"/>
  <c r="AX113"/>
  <c r="AW113"/>
  <c r="AV113"/>
  <c r="AC113"/>
  <c r="H113"/>
  <c r="BT302"/>
  <c r="BS302"/>
  <c r="BR302"/>
  <c r="BQ302"/>
  <c r="BP302"/>
  <c r="BO302"/>
  <c r="BN302"/>
  <c r="BM302"/>
  <c r="BL302" s="1"/>
  <c r="BK302"/>
  <c r="BJ302"/>
  <c r="BI302"/>
  <c r="BH302"/>
  <c r="BG302"/>
  <c r="BF302"/>
  <c r="BE302"/>
  <c r="BD302"/>
  <c r="BC302"/>
  <c r="BB302"/>
  <c r="BA302"/>
  <c r="AZ302" s="1"/>
  <c r="AX302"/>
  <c r="AW302"/>
  <c r="AV302"/>
  <c r="AC302"/>
  <c r="H302"/>
  <c r="G302" s="1"/>
  <c r="BT301"/>
  <c r="BS301"/>
  <c r="BR301"/>
  <c r="BQ301"/>
  <c r="BP301"/>
  <c r="BO301"/>
  <c r="BN301"/>
  <c r="BM301"/>
  <c r="BL301"/>
  <c r="BK301"/>
  <c r="BJ301"/>
  <c r="BI301"/>
  <c r="BH301"/>
  <c r="BG301"/>
  <c r="BF301"/>
  <c r="BE301"/>
  <c r="BD301"/>
  <c r="BC301"/>
  <c r="BB301"/>
  <c r="BA301" s="1"/>
  <c r="AZ301" s="1"/>
  <c r="AX301"/>
  <c r="AW301"/>
  <c r="AV301"/>
  <c r="AC301"/>
  <c r="H301"/>
  <c r="G301"/>
  <c r="BT300"/>
  <c r="BS300"/>
  <c r="BR300"/>
  <c r="BQ300"/>
  <c r="BP300"/>
  <c r="BO300"/>
  <c r="BN300"/>
  <c r="BM300"/>
  <c r="BL300" s="1"/>
  <c r="BK300"/>
  <c r="BJ300"/>
  <c r="BI300"/>
  <c r="BH300"/>
  <c r="BG300"/>
  <c r="BF300"/>
  <c r="BE300"/>
  <c r="BD300"/>
  <c r="BC300"/>
  <c r="BB300"/>
  <c r="BA300"/>
  <c r="AX300"/>
  <c r="AW300"/>
  <c r="AV300"/>
  <c r="AC300"/>
  <c r="H300"/>
  <c r="G300" s="1"/>
  <c r="BT299"/>
  <c r="BS299"/>
  <c r="BR299"/>
  <c r="BQ299"/>
  <c r="BP299"/>
  <c r="BO299"/>
  <c r="BN299"/>
  <c r="BM299"/>
  <c r="BL299"/>
  <c r="BK299"/>
  <c r="BJ299"/>
  <c r="BI299"/>
  <c r="BH299"/>
  <c r="BG299"/>
  <c r="BF299"/>
  <c r="BE299"/>
  <c r="BD299"/>
  <c r="BC299"/>
  <c r="BB299"/>
  <c r="BA299" s="1"/>
  <c r="AX299"/>
  <c r="AW299"/>
  <c r="AV299"/>
  <c r="AC299"/>
  <c r="H299"/>
  <c r="G299" s="1"/>
  <c r="BT298"/>
  <c r="BS298"/>
  <c r="BR298"/>
  <c r="BQ298"/>
  <c r="BP298"/>
  <c r="BO298"/>
  <c r="BN298"/>
  <c r="BM298"/>
  <c r="BL298"/>
  <c r="BK298"/>
  <c r="BJ298"/>
  <c r="BI298"/>
  <c r="BH298"/>
  <c r="BG298"/>
  <c r="BF298"/>
  <c r="BE298"/>
  <c r="BD298"/>
  <c r="BC298"/>
  <c r="BB298"/>
  <c r="BA298" s="1"/>
  <c r="AZ298"/>
  <c r="AX298"/>
  <c r="AW298"/>
  <c r="AV298"/>
  <c r="AC298"/>
  <c r="H298"/>
  <c r="G298"/>
  <c r="BT297"/>
  <c r="BS297"/>
  <c r="BR297"/>
  <c r="BQ297"/>
  <c r="BP297"/>
  <c r="BO297"/>
  <c r="BN297"/>
  <c r="BM297"/>
  <c r="BL297" s="1"/>
  <c r="BK297"/>
  <c r="BJ297"/>
  <c r="BI297"/>
  <c r="BH297"/>
  <c r="BG297"/>
  <c r="BF297"/>
  <c r="BE297"/>
  <c r="BD297"/>
  <c r="BC297"/>
  <c r="BB297"/>
  <c r="BA297"/>
  <c r="AX297"/>
  <c r="AW297"/>
  <c r="AV297"/>
  <c r="AC297"/>
  <c r="H297"/>
  <c r="G297" s="1"/>
  <c r="BT296"/>
  <c r="BS296"/>
  <c r="BR296"/>
  <c r="BQ296"/>
  <c r="BP296"/>
  <c r="BO296"/>
  <c r="BN296"/>
  <c r="BM296"/>
  <c r="BL296" s="1"/>
  <c r="BK296"/>
  <c r="BJ296"/>
  <c r="BI296"/>
  <c r="BH296"/>
  <c r="BG296"/>
  <c r="BF296"/>
  <c r="BE296"/>
  <c r="BD296"/>
  <c r="BC296"/>
  <c r="BB296"/>
  <c r="BA296"/>
  <c r="AX296"/>
  <c r="AW296"/>
  <c r="AV296"/>
  <c r="AC296"/>
  <c r="H296"/>
  <c r="G296"/>
  <c r="BT295"/>
  <c r="BS295"/>
  <c r="BR295"/>
  <c r="BQ295"/>
  <c r="BP295"/>
  <c r="BO295"/>
  <c r="BN295"/>
  <c r="BM295"/>
  <c r="BL295" s="1"/>
  <c r="BK295"/>
  <c r="BJ295"/>
  <c r="BI295"/>
  <c r="BH295"/>
  <c r="BG295"/>
  <c r="BF295"/>
  <c r="BE295"/>
  <c r="BD295"/>
  <c r="BC295"/>
  <c r="BB295"/>
  <c r="BA295"/>
  <c r="AX295"/>
  <c r="AW295"/>
  <c r="AV295"/>
  <c r="AC295"/>
  <c r="H295"/>
  <c r="G295"/>
  <c r="BT294"/>
  <c r="BS294"/>
  <c r="BR294"/>
  <c r="BQ294"/>
  <c r="BP294"/>
  <c r="BO294"/>
  <c r="BN294"/>
  <c r="BM294"/>
  <c r="BL294" s="1"/>
  <c r="BK294"/>
  <c r="BJ294"/>
  <c r="BI294"/>
  <c r="BH294"/>
  <c r="BG294"/>
  <c r="BF294"/>
  <c r="BE294"/>
  <c r="BD294"/>
  <c r="BC294"/>
  <c r="BB294"/>
  <c r="BA294"/>
  <c r="AZ294" s="1"/>
  <c r="AX294"/>
  <c r="AW294"/>
  <c r="AV294"/>
  <c r="AC294"/>
  <c r="H294"/>
  <c r="G294" s="1"/>
  <c r="BT293"/>
  <c r="BS293"/>
  <c r="BR293"/>
  <c r="BQ293"/>
  <c r="BP293"/>
  <c r="BO293"/>
  <c r="BN293"/>
  <c r="BM293"/>
  <c r="BL293"/>
  <c r="BK293"/>
  <c r="BJ293"/>
  <c r="BI293"/>
  <c r="BH293"/>
  <c r="BG293"/>
  <c r="BF293"/>
  <c r="BE293"/>
  <c r="BD293"/>
  <c r="BC293"/>
  <c r="BB293"/>
  <c r="BA293" s="1"/>
  <c r="AZ293" s="1"/>
  <c r="AX293"/>
  <c r="AW293"/>
  <c r="AV293"/>
  <c r="AC293"/>
  <c r="H293"/>
  <c r="G293"/>
  <c r="BT292"/>
  <c r="BS292"/>
  <c r="BR292"/>
  <c r="BQ292"/>
  <c r="BP292"/>
  <c r="BO292"/>
  <c r="BN292"/>
  <c r="BM292"/>
  <c r="BL292" s="1"/>
  <c r="BK292"/>
  <c r="BJ292"/>
  <c r="BI292"/>
  <c r="BH292"/>
  <c r="BG292"/>
  <c r="BF292"/>
  <c r="BE292"/>
  <c r="BD292"/>
  <c r="BC292"/>
  <c r="BB292"/>
  <c r="BA292"/>
  <c r="AZ292" s="1"/>
  <c r="AX292"/>
  <c r="AW292"/>
  <c r="AV292"/>
  <c r="AC292"/>
  <c r="H292"/>
  <c r="G292" s="1"/>
  <c r="BT291"/>
  <c r="BS291"/>
  <c r="BR291"/>
  <c r="BQ291"/>
  <c r="BP291"/>
  <c r="BO291"/>
  <c r="BN291"/>
  <c r="BM291"/>
  <c r="BL291"/>
  <c r="BK291"/>
  <c r="BJ291"/>
  <c r="BI291"/>
  <c r="BH291"/>
  <c r="BG291"/>
  <c r="BF291"/>
  <c r="BE291"/>
  <c r="BD291"/>
  <c r="BC291"/>
  <c r="BB291"/>
  <c r="BA291" s="1"/>
  <c r="AX291"/>
  <c r="AW291"/>
  <c r="AV291"/>
  <c r="AC291"/>
  <c r="H291"/>
  <c r="G291" s="1"/>
  <c r="BT290"/>
  <c r="BS290"/>
  <c r="BR290"/>
  <c r="BQ290"/>
  <c r="BP290"/>
  <c r="BO290"/>
  <c r="BN290"/>
  <c r="BM290"/>
  <c r="BL290"/>
  <c r="BK290"/>
  <c r="BJ290"/>
  <c r="BI290"/>
  <c r="BH290"/>
  <c r="BG290"/>
  <c r="BF290"/>
  <c r="BE290"/>
  <c r="BD290"/>
  <c r="BC290"/>
  <c r="BB290"/>
  <c r="BA290" s="1"/>
  <c r="AZ290" s="1"/>
  <c r="AX290"/>
  <c r="AW290"/>
  <c r="AV290"/>
  <c r="AC290"/>
  <c r="H290"/>
  <c r="G290" s="1"/>
  <c r="BT289"/>
  <c r="BS289"/>
  <c r="BR289"/>
  <c r="BQ289"/>
  <c r="BP289"/>
  <c r="BO289"/>
  <c r="BN289"/>
  <c r="BM289"/>
  <c r="BL289"/>
  <c r="BK289"/>
  <c r="BJ289"/>
  <c r="BI289"/>
  <c r="BH289"/>
  <c r="BG289"/>
  <c r="BF289"/>
  <c r="BE289"/>
  <c r="BD289"/>
  <c r="BC289"/>
  <c r="BB289"/>
  <c r="BA289" s="1"/>
  <c r="AZ289" s="1"/>
  <c r="AX289"/>
  <c r="AW289"/>
  <c r="AV289"/>
  <c r="AC289"/>
  <c r="H289"/>
  <c r="G289"/>
  <c r="BT288"/>
  <c r="BS288"/>
  <c r="BR288"/>
  <c r="BQ288"/>
  <c r="BP288"/>
  <c r="BO288"/>
  <c r="BN288"/>
  <c r="BM288"/>
  <c r="BL288" s="1"/>
  <c r="BK288"/>
  <c r="BJ288"/>
  <c r="BI288"/>
  <c r="BH288"/>
  <c r="BG288"/>
  <c r="BF288"/>
  <c r="BE288"/>
  <c r="BD288"/>
  <c r="BC288"/>
  <c r="BB288"/>
  <c r="BA288"/>
  <c r="AX288"/>
  <c r="AW288"/>
  <c r="AV288"/>
  <c r="AC288"/>
  <c r="H288"/>
  <c r="G288"/>
  <c r="BT287"/>
  <c r="BS287"/>
  <c r="BR287"/>
  <c r="BQ287"/>
  <c r="BP287"/>
  <c r="BO287"/>
  <c r="BN287"/>
  <c r="BM287"/>
  <c r="BL287" s="1"/>
  <c r="BK287"/>
  <c r="BJ287"/>
  <c r="BI287"/>
  <c r="BH287"/>
  <c r="BG287"/>
  <c r="BF287"/>
  <c r="BE287"/>
  <c r="BD287"/>
  <c r="BC287"/>
  <c r="BB287"/>
  <c r="BA287"/>
  <c r="AX287"/>
  <c r="AW287"/>
  <c r="AV287"/>
  <c r="AC287"/>
  <c r="H287"/>
  <c r="G287"/>
  <c r="BT286"/>
  <c r="BS286"/>
  <c r="BR286"/>
  <c r="BQ286"/>
  <c r="BP286"/>
  <c r="BO286"/>
  <c r="BN286"/>
  <c r="BM286"/>
  <c r="BL286" s="1"/>
  <c r="BK286"/>
  <c r="BJ286"/>
  <c r="BI286"/>
  <c r="BH286"/>
  <c r="BG286"/>
  <c r="BF286"/>
  <c r="BE286"/>
  <c r="BD286"/>
  <c r="BC286"/>
  <c r="BB286"/>
  <c r="BA286"/>
  <c r="AX286"/>
  <c r="AW286"/>
  <c r="AV286"/>
  <c r="AC286"/>
  <c r="H286"/>
  <c r="G286" s="1"/>
  <c r="BT285"/>
  <c r="BS285"/>
  <c r="BR285"/>
  <c r="BQ285"/>
  <c r="BP285"/>
  <c r="BO285"/>
  <c r="BN285"/>
  <c r="BM285"/>
  <c r="BL285"/>
  <c r="BK285"/>
  <c r="BJ285"/>
  <c r="BI285"/>
  <c r="BH285"/>
  <c r="BG285"/>
  <c r="BF285"/>
  <c r="BE285"/>
  <c r="BD285"/>
  <c r="BC285"/>
  <c r="BB285"/>
  <c r="BA285" s="1"/>
  <c r="AZ285" s="1"/>
  <c r="AX285"/>
  <c r="AW285"/>
  <c r="AV285"/>
  <c r="AC285"/>
  <c r="H285"/>
  <c r="G285" s="1"/>
  <c r="BT284"/>
  <c r="BS284"/>
  <c r="BR284"/>
  <c r="BQ284"/>
  <c r="BP284"/>
  <c r="BO284"/>
  <c r="BN284"/>
  <c r="BM284"/>
  <c r="BL284"/>
  <c r="BK284"/>
  <c r="BJ284"/>
  <c r="BI284"/>
  <c r="BH284"/>
  <c r="BG284"/>
  <c r="BF284"/>
  <c r="BE284"/>
  <c r="BD284"/>
  <c r="BC284"/>
  <c r="BB284"/>
  <c r="BA284" s="1"/>
  <c r="AZ284" s="1"/>
  <c r="AX284"/>
  <c r="AW284"/>
  <c r="AV284"/>
  <c r="AC284"/>
  <c r="H284"/>
  <c r="G284"/>
  <c r="BT283"/>
  <c r="BS283"/>
  <c r="BR283"/>
  <c r="BQ283"/>
  <c r="BP283"/>
  <c r="BO283"/>
  <c r="BN283"/>
  <c r="BM283"/>
  <c r="BL283" s="1"/>
  <c r="BK283"/>
  <c r="BJ283"/>
  <c r="BI283"/>
  <c r="BH283"/>
  <c r="BG283"/>
  <c r="BF283"/>
  <c r="BE283"/>
  <c r="BD283"/>
  <c r="BC283"/>
  <c r="BB283"/>
  <c r="BA283"/>
  <c r="AX283"/>
  <c r="AW283"/>
  <c r="AV283"/>
  <c r="AC283"/>
  <c r="H283"/>
  <c r="G283"/>
  <c r="BT282"/>
  <c r="BS282"/>
  <c r="BR282"/>
  <c r="BQ282"/>
  <c r="BP282"/>
  <c r="BO282"/>
  <c r="BN282"/>
  <c r="BM282"/>
  <c r="BL282" s="1"/>
  <c r="BK282"/>
  <c r="BJ282"/>
  <c r="BI282"/>
  <c r="BH282"/>
  <c r="BG282"/>
  <c r="BF282"/>
  <c r="BE282"/>
  <c r="BD282"/>
  <c r="BC282"/>
  <c r="BB282"/>
  <c r="BA282"/>
  <c r="AZ282" s="1"/>
  <c r="AX282"/>
  <c r="AW282"/>
  <c r="AV282"/>
  <c r="AC282"/>
  <c r="H282"/>
  <c r="G282" s="1"/>
  <c r="BT281"/>
  <c r="BS281"/>
  <c r="BR281"/>
  <c r="BQ281"/>
  <c r="BP281"/>
  <c r="BO281"/>
  <c r="BN281"/>
  <c r="BM281"/>
  <c r="BL281"/>
  <c r="BK281"/>
  <c r="BJ281"/>
  <c r="BI281"/>
  <c r="BH281"/>
  <c r="BG281"/>
  <c r="BF281"/>
  <c r="BE281"/>
  <c r="BD281"/>
  <c r="BC281"/>
  <c r="BB281"/>
  <c r="BA281" s="1"/>
  <c r="AZ281" s="1"/>
  <c r="AX281"/>
  <c r="AW281"/>
  <c r="AV281"/>
  <c r="AC281"/>
  <c r="H281"/>
  <c r="G281"/>
  <c r="BT280"/>
  <c r="BS280"/>
  <c r="BR280"/>
  <c r="BQ280"/>
  <c r="BP280"/>
  <c r="BO280"/>
  <c r="BN280"/>
  <c r="BM280"/>
  <c r="BL280" s="1"/>
  <c r="BK280"/>
  <c r="BJ280"/>
  <c r="BI280"/>
  <c r="BH280"/>
  <c r="BG280"/>
  <c r="BF280"/>
  <c r="BE280"/>
  <c r="BD280"/>
  <c r="BC280"/>
  <c r="BB280"/>
  <c r="BA280"/>
  <c r="AX280"/>
  <c r="AW280"/>
  <c r="AV280"/>
  <c r="AC280"/>
  <c r="H280"/>
  <c r="G280"/>
  <c r="BT279"/>
  <c r="BS279"/>
  <c r="BR279"/>
  <c r="BQ279"/>
  <c r="BP279"/>
  <c r="BO279"/>
  <c r="BN279"/>
  <c r="BM279"/>
  <c r="BL279" s="1"/>
  <c r="BK279"/>
  <c r="BJ279"/>
  <c r="BI279"/>
  <c r="BH279"/>
  <c r="BG279"/>
  <c r="BF279"/>
  <c r="BE279"/>
  <c r="BD279"/>
  <c r="BC279"/>
  <c r="BB279"/>
  <c r="BA279"/>
  <c r="AX279"/>
  <c r="AW279"/>
  <c r="AV279"/>
  <c r="AC279"/>
  <c r="H279"/>
  <c r="G279"/>
  <c r="BT278"/>
  <c r="BS278"/>
  <c r="BR278"/>
  <c r="BQ278"/>
  <c r="BP278"/>
  <c r="BO278"/>
  <c r="BN278"/>
  <c r="BM278"/>
  <c r="BL278" s="1"/>
  <c r="BK278"/>
  <c r="BJ278"/>
  <c r="BI278"/>
  <c r="BH278"/>
  <c r="BG278"/>
  <c r="BF278"/>
  <c r="BE278"/>
  <c r="BD278"/>
  <c r="BC278"/>
  <c r="BB278"/>
  <c r="BA278"/>
  <c r="AX278"/>
  <c r="AW278"/>
  <c r="AV278"/>
  <c r="AC278"/>
  <c r="H278"/>
  <c r="G278" s="1"/>
  <c r="BT277"/>
  <c r="BS277"/>
  <c r="BR277"/>
  <c r="BQ277"/>
  <c r="BP277"/>
  <c r="BO277"/>
  <c r="BN277"/>
  <c r="BM277"/>
  <c r="BL277"/>
  <c r="BK277"/>
  <c r="BJ277"/>
  <c r="BI277"/>
  <c r="BH277"/>
  <c r="BG277"/>
  <c r="BF277"/>
  <c r="BE277"/>
  <c r="BD277"/>
  <c r="BC277"/>
  <c r="BB277"/>
  <c r="BA277" s="1"/>
  <c r="AZ277" s="1"/>
  <c r="AX277"/>
  <c r="AW277"/>
  <c r="AV277"/>
  <c r="AC277"/>
  <c r="H277"/>
  <c r="G277"/>
  <c r="BT276"/>
  <c r="BS276"/>
  <c r="BR276"/>
  <c r="BQ276"/>
  <c r="BP276"/>
  <c r="BO276"/>
  <c r="BN276"/>
  <c r="BM276"/>
  <c r="BL276" s="1"/>
  <c r="BK276"/>
  <c r="BJ276"/>
  <c r="BI276"/>
  <c r="BH276"/>
  <c r="BG276"/>
  <c r="BF276"/>
  <c r="BE276"/>
  <c r="BD276"/>
  <c r="BC276"/>
  <c r="BB276"/>
  <c r="BA276"/>
  <c r="AZ276" s="1"/>
  <c r="AX276"/>
  <c r="AW276"/>
  <c r="AV276"/>
  <c r="AC276"/>
  <c r="H276"/>
  <c r="G276" s="1"/>
  <c r="BT275"/>
  <c r="BS275"/>
  <c r="BR275"/>
  <c r="BQ275"/>
  <c r="BP275"/>
  <c r="BO275"/>
  <c r="BN275"/>
  <c r="BM275"/>
  <c r="BL275"/>
  <c r="BK275"/>
  <c r="BJ275"/>
  <c r="BI275"/>
  <c r="BH275"/>
  <c r="BG275"/>
  <c r="BF275"/>
  <c r="BE275"/>
  <c r="BD275"/>
  <c r="BC275"/>
  <c r="BB275"/>
  <c r="BA275" s="1"/>
  <c r="AX275"/>
  <c r="AW275"/>
  <c r="AV275"/>
  <c r="AC275"/>
  <c r="H275"/>
  <c r="G275" s="1"/>
  <c r="BT274"/>
  <c r="BS274"/>
  <c r="BR274"/>
  <c r="BQ274"/>
  <c r="BP274"/>
  <c r="BO274"/>
  <c r="BN274"/>
  <c r="BM274"/>
  <c r="BL274"/>
  <c r="BK274"/>
  <c r="BJ274"/>
  <c r="BI274"/>
  <c r="BH274"/>
  <c r="BG274"/>
  <c r="BF274"/>
  <c r="BE274"/>
  <c r="BD274"/>
  <c r="BC274"/>
  <c r="BB274"/>
  <c r="BA274" s="1"/>
  <c r="AZ274" s="1"/>
  <c r="AX274"/>
  <c r="AW274"/>
  <c r="AV274"/>
  <c r="AC274"/>
  <c r="H274"/>
  <c r="G274"/>
  <c r="BT273"/>
  <c r="BS273"/>
  <c r="BR273"/>
  <c r="BQ273"/>
  <c r="BP273"/>
  <c r="BO273"/>
  <c r="BN273"/>
  <c r="BM273"/>
  <c r="BL273" s="1"/>
  <c r="BK273"/>
  <c r="BJ273"/>
  <c r="BI273"/>
  <c r="BH273"/>
  <c r="BG273"/>
  <c r="BF273"/>
  <c r="BE273"/>
  <c r="BD273"/>
  <c r="BC273"/>
  <c r="BB273"/>
  <c r="BA273"/>
  <c r="AX273"/>
  <c r="AW273"/>
  <c r="AV273"/>
  <c r="AC273"/>
  <c r="H273"/>
  <c r="G273"/>
  <c r="BT272"/>
  <c r="BS272"/>
  <c r="BR272"/>
  <c r="BQ272"/>
  <c r="BP272"/>
  <c r="BO272"/>
  <c r="BN272"/>
  <c r="BM272"/>
  <c r="BL272" s="1"/>
  <c r="BK272"/>
  <c r="BJ272"/>
  <c r="BI272"/>
  <c r="BH272"/>
  <c r="BG272"/>
  <c r="BF272"/>
  <c r="BE272"/>
  <c r="BD272"/>
  <c r="BC272"/>
  <c r="BB272"/>
  <c r="BA272"/>
  <c r="AZ272" s="1"/>
  <c r="AX272"/>
  <c r="AW272"/>
  <c r="AV272"/>
  <c r="AC272"/>
  <c r="H272"/>
  <c r="G272" s="1"/>
  <c r="BT271"/>
  <c r="BS271"/>
  <c r="BR271"/>
  <c r="BQ271"/>
  <c r="BP271"/>
  <c r="BO271"/>
  <c r="BN271"/>
  <c r="BM271"/>
  <c r="BL271"/>
  <c r="BK271"/>
  <c r="BJ271"/>
  <c r="BI271"/>
  <c r="BH271"/>
  <c r="BG271"/>
  <c r="BF271"/>
  <c r="BE271"/>
  <c r="BD271"/>
  <c r="BC271"/>
  <c r="BB271"/>
  <c r="BA271" s="1"/>
  <c r="AX271"/>
  <c r="AW271"/>
  <c r="AV271"/>
  <c r="AC271"/>
  <c r="H271"/>
  <c r="G271" s="1"/>
  <c r="BT270"/>
  <c r="BS270"/>
  <c r="BR270"/>
  <c r="BQ270"/>
  <c r="BP270"/>
  <c r="BO270"/>
  <c r="BN270"/>
  <c r="BM270"/>
  <c r="BL270"/>
  <c r="BK270"/>
  <c r="BJ270"/>
  <c r="BI270"/>
  <c r="BH270"/>
  <c r="BG270"/>
  <c r="BF270"/>
  <c r="BE270"/>
  <c r="BD270"/>
  <c r="BC270"/>
  <c r="BB270"/>
  <c r="BA270" s="1"/>
  <c r="AZ270" s="1"/>
  <c r="AX270"/>
  <c r="AW270"/>
  <c r="AV270"/>
  <c r="AC270"/>
  <c r="H270"/>
  <c r="G270"/>
  <c r="BT269"/>
  <c r="BS269"/>
  <c r="BR269"/>
  <c r="BQ269"/>
  <c r="BP269"/>
  <c r="BO269"/>
  <c r="BN269"/>
  <c r="BM269"/>
  <c r="BL269" s="1"/>
  <c r="BK269"/>
  <c r="BJ269"/>
  <c r="BI269"/>
  <c r="BH269"/>
  <c r="BG269"/>
  <c r="BF269"/>
  <c r="BE269"/>
  <c r="BD269"/>
  <c r="BC269"/>
  <c r="BB269"/>
  <c r="BA269"/>
  <c r="AX269"/>
  <c r="AW269"/>
  <c r="AV269"/>
  <c r="AC269"/>
  <c r="H269"/>
  <c r="G269"/>
  <c r="BT268"/>
  <c r="BS268"/>
  <c r="BR268"/>
  <c r="BQ268"/>
  <c r="BP268"/>
  <c r="BO268"/>
  <c r="BN268"/>
  <c r="BM268"/>
  <c r="BL268" s="1"/>
  <c r="BK268"/>
  <c r="BJ268"/>
  <c r="BI268"/>
  <c r="BH268"/>
  <c r="BG268"/>
  <c r="BF268"/>
  <c r="BE268"/>
  <c r="BD268"/>
  <c r="BC268"/>
  <c r="BB268"/>
  <c r="BA268"/>
  <c r="AX268"/>
  <c r="AW268"/>
  <c r="AV268"/>
  <c r="AC268"/>
  <c r="H268"/>
  <c r="G268"/>
  <c r="BT267"/>
  <c r="BS267"/>
  <c r="BR267"/>
  <c r="BQ267"/>
  <c r="BP267"/>
  <c r="BO267"/>
  <c r="BN267"/>
  <c r="BM267"/>
  <c r="BL267" s="1"/>
  <c r="BK267"/>
  <c r="BJ267"/>
  <c r="BI267"/>
  <c r="BH267"/>
  <c r="BG267"/>
  <c r="BF267"/>
  <c r="BE267"/>
  <c r="BD267"/>
  <c r="BC267"/>
  <c r="BB267"/>
  <c r="BA267"/>
  <c r="AX267"/>
  <c r="AW267"/>
  <c r="AV267"/>
  <c r="AC267"/>
  <c r="H267"/>
  <c r="G267" s="1"/>
  <c r="BT266"/>
  <c r="BS266"/>
  <c r="BR266"/>
  <c r="BQ266"/>
  <c r="BP266"/>
  <c r="BO266"/>
  <c r="BN266"/>
  <c r="BM266"/>
  <c r="BL266"/>
  <c r="BK266"/>
  <c r="BJ266"/>
  <c r="BI266"/>
  <c r="BH266"/>
  <c r="BG266"/>
  <c r="BF266"/>
  <c r="BE266"/>
  <c r="BD266"/>
  <c r="BC266"/>
  <c r="BB266"/>
  <c r="BA266" s="1"/>
  <c r="AZ266" s="1"/>
  <c r="AX266"/>
  <c r="AW266"/>
  <c r="AV266"/>
  <c r="AC266"/>
  <c r="H266"/>
  <c r="G266"/>
  <c r="BT265"/>
  <c r="BS265"/>
  <c r="BR265"/>
  <c r="BQ265"/>
  <c r="BP265"/>
  <c r="BO265"/>
  <c r="BN265"/>
  <c r="BM265"/>
  <c r="BL265" s="1"/>
  <c r="BK265"/>
  <c r="BJ265"/>
  <c r="BI265"/>
  <c r="BH265"/>
  <c r="BG265"/>
  <c r="BF265"/>
  <c r="BE265"/>
  <c r="BD265"/>
  <c r="BC265"/>
  <c r="BB265"/>
  <c r="BA265"/>
  <c r="AX265"/>
  <c r="AW265"/>
  <c r="AV265"/>
  <c r="AC265"/>
  <c r="H265"/>
  <c r="G265"/>
  <c r="BT264"/>
  <c r="BS264"/>
  <c r="BR264"/>
  <c r="BQ264"/>
  <c r="BP264"/>
  <c r="BO264"/>
  <c r="BN264"/>
  <c r="BM264"/>
  <c r="BL264" s="1"/>
  <c r="BK264"/>
  <c r="BJ264"/>
  <c r="BI264"/>
  <c r="BH264"/>
  <c r="BG264"/>
  <c r="BF264"/>
  <c r="BE264"/>
  <c r="BD264"/>
  <c r="BC264"/>
  <c r="BB264"/>
  <c r="BA264"/>
  <c r="AX264"/>
  <c r="AW264"/>
  <c r="AV264"/>
  <c r="AC264"/>
  <c r="H264"/>
  <c r="G264" s="1"/>
  <c r="BT263"/>
  <c r="BS263"/>
  <c r="BR263"/>
  <c r="BQ263"/>
  <c r="BP263"/>
  <c r="BO263"/>
  <c r="BN263"/>
  <c r="BM263"/>
  <c r="BL263"/>
  <c r="BK263"/>
  <c r="BJ263"/>
  <c r="BI263"/>
  <c r="BH263"/>
  <c r="BG263"/>
  <c r="BF263"/>
  <c r="BE263"/>
  <c r="BD263"/>
  <c r="BC263"/>
  <c r="BB263"/>
  <c r="BA263" s="1"/>
  <c r="AX263"/>
  <c r="AW263"/>
  <c r="AV263"/>
  <c r="AC263"/>
  <c r="H263"/>
  <c r="G263" s="1"/>
  <c r="BT262"/>
  <c r="BS262"/>
  <c r="BR262"/>
  <c r="BQ262"/>
  <c r="BP262"/>
  <c r="BO262"/>
  <c r="BN262"/>
  <c r="BM262"/>
  <c r="BL262"/>
  <c r="BK262"/>
  <c r="BJ262"/>
  <c r="BI262"/>
  <c r="BH262"/>
  <c r="BG262"/>
  <c r="BF262"/>
  <c r="BE262"/>
  <c r="BD262"/>
  <c r="BC262"/>
  <c r="BB262"/>
  <c r="BA262" s="1"/>
  <c r="AZ262" s="1"/>
  <c r="AX262"/>
  <c r="AW262"/>
  <c r="AV262"/>
  <c r="AC262"/>
  <c r="H262"/>
  <c r="G262"/>
  <c r="BT261"/>
  <c r="BS261"/>
  <c r="BR261"/>
  <c r="BQ261"/>
  <c r="BP261"/>
  <c r="BO261"/>
  <c r="BN261"/>
  <c r="BM261"/>
  <c r="BL261" s="1"/>
  <c r="BK261"/>
  <c r="BJ261"/>
  <c r="BI261"/>
  <c r="BH261"/>
  <c r="BG261"/>
  <c r="BF261"/>
  <c r="BE261"/>
  <c r="BD261"/>
  <c r="BC261"/>
  <c r="BB261"/>
  <c r="BA261"/>
  <c r="AX261"/>
  <c r="AW261"/>
  <c r="AV261"/>
  <c r="AC261"/>
  <c r="H261"/>
  <c r="G261"/>
  <c r="BT260"/>
  <c r="BS260"/>
  <c r="BR260"/>
  <c r="BQ260"/>
  <c r="BP260"/>
  <c r="BO260"/>
  <c r="BN260"/>
  <c r="BM260"/>
  <c r="BL260" s="1"/>
  <c r="BK260"/>
  <c r="BJ260"/>
  <c r="BI260"/>
  <c r="BH260"/>
  <c r="BG260"/>
  <c r="BF260"/>
  <c r="BE260"/>
  <c r="BD260"/>
  <c r="BC260"/>
  <c r="BB260"/>
  <c r="BA260"/>
  <c r="AX260"/>
  <c r="AW260"/>
  <c r="AV260"/>
  <c r="AC260"/>
  <c r="H260"/>
  <c r="G260" s="1"/>
  <c r="BT259"/>
  <c r="BS259"/>
  <c r="BR259"/>
  <c r="BQ259"/>
  <c r="BP259"/>
  <c r="BO259"/>
  <c r="BN259"/>
  <c r="BM259"/>
  <c r="BL259"/>
  <c r="BK259"/>
  <c r="BJ259"/>
  <c r="BI259"/>
  <c r="BH259"/>
  <c r="BG259"/>
  <c r="BF259"/>
  <c r="BE259"/>
  <c r="BD259"/>
  <c r="BC259"/>
  <c r="BB259"/>
  <c r="BA259" s="1"/>
  <c r="AX259"/>
  <c r="AW259"/>
  <c r="AV259"/>
  <c r="AC259"/>
  <c r="H259"/>
  <c r="G259" s="1"/>
  <c r="BT258"/>
  <c r="BS258"/>
  <c r="BR258"/>
  <c r="BQ258"/>
  <c r="BP258"/>
  <c r="BO258"/>
  <c r="BN258"/>
  <c r="BM258"/>
  <c r="BL258"/>
  <c r="BK258"/>
  <c r="BJ258"/>
  <c r="BI258"/>
  <c r="BH258"/>
  <c r="BG258"/>
  <c r="BF258"/>
  <c r="BE258"/>
  <c r="BD258"/>
  <c r="BC258"/>
  <c r="BB258"/>
  <c r="BA258" s="1"/>
  <c r="AZ258" s="1"/>
  <c r="AX258"/>
  <c r="AW258"/>
  <c r="AV258"/>
  <c r="AC258"/>
  <c r="H258"/>
  <c r="G258"/>
  <c r="BT257"/>
  <c r="BS257"/>
  <c r="BR257"/>
  <c r="BQ257"/>
  <c r="BP257"/>
  <c r="BO257"/>
  <c r="BN257"/>
  <c r="BM257"/>
  <c r="BL257" s="1"/>
  <c r="BK257"/>
  <c r="BJ257"/>
  <c r="BI257"/>
  <c r="BH257"/>
  <c r="BG257"/>
  <c r="BF257"/>
  <c r="BE257"/>
  <c r="BD257"/>
  <c r="BC257"/>
  <c r="BB257"/>
  <c r="BA257"/>
  <c r="AX257"/>
  <c r="AW257"/>
  <c r="AV257"/>
  <c r="AC257"/>
  <c r="H257"/>
  <c r="G257"/>
  <c r="BT256"/>
  <c r="BS256"/>
  <c r="BR256"/>
  <c r="BQ256"/>
  <c r="BP256"/>
  <c r="BO256"/>
  <c r="BN256"/>
  <c r="BM256"/>
  <c r="BL256" s="1"/>
  <c r="BK256"/>
  <c r="BJ256"/>
  <c r="BI256"/>
  <c r="BH256"/>
  <c r="BG256"/>
  <c r="BF256"/>
  <c r="BE256"/>
  <c r="BD256"/>
  <c r="BC256"/>
  <c r="BB256"/>
  <c r="BA256"/>
  <c r="AX256"/>
  <c r="AW256"/>
  <c r="AV256"/>
  <c r="AC256"/>
  <c r="H256"/>
  <c r="G256"/>
  <c r="BT255"/>
  <c r="BS255"/>
  <c r="BR255"/>
  <c r="BQ255"/>
  <c r="BP255"/>
  <c r="BO255"/>
  <c r="BN255"/>
  <c r="BM255"/>
  <c r="BL255" s="1"/>
  <c r="BK255"/>
  <c r="BJ255"/>
  <c r="BI255"/>
  <c r="BH255"/>
  <c r="BG255"/>
  <c r="BF255"/>
  <c r="BE255"/>
  <c r="BD255"/>
  <c r="BC255"/>
  <c r="BB255"/>
  <c r="BA255"/>
  <c r="AZ255" s="1"/>
  <c r="AX255"/>
  <c r="AW255"/>
  <c r="AV255"/>
  <c r="AC255"/>
  <c r="H255"/>
  <c r="G255" s="1"/>
  <c r="BT254"/>
  <c r="BS254"/>
  <c r="BR254"/>
  <c r="BQ254"/>
  <c r="BP254"/>
  <c r="BO254"/>
  <c r="BN254"/>
  <c r="BM254"/>
  <c r="BL254"/>
  <c r="BK254"/>
  <c r="BJ254"/>
  <c r="BI254"/>
  <c r="BH254"/>
  <c r="BG254"/>
  <c r="BF254"/>
  <c r="BE254"/>
  <c r="BD254"/>
  <c r="BC254"/>
  <c r="BB254"/>
  <c r="BA254" s="1"/>
  <c r="AZ254" s="1"/>
  <c r="AX254"/>
  <c r="AW254"/>
  <c r="AV254"/>
  <c r="AC254"/>
  <c r="H254"/>
  <c r="G254"/>
  <c r="BT253"/>
  <c r="BS253"/>
  <c r="BR253"/>
  <c r="BQ253"/>
  <c r="BP253"/>
  <c r="BO253"/>
  <c r="BN253"/>
  <c r="BM253"/>
  <c r="BL253" s="1"/>
  <c r="BK253"/>
  <c r="BJ253"/>
  <c r="BI253"/>
  <c r="BH253"/>
  <c r="BG253"/>
  <c r="BF253"/>
  <c r="BE253"/>
  <c r="BD253"/>
  <c r="BC253"/>
  <c r="BB253"/>
  <c r="BA253"/>
  <c r="AX253"/>
  <c r="AW253"/>
  <c r="AV253"/>
  <c r="AC253"/>
  <c r="H253"/>
  <c r="G253"/>
  <c r="BT252"/>
  <c r="BS252"/>
  <c r="BR252"/>
  <c r="BQ252"/>
  <c r="BP252"/>
  <c r="BO252"/>
  <c r="BN252"/>
  <c r="BM252"/>
  <c r="BL252" s="1"/>
  <c r="BK252"/>
  <c r="BJ252"/>
  <c r="BI252"/>
  <c r="BH252"/>
  <c r="BG252"/>
  <c r="BF252"/>
  <c r="BE252"/>
  <c r="BD252"/>
  <c r="BC252"/>
  <c r="BB252"/>
  <c r="BA252"/>
  <c r="AZ252" s="1"/>
  <c r="AX252"/>
  <c r="AW252"/>
  <c r="AV252"/>
  <c r="AC252"/>
  <c r="H252"/>
  <c r="G252" s="1"/>
  <c r="BT251"/>
  <c r="BS251"/>
  <c r="BR251"/>
  <c r="BQ251"/>
  <c r="BP251"/>
  <c r="BO251"/>
  <c r="BN251"/>
  <c r="BM251"/>
  <c r="BL251"/>
  <c r="BK251"/>
  <c r="BJ251"/>
  <c r="BI251"/>
  <c r="BH251"/>
  <c r="BG251"/>
  <c r="BF251"/>
  <c r="BE251"/>
  <c r="BD251"/>
  <c r="BC251"/>
  <c r="BB251"/>
  <c r="BA251" s="1"/>
  <c r="AX251"/>
  <c r="AW251"/>
  <c r="AV251"/>
  <c r="AC251"/>
  <c r="H251"/>
  <c r="G251" s="1"/>
  <c r="BT250"/>
  <c r="BS250"/>
  <c r="BR250"/>
  <c r="BQ250"/>
  <c r="BP250"/>
  <c r="BO250"/>
  <c r="BN250"/>
  <c r="BM250"/>
  <c r="BL250"/>
  <c r="BK250"/>
  <c r="BJ250"/>
  <c r="BI250"/>
  <c r="BH250"/>
  <c r="BG250"/>
  <c r="BF250"/>
  <c r="BE250"/>
  <c r="BD250"/>
  <c r="BC250"/>
  <c r="BB250"/>
  <c r="BA250" s="1"/>
  <c r="AZ250" s="1"/>
  <c r="AX250"/>
  <c r="AW250"/>
  <c r="AV250"/>
  <c r="AC250"/>
  <c r="H250"/>
  <c r="G250"/>
  <c r="BT249"/>
  <c r="BS249"/>
  <c r="BR249"/>
  <c r="BQ249"/>
  <c r="BP249"/>
  <c r="BO249"/>
  <c r="BN249"/>
  <c r="BM249"/>
  <c r="BL249" s="1"/>
  <c r="BK249"/>
  <c r="BJ249"/>
  <c r="BI249"/>
  <c r="BH249"/>
  <c r="BG249"/>
  <c r="BF249"/>
  <c r="BE249"/>
  <c r="BD249"/>
  <c r="BC249"/>
  <c r="BB249"/>
  <c r="BA249"/>
  <c r="AX249"/>
  <c r="AW249"/>
  <c r="AV249"/>
  <c r="AC249"/>
  <c r="H249"/>
  <c r="G249"/>
  <c r="BT248"/>
  <c r="BS248"/>
  <c r="BR248"/>
  <c r="BQ248"/>
  <c r="BP248"/>
  <c r="BO248"/>
  <c r="BN248"/>
  <c r="BM248"/>
  <c r="BL248" s="1"/>
  <c r="BK248"/>
  <c r="BJ248"/>
  <c r="BI248"/>
  <c r="BH248"/>
  <c r="BG248"/>
  <c r="BF248"/>
  <c r="BE248"/>
  <c r="BD248"/>
  <c r="BC248"/>
  <c r="BB248"/>
  <c r="BA248"/>
  <c r="AX248"/>
  <c r="AW248"/>
  <c r="AV248"/>
  <c r="AC248"/>
  <c r="H248"/>
  <c r="G248"/>
  <c r="BT247"/>
  <c r="BS247"/>
  <c r="BR247"/>
  <c r="BQ247"/>
  <c r="BP247"/>
  <c r="BO247"/>
  <c r="BN247"/>
  <c r="BM247"/>
  <c r="BL247" s="1"/>
  <c r="BK247"/>
  <c r="BJ247"/>
  <c r="BI247"/>
  <c r="BH247"/>
  <c r="BG247"/>
  <c r="BF247"/>
  <c r="BE247"/>
  <c r="BD247"/>
  <c r="BC247"/>
  <c r="BB247"/>
  <c r="BA247"/>
  <c r="AX247"/>
  <c r="AW247"/>
  <c r="AV247"/>
  <c r="AC247"/>
  <c r="H247"/>
  <c r="G247" s="1"/>
  <c r="BT246"/>
  <c r="BS246"/>
  <c r="BR246"/>
  <c r="BQ246"/>
  <c r="BP246"/>
  <c r="BO246"/>
  <c r="BN246"/>
  <c r="BM246"/>
  <c r="BL246"/>
  <c r="BK246"/>
  <c r="BJ246"/>
  <c r="BI246"/>
  <c r="BH246"/>
  <c r="BG246"/>
  <c r="BF246"/>
  <c r="BE246"/>
  <c r="BD246"/>
  <c r="BC246"/>
  <c r="BB246"/>
  <c r="BA246" s="1"/>
  <c r="AZ246" s="1"/>
  <c r="AX246"/>
  <c r="AW246"/>
  <c r="AV246"/>
  <c r="AC246"/>
  <c r="H246"/>
  <c r="G246"/>
  <c r="BT245"/>
  <c r="BS245"/>
  <c r="BR245"/>
  <c r="BQ245"/>
  <c r="BP245"/>
  <c r="BO245"/>
  <c r="BN245"/>
  <c r="BM245"/>
  <c r="BL245" s="1"/>
  <c r="BK245"/>
  <c r="BJ245"/>
  <c r="BI245"/>
  <c r="BH245"/>
  <c r="BG245"/>
  <c r="BF245"/>
  <c r="BE245"/>
  <c r="BD245"/>
  <c r="BC245"/>
  <c r="BB245"/>
  <c r="BA245"/>
  <c r="AX245"/>
  <c r="AW245"/>
  <c r="AV245"/>
  <c r="AC245"/>
  <c r="H245"/>
  <c r="G245"/>
  <c r="BT244"/>
  <c r="BS244"/>
  <c r="BR244"/>
  <c r="BQ244"/>
  <c r="BP244"/>
  <c r="BO244"/>
  <c r="BN244"/>
  <c r="BM244"/>
  <c r="BL244" s="1"/>
  <c r="BK244"/>
  <c r="BJ244"/>
  <c r="BI244"/>
  <c r="BH244"/>
  <c r="BG244"/>
  <c r="BF244"/>
  <c r="BE244"/>
  <c r="BD244"/>
  <c r="BC244"/>
  <c r="BB244"/>
  <c r="BA244"/>
  <c r="AX244"/>
  <c r="AW244"/>
  <c r="AV244"/>
  <c r="AC244"/>
  <c r="H244"/>
  <c r="G244" s="1"/>
  <c r="BT243"/>
  <c r="BS243"/>
  <c r="BR243"/>
  <c r="BQ243"/>
  <c r="BP243"/>
  <c r="BO243"/>
  <c r="BN243"/>
  <c r="BM243"/>
  <c r="BL243"/>
  <c r="BK243"/>
  <c r="BJ243"/>
  <c r="BI243"/>
  <c r="BH243"/>
  <c r="BG243"/>
  <c r="BF243"/>
  <c r="BE243"/>
  <c r="BD243"/>
  <c r="BC243"/>
  <c r="BB243"/>
  <c r="BA243" s="1"/>
  <c r="AX243"/>
  <c r="AW243"/>
  <c r="AV243"/>
  <c r="AC243"/>
  <c r="H243"/>
  <c r="G243" s="1"/>
  <c r="BT242"/>
  <c r="BS242"/>
  <c r="BR242"/>
  <c r="BQ242"/>
  <c r="BP242"/>
  <c r="BO242"/>
  <c r="BN242"/>
  <c r="BM242"/>
  <c r="BL242"/>
  <c r="BK242"/>
  <c r="BJ242"/>
  <c r="BI242"/>
  <c r="BH242"/>
  <c r="BG242"/>
  <c r="BF242"/>
  <c r="BE242"/>
  <c r="BD242"/>
  <c r="BC242"/>
  <c r="BB242"/>
  <c r="BA242" s="1"/>
  <c r="AZ242" s="1"/>
  <c r="AX242"/>
  <c r="AW242"/>
  <c r="AV242"/>
  <c r="AC242"/>
  <c r="H242"/>
  <c r="G242"/>
  <c r="BT241"/>
  <c r="BS241"/>
  <c r="BR241"/>
  <c r="BQ241"/>
  <c r="BP241"/>
  <c r="BO241"/>
  <c r="BN241"/>
  <c r="BM241"/>
  <c r="BL241" s="1"/>
  <c r="BK241"/>
  <c r="BJ241"/>
  <c r="BI241"/>
  <c r="BH241"/>
  <c r="BG241"/>
  <c r="BF241"/>
  <c r="BE241"/>
  <c r="BD241"/>
  <c r="BC241"/>
  <c r="BB241"/>
  <c r="BA241"/>
  <c r="AX241"/>
  <c r="AW241"/>
  <c r="AV241"/>
  <c r="AC241"/>
  <c r="H241"/>
  <c r="G241"/>
  <c r="BT240"/>
  <c r="BS240"/>
  <c r="BR240"/>
  <c r="BQ240"/>
  <c r="BP240"/>
  <c r="BO240"/>
  <c r="BN240"/>
  <c r="BM240"/>
  <c r="BL240" s="1"/>
  <c r="BK240"/>
  <c r="BJ240"/>
  <c r="BI240"/>
  <c r="BH240"/>
  <c r="BG240"/>
  <c r="BF240"/>
  <c r="BE240"/>
  <c r="BD240"/>
  <c r="BC240"/>
  <c r="BB240"/>
  <c r="BA240"/>
  <c r="AX240"/>
  <c r="AW240"/>
  <c r="AV240"/>
  <c r="AC240"/>
  <c r="H240"/>
  <c r="G240"/>
  <c r="BT239"/>
  <c r="BS239"/>
  <c r="BR239"/>
  <c r="BQ239"/>
  <c r="BP239"/>
  <c r="BO239"/>
  <c r="BN239"/>
  <c r="BM239"/>
  <c r="BL239" s="1"/>
  <c r="BK239"/>
  <c r="BJ239"/>
  <c r="BI239"/>
  <c r="BH239"/>
  <c r="BG239"/>
  <c r="BF239"/>
  <c r="BE239"/>
  <c r="BD239"/>
  <c r="BC239"/>
  <c r="BB239"/>
  <c r="BA239"/>
  <c r="AZ239" s="1"/>
  <c r="AX239"/>
  <c r="AW239"/>
  <c r="AV239"/>
  <c r="AC239"/>
  <c r="H239"/>
  <c r="G239" s="1"/>
  <c r="BT238"/>
  <c r="BS238"/>
  <c r="BR238"/>
  <c r="BQ238"/>
  <c r="BP238"/>
  <c r="BO238"/>
  <c r="BN238"/>
  <c r="BM238"/>
  <c r="BL238"/>
  <c r="BK238"/>
  <c r="BJ238"/>
  <c r="BI238"/>
  <c r="BH238"/>
  <c r="BG238"/>
  <c r="BF238"/>
  <c r="BE238"/>
  <c r="BD238"/>
  <c r="BC238"/>
  <c r="BB238"/>
  <c r="BA238" s="1"/>
  <c r="AZ238" s="1"/>
  <c r="AX238"/>
  <c r="AW238"/>
  <c r="AV238"/>
  <c r="AC238"/>
  <c r="H238"/>
  <c r="G238"/>
  <c r="BT237"/>
  <c r="BS237"/>
  <c r="BR237"/>
  <c r="BQ237"/>
  <c r="BP237"/>
  <c r="BO237"/>
  <c r="BN237"/>
  <c r="BM237"/>
  <c r="BL237" s="1"/>
  <c r="BK237"/>
  <c r="BJ237"/>
  <c r="BI237"/>
  <c r="BH237"/>
  <c r="BG237"/>
  <c r="BF237"/>
  <c r="BE237"/>
  <c r="BD237"/>
  <c r="BC237"/>
  <c r="BB237"/>
  <c r="BA237"/>
  <c r="AX237"/>
  <c r="AW237"/>
  <c r="AV237"/>
  <c r="AC237"/>
  <c r="H237"/>
  <c r="G237"/>
  <c r="BT236"/>
  <c r="BS236"/>
  <c r="BR236"/>
  <c r="BQ236"/>
  <c r="BP236"/>
  <c r="BO236"/>
  <c r="BN236"/>
  <c r="BM236"/>
  <c r="BL236" s="1"/>
  <c r="BK236"/>
  <c r="BJ236"/>
  <c r="BI236"/>
  <c r="BH236"/>
  <c r="BG236"/>
  <c r="BF236"/>
  <c r="BE236"/>
  <c r="BD236"/>
  <c r="BC236"/>
  <c r="BB236"/>
  <c r="BA236"/>
  <c r="AZ236" s="1"/>
  <c r="AX236"/>
  <c r="AW236"/>
  <c r="AV236"/>
  <c r="AC236"/>
  <c r="H236"/>
  <c r="G236" s="1"/>
  <c r="BT235"/>
  <c r="BS235"/>
  <c r="BR235"/>
  <c r="BQ235"/>
  <c r="BP235"/>
  <c r="BO235"/>
  <c r="BN235"/>
  <c r="BM235"/>
  <c r="BL235"/>
  <c r="BK235"/>
  <c r="BJ235"/>
  <c r="BI235"/>
  <c r="BH235"/>
  <c r="BG235"/>
  <c r="BF235"/>
  <c r="BE235"/>
  <c r="BD235"/>
  <c r="BC235"/>
  <c r="BB235"/>
  <c r="BA235" s="1"/>
  <c r="AX235"/>
  <c r="AW235"/>
  <c r="AV235"/>
  <c r="AC235"/>
  <c r="H235"/>
  <c r="G235" s="1"/>
  <c r="BT234"/>
  <c r="BS234"/>
  <c r="BR234"/>
  <c r="BQ234"/>
  <c r="BP234"/>
  <c r="BO234"/>
  <c r="BN234"/>
  <c r="BM234"/>
  <c r="BL234"/>
  <c r="BK234"/>
  <c r="BJ234"/>
  <c r="BI234"/>
  <c r="BH234"/>
  <c r="BG234"/>
  <c r="BF234"/>
  <c r="BE234"/>
  <c r="BD234"/>
  <c r="BC234"/>
  <c r="BB234"/>
  <c r="BA234" s="1"/>
  <c r="AZ234" s="1"/>
  <c r="AX234"/>
  <c r="AW234"/>
  <c r="AV234"/>
  <c r="AC234"/>
  <c r="H234"/>
  <c r="G234"/>
  <c r="BT233"/>
  <c r="BS233"/>
  <c r="BR233"/>
  <c r="BQ233"/>
  <c r="BP233"/>
  <c r="BO233"/>
  <c r="BN233"/>
  <c r="BM233"/>
  <c r="BL233" s="1"/>
  <c r="BK233"/>
  <c r="BJ233"/>
  <c r="BI233"/>
  <c r="BH233"/>
  <c r="BG233"/>
  <c r="BF233"/>
  <c r="BE233"/>
  <c r="BD233"/>
  <c r="BC233"/>
  <c r="BB233"/>
  <c r="BA233"/>
  <c r="AX233"/>
  <c r="AW233"/>
  <c r="AV233"/>
  <c r="AC233"/>
  <c r="H233"/>
  <c r="G233"/>
  <c r="BT232"/>
  <c r="BS232"/>
  <c r="BR232"/>
  <c r="BQ232"/>
  <c r="BP232"/>
  <c r="BO232"/>
  <c r="BN232"/>
  <c r="BM232"/>
  <c r="BL232" s="1"/>
  <c r="BK232"/>
  <c r="BJ232"/>
  <c r="BI232"/>
  <c r="BH232"/>
  <c r="BG232"/>
  <c r="BF232"/>
  <c r="BE232"/>
  <c r="BD232"/>
  <c r="BC232"/>
  <c r="BB232"/>
  <c r="BA232"/>
  <c r="AX232"/>
  <c r="AW232"/>
  <c r="AV232"/>
  <c r="AC232"/>
  <c r="H232"/>
  <c r="G232"/>
  <c r="BT231"/>
  <c r="BS231"/>
  <c r="BR231"/>
  <c r="BQ231"/>
  <c r="BP231"/>
  <c r="BO231"/>
  <c r="BN231"/>
  <c r="BM231"/>
  <c r="BL231" s="1"/>
  <c r="BK231"/>
  <c r="BJ231"/>
  <c r="BI231"/>
  <c r="BH231"/>
  <c r="BG231"/>
  <c r="BF231"/>
  <c r="BE231"/>
  <c r="BD231"/>
  <c r="BC231"/>
  <c r="BB231"/>
  <c r="BA231"/>
  <c r="AX231"/>
  <c r="AW231"/>
  <c r="AV231"/>
  <c r="AC231"/>
  <c r="H231"/>
  <c r="G231" s="1"/>
  <c r="BT230"/>
  <c r="BS230"/>
  <c r="BR230"/>
  <c r="BQ230"/>
  <c r="BP230"/>
  <c r="BO230"/>
  <c r="BN230"/>
  <c r="BM230"/>
  <c r="BL230"/>
  <c r="BK230"/>
  <c r="BJ230"/>
  <c r="BI230"/>
  <c r="BH230"/>
  <c r="BG230"/>
  <c r="BF230"/>
  <c r="BE230"/>
  <c r="BD230"/>
  <c r="BC230"/>
  <c r="BB230"/>
  <c r="BA230" s="1"/>
  <c r="AZ230" s="1"/>
  <c r="AX230"/>
  <c r="AW230"/>
  <c r="AV230"/>
  <c r="AC230"/>
  <c r="H230"/>
  <c r="G230"/>
  <c r="BT229"/>
  <c r="BS229"/>
  <c r="BR229"/>
  <c r="BQ229"/>
  <c r="BP229"/>
  <c r="BO229"/>
  <c r="BN229"/>
  <c r="BM229"/>
  <c r="BL229" s="1"/>
  <c r="BK229"/>
  <c r="BJ229"/>
  <c r="BI229"/>
  <c r="BH229"/>
  <c r="BG229"/>
  <c r="BF229"/>
  <c r="BE229"/>
  <c r="BD229"/>
  <c r="BC229"/>
  <c r="BB229"/>
  <c r="BA229"/>
  <c r="AX229"/>
  <c r="AW229"/>
  <c r="AV229"/>
  <c r="AC229"/>
  <c r="H229"/>
  <c r="G229"/>
  <c r="BT228"/>
  <c r="BS228"/>
  <c r="BR228"/>
  <c r="BQ228"/>
  <c r="BP228"/>
  <c r="BO228"/>
  <c r="BN228"/>
  <c r="BM228"/>
  <c r="BL228" s="1"/>
  <c r="BK228"/>
  <c r="BJ228"/>
  <c r="BI228"/>
  <c r="BH228"/>
  <c r="BG228"/>
  <c r="BF228"/>
  <c r="BE228"/>
  <c r="BD228"/>
  <c r="BC228"/>
  <c r="BB228"/>
  <c r="BA228"/>
  <c r="AX228"/>
  <c r="AW228"/>
  <c r="AV228"/>
  <c r="AC228"/>
  <c r="H228"/>
  <c r="G228" s="1"/>
  <c r="BT227"/>
  <c r="BS227"/>
  <c r="BR227"/>
  <c r="BQ227"/>
  <c r="BP227"/>
  <c r="BO227"/>
  <c r="BN227"/>
  <c r="BM227"/>
  <c r="BL227"/>
  <c r="BK227"/>
  <c r="BJ227"/>
  <c r="BI227"/>
  <c r="BH227"/>
  <c r="BG227"/>
  <c r="BF227"/>
  <c r="BE227"/>
  <c r="BD227"/>
  <c r="BC227"/>
  <c r="BB227"/>
  <c r="BA227" s="1"/>
  <c r="AX227"/>
  <c r="AW227"/>
  <c r="AV227"/>
  <c r="AC227"/>
  <c r="H227"/>
  <c r="G227" s="1"/>
  <c r="BT226"/>
  <c r="BS226"/>
  <c r="BR226"/>
  <c r="BQ226"/>
  <c r="BP226"/>
  <c r="BO226"/>
  <c r="BN226"/>
  <c r="BM226"/>
  <c r="BL226"/>
  <c r="BK226"/>
  <c r="BJ226"/>
  <c r="BI226"/>
  <c r="BH226"/>
  <c r="BG226"/>
  <c r="BF226"/>
  <c r="BE226"/>
  <c r="BD226"/>
  <c r="BC226"/>
  <c r="BB226"/>
  <c r="BA226" s="1"/>
  <c r="AZ226" s="1"/>
  <c r="AX226"/>
  <c r="AW226"/>
  <c r="AV226"/>
  <c r="AC226"/>
  <c r="H226"/>
  <c r="G226"/>
  <c r="BT225"/>
  <c r="BS225"/>
  <c r="BR225"/>
  <c r="BQ225"/>
  <c r="BP225"/>
  <c r="BO225"/>
  <c r="BN225"/>
  <c r="BM225"/>
  <c r="BL225" s="1"/>
  <c r="BK225"/>
  <c r="BJ225"/>
  <c r="BI225"/>
  <c r="BH225"/>
  <c r="BG225"/>
  <c r="BF225"/>
  <c r="BE225"/>
  <c r="BD225"/>
  <c r="BC225"/>
  <c r="BB225"/>
  <c r="BA225"/>
  <c r="AZ225" s="1"/>
  <c r="AX225"/>
  <c r="AW225"/>
  <c r="AV225"/>
  <c r="AC225"/>
  <c r="H225"/>
  <c r="G225" s="1"/>
  <c r="BT224"/>
  <c r="BS224"/>
  <c r="BR224"/>
  <c r="BQ224"/>
  <c r="BP224"/>
  <c r="BO224"/>
  <c r="BN224"/>
  <c r="BM224"/>
  <c r="BL224"/>
  <c r="BK224"/>
  <c r="BJ224"/>
  <c r="BI224"/>
  <c r="BH224"/>
  <c r="BG224"/>
  <c r="BF224"/>
  <c r="BE224"/>
  <c r="BD224"/>
  <c r="BC224"/>
  <c r="BB224"/>
  <c r="BA224" s="1"/>
  <c r="AZ224" s="1"/>
  <c r="AX224"/>
  <c r="AW224"/>
  <c r="AV224"/>
  <c r="AC224"/>
  <c r="H224"/>
  <c r="G224"/>
  <c r="BT223"/>
  <c r="BS223"/>
  <c r="BR223"/>
  <c r="BQ223"/>
  <c r="BP223"/>
  <c r="BO223"/>
  <c r="BN223"/>
  <c r="BM223"/>
  <c r="BL223" s="1"/>
  <c r="BK223"/>
  <c r="BJ223"/>
  <c r="BI223"/>
  <c r="BH223"/>
  <c r="BG223"/>
  <c r="BF223"/>
  <c r="BE223"/>
  <c r="BD223"/>
  <c r="BC223"/>
  <c r="BB223"/>
  <c r="BA223"/>
  <c r="AX223"/>
  <c r="AW223"/>
  <c r="AV223"/>
  <c r="AC223"/>
  <c r="H223"/>
  <c r="G223"/>
  <c r="BT222"/>
  <c r="BS222"/>
  <c r="BR222"/>
  <c r="BQ222"/>
  <c r="BP222"/>
  <c r="BO222"/>
  <c r="BN222"/>
  <c r="BM222"/>
  <c r="BL222" s="1"/>
  <c r="BK222"/>
  <c r="BJ222"/>
  <c r="BI222"/>
  <c r="BH222"/>
  <c r="BG222"/>
  <c r="BF222"/>
  <c r="BE222"/>
  <c r="BD222"/>
  <c r="BC222"/>
  <c r="BB222"/>
  <c r="BA222"/>
  <c r="AX222"/>
  <c r="AW222"/>
  <c r="AV222"/>
  <c r="AC222"/>
  <c r="H222"/>
  <c r="G222"/>
  <c r="BT221"/>
  <c r="BS221"/>
  <c r="BR221"/>
  <c r="BQ221"/>
  <c r="BP221"/>
  <c r="BO221"/>
  <c r="BN221"/>
  <c r="BM221"/>
  <c r="BL221" s="1"/>
  <c r="BK221"/>
  <c r="BJ221"/>
  <c r="BI221"/>
  <c r="BH221"/>
  <c r="BG221"/>
  <c r="BF221"/>
  <c r="BE221"/>
  <c r="BD221"/>
  <c r="BC221"/>
  <c r="BB221"/>
  <c r="BA221"/>
  <c r="AX221"/>
  <c r="AW221"/>
  <c r="AV221"/>
  <c r="AC221"/>
  <c r="H221"/>
  <c r="G221" s="1"/>
  <c r="BT220"/>
  <c r="BS220"/>
  <c r="BR220"/>
  <c r="BQ220"/>
  <c r="BP220"/>
  <c r="BO220"/>
  <c r="BN220"/>
  <c r="BM220"/>
  <c r="BL220"/>
  <c r="BK220"/>
  <c r="BJ220"/>
  <c r="BI220"/>
  <c r="BH220"/>
  <c r="BG220"/>
  <c r="BF220"/>
  <c r="BE220"/>
  <c r="BD220"/>
  <c r="BC220"/>
  <c r="BB220"/>
  <c r="BA220" s="1"/>
  <c r="AZ220" s="1"/>
  <c r="AX220"/>
  <c r="AW220"/>
  <c r="AV220"/>
  <c r="AC220"/>
  <c r="H220"/>
  <c r="G220"/>
  <c r="BT219"/>
  <c r="BS219"/>
  <c r="BR219"/>
  <c r="BQ219"/>
  <c r="BP219"/>
  <c r="BO219"/>
  <c r="BN219"/>
  <c r="BM219"/>
  <c r="BL219" s="1"/>
  <c r="BK219"/>
  <c r="BJ219"/>
  <c r="BI219"/>
  <c r="BH219"/>
  <c r="BG219"/>
  <c r="BF219"/>
  <c r="BE219"/>
  <c r="BD219"/>
  <c r="BC219"/>
  <c r="BB219"/>
  <c r="BA219"/>
  <c r="AZ219" s="1"/>
  <c r="AX219"/>
  <c r="AW219"/>
  <c r="AV219"/>
  <c r="AC219"/>
  <c r="H219"/>
  <c r="G219" s="1"/>
  <c r="BT218"/>
  <c r="BS218"/>
  <c r="BR218"/>
  <c r="BQ218"/>
  <c r="BP218"/>
  <c r="BO218"/>
  <c r="BN218"/>
  <c r="BM218"/>
  <c r="BL218"/>
  <c r="BK218"/>
  <c r="BJ218"/>
  <c r="BI218"/>
  <c r="BH218"/>
  <c r="BG218"/>
  <c r="BF218"/>
  <c r="BE218"/>
  <c r="BD218"/>
  <c r="BC218"/>
  <c r="BB218"/>
  <c r="BA218" s="1"/>
  <c r="AX218"/>
  <c r="AW218"/>
  <c r="AV218"/>
  <c r="AC218"/>
  <c r="H218"/>
  <c r="G218" s="1"/>
  <c r="BT217"/>
  <c r="BS217"/>
  <c r="BR217"/>
  <c r="BQ217"/>
  <c r="BP217"/>
  <c r="BO217"/>
  <c r="BN217"/>
  <c r="BM217"/>
  <c r="BL217"/>
  <c r="BK217"/>
  <c r="BJ217"/>
  <c r="BI217"/>
  <c r="BH217"/>
  <c r="BG217"/>
  <c r="BF217"/>
  <c r="BE217"/>
  <c r="BD217"/>
  <c r="BC217"/>
  <c r="BB217"/>
  <c r="BA217" s="1"/>
  <c r="AZ217" s="1"/>
  <c r="AX217"/>
  <c r="AW217"/>
  <c r="AV217"/>
  <c r="AC217"/>
  <c r="H217"/>
  <c r="G217"/>
  <c r="BT216"/>
  <c r="BS216"/>
  <c r="BR216"/>
  <c r="BQ216"/>
  <c r="BP216"/>
  <c r="BO216"/>
  <c r="BN216"/>
  <c r="BM216"/>
  <c r="BL216" s="1"/>
  <c r="BK216"/>
  <c r="BJ216"/>
  <c r="BI216"/>
  <c r="BH216"/>
  <c r="BG216"/>
  <c r="BF216"/>
  <c r="BE216"/>
  <c r="BD216"/>
  <c r="BC216"/>
  <c r="BB216"/>
  <c r="BA216"/>
  <c r="AX216"/>
  <c r="AW216"/>
  <c r="AV216"/>
  <c r="AC216"/>
  <c r="H216"/>
  <c r="G216" s="1"/>
  <c r="BT215"/>
  <c r="BS215"/>
  <c r="BR215"/>
  <c r="BQ215"/>
  <c r="BP215"/>
  <c r="BO215"/>
  <c r="BN215"/>
  <c r="BM215"/>
  <c r="BL215"/>
  <c r="BK215"/>
  <c r="BJ215"/>
  <c r="BI215"/>
  <c r="BH215"/>
  <c r="BG215"/>
  <c r="BF215"/>
  <c r="BE215"/>
  <c r="BD215"/>
  <c r="BC215"/>
  <c r="BB215"/>
  <c r="BA215" s="1"/>
  <c r="AX215"/>
  <c r="AW215"/>
  <c r="AV215"/>
  <c r="AC215"/>
  <c r="H215"/>
  <c r="G215" s="1"/>
  <c r="BT214"/>
  <c r="BS214"/>
  <c r="BR214"/>
  <c r="BQ214"/>
  <c r="BP214"/>
  <c r="BO214"/>
  <c r="BN214"/>
  <c r="BM214"/>
  <c r="BL214"/>
  <c r="BK214"/>
  <c r="BJ214"/>
  <c r="BI214"/>
  <c r="BH214"/>
  <c r="BG214"/>
  <c r="BF214"/>
  <c r="BE214"/>
  <c r="BD214"/>
  <c r="BC214"/>
  <c r="BB214"/>
  <c r="BA214" s="1"/>
  <c r="AX214"/>
  <c r="AW214"/>
  <c r="AV214"/>
  <c r="AC214"/>
  <c r="H214"/>
  <c r="G214" s="1"/>
  <c r="BT213"/>
  <c r="BS213"/>
  <c r="BR213"/>
  <c r="BQ213"/>
  <c r="BP213"/>
  <c r="BO213"/>
  <c r="BN213"/>
  <c r="BM213"/>
  <c r="BL213"/>
  <c r="BK213"/>
  <c r="BJ213"/>
  <c r="BI213"/>
  <c r="BH213"/>
  <c r="BG213"/>
  <c r="BF213"/>
  <c r="BE213"/>
  <c r="BD213"/>
  <c r="BC213"/>
  <c r="BB213"/>
  <c r="BA213" s="1"/>
  <c r="AZ213" s="1"/>
  <c r="AX213"/>
  <c r="AW213"/>
  <c r="AV213"/>
  <c r="AC213"/>
  <c r="H213"/>
  <c r="G213"/>
  <c r="BT212"/>
  <c r="BS212"/>
  <c r="BR212"/>
  <c r="BQ212"/>
  <c r="BP212"/>
  <c r="BO212"/>
  <c r="BN212"/>
  <c r="BM212"/>
  <c r="BL212" s="1"/>
  <c r="BK212"/>
  <c r="BJ212"/>
  <c r="BI212"/>
  <c r="BH212"/>
  <c r="BG212"/>
  <c r="BF212"/>
  <c r="BE212"/>
  <c r="BD212"/>
  <c r="BC212"/>
  <c r="BB212"/>
  <c r="BA212"/>
  <c r="AZ212" s="1"/>
  <c r="AX212"/>
  <c r="AW212"/>
  <c r="AV212"/>
  <c r="AC212"/>
  <c r="H212"/>
  <c r="G212" s="1"/>
  <c r="BT211"/>
  <c r="BS211"/>
  <c r="BR211"/>
  <c r="BQ211"/>
  <c r="BP211"/>
  <c r="BO211"/>
  <c r="BN211"/>
  <c r="BM211"/>
  <c r="BL211"/>
  <c r="BK211"/>
  <c r="BJ211"/>
  <c r="BI211"/>
  <c r="BH211"/>
  <c r="BG211"/>
  <c r="BF211"/>
  <c r="BE211"/>
  <c r="BD211"/>
  <c r="BC211"/>
  <c r="BB211"/>
  <c r="BA211" s="1"/>
  <c r="AZ211" s="1"/>
  <c r="AX211"/>
  <c r="AW211"/>
  <c r="AV211"/>
  <c r="AC211"/>
  <c r="H211"/>
  <c r="G211"/>
  <c r="BT210"/>
  <c r="BS210"/>
  <c r="BR210"/>
  <c r="BQ210"/>
  <c r="BP210"/>
  <c r="BO210"/>
  <c r="BN210"/>
  <c r="BM210"/>
  <c r="BL210" s="1"/>
  <c r="BK210"/>
  <c r="BJ210"/>
  <c r="BI210"/>
  <c r="BH210"/>
  <c r="BG210"/>
  <c r="BF210"/>
  <c r="BE210"/>
  <c r="BD210"/>
  <c r="BC210"/>
  <c r="BB210"/>
  <c r="BA210"/>
  <c r="AX210"/>
  <c r="AW210"/>
  <c r="AV210"/>
  <c r="AC210"/>
  <c r="H210"/>
  <c r="G210" s="1"/>
  <c r="BT209"/>
  <c r="BS209"/>
  <c r="BR209"/>
  <c r="BQ209"/>
  <c r="BP209"/>
  <c r="BO209"/>
  <c r="BN209"/>
  <c r="BM209"/>
  <c r="BL209"/>
  <c r="BK209"/>
  <c r="BJ209"/>
  <c r="BI209"/>
  <c r="BH209"/>
  <c r="BG209"/>
  <c r="BF209"/>
  <c r="BE209"/>
  <c r="BD209"/>
  <c r="BC209"/>
  <c r="BB209"/>
  <c r="BA209" s="1"/>
  <c r="AX209"/>
  <c r="AW209"/>
  <c r="AV209"/>
  <c r="AC209"/>
  <c r="H209"/>
  <c r="G209" s="1"/>
  <c r="BT208"/>
  <c r="BS208"/>
  <c r="BR208"/>
  <c r="BQ208"/>
  <c r="BP208"/>
  <c r="BO208"/>
  <c r="BN208"/>
  <c r="BM208"/>
  <c r="BL208"/>
  <c r="BK208"/>
  <c r="BJ208"/>
  <c r="BI208"/>
  <c r="BH208"/>
  <c r="BG208"/>
  <c r="BF208"/>
  <c r="BE208"/>
  <c r="BD208"/>
  <c r="BC208"/>
  <c r="BB208"/>
  <c r="BA208" s="1"/>
  <c r="AZ208" s="1"/>
  <c r="AX208"/>
  <c r="AW208"/>
  <c r="AV208"/>
  <c r="AC208"/>
  <c r="H208"/>
  <c r="G208"/>
  <c r="BT397"/>
  <c r="BS397"/>
  <c r="BR397"/>
  <c r="BQ397"/>
  <c r="BP397"/>
  <c r="BO397"/>
  <c r="BN397"/>
  <c r="BM397"/>
  <c r="BL397" s="1"/>
  <c r="BK397"/>
  <c r="BJ397"/>
  <c r="BI397"/>
  <c r="BH397"/>
  <c r="BG397"/>
  <c r="BF397"/>
  <c r="BE397"/>
  <c r="BD397"/>
  <c r="BC397"/>
  <c r="BB397"/>
  <c r="BA397"/>
  <c r="AZ397" s="1"/>
  <c r="AX397"/>
  <c r="AW397"/>
  <c r="AV397"/>
  <c r="AC397"/>
  <c r="H397"/>
  <c r="G397" s="1"/>
  <c r="BT396"/>
  <c r="BS396"/>
  <c r="BR396"/>
  <c r="BQ396"/>
  <c r="BP396"/>
  <c r="BO396"/>
  <c r="BN396"/>
  <c r="BM396"/>
  <c r="BL396"/>
  <c r="BK396"/>
  <c r="BJ396"/>
  <c r="BI396"/>
  <c r="BH396"/>
  <c r="BG396"/>
  <c r="BF396"/>
  <c r="BE396"/>
  <c r="BD396"/>
  <c r="BC396"/>
  <c r="BB396"/>
  <c r="BA396" s="1"/>
  <c r="AX396"/>
  <c r="AW396"/>
  <c r="AV396"/>
  <c r="AC396"/>
  <c r="H396"/>
  <c r="G396" s="1"/>
  <c r="BT395"/>
  <c r="BS395"/>
  <c r="BR395"/>
  <c r="BQ395"/>
  <c r="BP395"/>
  <c r="BO395"/>
  <c r="BN395"/>
  <c r="BM395"/>
  <c r="BL395"/>
  <c r="BK395"/>
  <c r="BJ395"/>
  <c r="BI395"/>
  <c r="BH395"/>
  <c r="BG395"/>
  <c r="BF395"/>
  <c r="BE395"/>
  <c r="BD395"/>
  <c r="BC395"/>
  <c r="BB395"/>
  <c r="BA395" s="1"/>
  <c r="AZ395" s="1"/>
  <c r="AX395"/>
  <c r="AW395"/>
  <c r="AV395"/>
  <c r="AC395"/>
  <c r="H395"/>
  <c r="G395"/>
  <c r="BT394"/>
  <c r="BS394"/>
  <c r="BR394"/>
  <c r="BQ394"/>
  <c r="BP394"/>
  <c r="BO394"/>
  <c r="BN394"/>
  <c r="BM394"/>
  <c r="BK394"/>
  <c r="BJ394"/>
  <c r="BI394"/>
  <c r="BH394"/>
  <c r="BG394"/>
  <c r="BF394"/>
  <c r="BE394"/>
  <c r="BD394"/>
  <c r="BC394"/>
  <c r="BB394"/>
  <c r="AX394"/>
  <c r="AW394"/>
  <c r="AV394"/>
  <c r="AC394"/>
  <c r="H394"/>
  <c r="BT393"/>
  <c r="BS393"/>
  <c r="BR393"/>
  <c r="BQ393"/>
  <c r="BP393"/>
  <c r="BO393"/>
  <c r="BN393"/>
  <c r="BM393"/>
  <c r="BL393"/>
  <c r="BK393"/>
  <c r="BJ393"/>
  <c r="BI393"/>
  <c r="BH393"/>
  <c r="BG393"/>
  <c r="BF393"/>
  <c r="BE393"/>
  <c r="BD393"/>
  <c r="BC393"/>
  <c r="BB393"/>
  <c r="AX393"/>
  <c r="AW393"/>
  <c r="AV393"/>
  <c r="AC393"/>
  <c r="H393"/>
  <c r="BT392"/>
  <c r="BS392"/>
  <c r="BR392"/>
  <c r="BQ392"/>
  <c r="BP392"/>
  <c r="BO392"/>
  <c r="BN392"/>
  <c r="BM392"/>
  <c r="BK392"/>
  <c r="BJ392"/>
  <c r="BI392"/>
  <c r="BH392"/>
  <c r="BG392"/>
  <c r="BF392"/>
  <c r="BE392"/>
  <c r="BD392"/>
  <c r="BC392"/>
  <c r="BB392"/>
  <c r="BA392"/>
  <c r="AX392"/>
  <c r="AW392"/>
  <c r="AV392"/>
  <c r="AC392"/>
  <c r="H392"/>
  <c r="G392"/>
  <c r="BT391"/>
  <c r="BS391"/>
  <c r="BR391"/>
  <c r="BQ391"/>
  <c r="BP391"/>
  <c r="BO391"/>
  <c r="BN391"/>
  <c r="BM391"/>
  <c r="BK391"/>
  <c r="BJ391"/>
  <c r="BI391"/>
  <c r="BH391"/>
  <c r="BG391"/>
  <c r="BF391"/>
  <c r="BE391"/>
  <c r="BD391"/>
  <c r="BC391"/>
  <c r="BB391"/>
  <c r="AX391"/>
  <c r="AW391"/>
  <c r="AV391"/>
  <c r="AC391"/>
  <c r="H391"/>
  <c r="BT390"/>
  <c r="BS390"/>
  <c r="BR390"/>
  <c r="BQ390"/>
  <c r="BP390"/>
  <c r="BO390"/>
  <c r="BN390"/>
  <c r="BM390"/>
  <c r="BK390"/>
  <c r="BJ390"/>
  <c r="BI390"/>
  <c r="BH390"/>
  <c r="BG390"/>
  <c r="BF390"/>
  <c r="BE390"/>
  <c r="BD390"/>
  <c r="BC390"/>
  <c r="BB390"/>
  <c r="AX390"/>
  <c r="AW390"/>
  <c r="AV390"/>
  <c r="AC390"/>
  <c r="H390"/>
  <c r="BT389"/>
  <c r="BS389"/>
  <c r="BR389"/>
  <c r="BQ389"/>
  <c r="BP389"/>
  <c r="BO389"/>
  <c r="BN389"/>
  <c r="BM389"/>
  <c r="BK389"/>
  <c r="BJ389"/>
  <c r="BI389"/>
  <c r="BH389"/>
  <c r="BG389"/>
  <c r="BF389"/>
  <c r="BE389"/>
  <c r="BD389"/>
  <c r="BC389"/>
  <c r="BB389"/>
  <c r="AX389"/>
  <c r="AW389"/>
  <c r="AV389"/>
  <c r="AC389"/>
  <c r="H389"/>
  <c r="BT388"/>
  <c r="BS388"/>
  <c r="BR388"/>
  <c r="BQ388"/>
  <c r="BP388"/>
  <c r="BO388"/>
  <c r="BN388"/>
  <c r="BM388"/>
  <c r="BK388"/>
  <c r="BJ388"/>
  <c r="BI388"/>
  <c r="BH388"/>
  <c r="BG388"/>
  <c r="BF388"/>
  <c r="BE388"/>
  <c r="BD388"/>
  <c r="BC388"/>
  <c r="BB388"/>
  <c r="BA388"/>
  <c r="AX388"/>
  <c r="AW388"/>
  <c r="AV388"/>
  <c r="AC388"/>
  <c r="H388"/>
  <c r="BT387"/>
  <c r="BS387"/>
  <c r="BR387"/>
  <c r="BQ387"/>
  <c r="BP387"/>
  <c r="BO387"/>
  <c r="BN387"/>
  <c r="BM387"/>
  <c r="BK387"/>
  <c r="BJ387"/>
  <c r="BI387"/>
  <c r="BH387"/>
  <c r="BG387"/>
  <c r="BF387"/>
  <c r="BE387"/>
  <c r="BD387"/>
  <c r="BC387"/>
  <c r="BB387"/>
  <c r="AX387"/>
  <c r="AW387"/>
  <c r="AV387"/>
  <c r="AC387"/>
  <c r="H387"/>
  <c r="G387" s="1"/>
  <c r="BT386"/>
  <c r="BS386"/>
  <c r="BR386"/>
  <c r="BQ386"/>
  <c r="BP386"/>
  <c r="BO386"/>
  <c r="BN386"/>
  <c r="BM386"/>
  <c r="BL386" s="1"/>
  <c r="BK386"/>
  <c r="BJ386"/>
  <c r="BI386"/>
  <c r="BH386"/>
  <c r="BG386"/>
  <c r="BF386"/>
  <c r="BE386"/>
  <c r="BD386"/>
  <c r="BC386"/>
  <c r="BB386"/>
  <c r="BA386"/>
  <c r="AX386"/>
  <c r="AW386"/>
  <c r="AV386"/>
  <c r="AC386"/>
  <c r="H386"/>
  <c r="BT385"/>
  <c r="BS385"/>
  <c r="BR385"/>
  <c r="BQ385"/>
  <c r="BP385"/>
  <c r="BO385"/>
  <c r="BN385"/>
  <c r="BM385"/>
  <c r="BL385"/>
  <c r="BK385"/>
  <c r="BJ385"/>
  <c r="BI385"/>
  <c r="BH385"/>
  <c r="BG385"/>
  <c r="BF385"/>
  <c r="BE385"/>
  <c r="BD385"/>
  <c r="BC385"/>
  <c r="BB385"/>
  <c r="BA385" s="1"/>
  <c r="AZ385" s="1"/>
  <c r="AX385"/>
  <c r="AW385"/>
  <c r="AV385"/>
  <c r="AC385"/>
  <c r="H385"/>
  <c r="BT384"/>
  <c r="BS384"/>
  <c r="BR384"/>
  <c r="BQ384"/>
  <c r="BP384"/>
  <c r="BO384"/>
  <c r="BN384"/>
  <c r="BM384"/>
  <c r="BK384"/>
  <c r="BJ384"/>
  <c r="BI384"/>
  <c r="BH384"/>
  <c r="BG384"/>
  <c r="BF384"/>
  <c r="BE384"/>
  <c r="BD384"/>
  <c r="BC384"/>
  <c r="BB384"/>
  <c r="BA384"/>
  <c r="AX384"/>
  <c r="AW384"/>
  <c r="AV384"/>
  <c r="AC384"/>
  <c r="H384"/>
  <c r="G384"/>
  <c r="BT383"/>
  <c r="BS383"/>
  <c r="BR383"/>
  <c r="BQ383"/>
  <c r="BP383"/>
  <c r="BO383"/>
  <c r="BN383"/>
  <c r="BM383"/>
  <c r="BL383" s="1"/>
  <c r="BK383"/>
  <c r="BJ383"/>
  <c r="BI383"/>
  <c r="BH383"/>
  <c r="BG383"/>
  <c r="BF383"/>
  <c r="BE383"/>
  <c r="BD383"/>
  <c r="BC383"/>
  <c r="BB383"/>
  <c r="AX383"/>
  <c r="AW383"/>
  <c r="AV383"/>
  <c r="AC383"/>
  <c r="H383"/>
  <c r="BT382"/>
  <c r="BS382"/>
  <c r="BR382"/>
  <c r="BQ382"/>
  <c r="BP382"/>
  <c r="BO382"/>
  <c r="BN382"/>
  <c r="BM382"/>
  <c r="BK382"/>
  <c r="BJ382"/>
  <c r="BI382"/>
  <c r="BH382"/>
  <c r="BG382"/>
  <c r="BF382"/>
  <c r="BE382"/>
  <c r="BD382"/>
  <c r="BC382"/>
  <c r="BB382"/>
  <c r="AX382"/>
  <c r="AW382"/>
  <c r="AV382"/>
  <c r="AC382"/>
  <c r="H382"/>
  <c r="G382"/>
  <c r="BT381"/>
  <c r="BS381"/>
  <c r="BR381"/>
  <c r="BQ381"/>
  <c r="BP381"/>
  <c r="BO381"/>
  <c r="BN381"/>
  <c r="BM381"/>
  <c r="BL381" s="1"/>
  <c r="BK381"/>
  <c r="BJ381"/>
  <c r="BI381"/>
  <c r="BH381"/>
  <c r="BG381"/>
  <c r="BF381"/>
  <c r="BE381"/>
  <c r="BD381"/>
  <c r="BC381"/>
  <c r="BB381"/>
  <c r="AX381"/>
  <c r="AW381"/>
  <c r="AV381"/>
  <c r="AC381"/>
  <c r="H381"/>
  <c r="BT380"/>
  <c r="BS380"/>
  <c r="BR380"/>
  <c r="BQ380"/>
  <c r="BP380"/>
  <c r="BO380"/>
  <c r="BN380"/>
  <c r="BM380"/>
  <c r="BK380"/>
  <c r="BJ380"/>
  <c r="BI380"/>
  <c r="BH380"/>
  <c r="BG380"/>
  <c r="BF380"/>
  <c r="BE380"/>
  <c r="BD380"/>
  <c r="BC380"/>
  <c r="BB380"/>
  <c r="AX380"/>
  <c r="AW380"/>
  <c r="AV380"/>
  <c r="AC380"/>
  <c r="H380"/>
  <c r="G380"/>
  <c r="BT379"/>
  <c r="BS379"/>
  <c r="BR379"/>
  <c r="BQ379"/>
  <c r="BP379"/>
  <c r="BO379"/>
  <c r="BN379"/>
  <c r="BM379"/>
  <c r="BK379"/>
  <c r="BJ379"/>
  <c r="BI379"/>
  <c r="BH379"/>
  <c r="BG379"/>
  <c r="BF379"/>
  <c r="BE379"/>
  <c r="BD379"/>
  <c r="BC379"/>
  <c r="BB379"/>
  <c r="AX379"/>
  <c r="AW379"/>
  <c r="AV379"/>
  <c r="AC379"/>
  <c r="H379"/>
  <c r="BT378"/>
  <c r="BS378"/>
  <c r="BR378"/>
  <c r="BQ378"/>
  <c r="BP378"/>
  <c r="BO378"/>
  <c r="BN378"/>
  <c r="BM378"/>
  <c r="BK378"/>
  <c r="BJ378"/>
  <c r="BI378"/>
  <c r="BH378"/>
  <c r="BG378"/>
  <c r="BF378"/>
  <c r="BE378"/>
  <c r="BD378"/>
  <c r="BC378"/>
  <c r="BB378"/>
  <c r="AX378"/>
  <c r="AW378"/>
  <c r="AV378"/>
  <c r="AC378"/>
  <c r="H378"/>
  <c r="G378" s="1"/>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K376"/>
  <c r="BJ376"/>
  <c r="BI376"/>
  <c r="BH376"/>
  <c r="BG376"/>
  <c r="BF376"/>
  <c r="BE376"/>
  <c r="BD376"/>
  <c r="BC376"/>
  <c r="BB376"/>
  <c r="AX376"/>
  <c r="AW376"/>
  <c r="AV376"/>
  <c r="AC376"/>
  <c r="H376"/>
  <c r="BT375"/>
  <c r="BS375"/>
  <c r="BR375"/>
  <c r="BQ375"/>
  <c r="BP375"/>
  <c r="BO375"/>
  <c r="BN375"/>
  <c r="BM375"/>
  <c r="BL375"/>
  <c r="BK375"/>
  <c r="BJ375"/>
  <c r="BI375"/>
  <c r="BH375"/>
  <c r="BG375"/>
  <c r="BF375"/>
  <c r="BE375"/>
  <c r="BD375"/>
  <c r="BC375"/>
  <c r="BB375"/>
  <c r="AX375"/>
  <c r="AW375"/>
  <c r="AV375"/>
  <c r="AC375"/>
  <c r="H375"/>
  <c r="BT374"/>
  <c r="BS374"/>
  <c r="BR374"/>
  <c r="BQ374"/>
  <c r="BP374"/>
  <c r="BO374"/>
  <c r="BN374"/>
  <c r="BM374"/>
  <c r="BK374"/>
  <c r="BJ374"/>
  <c r="BI374"/>
  <c r="BH374"/>
  <c r="BG374"/>
  <c r="BF374"/>
  <c r="BE374"/>
  <c r="BD374"/>
  <c r="BC374"/>
  <c r="BB374"/>
  <c r="BA374"/>
  <c r="AX374"/>
  <c r="AW374"/>
  <c r="AV374"/>
  <c r="AC374"/>
  <c r="H374"/>
  <c r="G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AX371"/>
  <c r="AW371"/>
  <c r="AV371"/>
  <c r="AC371"/>
  <c r="H371"/>
  <c r="BT370"/>
  <c r="BS370"/>
  <c r="BR370"/>
  <c r="BQ370"/>
  <c r="BP370"/>
  <c r="BO370"/>
  <c r="BN370"/>
  <c r="BM370"/>
  <c r="BK370"/>
  <c r="BJ370"/>
  <c r="BI370"/>
  <c r="BH370"/>
  <c r="BG370"/>
  <c r="BF370"/>
  <c r="BE370"/>
  <c r="BD370"/>
  <c r="BC370"/>
  <c r="BB370"/>
  <c r="BA370"/>
  <c r="AX370"/>
  <c r="AW370"/>
  <c r="AV370"/>
  <c r="AC370"/>
  <c r="H370"/>
  <c r="BT369"/>
  <c r="BS369"/>
  <c r="BR369"/>
  <c r="BQ369"/>
  <c r="BP369"/>
  <c r="BO369"/>
  <c r="BN369"/>
  <c r="BM369"/>
  <c r="BK369"/>
  <c r="BJ369"/>
  <c r="BI369"/>
  <c r="BH369"/>
  <c r="BG369"/>
  <c r="BF369"/>
  <c r="BE369"/>
  <c r="BD369"/>
  <c r="BC369"/>
  <c r="BB369"/>
  <c r="AX369"/>
  <c r="AW369"/>
  <c r="AV369"/>
  <c r="AC369"/>
  <c r="H369"/>
  <c r="G369" s="1"/>
  <c r="BT368"/>
  <c r="BS368"/>
  <c r="BR368"/>
  <c r="BQ368"/>
  <c r="BP368"/>
  <c r="BO368"/>
  <c r="BN368"/>
  <c r="BM368"/>
  <c r="BL368"/>
  <c r="BK368"/>
  <c r="BJ368"/>
  <c r="BI368"/>
  <c r="BH368"/>
  <c r="BG368"/>
  <c r="BF368"/>
  <c r="BE368"/>
  <c r="BD368"/>
  <c r="BC368"/>
  <c r="BB368"/>
  <c r="BA368" s="1"/>
  <c r="AX368"/>
  <c r="AW368"/>
  <c r="AV368"/>
  <c r="AC368"/>
  <c r="H368"/>
  <c r="BT367"/>
  <c r="BS367"/>
  <c r="BR367"/>
  <c r="BQ367"/>
  <c r="BP367"/>
  <c r="BO367"/>
  <c r="BN367"/>
  <c r="BM367"/>
  <c r="BL367" s="1"/>
  <c r="BK367"/>
  <c r="BJ367"/>
  <c r="BI367"/>
  <c r="BH367"/>
  <c r="BG367"/>
  <c r="BF367"/>
  <c r="BE367"/>
  <c r="BD367"/>
  <c r="BC367"/>
  <c r="BB367"/>
  <c r="BA367"/>
  <c r="AX367"/>
  <c r="AW367"/>
  <c r="AV367"/>
  <c r="AC367"/>
  <c r="H367"/>
  <c r="BT366"/>
  <c r="BS366"/>
  <c r="BR366"/>
  <c r="BQ366"/>
  <c r="BP366"/>
  <c r="BO366"/>
  <c r="BN366"/>
  <c r="BM366"/>
  <c r="BK366"/>
  <c r="BJ366"/>
  <c r="BI366"/>
  <c r="BH366"/>
  <c r="BG366"/>
  <c r="BF366"/>
  <c r="BE366"/>
  <c r="BD366"/>
  <c r="BC366"/>
  <c r="BB366"/>
  <c r="BA366" s="1"/>
  <c r="AX366"/>
  <c r="AW366"/>
  <c r="AV366"/>
  <c r="AC366"/>
  <c r="H366"/>
  <c r="G366" s="1"/>
  <c r="BT365"/>
  <c r="BS365"/>
  <c r="BR365"/>
  <c r="BQ365"/>
  <c r="BP365"/>
  <c r="BO365"/>
  <c r="BN365"/>
  <c r="BM365"/>
  <c r="BL365"/>
  <c r="BK365"/>
  <c r="BJ365"/>
  <c r="BI365"/>
  <c r="BH365"/>
  <c r="BG365"/>
  <c r="BF365"/>
  <c r="BE365"/>
  <c r="BD365"/>
  <c r="BC365"/>
  <c r="BB365"/>
  <c r="AX365"/>
  <c r="AW365"/>
  <c r="AV365"/>
  <c r="AC365"/>
  <c r="H365"/>
  <c r="BT364"/>
  <c r="BS364"/>
  <c r="BR364"/>
  <c r="BQ364"/>
  <c r="BP364"/>
  <c r="BO364"/>
  <c r="BN364"/>
  <c r="BM364"/>
  <c r="BK364"/>
  <c r="BJ364"/>
  <c r="BI364"/>
  <c r="BH364"/>
  <c r="BG364"/>
  <c r="BF364"/>
  <c r="BE364"/>
  <c r="BD364"/>
  <c r="BC364"/>
  <c r="BB364"/>
  <c r="AX364"/>
  <c r="AW364"/>
  <c r="AV364"/>
  <c r="AC364"/>
  <c r="H364"/>
  <c r="G364" s="1"/>
  <c r="BT363"/>
  <c r="BS363"/>
  <c r="BR363"/>
  <c r="BQ363"/>
  <c r="BP363"/>
  <c r="BO363"/>
  <c r="BN363"/>
  <c r="BM363"/>
  <c r="BL363"/>
  <c r="BK363"/>
  <c r="BJ363"/>
  <c r="BI363"/>
  <c r="BH363"/>
  <c r="BG363"/>
  <c r="BF363"/>
  <c r="BE363"/>
  <c r="BD363"/>
  <c r="BC363"/>
  <c r="BB363"/>
  <c r="AX363"/>
  <c r="AW363"/>
  <c r="AV363"/>
  <c r="AC363"/>
  <c r="H363"/>
  <c r="BT362"/>
  <c r="BS362"/>
  <c r="BR362"/>
  <c r="BQ362"/>
  <c r="BP362"/>
  <c r="BO362"/>
  <c r="BN362"/>
  <c r="BM362"/>
  <c r="BK362"/>
  <c r="BJ362"/>
  <c r="BI362"/>
  <c r="BH362"/>
  <c r="BG362"/>
  <c r="BF362"/>
  <c r="BE362"/>
  <c r="BD362"/>
  <c r="BC362"/>
  <c r="BB362"/>
  <c r="AX362"/>
  <c r="AW362"/>
  <c r="AV362"/>
  <c r="AC362"/>
  <c r="H362"/>
  <c r="G362" s="1"/>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K360"/>
  <c r="BJ360"/>
  <c r="BI360"/>
  <c r="BH360"/>
  <c r="BG360"/>
  <c r="BF360"/>
  <c r="BE360"/>
  <c r="BD360"/>
  <c r="BC360"/>
  <c r="BB360"/>
  <c r="AX360"/>
  <c r="AW360"/>
  <c r="AV360"/>
  <c r="AC360"/>
  <c r="H360"/>
  <c r="BT359"/>
  <c r="BS359"/>
  <c r="BR359"/>
  <c r="BQ359"/>
  <c r="BP359"/>
  <c r="BO359"/>
  <c r="BN359"/>
  <c r="BM359"/>
  <c r="BL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BA358"/>
  <c r="AX358"/>
  <c r="AW358"/>
  <c r="AV358"/>
  <c r="AC358"/>
  <c r="H358"/>
  <c r="G358"/>
  <c r="BT357"/>
  <c r="BS357"/>
  <c r="BR357"/>
  <c r="BQ357"/>
  <c r="BP357"/>
  <c r="BO357"/>
  <c r="BN357"/>
  <c r="BM357"/>
  <c r="BK357"/>
  <c r="BJ357"/>
  <c r="BI357"/>
  <c r="BH357"/>
  <c r="BG357"/>
  <c r="BF357"/>
  <c r="BE357"/>
  <c r="BD357"/>
  <c r="BC357"/>
  <c r="BB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L354"/>
  <c r="BK354"/>
  <c r="BJ354"/>
  <c r="BI354"/>
  <c r="BH354"/>
  <c r="BG354"/>
  <c r="BF354"/>
  <c r="BE354"/>
  <c r="BD354"/>
  <c r="BC354"/>
  <c r="BB354"/>
  <c r="BA354" s="1"/>
  <c r="AX354"/>
  <c r="AW354"/>
  <c r="AV354"/>
  <c r="AC354"/>
  <c r="H354"/>
  <c r="BT353"/>
  <c r="BS353"/>
  <c r="BR353"/>
  <c r="BQ353"/>
  <c r="BP353"/>
  <c r="BO353"/>
  <c r="BN353"/>
  <c r="BM353"/>
  <c r="BL353" s="1"/>
  <c r="BK353"/>
  <c r="BJ353"/>
  <c r="BI353"/>
  <c r="BH353"/>
  <c r="BG353"/>
  <c r="BF353"/>
  <c r="BE353"/>
  <c r="BD353"/>
  <c r="BC353"/>
  <c r="BB353"/>
  <c r="BA353"/>
  <c r="AX353"/>
  <c r="AW353"/>
  <c r="AV353"/>
  <c r="AC353"/>
  <c r="H353"/>
  <c r="BT352"/>
  <c r="BS352"/>
  <c r="BR352"/>
  <c r="BQ352"/>
  <c r="BP352"/>
  <c r="BO352"/>
  <c r="BN352"/>
  <c r="BM352"/>
  <c r="BK352"/>
  <c r="BJ352"/>
  <c r="BI352"/>
  <c r="BH352"/>
  <c r="BG352"/>
  <c r="BF352"/>
  <c r="BE352"/>
  <c r="BD352"/>
  <c r="BC352"/>
  <c r="BB352"/>
  <c r="BA352"/>
  <c r="AX352"/>
  <c r="AW352"/>
  <c r="AV352"/>
  <c r="AC352"/>
  <c r="H352"/>
  <c r="BT351"/>
  <c r="BS351"/>
  <c r="BR351"/>
  <c r="BQ351"/>
  <c r="BP351"/>
  <c r="BO351"/>
  <c r="BN351"/>
  <c r="BM351"/>
  <c r="BK351"/>
  <c r="BJ351"/>
  <c r="BI351"/>
  <c r="BH351"/>
  <c r="BG351"/>
  <c r="BF351"/>
  <c r="BE351"/>
  <c r="BD351"/>
  <c r="BC351"/>
  <c r="BB351"/>
  <c r="AX351"/>
  <c r="AW351"/>
  <c r="AV351"/>
  <c r="AC351"/>
  <c r="H351"/>
  <c r="G351" s="1"/>
  <c r="BT350"/>
  <c r="BS350"/>
  <c r="BR350"/>
  <c r="BQ350"/>
  <c r="BP350"/>
  <c r="BO350"/>
  <c r="BN350"/>
  <c r="BM350"/>
  <c r="BL350"/>
  <c r="BK350"/>
  <c r="BJ350"/>
  <c r="BI350"/>
  <c r="BH350"/>
  <c r="BG350"/>
  <c r="BF350"/>
  <c r="BE350"/>
  <c r="BD350"/>
  <c r="BC350"/>
  <c r="BB350"/>
  <c r="BA350" s="1"/>
  <c r="AX350"/>
  <c r="AW350"/>
  <c r="AV350"/>
  <c r="AC350"/>
  <c r="H350"/>
  <c r="BT349"/>
  <c r="BS349"/>
  <c r="BR349"/>
  <c r="BQ349"/>
  <c r="BP349"/>
  <c r="BO349"/>
  <c r="BN349"/>
  <c r="BM349"/>
  <c r="BK349"/>
  <c r="BJ349"/>
  <c r="BI349"/>
  <c r="BH349"/>
  <c r="BG349"/>
  <c r="BF349"/>
  <c r="BE349"/>
  <c r="BD349"/>
  <c r="BC349"/>
  <c r="BB349"/>
  <c r="BA349" s="1"/>
  <c r="AX349"/>
  <c r="AW349"/>
  <c r="AV349"/>
  <c r="AC349"/>
  <c r="H349"/>
  <c r="G349" s="1"/>
  <c r="BT348"/>
  <c r="BS348"/>
  <c r="BR348"/>
  <c r="BQ348"/>
  <c r="BP348"/>
  <c r="BO348"/>
  <c r="BN348"/>
  <c r="BM348"/>
  <c r="BL348"/>
  <c r="BK348"/>
  <c r="BJ348"/>
  <c r="BI348"/>
  <c r="BH348"/>
  <c r="BG348"/>
  <c r="BF348"/>
  <c r="BE348"/>
  <c r="BD348"/>
  <c r="BC348"/>
  <c r="BB348"/>
  <c r="BA348" s="1"/>
  <c r="AX348"/>
  <c r="AW348"/>
  <c r="AV348"/>
  <c r="AC348"/>
  <c r="H348"/>
  <c r="BT347"/>
  <c r="BS347"/>
  <c r="BR347"/>
  <c r="BQ347"/>
  <c r="BP347"/>
  <c r="BO347"/>
  <c r="BN347"/>
  <c r="BM347"/>
  <c r="BK347"/>
  <c r="BJ347"/>
  <c r="BI347"/>
  <c r="BH347"/>
  <c r="BG347"/>
  <c r="BF347"/>
  <c r="BE347"/>
  <c r="BD347"/>
  <c r="BC347"/>
  <c r="BB347"/>
  <c r="AX347"/>
  <c r="AW347"/>
  <c r="AV347"/>
  <c r="AC347"/>
  <c r="H347"/>
  <c r="G347"/>
  <c r="BT346"/>
  <c r="BS346"/>
  <c r="BR346"/>
  <c r="BQ346"/>
  <c r="BP346"/>
  <c r="BO346"/>
  <c r="BN346"/>
  <c r="BM346"/>
  <c r="BL346" s="1"/>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G343" s="1"/>
  <c r="BT342"/>
  <c r="BS342"/>
  <c r="BR342"/>
  <c r="BQ342"/>
  <c r="BP342"/>
  <c r="BO342"/>
  <c r="BN342"/>
  <c r="BM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AX341"/>
  <c r="AW341"/>
  <c r="AV341"/>
  <c r="AC341"/>
  <c r="H341"/>
  <c r="BT340"/>
  <c r="BS340"/>
  <c r="BR340"/>
  <c r="BQ340"/>
  <c r="BP340"/>
  <c r="BO340"/>
  <c r="BN340"/>
  <c r="BM340"/>
  <c r="BL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BA339"/>
  <c r="AX339"/>
  <c r="AW339"/>
  <c r="AV339"/>
  <c r="AC339"/>
  <c r="H339"/>
  <c r="G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AX337"/>
  <c r="AW337"/>
  <c r="AV337"/>
  <c r="AC337"/>
  <c r="H337"/>
  <c r="BT336"/>
  <c r="BS336"/>
  <c r="BR336"/>
  <c r="BQ336"/>
  <c r="BP336"/>
  <c r="BO336"/>
  <c r="BN336"/>
  <c r="BM336"/>
  <c r="BK336"/>
  <c r="BJ336"/>
  <c r="BI336"/>
  <c r="BH336"/>
  <c r="BG336"/>
  <c r="BF336"/>
  <c r="BE336"/>
  <c r="BD336"/>
  <c r="BC336"/>
  <c r="BB336"/>
  <c r="AX336"/>
  <c r="AW336"/>
  <c r="AV336"/>
  <c r="AC336"/>
  <c r="H336"/>
  <c r="BT335"/>
  <c r="BS335"/>
  <c r="BR335"/>
  <c r="BQ335"/>
  <c r="BP335"/>
  <c r="BO335"/>
  <c r="BN335"/>
  <c r="BM335"/>
  <c r="BK335"/>
  <c r="BJ335"/>
  <c r="BI335"/>
  <c r="BH335"/>
  <c r="BG335"/>
  <c r="BF335"/>
  <c r="BE335"/>
  <c r="BD335"/>
  <c r="BC335"/>
  <c r="BB335"/>
  <c r="BA335"/>
  <c r="AX335"/>
  <c r="AW335"/>
  <c r="AV335"/>
  <c r="AC335"/>
  <c r="H335"/>
  <c r="BT334"/>
  <c r="BS334"/>
  <c r="BR334"/>
  <c r="BQ334"/>
  <c r="BP334"/>
  <c r="BO334"/>
  <c r="BN334"/>
  <c r="BM334"/>
  <c r="BK334"/>
  <c r="BJ334"/>
  <c r="BI334"/>
  <c r="BH334"/>
  <c r="BG334"/>
  <c r="BF334"/>
  <c r="BE334"/>
  <c r="BD334"/>
  <c r="BC334"/>
  <c r="BB334"/>
  <c r="AX334"/>
  <c r="AW334"/>
  <c r="AV334"/>
  <c r="AC334"/>
  <c r="H334"/>
  <c r="G334" s="1"/>
  <c r="BT333"/>
  <c r="BS333"/>
  <c r="BR333"/>
  <c r="BQ333"/>
  <c r="BP333"/>
  <c r="BO333"/>
  <c r="BN333"/>
  <c r="BM333"/>
  <c r="BL333"/>
  <c r="BK333"/>
  <c r="BJ333"/>
  <c r="BI333"/>
  <c r="BH333"/>
  <c r="BG333"/>
  <c r="BF333"/>
  <c r="BE333"/>
  <c r="BD333"/>
  <c r="BC333"/>
  <c r="BB333"/>
  <c r="BA333" s="1"/>
  <c r="AX333"/>
  <c r="AW333"/>
  <c r="AV333"/>
  <c r="AC333"/>
  <c r="H333"/>
  <c r="BT332"/>
  <c r="BS332"/>
  <c r="BR332"/>
  <c r="BQ332"/>
  <c r="BP332"/>
  <c r="BO332"/>
  <c r="BN332"/>
  <c r="BM332"/>
  <c r="BL332" s="1"/>
  <c r="BK332"/>
  <c r="BJ332"/>
  <c r="BI332"/>
  <c r="BH332"/>
  <c r="BG332"/>
  <c r="BF332"/>
  <c r="BE332"/>
  <c r="BD332"/>
  <c r="BC332"/>
  <c r="BB332"/>
  <c r="BA332"/>
  <c r="AZ332" s="1"/>
  <c r="AX332"/>
  <c r="AW332"/>
  <c r="AV332"/>
  <c r="AC332"/>
  <c r="H332"/>
  <c r="BT331"/>
  <c r="BS331"/>
  <c r="BR331"/>
  <c r="BQ331"/>
  <c r="BP331"/>
  <c r="BO331"/>
  <c r="BN331"/>
  <c r="BM331"/>
  <c r="BK331"/>
  <c r="BJ331"/>
  <c r="BI331"/>
  <c r="BH331"/>
  <c r="BG331"/>
  <c r="BF331"/>
  <c r="BE331"/>
  <c r="BD331"/>
  <c r="BC331"/>
  <c r="BB331"/>
  <c r="BA331" s="1"/>
  <c r="AX331"/>
  <c r="AW331"/>
  <c r="AV331"/>
  <c r="AC331"/>
  <c r="H331"/>
  <c r="G331" s="1"/>
  <c r="BT330"/>
  <c r="BS330"/>
  <c r="BR330"/>
  <c r="BQ330"/>
  <c r="BP330"/>
  <c r="BO330"/>
  <c r="BN330"/>
  <c r="BM330"/>
  <c r="BL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s="1"/>
  <c r="BT328"/>
  <c r="BS328"/>
  <c r="BR328"/>
  <c r="BQ328"/>
  <c r="BP328"/>
  <c r="BO328"/>
  <c r="BN328"/>
  <c r="BM328"/>
  <c r="BL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G327" s="1"/>
  <c r="BT326"/>
  <c r="BS326"/>
  <c r="BR326"/>
  <c r="BQ326"/>
  <c r="BP326"/>
  <c r="BO326"/>
  <c r="BN326"/>
  <c r="BM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AX325"/>
  <c r="AW325"/>
  <c r="AV325"/>
  <c r="AC325"/>
  <c r="H325"/>
  <c r="BT324"/>
  <c r="BS324"/>
  <c r="BR324"/>
  <c r="BQ324"/>
  <c r="BP324"/>
  <c r="BO324"/>
  <c r="BN324"/>
  <c r="BM324"/>
  <c r="BL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BA323"/>
  <c r="AX323"/>
  <c r="AW323"/>
  <c r="AV323"/>
  <c r="AC323"/>
  <c r="H323"/>
  <c r="G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AX321"/>
  <c r="AW321"/>
  <c r="AV321"/>
  <c r="AC321"/>
  <c r="H321"/>
  <c r="BT320"/>
  <c r="BS320"/>
  <c r="BR320"/>
  <c r="BQ320"/>
  <c r="BP320"/>
  <c r="BO320"/>
  <c r="BN320"/>
  <c r="BM320"/>
  <c r="BK320"/>
  <c r="BJ320"/>
  <c r="BI320"/>
  <c r="BH320"/>
  <c r="BG320"/>
  <c r="BF320"/>
  <c r="BE320"/>
  <c r="BD320"/>
  <c r="BC320"/>
  <c r="BB320"/>
  <c r="AX320"/>
  <c r="AW320"/>
  <c r="AV320"/>
  <c r="AC320"/>
  <c r="H320"/>
  <c r="BT319"/>
  <c r="BS319"/>
  <c r="BR319"/>
  <c r="BQ319"/>
  <c r="BP319"/>
  <c r="BO319"/>
  <c r="BN319"/>
  <c r="BM319"/>
  <c r="BK319"/>
  <c r="BJ319"/>
  <c r="BI319"/>
  <c r="BH319"/>
  <c r="BG319"/>
  <c r="BF319"/>
  <c r="BE319"/>
  <c r="BD319"/>
  <c r="BC319"/>
  <c r="BB319"/>
  <c r="BA319"/>
  <c r="AX319"/>
  <c r="AW319"/>
  <c r="AV319"/>
  <c r="AC319"/>
  <c r="H319"/>
  <c r="BT318"/>
  <c r="BS318"/>
  <c r="BR318"/>
  <c r="BQ318"/>
  <c r="BP318"/>
  <c r="BO318"/>
  <c r="BN318"/>
  <c r="BM318"/>
  <c r="BK318"/>
  <c r="BJ318"/>
  <c r="BI318"/>
  <c r="BH318"/>
  <c r="BG318"/>
  <c r="BF318"/>
  <c r="BE318"/>
  <c r="BD318"/>
  <c r="BC318"/>
  <c r="BB318"/>
  <c r="AX318"/>
  <c r="AW318"/>
  <c r="AV318"/>
  <c r="AC318"/>
  <c r="H318"/>
  <c r="G318"/>
  <c r="BT317"/>
  <c r="BS317"/>
  <c r="BR317"/>
  <c r="BQ317"/>
  <c r="BP317"/>
  <c r="BO317"/>
  <c r="BN317"/>
  <c r="BM317"/>
  <c r="BL317" s="1"/>
  <c r="BK317"/>
  <c r="BJ317"/>
  <c r="BI317"/>
  <c r="BH317"/>
  <c r="BG317"/>
  <c r="BF317"/>
  <c r="BE317"/>
  <c r="BD317"/>
  <c r="BC317"/>
  <c r="BB317"/>
  <c r="BA317"/>
  <c r="AX317"/>
  <c r="AW317"/>
  <c r="AV317"/>
  <c r="AC317"/>
  <c r="H317"/>
  <c r="BT316"/>
  <c r="BS316"/>
  <c r="BR316"/>
  <c r="BQ316"/>
  <c r="BP316"/>
  <c r="BO316"/>
  <c r="BN316"/>
  <c r="BM316"/>
  <c r="BL316"/>
  <c r="BK316"/>
  <c r="BJ316"/>
  <c r="BI316"/>
  <c r="BH316"/>
  <c r="BG316"/>
  <c r="BF316"/>
  <c r="BE316"/>
  <c r="BD316"/>
  <c r="BC316"/>
  <c r="BB316"/>
  <c r="BA316" s="1"/>
  <c r="AZ316" s="1"/>
  <c r="AX316"/>
  <c r="AW316"/>
  <c r="AV316"/>
  <c r="AC316"/>
  <c r="H316"/>
  <c r="BT315"/>
  <c r="BS315"/>
  <c r="BR315"/>
  <c r="BQ315"/>
  <c r="BP315"/>
  <c r="BO315"/>
  <c r="BN315"/>
  <c r="BM315"/>
  <c r="BK315"/>
  <c r="BJ315"/>
  <c r="BI315"/>
  <c r="BH315"/>
  <c r="BG315"/>
  <c r="BF315"/>
  <c r="BE315"/>
  <c r="BD315"/>
  <c r="BC315"/>
  <c r="BB315"/>
  <c r="BA315"/>
  <c r="AX315"/>
  <c r="AW315"/>
  <c r="AV315"/>
  <c r="AC315"/>
  <c r="H315"/>
  <c r="G315"/>
  <c r="BT314"/>
  <c r="BS314"/>
  <c r="BR314"/>
  <c r="BQ314"/>
  <c r="BP314"/>
  <c r="BO314"/>
  <c r="BN314"/>
  <c r="BM314"/>
  <c r="BL314" s="1"/>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AX313"/>
  <c r="AW313"/>
  <c r="AV313"/>
  <c r="AC313"/>
  <c r="H313"/>
  <c r="G313"/>
  <c r="BT312"/>
  <c r="BS312"/>
  <c r="BR312"/>
  <c r="BQ312"/>
  <c r="BP312"/>
  <c r="BO312"/>
  <c r="BN312"/>
  <c r="BM312"/>
  <c r="BL312" s="1"/>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AX311"/>
  <c r="AW311"/>
  <c r="AV311"/>
  <c r="AC311"/>
  <c r="H311"/>
  <c r="G311"/>
  <c r="BT310"/>
  <c r="BS310"/>
  <c r="BR310"/>
  <c r="BQ310"/>
  <c r="BP310"/>
  <c r="BO310"/>
  <c r="BN310"/>
  <c r="BM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AX309"/>
  <c r="AW309"/>
  <c r="AV309"/>
  <c r="AC309"/>
  <c r="H309"/>
  <c r="BT308"/>
  <c r="BS308"/>
  <c r="BR308"/>
  <c r="BQ308"/>
  <c r="BP308"/>
  <c r="BO308"/>
  <c r="BN308"/>
  <c r="BM308"/>
  <c r="BL308" s="1"/>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BA307" s="1"/>
  <c r="AX307"/>
  <c r="AW307"/>
  <c r="AV307"/>
  <c r="AC307"/>
  <c r="H307"/>
  <c r="G307" s="1"/>
  <c r="BT306"/>
  <c r="BS306"/>
  <c r="BR306"/>
  <c r="BQ306"/>
  <c r="BP306"/>
  <c r="BO306"/>
  <c r="BN306"/>
  <c r="BM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BA303" s="1"/>
  <c r="AX303"/>
  <c r="AW303"/>
  <c r="AV303"/>
  <c r="AC303"/>
  <c r="H303"/>
  <c r="BT492"/>
  <c r="BS492"/>
  <c r="BR492"/>
  <c r="BQ492"/>
  <c r="BP492"/>
  <c r="BO492"/>
  <c r="BN492"/>
  <c r="BM492"/>
  <c r="BL492" s="1"/>
  <c r="BK492"/>
  <c r="BJ492"/>
  <c r="BI492"/>
  <c r="BH492"/>
  <c r="BG492"/>
  <c r="BF492"/>
  <c r="BE492"/>
  <c r="BD492"/>
  <c r="BC492"/>
  <c r="BB492"/>
  <c r="BA492"/>
  <c r="AZ492" s="1"/>
  <c r="AX492"/>
  <c r="AW492"/>
  <c r="AV492"/>
  <c r="AC492"/>
  <c r="H492"/>
  <c r="G492" s="1"/>
  <c r="BT491"/>
  <c r="BS491"/>
  <c r="BR491"/>
  <c r="BQ491"/>
  <c r="BP491"/>
  <c r="BO491"/>
  <c r="BN491"/>
  <c r="BM491"/>
  <c r="BL491"/>
  <c r="BK491"/>
  <c r="BJ491"/>
  <c r="BI491"/>
  <c r="BH491"/>
  <c r="BG491"/>
  <c r="BF491"/>
  <c r="BE491"/>
  <c r="BD491"/>
  <c r="BC491"/>
  <c r="BB491"/>
  <c r="BA491" s="1"/>
  <c r="AX491"/>
  <c r="AW491"/>
  <c r="AV491"/>
  <c r="AC491"/>
  <c r="H491"/>
  <c r="G491" s="1"/>
  <c r="BT490"/>
  <c r="BS490"/>
  <c r="BR490"/>
  <c r="BQ490"/>
  <c r="BP490"/>
  <c r="BO490"/>
  <c r="BN490"/>
  <c r="BM490"/>
  <c r="BL490"/>
  <c r="BK490"/>
  <c r="BJ490"/>
  <c r="BI490"/>
  <c r="BH490"/>
  <c r="BG490"/>
  <c r="BF490"/>
  <c r="BE490"/>
  <c r="BD490"/>
  <c r="BC490"/>
  <c r="BB490"/>
  <c r="BA490" s="1"/>
  <c r="AZ490" s="1"/>
  <c r="AX490"/>
  <c r="AW490"/>
  <c r="AV490"/>
  <c r="AC490"/>
  <c r="H490"/>
  <c r="G490"/>
  <c r="BT489"/>
  <c r="BS489"/>
  <c r="BR489"/>
  <c r="BQ489"/>
  <c r="BP489"/>
  <c r="BO489"/>
  <c r="BN489"/>
  <c r="BM489"/>
  <c r="BL489" s="1"/>
  <c r="BK489"/>
  <c r="BJ489"/>
  <c r="BI489"/>
  <c r="BH489"/>
  <c r="BG489"/>
  <c r="BF489"/>
  <c r="BE489"/>
  <c r="BD489"/>
  <c r="BC489"/>
  <c r="BB489"/>
  <c r="BA489"/>
  <c r="AX489"/>
  <c r="AW489"/>
  <c r="AV489"/>
  <c r="AC489"/>
  <c r="H489"/>
  <c r="G489"/>
  <c r="BT488"/>
  <c r="BS488"/>
  <c r="BR488"/>
  <c r="BQ488"/>
  <c r="BP488"/>
  <c r="BO488"/>
  <c r="BN488"/>
  <c r="BM488"/>
  <c r="BL488" s="1"/>
  <c r="BK488"/>
  <c r="BJ488"/>
  <c r="BI488"/>
  <c r="BH488"/>
  <c r="BG488"/>
  <c r="BF488"/>
  <c r="BE488"/>
  <c r="BD488"/>
  <c r="BC488"/>
  <c r="BB488"/>
  <c r="BA488"/>
  <c r="AZ488" s="1"/>
  <c r="AX488"/>
  <c r="AW488"/>
  <c r="AV488"/>
  <c r="AC488"/>
  <c r="H488"/>
  <c r="G488" s="1"/>
  <c r="BT487"/>
  <c r="BS487"/>
  <c r="BR487"/>
  <c r="BQ487"/>
  <c r="BP487"/>
  <c r="BO487"/>
  <c r="BN487"/>
  <c r="BM487"/>
  <c r="BL487"/>
  <c r="BK487"/>
  <c r="BJ487"/>
  <c r="BI487"/>
  <c r="BH487"/>
  <c r="BG487"/>
  <c r="BF487"/>
  <c r="BE487"/>
  <c r="BD487"/>
  <c r="BC487"/>
  <c r="BB487"/>
  <c r="BA487" s="1"/>
  <c r="AX487"/>
  <c r="AW487"/>
  <c r="AV487"/>
  <c r="AC487"/>
  <c r="H487"/>
  <c r="G487" s="1"/>
  <c r="BT486"/>
  <c r="BS486"/>
  <c r="BR486"/>
  <c r="BQ486"/>
  <c r="BP486"/>
  <c r="BO486"/>
  <c r="BN486"/>
  <c r="BM486"/>
  <c r="BL486"/>
  <c r="BK486"/>
  <c r="BJ486"/>
  <c r="BI486"/>
  <c r="BH486"/>
  <c r="BG486"/>
  <c r="BF486"/>
  <c r="BE486"/>
  <c r="BD486"/>
  <c r="BC486"/>
  <c r="BB486"/>
  <c r="BA486" s="1"/>
  <c r="AZ486" s="1"/>
  <c r="AX486"/>
  <c r="AW486"/>
  <c r="AV486"/>
  <c r="AC486"/>
  <c r="H486"/>
  <c r="G486"/>
  <c r="BT485"/>
  <c r="BS485"/>
  <c r="BR485"/>
  <c r="BQ485"/>
  <c r="BP485"/>
  <c r="BO485"/>
  <c r="BN485"/>
  <c r="BM485"/>
  <c r="BL485" s="1"/>
  <c r="BK485"/>
  <c r="BJ485"/>
  <c r="BI485"/>
  <c r="BH485"/>
  <c r="BG485"/>
  <c r="BF485"/>
  <c r="BE485"/>
  <c r="BD485"/>
  <c r="BC485"/>
  <c r="BB485"/>
  <c r="BA485"/>
  <c r="AX485"/>
  <c r="AW485"/>
  <c r="AV485"/>
  <c r="AC485"/>
  <c r="H485"/>
  <c r="G485"/>
  <c r="BT484"/>
  <c r="BS484"/>
  <c r="BR484"/>
  <c r="BQ484"/>
  <c r="BP484"/>
  <c r="BO484"/>
  <c r="BN484"/>
  <c r="BM484"/>
  <c r="BL484" s="1"/>
  <c r="BK484"/>
  <c r="BJ484"/>
  <c r="BI484"/>
  <c r="BH484"/>
  <c r="BG484"/>
  <c r="BF484"/>
  <c r="BE484"/>
  <c r="BD484"/>
  <c r="BC484"/>
  <c r="BB484"/>
  <c r="BA484"/>
  <c r="AZ484" s="1"/>
  <c r="AX484"/>
  <c r="AW484"/>
  <c r="AV484"/>
  <c r="AC484"/>
  <c r="H484"/>
  <c r="G484" s="1"/>
  <c r="BT483"/>
  <c r="BS483"/>
  <c r="BR483"/>
  <c r="BQ483"/>
  <c r="BP483"/>
  <c r="BO483"/>
  <c r="BN483"/>
  <c r="BM483"/>
  <c r="BL483"/>
  <c r="BK483"/>
  <c r="BJ483"/>
  <c r="BI483"/>
  <c r="BH483"/>
  <c r="BG483"/>
  <c r="BF483"/>
  <c r="BE483"/>
  <c r="BD483"/>
  <c r="BC483"/>
  <c r="BB483"/>
  <c r="BA483" s="1"/>
  <c r="AX483"/>
  <c r="AW483"/>
  <c r="AV483"/>
  <c r="AC483"/>
  <c r="H483"/>
  <c r="G483" s="1"/>
  <c r="BT482"/>
  <c r="BS482"/>
  <c r="BR482"/>
  <c r="BQ482"/>
  <c r="BP482"/>
  <c r="BO482"/>
  <c r="BN482"/>
  <c r="BM482"/>
  <c r="BL482"/>
  <c r="BK482"/>
  <c r="BJ482"/>
  <c r="BI482"/>
  <c r="BH482"/>
  <c r="BG482"/>
  <c r="BF482"/>
  <c r="BE482"/>
  <c r="BD482"/>
  <c r="BC482"/>
  <c r="BB482"/>
  <c r="BA482" s="1"/>
  <c r="AZ482" s="1"/>
  <c r="AX482"/>
  <c r="AW482"/>
  <c r="AV482"/>
  <c r="AC482"/>
  <c r="H482"/>
  <c r="G482"/>
  <c r="BT481"/>
  <c r="BS481"/>
  <c r="BR481"/>
  <c r="BQ481"/>
  <c r="BP481"/>
  <c r="BO481"/>
  <c r="BN481"/>
  <c r="BM481"/>
  <c r="BL481" s="1"/>
  <c r="BK481"/>
  <c r="BJ481"/>
  <c r="BI481"/>
  <c r="BH481"/>
  <c r="BG481"/>
  <c r="BF481"/>
  <c r="BE481"/>
  <c r="BD481"/>
  <c r="BC481"/>
  <c r="BB481"/>
  <c r="BA481"/>
  <c r="AX481"/>
  <c r="AW481"/>
  <c r="AV481"/>
  <c r="AC481"/>
  <c r="H481"/>
  <c r="G481"/>
  <c r="BT480"/>
  <c r="BS480"/>
  <c r="BR480"/>
  <c r="BQ480"/>
  <c r="BP480"/>
  <c r="BO480"/>
  <c r="BN480"/>
  <c r="BM480"/>
  <c r="BL480" s="1"/>
  <c r="BK480"/>
  <c r="BJ480"/>
  <c r="BI480"/>
  <c r="BH480"/>
  <c r="BG480"/>
  <c r="BF480"/>
  <c r="BE480"/>
  <c r="BD480"/>
  <c r="BC480"/>
  <c r="BB480"/>
  <c r="BA480"/>
  <c r="AZ480" s="1"/>
  <c r="AX480"/>
  <c r="AW480"/>
  <c r="AV480"/>
  <c r="AC480"/>
  <c r="H480"/>
  <c r="G480" s="1"/>
  <c r="BT479"/>
  <c r="BS479"/>
  <c r="BR479"/>
  <c r="BQ479"/>
  <c r="BP479"/>
  <c r="BO479"/>
  <c r="BN479"/>
  <c r="BM479"/>
  <c r="BL479"/>
  <c r="BK479"/>
  <c r="BJ479"/>
  <c r="BI479"/>
  <c r="BH479"/>
  <c r="BG479"/>
  <c r="BF479"/>
  <c r="BE479"/>
  <c r="BD479"/>
  <c r="BC479"/>
  <c r="BB479"/>
  <c r="BA479" s="1"/>
  <c r="AX479"/>
  <c r="AW479"/>
  <c r="AV479"/>
  <c r="AC479"/>
  <c r="H479"/>
  <c r="G479" s="1"/>
  <c r="BT478"/>
  <c r="BS478"/>
  <c r="BR478"/>
  <c r="BQ478"/>
  <c r="BP478"/>
  <c r="BO478"/>
  <c r="BN478"/>
  <c r="BM478"/>
  <c r="BL478"/>
  <c r="BK478"/>
  <c r="BJ478"/>
  <c r="BI478"/>
  <c r="BH478"/>
  <c r="BG478"/>
  <c r="BF478"/>
  <c r="BE478"/>
  <c r="BD478"/>
  <c r="BC478"/>
  <c r="BB478"/>
  <c r="BA478" s="1"/>
  <c r="AZ478" s="1"/>
  <c r="AX478"/>
  <c r="AW478"/>
  <c r="AV478"/>
  <c r="AC478"/>
  <c r="H478"/>
  <c r="G478"/>
  <c r="BT477"/>
  <c r="BS477"/>
  <c r="BR477"/>
  <c r="BQ477"/>
  <c r="BP477"/>
  <c r="BO477"/>
  <c r="BN477"/>
  <c r="BM477"/>
  <c r="BL477" s="1"/>
  <c r="BK477"/>
  <c r="BJ477"/>
  <c r="BI477"/>
  <c r="BH477"/>
  <c r="BG477"/>
  <c r="BF477"/>
  <c r="BE477"/>
  <c r="BD477"/>
  <c r="BC477"/>
  <c r="BB477"/>
  <c r="BA477"/>
  <c r="AX477"/>
  <c r="AW477"/>
  <c r="AV477"/>
  <c r="AC477"/>
  <c r="H477"/>
  <c r="G477"/>
  <c r="BT476"/>
  <c r="BS476"/>
  <c r="BR476"/>
  <c r="BQ476"/>
  <c r="BP476"/>
  <c r="BO476"/>
  <c r="BN476"/>
  <c r="BM476"/>
  <c r="BL476" s="1"/>
  <c r="BK476"/>
  <c r="BJ476"/>
  <c r="BI476"/>
  <c r="BH476"/>
  <c r="BG476"/>
  <c r="BF476"/>
  <c r="BE476"/>
  <c r="BD476"/>
  <c r="BC476"/>
  <c r="BB476"/>
  <c r="BA476"/>
  <c r="AZ476" s="1"/>
  <c r="AX476"/>
  <c r="AW476"/>
  <c r="AV476"/>
  <c r="AC476"/>
  <c r="H476"/>
  <c r="G476" s="1"/>
  <c r="BT475"/>
  <c r="BS475"/>
  <c r="BR475"/>
  <c r="BQ475"/>
  <c r="BP475"/>
  <c r="BO475"/>
  <c r="BN475"/>
  <c r="BM475"/>
  <c r="BL475"/>
  <c r="BK475"/>
  <c r="BJ475"/>
  <c r="BI475"/>
  <c r="BH475"/>
  <c r="BG475"/>
  <c r="BF475"/>
  <c r="BE475"/>
  <c r="BD475"/>
  <c r="BC475"/>
  <c r="BB475"/>
  <c r="BA475" s="1"/>
  <c r="AX475"/>
  <c r="AW475"/>
  <c r="AV475"/>
  <c r="AC475"/>
  <c r="H475"/>
  <c r="G475" s="1"/>
  <c r="BT474"/>
  <c r="BS474"/>
  <c r="BR474"/>
  <c r="BQ474"/>
  <c r="BP474"/>
  <c r="BO474"/>
  <c r="BN474"/>
  <c r="BM474"/>
  <c r="BL474"/>
  <c r="BK474"/>
  <c r="BJ474"/>
  <c r="BI474"/>
  <c r="BH474"/>
  <c r="BG474"/>
  <c r="BF474"/>
  <c r="BE474"/>
  <c r="BD474"/>
  <c r="BC474"/>
  <c r="BB474"/>
  <c r="BA474" s="1"/>
  <c r="AZ474" s="1"/>
  <c r="AX474"/>
  <c r="AW474"/>
  <c r="AV474"/>
  <c r="AC474"/>
  <c r="H474"/>
  <c r="G474"/>
  <c r="BT473"/>
  <c r="BS473"/>
  <c r="BR473"/>
  <c r="BQ473"/>
  <c r="BP473"/>
  <c r="BO473"/>
  <c r="BN473"/>
  <c r="BM473"/>
  <c r="BL473" s="1"/>
  <c r="BK473"/>
  <c r="BJ473"/>
  <c r="BI473"/>
  <c r="BH473"/>
  <c r="BG473"/>
  <c r="BF473"/>
  <c r="BE473"/>
  <c r="BD473"/>
  <c r="BC473"/>
  <c r="BB473"/>
  <c r="BA473"/>
  <c r="AX473"/>
  <c r="AW473"/>
  <c r="AV473"/>
  <c r="AC473"/>
  <c r="H473"/>
  <c r="G473" s="1"/>
  <c r="BT472"/>
  <c r="BS472"/>
  <c r="BR472"/>
  <c r="BQ472"/>
  <c r="BP472"/>
  <c r="BO472"/>
  <c r="BN472"/>
  <c r="BM472"/>
  <c r="BL472"/>
  <c r="BK472"/>
  <c r="BJ472"/>
  <c r="BI472"/>
  <c r="BH472"/>
  <c r="BG472"/>
  <c r="BF472"/>
  <c r="BE472"/>
  <c r="BD472"/>
  <c r="BC472"/>
  <c r="BB472"/>
  <c r="BA472" s="1"/>
  <c r="AX472"/>
  <c r="AW472"/>
  <c r="AV472"/>
  <c r="AC472"/>
  <c r="H472"/>
  <c r="G472" s="1"/>
  <c r="BT471"/>
  <c r="BS471"/>
  <c r="BR471"/>
  <c r="BQ471"/>
  <c r="BP471"/>
  <c r="BO471"/>
  <c r="BN471"/>
  <c r="BM471"/>
  <c r="BL471"/>
  <c r="BK471"/>
  <c r="BJ471"/>
  <c r="BI471"/>
  <c r="BH471"/>
  <c r="BG471"/>
  <c r="BF471"/>
  <c r="BE471"/>
  <c r="BD471"/>
  <c r="BC471"/>
  <c r="BB471"/>
  <c r="BA471" s="1"/>
  <c r="AX471"/>
  <c r="AW471"/>
  <c r="AV471"/>
  <c r="AC471"/>
  <c r="H471"/>
  <c r="G471" s="1"/>
  <c r="BT470"/>
  <c r="BS470"/>
  <c r="BR470"/>
  <c r="BQ470"/>
  <c r="BP470"/>
  <c r="BO470"/>
  <c r="BN470"/>
  <c r="BM470"/>
  <c r="BL470"/>
  <c r="BK470"/>
  <c r="BJ470"/>
  <c r="BI470"/>
  <c r="BH470"/>
  <c r="BG470"/>
  <c r="BF470"/>
  <c r="BE470"/>
  <c r="BD470"/>
  <c r="BC470"/>
  <c r="BB470"/>
  <c r="BA470" s="1"/>
  <c r="AZ470" s="1"/>
  <c r="AX470"/>
  <c r="AW470"/>
  <c r="AV470"/>
  <c r="AC470"/>
  <c r="H470"/>
  <c r="G470"/>
  <c r="BT469"/>
  <c r="BS469"/>
  <c r="BR469"/>
  <c r="BQ469"/>
  <c r="BP469"/>
  <c r="BO469"/>
  <c r="BN469"/>
  <c r="BM469"/>
  <c r="BL469" s="1"/>
  <c r="BK469"/>
  <c r="BJ469"/>
  <c r="BI469"/>
  <c r="BH469"/>
  <c r="BG469"/>
  <c r="BF469"/>
  <c r="BE469"/>
  <c r="BD469"/>
  <c r="BC469"/>
  <c r="BB469"/>
  <c r="BA469"/>
  <c r="AX469"/>
  <c r="AW469"/>
  <c r="AV469"/>
  <c r="AC469"/>
  <c r="H469"/>
  <c r="G469"/>
  <c r="BT468"/>
  <c r="BS468"/>
  <c r="BR468"/>
  <c r="BQ468"/>
  <c r="BP468"/>
  <c r="BO468"/>
  <c r="BN468"/>
  <c r="BM468"/>
  <c r="BL468" s="1"/>
  <c r="BK468"/>
  <c r="BJ468"/>
  <c r="BI468"/>
  <c r="BH468"/>
  <c r="BG468"/>
  <c r="BF468"/>
  <c r="BE468"/>
  <c r="BD468"/>
  <c r="BC468"/>
  <c r="BB468"/>
  <c r="BA468"/>
  <c r="AX468"/>
  <c r="AW468"/>
  <c r="AV468"/>
  <c r="AC468"/>
  <c r="H468"/>
  <c r="G468" s="1"/>
  <c r="BT467"/>
  <c r="BS467"/>
  <c r="BR467"/>
  <c r="BQ467"/>
  <c r="BP467"/>
  <c r="BO467"/>
  <c r="BN467"/>
  <c r="BM467"/>
  <c r="BL467"/>
  <c r="BK467"/>
  <c r="BJ467"/>
  <c r="BI467"/>
  <c r="BH467"/>
  <c r="BG467"/>
  <c r="BF467"/>
  <c r="BE467"/>
  <c r="BD467"/>
  <c r="BC467"/>
  <c r="BB467"/>
  <c r="BA467" s="1"/>
  <c r="AX467"/>
  <c r="AW467"/>
  <c r="AV467"/>
  <c r="AC467"/>
  <c r="H467"/>
  <c r="G467" s="1"/>
  <c r="BT466"/>
  <c r="BS466"/>
  <c r="BR466"/>
  <c r="BQ466"/>
  <c r="BP466"/>
  <c r="BO466"/>
  <c r="BN466"/>
  <c r="BM466"/>
  <c r="BL466"/>
  <c r="BK466"/>
  <c r="BJ466"/>
  <c r="BI466"/>
  <c r="BH466"/>
  <c r="BG466"/>
  <c r="BF466"/>
  <c r="BE466"/>
  <c r="BD466"/>
  <c r="BC466"/>
  <c r="BB466"/>
  <c r="BA466" s="1"/>
  <c r="AZ466" s="1"/>
  <c r="AX466"/>
  <c r="AW466"/>
  <c r="AV466"/>
  <c r="AC466"/>
  <c r="H466"/>
  <c r="G466"/>
  <c r="BT465"/>
  <c r="BS465"/>
  <c r="BR465"/>
  <c r="BQ465"/>
  <c r="BP465"/>
  <c r="BO465"/>
  <c r="BN465"/>
  <c r="BM465"/>
  <c r="BL465" s="1"/>
  <c r="BK465"/>
  <c r="BJ465"/>
  <c r="BI465"/>
  <c r="BH465"/>
  <c r="BG465"/>
  <c r="BF465"/>
  <c r="BE465"/>
  <c r="BD465"/>
  <c r="BC465"/>
  <c r="BB465"/>
  <c r="BA465"/>
  <c r="AX465"/>
  <c r="AW465"/>
  <c r="AV465"/>
  <c r="AC465"/>
  <c r="H465"/>
  <c r="G465" s="1"/>
  <c r="BT464"/>
  <c r="BS464"/>
  <c r="BR464"/>
  <c r="BQ464"/>
  <c r="BP464"/>
  <c r="BO464"/>
  <c r="BN464"/>
  <c r="BM464"/>
  <c r="BL464"/>
  <c r="BK464"/>
  <c r="BJ464"/>
  <c r="BI464"/>
  <c r="BH464"/>
  <c r="BG464"/>
  <c r="BF464"/>
  <c r="BE464"/>
  <c r="BD464"/>
  <c r="BC464"/>
  <c r="BB464"/>
  <c r="BA464" s="1"/>
  <c r="AX464"/>
  <c r="AW464"/>
  <c r="AV464"/>
  <c r="AC464"/>
  <c r="H464"/>
  <c r="G464" s="1"/>
  <c r="BT463"/>
  <c r="BS463"/>
  <c r="BR463"/>
  <c r="BQ463"/>
  <c r="BP463"/>
  <c r="BO463"/>
  <c r="BN463"/>
  <c r="BM463"/>
  <c r="BL463"/>
  <c r="BK463"/>
  <c r="BJ463"/>
  <c r="BI463"/>
  <c r="BH463"/>
  <c r="BG463"/>
  <c r="BF463"/>
  <c r="BE463"/>
  <c r="BD463"/>
  <c r="BC463"/>
  <c r="BB463"/>
  <c r="BA463" s="1"/>
  <c r="AZ463" s="1"/>
  <c r="AX463"/>
  <c r="AW463"/>
  <c r="AV463"/>
  <c r="AC463"/>
  <c r="H463"/>
  <c r="G463"/>
  <c r="BT462"/>
  <c r="BS462"/>
  <c r="BR462"/>
  <c r="BQ462"/>
  <c r="BP462"/>
  <c r="BO462"/>
  <c r="BN462"/>
  <c r="BM462"/>
  <c r="BL462" s="1"/>
  <c r="BK462"/>
  <c r="BJ462"/>
  <c r="BI462"/>
  <c r="BH462"/>
  <c r="BG462"/>
  <c r="BF462"/>
  <c r="BE462"/>
  <c r="BD462"/>
  <c r="BC462"/>
  <c r="BB462"/>
  <c r="BA462"/>
  <c r="AX462"/>
  <c r="AW462"/>
  <c r="AV462"/>
  <c r="AC462"/>
  <c r="H462"/>
  <c r="G462"/>
  <c r="BT461"/>
  <c r="BS461"/>
  <c r="BR461"/>
  <c r="BQ461"/>
  <c r="BP461"/>
  <c r="BO461"/>
  <c r="BN461"/>
  <c r="BM461"/>
  <c r="BL461" s="1"/>
  <c r="BK461"/>
  <c r="BJ461"/>
  <c r="BI461"/>
  <c r="BH461"/>
  <c r="BG461"/>
  <c r="BF461"/>
  <c r="BE461"/>
  <c r="BD461"/>
  <c r="BC461"/>
  <c r="BB461"/>
  <c r="BA461"/>
  <c r="AZ461" s="1"/>
  <c r="AX461"/>
  <c r="AW461"/>
  <c r="AV461"/>
  <c r="AC461"/>
  <c r="H461"/>
  <c r="G461" s="1"/>
  <c r="BT460"/>
  <c r="BS460"/>
  <c r="BR460"/>
  <c r="BQ460"/>
  <c r="BP460"/>
  <c r="BO460"/>
  <c r="BN460"/>
  <c r="BM460"/>
  <c r="BL460"/>
  <c r="BK460"/>
  <c r="BJ460"/>
  <c r="BI460"/>
  <c r="BH460"/>
  <c r="BG460"/>
  <c r="BF460"/>
  <c r="BE460"/>
  <c r="BD460"/>
  <c r="BC460"/>
  <c r="BB460"/>
  <c r="BA460" s="1"/>
  <c r="AZ460" s="1"/>
  <c r="AX460"/>
  <c r="AW460"/>
  <c r="AV460"/>
  <c r="AC460"/>
  <c r="H460"/>
  <c r="G460"/>
  <c r="BT459"/>
  <c r="BS459"/>
  <c r="BR459"/>
  <c r="BQ459"/>
  <c r="BP459"/>
  <c r="BO459"/>
  <c r="BN459"/>
  <c r="BM459"/>
  <c r="BL459" s="1"/>
  <c r="BK459"/>
  <c r="BJ459"/>
  <c r="BI459"/>
  <c r="BH459"/>
  <c r="BG459"/>
  <c r="BF459"/>
  <c r="BE459"/>
  <c r="BD459"/>
  <c r="BC459"/>
  <c r="BB459"/>
  <c r="BA459"/>
  <c r="AX459"/>
  <c r="AW459"/>
  <c r="AV459"/>
  <c r="AC459"/>
  <c r="H459"/>
  <c r="G459"/>
  <c r="BT458"/>
  <c r="BS458"/>
  <c r="BR458"/>
  <c r="BQ458"/>
  <c r="BP458"/>
  <c r="BO458"/>
  <c r="BN458"/>
  <c r="BM458"/>
  <c r="BL458" s="1"/>
  <c r="BK458"/>
  <c r="BJ458"/>
  <c r="BI458"/>
  <c r="BH458"/>
  <c r="BG458"/>
  <c r="BF458"/>
  <c r="BE458"/>
  <c r="BD458"/>
  <c r="BC458"/>
  <c r="BB458"/>
  <c r="BA458"/>
  <c r="AX458"/>
  <c r="AW458"/>
  <c r="AV458"/>
  <c r="AC458"/>
  <c r="H458"/>
  <c r="G458"/>
  <c r="BT457"/>
  <c r="BS457"/>
  <c r="BR457"/>
  <c r="BQ457"/>
  <c r="BP457"/>
  <c r="BO457"/>
  <c r="BN457"/>
  <c r="BM457"/>
  <c r="BL457" s="1"/>
  <c r="BK457"/>
  <c r="BJ457"/>
  <c r="BI457"/>
  <c r="BH457"/>
  <c r="BG457"/>
  <c r="BF457"/>
  <c r="BE457"/>
  <c r="BD457"/>
  <c r="BC457"/>
  <c r="BB457"/>
  <c r="BA457"/>
  <c r="AX457"/>
  <c r="AW457"/>
  <c r="AV457"/>
  <c r="AC457"/>
  <c r="H457"/>
  <c r="G457" s="1"/>
  <c r="BT456"/>
  <c r="BS456"/>
  <c r="BR456"/>
  <c r="BQ456"/>
  <c r="BP456"/>
  <c r="BO456"/>
  <c r="BN456"/>
  <c r="BM456"/>
  <c r="BL456"/>
  <c r="BK456"/>
  <c r="BJ456"/>
  <c r="BI456"/>
  <c r="BH456"/>
  <c r="BG456"/>
  <c r="BF456"/>
  <c r="BE456"/>
  <c r="BD456"/>
  <c r="BC456"/>
  <c r="BB456"/>
  <c r="BA456" s="1"/>
  <c r="AX456"/>
  <c r="AW456"/>
  <c r="AV456"/>
  <c r="AC456"/>
  <c r="H456"/>
  <c r="G456" s="1"/>
  <c r="BT455"/>
  <c r="BS455"/>
  <c r="BR455"/>
  <c r="BQ455"/>
  <c r="BP455"/>
  <c r="BO455"/>
  <c r="BN455"/>
  <c r="BM455"/>
  <c r="BL455"/>
  <c r="BK455"/>
  <c r="BJ455"/>
  <c r="BI455"/>
  <c r="BH455"/>
  <c r="BG455"/>
  <c r="BF455"/>
  <c r="BE455"/>
  <c r="BD455"/>
  <c r="BC455"/>
  <c r="BB455"/>
  <c r="BA455" s="1"/>
  <c r="AZ455" s="1"/>
  <c r="AX455"/>
  <c r="AW455"/>
  <c r="AV455"/>
  <c r="AC455"/>
  <c r="H455"/>
  <c r="G455"/>
  <c r="BT454"/>
  <c r="BS454"/>
  <c r="BR454"/>
  <c r="BQ454"/>
  <c r="BP454"/>
  <c r="BO454"/>
  <c r="BN454"/>
  <c r="BM454"/>
  <c r="BL454" s="1"/>
  <c r="BK454"/>
  <c r="BJ454"/>
  <c r="BI454"/>
  <c r="BH454"/>
  <c r="BG454"/>
  <c r="BF454"/>
  <c r="BE454"/>
  <c r="BD454"/>
  <c r="BC454"/>
  <c r="BB454"/>
  <c r="BA454"/>
  <c r="AX454"/>
  <c r="AW454"/>
  <c r="AV454"/>
  <c r="AC454"/>
  <c r="H454"/>
  <c r="G454"/>
  <c r="BT453"/>
  <c r="BS453"/>
  <c r="BR453"/>
  <c r="BQ453"/>
  <c r="BP453"/>
  <c r="BO453"/>
  <c r="BN453"/>
  <c r="BM453"/>
  <c r="BL453" s="1"/>
  <c r="BK453"/>
  <c r="BJ453"/>
  <c r="BI453"/>
  <c r="BH453"/>
  <c r="BG453"/>
  <c r="BF453"/>
  <c r="BE453"/>
  <c r="BD453"/>
  <c r="BC453"/>
  <c r="BB453"/>
  <c r="BA453"/>
  <c r="AX453"/>
  <c r="AW453"/>
  <c r="AV453"/>
  <c r="AC453"/>
  <c r="H453"/>
  <c r="G453" s="1"/>
  <c r="BT452"/>
  <c r="BS452"/>
  <c r="BR452"/>
  <c r="BQ452"/>
  <c r="BP452"/>
  <c r="BO452"/>
  <c r="BN452"/>
  <c r="BM452"/>
  <c r="BL452"/>
  <c r="BK452"/>
  <c r="BJ452"/>
  <c r="BI452"/>
  <c r="BH452"/>
  <c r="BG452"/>
  <c r="BF452"/>
  <c r="BE452"/>
  <c r="BD452"/>
  <c r="BC452"/>
  <c r="BB452"/>
  <c r="BA452" s="1"/>
  <c r="AZ452" s="1"/>
  <c r="AX452"/>
  <c r="AW452"/>
  <c r="AV452"/>
  <c r="AC452"/>
  <c r="H452"/>
  <c r="G452"/>
  <c r="BT451"/>
  <c r="BS451"/>
  <c r="BR451"/>
  <c r="BQ451"/>
  <c r="BP451"/>
  <c r="BO451"/>
  <c r="BN451"/>
  <c r="BM451"/>
  <c r="BL451" s="1"/>
  <c r="BK451"/>
  <c r="BJ451"/>
  <c r="BI451"/>
  <c r="BH451"/>
  <c r="BG451"/>
  <c r="BF451"/>
  <c r="BE451"/>
  <c r="BD451"/>
  <c r="BC451"/>
  <c r="BB451"/>
  <c r="BA451"/>
  <c r="AX451"/>
  <c r="AW451"/>
  <c r="AV451"/>
  <c r="AC451"/>
  <c r="H451"/>
  <c r="G451"/>
  <c r="BT450"/>
  <c r="BS450"/>
  <c r="BR450"/>
  <c r="BQ450"/>
  <c r="BP450"/>
  <c r="BO450"/>
  <c r="BN450"/>
  <c r="BM450"/>
  <c r="BL450" s="1"/>
  <c r="BK450"/>
  <c r="BJ450"/>
  <c r="BI450"/>
  <c r="BH450"/>
  <c r="BG450"/>
  <c r="BF450"/>
  <c r="BE450"/>
  <c r="BD450"/>
  <c r="BC450"/>
  <c r="BB450"/>
  <c r="BA450"/>
  <c r="AX450"/>
  <c r="AW450"/>
  <c r="AV450"/>
  <c r="AC450"/>
  <c r="H450"/>
  <c r="G450"/>
  <c r="BT449"/>
  <c r="BS449"/>
  <c r="BR449"/>
  <c r="BQ449"/>
  <c r="BP449"/>
  <c r="BO449"/>
  <c r="BN449"/>
  <c r="BM449"/>
  <c r="BL449" s="1"/>
  <c r="BK449"/>
  <c r="BJ449"/>
  <c r="BI449"/>
  <c r="BH449"/>
  <c r="BG449"/>
  <c r="BF449"/>
  <c r="BE449"/>
  <c r="BD449"/>
  <c r="BC449"/>
  <c r="BB449"/>
  <c r="BA449"/>
  <c r="AZ449" s="1"/>
  <c r="AX449"/>
  <c r="AW449"/>
  <c r="AV449"/>
  <c r="AC449"/>
  <c r="H449"/>
  <c r="G449" s="1"/>
  <c r="BT448"/>
  <c r="BS448"/>
  <c r="BR448"/>
  <c r="BQ448"/>
  <c r="BP448"/>
  <c r="BO448"/>
  <c r="BN448"/>
  <c r="BM448"/>
  <c r="BL448"/>
  <c r="BK448"/>
  <c r="BJ448"/>
  <c r="BI448"/>
  <c r="BH448"/>
  <c r="BG448"/>
  <c r="BF448"/>
  <c r="BE448"/>
  <c r="BD448"/>
  <c r="BC448"/>
  <c r="BB448"/>
  <c r="BA448" s="1"/>
  <c r="AX448"/>
  <c r="AW448"/>
  <c r="AV448"/>
  <c r="AC448"/>
  <c r="H448"/>
  <c r="G448" s="1"/>
  <c r="BT447"/>
  <c r="BS447"/>
  <c r="BR447"/>
  <c r="BQ447"/>
  <c r="BP447"/>
  <c r="BO447"/>
  <c r="BN447"/>
  <c r="BM447"/>
  <c r="BL447"/>
  <c r="BK447"/>
  <c r="BJ447"/>
  <c r="BI447"/>
  <c r="BH447"/>
  <c r="BG447"/>
  <c r="BF447"/>
  <c r="BE447"/>
  <c r="BD447"/>
  <c r="BC447"/>
  <c r="BB447"/>
  <c r="BA447" s="1"/>
  <c r="AZ447" s="1"/>
  <c r="AX447"/>
  <c r="AW447"/>
  <c r="AV447"/>
  <c r="AC447"/>
  <c r="H447"/>
  <c r="G447"/>
  <c r="BT446"/>
  <c r="BS446"/>
  <c r="BR446"/>
  <c r="BQ446"/>
  <c r="BP446"/>
  <c r="BO446"/>
  <c r="BN446"/>
  <c r="BM446"/>
  <c r="BL446" s="1"/>
  <c r="BK446"/>
  <c r="BJ446"/>
  <c r="BI446"/>
  <c r="BH446"/>
  <c r="BG446"/>
  <c r="BF446"/>
  <c r="BE446"/>
  <c r="BD446"/>
  <c r="BC446"/>
  <c r="BB446"/>
  <c r="BA446"/>
  <c r="AX446"/>
  <c r="AW446"/>
  <c r="AV446"/>
  <c r="AC446"/>
  <c r="H446"/>
  <c r="G446"/>
  <c r="BT445"/>
  <c r="BS445"/>
  <c r="BR445"/>
  <c r="BQ445"/>
  <c r="BP445"/>
  <c r="BO445"/>
  <c r="BN445"/>
  <c r="BM445"/>
  <c r="BL445" s="1"/>
  <c r="BK445"/>
  <c r="BJ445"/>
  <c r="BI445"/>
  <c r="BH445"/>
  <c r="BG445"/>
  <c r="BF445"/>
  <c r="BE445"/>
  <c r="BD445"/>
  <c r="BC445"/>
  <c r="BB445"/>
  <c r="BA445"/>
  <c r="AZ445" s="1"/>
  <c r="AX445"/>
  <c r="AW445"/>
  <c r="AV445"/>
  <c r="AC445"/>
  <c r="H445"/>
  <c r="G445" s="1"/>
  <c r="BT444"/>
  <c r="BS444"/>
  <c r="BR444"/>
  <c r="BQ444"/>
  <c r="BP444"/>
  <c r="BO444"/>
  <c r="BN444"/>
  <c r="BM444"/>
  <c r="BL444"/>
  <c r="BK444"/>
  <c r="BJ444"/>
  <c r="BI444"/>
  <c r="BH444"/>
  <c r="BG444"/>
  <c r="BF444"/>
  <c r="BE444"/>
  <c r="BD444"/>
  <c r="BC444"/>
  <c r="BB444"/>
  <c r="BA444" s="1"/>
  <c r="AZ444" s="1"/>
  <c r="AX444"/>
  <c r="AW444"/>
  <c r="AV444"/>
  <c r="AC444"/>
  <c r="H444"/>
  <c r="G444"/>
  <c r="BT443"/>
  <c r="BS443"/>
  <c r="BR443"/>
  <c r="BQ443"/>
  <c r="BP443"/>
  <c r="BO443"/>
  <c r="BN443"/>
  <c r="BM443"/>
  <c r="BL443" s="1"/>
  <c r="BK443"/>
  <c r="BJ443"/>
  <c r="BI443"/>
  <c r="BH443"/>
  <c r="BG443"/>
  <c r="BF443"/>
  <c r="BE443"/>
  <c r="BD443"/>
  <c r="BC443"/>
  <c r="BB443"/>
  <c r="BA443"/>
  <c r="AX443"/>
  <c r="AW443"/>
  <c r="AV443"/>
  <c r="AC443"/>
  <c r="H443"/>
  <c r="G443"/>
  <c r="BT442"/>
  <c r="BS442"/>
  <c r="BR442"/>
  <c r="BQ442"/>
  <c r="BP442"/>
  <c r="BO442"/>
  <c r="BN442"/>
  <c r="BM442"/>
  <c r="BL442" s="1"/>
  <c r="BK442"/>
  <c r="BJ442"/>
  <c r="BI442"/>
  <c r="BH442"/>
  <c r="BG442"/>
  <c r="BF442"/>
  <c r="BE442"/>
  <c r="BD442"/>
  <c r="BC442"/>
  <c r="BB442"/>
  <c r="BA442"/>
  <c r="AX442"/>
  <c r="AW442"/>
  <c r="AV442"/>
  <c r="AC442"/>
  <c r="H442"/>
  <c r="G442"/>
  <c r="BT441"/>
  <c r="BS441"/>
  <c r="BR441"/>
  <c r="BQ441"/>
  <c r="BP441"/>
  <c r="BO441"/>
  <c r="BN441"/>
  <c r="BM441"/>
  <c r="BL441" s="1"/>
  <c r="BK441"/>
  <c r="BJ441"/>
  <c r="BI441"/>
  <c r="BH441"/>
  <c r="BG441"/>
  <c r="BF441"/>
  <c r="BE441"/>
  <c r="BD441"/>
  <c r="BC441"/>
  <c r="BB441"/>
  <c r="BA441"/>
  <c r="AX441"/>
  <c r="AW441"/>
  <c r="AV441"/>
  <c r="AC441"/>
  <c r="H441"/>
  <c r="G441" s="1"/>
  <c r="BT440"/>
  <c r="BS440"/>
  <c r="BR440"/>
  <c r="BQ440"/>
  <c r="BP440"/>
  <c r="BO440"/>
  <c r="BN440"/>
  <c r="BM440"/>
  <c r="BL440"/>
  <c r="BK440"/>
  <c r="BJ440"/>
  <c r="BI440"/>
  <c r="BH440"/>
  <c r="BG440"/>
  <c r="BF440"/>
  <c r="BE440"/>
  <c r="BD440"/>
  <c r="BC440"/>
  <c r="BB440"/>
  <c r="BA440" s="1"/>
  <c r="AX440"/>
  <c r="AW440"/>
  <c r="AV440"/>
  <c r="AC440"/>
  <c r="H440"/>
  <c r="G440" s="1"/>
  <c r="BT439"/>
  <c r="BS439"/>
  <c r="BR439"/>
  <c r="BQ439"/>
  <c r="BP439"/>
  <c r="BO439"/>
  <c r="BN439"/>
  <c r="BM439"/>
  <c r="BL439"/>
  <c r="BK439"/>
  <c r="BJ439"/>
  <c r="BI439"/>
  <c r="BH439"/>
  <c r="BG439"/>
  <c r="BF439"/>
  <c r="BE439"/>
  <c r="BD439"/>
  <c r="BC439"/>
  <c r="BB439"/>
  <c r="BA439" s="1"/>
  <c r="AZ439" s="1"/>
  <c r="AX439"/>
  <c r="AW439"/>
  <c r="AV439"/>
  <c r="AC439"/>
  <c r="H439"/>
  <c r="G439"/>
  <c r="BT438"/>
  <c r="BS438"/>
  <c r="BR438"/>
  <c r="BQ438"/>
  <c r="BP438"/>
  <c r="BO438"/>
  <c r="BN438"/>
  <c r="BM438"/>
  <c r="BL438" s="1"/>
  <c r="BK438"/>
  <c r="BJ438"/>
  <c r="BI438"/>
  <c r="BH438"/>
  <c r="BG438"/>
  <c r="BF438"/>
  <c r="BE438"/>
  <c r="BD438"/>
  <c r="BC438"/>
  <c r="BB438"/>
  <c r="BA438"/>
  <c r="AX438"/>
  <c r="AW438"/>
  <c r="AV438"/>
  <c r="AC438"/>
  <c r="H438"/>
  <c r="G438"/>
  <c r="BT437"/>
  <c r="BS437"/>
  <c r="BR437"/>
  <c r="BQ437"/>
  <c r="BP437"/>
  <c r="BO437"/>
  <c r="BN437"/>
  <c r="BM437"/>
  <c r="BL437" s="1"/>
  <c r="BK437"/>
  <c r="BJ437"/>
  <c r="BI437"/>
  <c r="BH437"/>
  <c r="BG437"/>
  <c r="BF437"/>
  <c r="BE437"/>
  <c r="BD437"/>
  <c r="BC437"/>
  <c r="BB437"/>
  <c r="BA437"/>
  <c r="AX437"/>
  <c r="AW437"/>
  <c r="AV437"/>
  <c r="AC437"/>
  <c r="H437"/>
  <c r="G437" s="1"/>
  <c r="BT436"/>
  <c r="BS436"/>
  <c r="BR436"/>
  <c r="BQ436"/>
  <c r="BP436"/>
  <c r="BO436"/>
  <c r="BN436"/>
  <c r="BM436"/>
  <c r="BL436"/>
  <c r="BK436"/>
  <c r="BJ436"/>
  <c r="BI436"/>
  <c r="BH436"/>
  <c r="BG436"/>
  <c r="BF436"/>
  <c r="BE436"/>
  <c r="BD436"/>
  <c r="BC436"/>
  <c r="BB436"/>
  <c r="BA436" s="1"/>
  <c r="AZ436" s="1"/>
  <c r="AX436"/>
  <c r="AW436"/>
  <c r="AV436"/>
  <c r="AC436"/>
  <c r="H436"/>
  <c r="G436"/>
  <c r="BT435"/>
  <c r="BS435"/>
  <c r="BR435"/>
  <c r="BQ435"/>
  <c r="BP435"/>
  <c r="BO435"/>
  <c r="BN435"/>
  <c r="BM435"/>
  <c r="BL435" s="1"/>
  <c r="BK435"/>
  <c r="BJ435"/>
  <c r="BI435"/>
  <c r="BH435"/>
  <c r="BG435"/>
  <c r="BF435"/>
  <c r="BE435"/>
  <c r="BD435"/>
  <c r="BC435"/>
  <c r="BB435"/>
  <c r="BA435"/>
  <c r="AX435"/>
  <c r="AW435"/>
  <c r="AV435"/>
  <c r="AC435"/>
  <c r="H435"/>
  <c r="G435"/>
  <c r="BT434"/>
  <c r="BS434"/>
  <c r="BR434"/>
  <c r="BQ434"/>
  <c r="BP434"/>
  <c r="BO434"/>
  <c r="BN434"/>
  <c r="BM434"/>
  <c r="BL434" s="1"/>
  <c r="BK434"/>
  <c r="BJ434"/>
  <c r="BI434"/>
  <c r="BH434"/>
  <c r="BG434"/>
  <c r="BF434"/>
  <c r="BE434"/>
  <c r="BD434"/>
  <c r="BC434"/>
  <c r="BB434"/>
  <c r="BA434"/>
  <c r="AX434"/>
  <c r="AW434"/>
  <c r="AV434"/>
  <c r="AC434"/>
  <c r="H434"/>
  <c r="G434"/>
  <c r="BT433"/>
  <c r="BS433"/>
  <c r="BR433"/>
  <c r="BQ433"/>
  <c r="BP433"/>
  <c r="BO433"/>
  <c r="BN433"/>
  <c r="BM433"/>
  <c r="BL433" s="1"/>
  <c r="BK433"/>
  <c r="BJ433"/>
  <c r="BI433"/>
  <c r="BH433"/>
  <c r="BG433"/>
  <c r="BF433"/>
  <c r="BE433"/>
  <c r="BD433"/>
  <c r="BC433"/>
  <c r="BB433"/>
  <c r="BA433"/>
  <c r="AZ433" s="1"/>
  <c r="AX433"/>
  <c r="AW433"/>
  <c r="AV433"/>
  <c r="AC433"/>
  <c r="H433"/>
  <c r="G433" s="1"/>
  <c r="BT432"/>
  <c r="BS432"/>
  <c r="BR432"/>
  <c r="BQ432"/>
  <c r="BP432"/>
  <c r="BO432"/>
  <c r="BN432"/>
  <c r="BM432"/>
  <c r="BL432"/>
  <c r="BK432"/>
  <c r="BJ432"/>
  <c r="BI432"/>
  <c r="BH432"/>
  <c r="BG432"/>
  <c r="BF432"/>
  <c r="BE432"/>
  <c r="BD432"/>
  <c r="BC432"/>
  <c r="BB432"/>
  <c r="BA432" s="1"/>
  <c r="AZ432" s="1"/>
  <c r="AX432"/>
  <c r="AW432"/>
  <c r="AV432"/>
  <c r="AC432"/>
  <c r="H432"/>
  <c r="G432"/>
  <c r="BT431"/>
  <c r="BS431"/>
  <c r="BR431"/>
  <c r="BQ431"/>
  <c r="BP431"/>
  <c r="BO431"/>
  <c r="BN431"/>
  <c r="BM431"/>
  <c r="BL431" s="1"/>
  <c r="BK431"/>
  <c r="BJ431"/>
  <c r="BI431"/>
  <c r="BH431"/>
  <c r="BG431"/>
  <c r="BF431"/>
  <c r="BE431"/>
  <c r="BD431"/>
  <c r="BC431"/>
  <c r="BB431"/>
  <c r="BA431"/>
  <c r="AX431"/>
  <c r="AW431"/>
  <c r="AV431"/>
  <c r="AC431"/>
  <c r="H431"/>
  <c r="G431" s="1"/>
  <c r="BT430"/>
  <c r="BS430"/>
  <c r="BR430"/>
  <c r="BQ430"/>
  <c r="BP430"/>
  <c r="BO430"/>
  <c r="BN430"/>
  <c r="BM430"/>
  <c r="BL430"/>
  <c r="BK430"/>
  <c r="BJ430"/>
  <c r="BI430"/>
  <c r="BH430"/>
  <c r="BG430"/>
  <c r="BF430"/>
  <c r="BE430"/>
  <c r="BD430"/>
  <c r="BC430"/>
  <c r="BB430"/>
  <c r="BA430" s="1"/>
  <c r="AX430"/>
  <c r="AW430"/>
  <c r="AV430"/>
  <c r="AC430"/>
  <c r="H430"/>
  <c r="G430" s="1"/>
  <c r="BT429"/>
  <c r="BS429"/>
  <c r="BR429"/>
  <c r="BQ429"/>
  <c r="BP429"/>
  <c r="BO429"/>
  <c r="BN429"/>
  <c r="BM429"/>
  <c r="BL429"/>
  <c r="BK429"/>
  <c r="BJ429"/>
  <c r="BI429"/>
  <c r="BH429"/>
  <c r="BG429"/>
  <c r="BF429"/>
  <c r="BE429"/>
  <c r="BD429"/>
  <c r="BC429"/>
  <c r="BB429"/>
  <c r="BA429" s="1"/>
  <c r="AZ429" s="1"/>
  <c r="AX429"/>
  <c r="AW429"/>
  <c r="AV429"/>
  <c r="AC429"/>
  <c r="H429"/>
  <c r="G429"/>
  <c r="BT428"/>
  <c r="BS428"/>
  <c r="BR428"/>
  <c r="BQ428"/>
  <c r="BP428"/>
  <c r="BO428"/>
  <c r="BN428"/>
  <c r="BM428"/>
  <c r="BL428" s="1"/>
  <c r="BK428"/>
  <c r="BJ428"/>
  <c r="BI428"/>
  <c r="BH428"/>
  <c r="BG428"/>
  <c r="BF428"/>
  <c r="BE428"/>
  <c r="BD428"/>
  <c r="BC428"/>
  <c r="BB428"/>
  <c r="BA428"/>
  <c r="AZ428" s="1"/>
  <c r="AX428"/>
  <c r="AW428"/>
  <c r="AV428"/>
  <c r="AC428"/>
  <c r="H428"/>
  <c r="G428" s="1"/>
  <c r="BT427"/>
  <c r="BS427"/>
  <c r="BR427"/>
  <c r="BQ427"/>
  <c r="BP427"/>
  <c r="BO427"/>
  <c r="BN427"/>
  <c r="BM427"/>
  <c r="BL427"/>
  <c r="BK427"/>
  <c r="BJ427"/>
  <c r="BI427"/>
  <c r="BH427"/>
  <c r="BG427"/>
  <c r="BF427"/>
  <c r="BE427"/>
  <c r="BD427"/>
  <c r="BC427"/>
  <c r="BB427"/>
  <c r="BA427" s="1"/>
  <c r="AX427"/>
  <c r="AW427"/>
  <c r="AV427"/>
  <c r="AC427"/>
  <c r="H427"/>
  <c r="G427" s="1"/>
  <c r="BT426"/>
  <c r="BS426"/>
  <c r="BR426"/>
  <c r="BQ426"/>
  <c r="BP426"/>
  <c r="BO426"/>
  <c r="BN426"/>
  <c r="BM426"/>
  <c r="BL426"/>
  <c r="BK426"/>
  <c r="BJ426"/>
  <c r="BI426"/>
  <c r="BH426"/>
  <c r="BG426"/>
  <c r="BF426"/>
  <c r="BE426"/>
  <c r="BD426"/>
  <c r="BC426"/>
  <c r="BB426"/>
  <c r="BA426" s="1"/>
  <c r="AX426"/>
  <c r="AW426"/>
  <c r="AV426"/>
  <c r="AC426"/>
  <c r="H426"/>
  <c r="G426" s="1"/>
  <c r="BT425"/>
  <c r="BS425"/>
  <c r="BR425"/>
  <c r="BQ425"/>
  <c r="BP425"/>
  <c r="BO425"/>
  <c r="BN425"/>
  <c r="BM425"/>
  <c r="BL425"/>
  <c r="BK425"/>
  <c r="BJ425"/>
  <c r="BI425"/>
  <c r="BH425"/>
  <c r="BG425"/>
  <c r="BF425"/>
  <c r="BE425"/>
  <c r="BD425"/>
  <c r="BC425"/>
  <c r="BB425"/>
  <c r="BA425" s="1"/>
  <c r="AZ425" s="1"/>
  <c r="AX425"/>
  <c r="AW425"/>
  <c r="AV425"/>
  <c r="AC425"/>
  <c r="H425"/>
  <c r="G425"/>
  <c r="BT424"/>
  <c r="BS424"/>
  <c r="BR424"/>
  <c r="BQ424"/>
  <c r="BP424"/>
  <c r="BO424"/>
  <c r="BN424"/>
  <c r="BM424"/>
  <c r="BL424" s="1"/>
  <c r="BK424"/>
  <c r="BJ424"/>
  <c r="BI424"/>
  <c r="BH424"/>
  <c r="BG424"/>
  <c r="BF424"/>
  <c r="BE424"/>
  <c r="BD424"/>
  <c r="BC424"/>
  <c r="BB424"/>
  <c r="BA424"/>
  <c r="AX424"/>
  <c r="AW424"/>
  <c r="AV424"/>
  <c r="AC424"/>
  <c r="H424"/>
  <c r="G424"/>
  <c r="BT423"/>
  <c r="BS423"/>
  <c r="BR423"/>
  <c r="BQ423"/>
  <c r="BP423"/>
  <c r="BO423"/>
  <c r="BN423"/>
  <c r="BM423"/>
  <c r="BL423" s="1"/>
  <c r="BK423"/>
  <c r="BJ423"/>
  <c r="BI423"/>
  <c r="BH423"/>
  <c r="BG423"/>
  <c r="BF423"/>
  <c r="BE423"/>
  <c r="BD423"/>
  <c r="BC423"/>
  <c r="BB423"/>
  <c r="BA423"/>
  <c r="AZ423" s="1"/>
  <c r="AX423"/>
  <c r="AW423"/>
  <c r="AV423"/>
  <c r="AC423"/>
  <c r="H423"/>
  <c r="G423" s="1"/>
  <c r="BT422"/>
  <c r="BS422"/>
  <c r="BR422"/>
  <c r="BQ422"/>
  <c r="BP422"/>
  <c r="BO422"/>
  <c r="BN422"/>
  <c r="BM422"/>
  <c r="BL422"/>
  <c r="BK422"/>
  <c r="BJ422"/>
  <c r="BI422"/>
  <c r="BH422"/>
  <c r="BG422"/>
  <c r="BF422"/>
  <c r="BE422"/>
  <c r="BD422"/>
  <c r="BC422"/>
  <c r="BB422"/>
  <c r="BA422" s="1"/>
  <c r="AX422"/>
  <c r="AW422"/>
  <c r="AV422"/>
  <c r="AC422"/>
  <c r="H422"/>
  <c r="G422" s="1"/>
  <c r="BT421"/>
  <c r="BS421"/>
  <c r="BR421"/>
  <c r="BQ421"/>
  <c r="BP421"/>
  <c r="BO421"/>
  <c r="BN421"/>
  <c r="BM421"/>
  <c r="BL421"/>
  <c r="BK421"/>
  <c r="BJ421"/>
  <c r="BI421"/>
  <c r="BH421"/>
  <c r="BG421"/>
  <c r="BF421"/>
  <c r="BE421"/>
  <c r="BD421"/>
  <c r="BC421"/>
  <c r="BB421"/>
  <c r="BA421" s="1"/>
  <c r="AZ421" s="1"/>
  <c r="AX421"/>
  <c r="AW421"/>
  <c r="AV421"/>
  <c r="AC421"/>
  <c r="H421"/>
  <c r="G421"/>
  <c r="BT420"/>
  <c r="BS420"/>
  <c r="BR420"/>
  <c r="BQ420"/>
  <c r="BP420"/>
  <c r="BO420"/>
  <c r="BN420"/>
  <c r="BM420"/>
  <c r="BL420" s="1"/>
  <c r="BK420"/>
  <c r="BJ420"/>
  <c r="BI420"/>
  <c r="BH420"/>
  <c r="BG420"/>
  <c r="BF420"/>
  <c r="BE420"/>
  <c r="BD420"/>
  <c r="BC420"/>
  <c r="BB420"/>
  <c r="BA420"/>
  <c r="AX420"/>
  <c r="AW420"/>
  <c r="AV420"/>
  <c r="AC420"/>
  <c r="H420"/>
  <c r="G420" s="1"/>
  <c r="BT419"/>
  <c r="BS419"/>
  <c r="BR419"/>
  <c r="BQ419"/>
  <c r="BP419"/>
  <c r="BO419"/>
  <c r="BN419"/>
  <c r="BM419"/>
  <c r="BL419"/>
  <c r="BK419"/>
  <c r="BJ419"/>
  <c r="BI419"/>
  <c r="BH419"/>
  <c r="BG419"/>
  <c r="BF419"/>
  <c r="BE419"/>
  <c r="BD419"/>
  <c r="BC419"/>
  <c r="BB419"/>
  <c r="BA419" s="1"/>
  <c r="AX419"/>
  <c r="AW419"/>
  <c r="AV419"/>
  <c r="AC419"/>
  <c r="H419"/>
  <c r="G419" s="1"/>
  <c r="BT418"/>
  <c r="BS418"/>
  <c r="BR418"/>
  <c r="BQ418"/>
  <c r="BP418"/>
  <c r="BO418"/>
  <c r="BN418"/>
  <c r="BM418"/>
  <c r="BL418"/>
  <c r="BK418"/>
  <c r="BJ418"/>
  <c r="BI418"/>
  <c r="BH418"/>
  <c r="BG418"/>
  <c r="BF418"/>
  <c r="BE418"/>
  <c r="BD418"/>
  <c r="BC418"/>
  <c r="BB418"/>
  <c r="BA418" s="1"/>
  <c r="AX418"/>
  <c r="AW418"/>
  <c r="AV418"/>
  <c r="AC418"/>
  <c r="H418"/>
  <c r="G418" s="1"/>
  <c r="BT417"/>
  <c r="BS417"/>
  <c r="BR417"/>
  <c r="BQ417"/>
  <c r="BP417"/>
  <c r="BO417"/>
  <c r="BN417"/>
  <c r="BM417"/>
  <c r="BL417"/>
  <c r="BK417"/>
  <c r="BJ417"/>
  <c r="BI417"/>
  <c r="BH417"/>
  <c r="BG417"/>
  <c r="BF417"/>
  <c r="BE417"/>
  <c r="BD417"/>
  <c r="BC417"/>
  <c r="BB417"/>
  <c r="BA417" s="1"/>
  <c r="AZ417" s="1"/>
  <c r="AX417"/>
  <c r="AW417"/>
  <c r="AV417"/>
  <c r="AC417"/>
  <c r="H417"/>
  <c r="G417"/>
  <c r="BT416"/>
  <c r="BS416"/>
  <c r="BR416"/>
  <c r="BQ416"/>
  <c r="BP416"/>
  <c r="BO416"/>
  <c r="BN416"/>
  <c r="BM416"/>
  <c r="BL416" s="1"/>
  <c r="BK416"/>
  <c r="BJ416"/>
  <c r="BI416"/>
  <c r="BH416"/>
  <c r="BG416"/>
  <c r="BF416"/>
  <c r="BE416"/>
  <c r="BD416"/>
  <c r="BC416"/>
  <c r="BB416"/>
  <c r="BA416"/>
  <c r="AZ416" s="1"/>
  <c r="AX416"/>
  <c r="AW416"/>
  <c r="AV416"/>
  <c r="AC416"/>
  <c r="H416"/>
  <c r="G416" s="1"/>
  <c r="BT415"/>
  <c r="BS415"/>
  <c r="BR415"/>
  <c r="BQ415"/>
  <c r="BP415"/>
  <c r="BO415"/>
  <c r="BN415"/>
  <c r="BM415"/>
  <c r="BL415"/>
  <c r="BK415"/>
  <c r="BJ415"/>
  <c r="BI415"/>
  <c r="BH415"/>
  <c r="BG415"/>
  <c r="BF415"/>
  <c r="BE415"/>
  <c r="BD415"/>
  <c r="BC415"/>
  <c r="BB415"/>
  <c r="BA415" s="1"/>
  <c r="AZ415" s="1"/>
  <c r="AX415"/>
  <c r="AW415"/>
  <c r="AV415"/>
  <c r="AC415"/>
  <c r="H415"/>
  <c r="G415"/>
  <c r="BT414"/>
  <c r="BS414"/>
  <c r="BR414"/>
  <c r="BQ414"/>
  <c r="BP414"/>
  <c r="BO414"/>
  <c r="BN414"/>
  <c r="BM414"/>
  <c r="BL414" s="1"/>
  <c r="BK414"/>
  <c r="BJ414"/>
  <c r="BI414"/>
  <c r="BH414"/>
  <c r="BG414"/>
  <c r="BF414"/>
  <c r="BE414"/>
  <c r="BD414"/>
  <c r="BC414"/>
  <c r="BB414"/>
  <c r="BA414"/>
  <c r="AX414"/>
  <c r="AW414"/>
  <c r="AV414"/>
  <c r="AC414"/>
  <c r="H414"/>
  <c r="G414"/>
  <c r="BT413"/>
  <c r="BS413"/>
  <c r="BR413"/>
  <c r="BQ413"/>
  <c r="BP413"/>
  <c r="BO413"/>
  <c r="BN413"/>
  <c r="BM413"/>
  <c r="BL413" s="1"/>
  <c r="BK413"/>
  <c r="BJ413"/>
  <c r="BI413"/>
  <c r="BH413"/>
  <c r="BG413"/>
  <c r="BF413"/>
  <c r="BE413"/>
  <c r="BD413"/>
  <c r="BC413"/>
  <c r="BB413"/>
  <c r="BA413"/>
  <c r="AZ413" s="1"/>
  <c r="AX413"/>
  <c r="AW413"/>
  <c r="AV413"/>
  <c r="AC413"/>
  <c r="H413"/>
  <c r="G413" s="1"/>
  <c r="BT412"/>
  <c r="BS412"/>
  <c r="BR412"/>
  <c r="BQ412"/>
  <c r="BP412"/>
  <c r="BO412"/>
  <c r="BN412"/>
  <c r="BM412"/>
  <c r="BL412"/>
  <c r="BK412"/>
  <c r="BJ412"/>
  <c r="BI412"/>
  <c r="BH412"/>
  <c r="BG412"/>
  <c r="BF412"/>
  <c r="BE412"/>
  <c r="BD412"/>
  <c r="BC412"/>
  <c r="BB412"/>
  <c r="BA412" s="1"/>
  <c r="AZ412" s="1"/>
  <c r="AX412"/>
  <c r="AW412"/>
  <c r="AV412"/>
  <c r="AC412"/>
  <c r="H412"/>
  <c r="G412"/>
  <c r="BT411"/>
  <c r="BS411"/>
  <c r="BR411"/>
  <c r="BQ411"/>
  <c r="BP411"/>
  <c r="BO411"/>
  <c r="BN411"/>
  <c r="BM411"/>
  <c r="BL411" s="1"/>
  <c r="BK411"/>
  <c r="BJ411"/>
  <c r="BI411"/>
  <c r="BH411"/>
  <c r="BG411"/>
  <c r="BF411"/>
  <c r="BE411"/>
  <c r="BD411"/>
  <c r="BC411"/>
  <c r="BB411"/>
  <c r="BA411"/>
  <c r="AX411"/>
  <c r="AW411"/>
  <c r="AV411"/>
  <c r="AC411"/>
  <c r="H411"/>
  <c r="G411"/>
  <c r="BT410"/>
  <c r="BS410"/>
  <c r="BR410"/>
  <c r="BQ410"/>
  <c r="BP410"/>
  <c r="BO410"/>
  <c r="BN410"/>
  <c r="BM410"/>
  <c r="BL410" s="1"/>
  <c r="BK410"/>
  <c r="BJ410"/>
  <c r="BI410"/>
  <c r="BH410"/>
  <c r="BG410"/>
  <c r="BF410"/>
  <c r="BE410"/>
  <c r="BD410"/>
  <c r="BC410"/>
  <c r="BB410"/>
  <c r="BA410"/>
  <c r="AX410"/>
  <c r="AW410"/>
  <c r="AV410"/>
  <c r="AC410"/>
  <c r="H410"/>
  <c r="G410"/>
  <c r="BT409"/>
  <c r="BS409"/>
  <c r="BR409"/>
  <c r="BQ409"/>
  <c r="BP409"/>
  <c r="BO409"/>
  <c r="BN409"/>
  <c r="BM409"/>
  <c r="BL409" s="1"/>
  <c r="BK409"/>
  <c r="BJ409"/>
  <c r="BI409"/>
  <c r="BH409"/>
  <c r="BG409"/>
  <c r="BF409"/>
  <c r="BE409"/>
  <c r="BD409"/>
  <c r="BC409"/>
  <c r="BB409"/>
  <c r="BA409"/>
  <c r="AX409"/>
  <c r="AW409"/>
  <c r="AV409"/>
  <c r="AC409"/>
  <c r="H409"/>
  <c r="G409" s="1"/>
  <c r="BT408"/>
  <c r="BS408"/>
  <c r="BR408"/>
  <c r="BQ408"/>
  <c r="BP408"/>
  <c r="BO408"/>
  <c r="BN408"/>
  <c r="BM408"/>
  <c r="BL408"/>
  <c r="BK408"/>
  <c r="BJ408"/>
  <c r="BI408"/>
  <c r="BH408"/>
  <c r="BG408"/>
  <c r="BF408"/>
  <c r="BE408"/>
  <c r="BD408"/>
  <c r="BC408"/>
  <c r="BB408"/>
  <c r="BA408" s="1"/>
  <c r="AZ408" s="1"/>
  <c r="AX408"/>
  <c r="AW408"/>
  <c r="AV408"/>
  <c r="AC408"/>
  <c r="H408"/>
  <c r="G408"/>
  <c r="BT407"/>
  <c r="BS407"/>
  <c r="BR407"/>
  <c r="BQ407"/>
  <c r="BP407"/>
  <c r="BO407"/>
  <c r="BN407"/>
  <c r="BM407"/>
  <c r="BL407" s="1"/>
  <c r="BK407"/>
  <c r="BJ407"/>
  <c r="BI407"/>
  <c r="BH407"/>
  <c r="BG407"/>
  <c r="BF407"/>
  <c r="BE407"/>
  <c r="BD407"/>
  <c r="BC407"/>
  <c r="BB407"/>
  <c r="BA407"/>
  <c r="AZ407" s="1"/>
  <c r="AX407"/>
  <c r="AW407"/>
  <c r="AV407"/>
  <c r="AC407"/>
  <c r="H407"/>
  <c r="G407" s="1"/>
  <c r="BT406"/>
  <c r="BS406"/>
  <c r="BR406"/>
  <c r="BQ406"/>
  <c r="BP406"/>
  <c r="BO406"/>
  <c r="BN406"/>
  <c r="BM406"/>
  <c r="BL406"/>
  <c r="BK406"/>
  <c r="BJ406"/>
  <c r="BI406"/>
  <c r="BH406"/>
  <c r="BG406"/>
  <c r="BF406"/>
  <c r="BE406"/>
  <c r="BD406"/>
  <c r="BC406"/>
  <c r="BB406"/>
  <c r="BA406" s="1"/>
  <c r="AX406"/>
  <c r="AW406"/>
  <c r="AV406"/>
  <c r="AC406"/>
  <c r="H406"/>
  <c r="G406" s="1"/>
  <c r="BT405"/>
  <c r="BS405"/>
  <c r="BR405"/>
  <c r="BQ405"/>
  <c r="BP405"/>
  <c r="BO405"/>
  <c r="BN405"/>
  <c r="BM405"/>
  <c r="BL405"/>
  <c r="BK405"/>
  <c r="BJ405"/>
  <c r="BI405"/>
  <c r="BH405"/>
  <c r="BG405"/>
  <c r="BF405"/>
  <c r="BE405"/>
  <c r="BD405"/>
  <c r="BC405"/>
  <c r="BB405"/>
  <c r="BA405" s="1"/>
  <c r="AZ405" s="1"/>
  <c r="AX405"/>
  <c r="AW405"/>
  <c r="AV405"/>
  <c r="AC405"/>
  <c r="H405"/>
  <c r="G405"/>
  <c r="BT404"/>
  <c r="BS404"/>
  <c r="BR404"/>
  <c r="BQ404"/>
  <c r="BP404"/>
  <c r="BO404"/>
  <c r="BN404"/>
  <c r="BM404"/>
  <c r="BL404" s="1"/>
  <c r="BK404"/>
  <c r="BJ404"/>
  <c r="BI404"/>
  <c r="BH404"/>
  <c r="BG404"/>
  <c r="BF404"/>
  <c r="BE404"/>
  <c r="BD404"/>
  <c r="BC404"/>
  <c r="BB404"/>
  <c r="BA404"/>
  <c r="AX404"/>
  <c r="AW404"/>
  <c r="AV404"/>
  <c r="AC404"/>
  <c r="H404"/>
  <c r="G404" s="1"/>
  <c r="BT403"/>
  <c r="BS403"/>
  <c r="BR403"/>
  <c r="BQ403"/>
  <c r="BP403"/>
  <c r="BO403"/>
  <c r="BN403"/>
  <c r="BM403"/>
  <c r="BL403"/>
  <c r="BK403"/>
  <c r="BJ403"/>
  <c r="BI403"/>
  <c r="BH403"/>
  <c r="BG403"/>
  <c r="BF403"/>
  <c r="BE403"/>
  <c r="BD403"/>
  <c r="BC403"/>
  <c r="BB403"/>
  <c r="BA403" s="1"/>
  <c r="AX403"/>
  <c r="AW403"/>
  <c r="AV403"/>
  <c r="AC403"/>
  <c r="H403"/>
  <c r="G403" s="1"/>
  <c r="BT402"/>
  <c r="BS402"/>
  <c r="BR402"/>
  <c r="BQ402"/>
  <c r="BP402"/>
  <c r="BO402"/>
  <c r="BN402"/>
  <c r="BM402"/>
  <c r="BL402"/>
  <c r="BK402"/>
  <c r="BJ402"/>
  <c r="BI402"/>
  <c r="BH402"/>
  <c r="BG402"/>
  <c r="BF402"/>
  <c r="BE402"/>
  <c r="BD402"/>
  <c r="BC402"/>
  <c r="BB402"/>
  <c r="BA402" s="1"/>
  <c r="AX402"/>
  <c r="AW402"/>
  <c r="AV402"/>
  <c r="AC402"/>
  <c r="H402"/>
  <c r="G402" s="1"/>
  <c r="BT401"/>
  <c r="BS401"/>
  <c r="BR401"/>
  <c r="BQ401"/>
  <c r="BP401"/>
  <c r="BO401"/>
  <c r="BN401"/>
  <c r="BM401"/>
  <c r="BL401"/>
  <c r="BK401"/>
  <c r="BJ401"/>
  <c r="BI401"/>
  <c r="BH401"/>
  <c r="BG401"/>
  <c r="BF401"/>
  <c r="BE401"/>
  <c r="BD401"/>
  <c r="BC401"/>
  <c r="BB401"/>
  <c r="BA401" s="1"/>
  <c r="AZ401" s="1"/>
  <c r="AX401"/>
  <c r="AW401"/>
  <c r="AV401"/>
  <c r="AC401"/>
  <c r="H401"/>
  <c r="G401"/>
  <c r="BT400"/>
  <c r="BS400"/>
  <c r="BR400"/>
  <c r="BQ400"/>
  <c r="BP400"/>
  <c r="BO400"/>
  <c r="BN400"/>
  <c r="BM400"/>
  <c r="BL400" s="1"/>
  <c r="BK400"/>
  <c r="BJ400"/>
  <c r="BI400"/>
  <c r="BH400"/>
  <c r="BG400"/>
  <c r="BF400"/>
  <c r="BE400"/>
  <c r="BD400"/>
  <c r="BC400"/>
  <c r="BB400"/>
  <c r="BA400"/>
  <c r="AZ400" s="1"/>
  <c r="AX400"/>
  <c r="AW400"/>
  <c r="AV400"/>
  <c r="AC400"/>
  <c r="H400"/>
  <c r="G400" s="1"/>
  <c r="BT399"/>
  <c r="BS399"/>
  <c r="BR399"/>
  <c r="BQ399"/>
  <c r="BP399"/>
  <c r="BO399"/>
  <c r="BN399"/>
  <c r="BM399"/>
  <c r="BL399"/>
  <c r="BK399"/>
  <c r="BJ399"/>
  <c r="BI399"/>
  <c r="BH399"/>
  <c r="BG399"/>
  <c r="BF399"/>
  <c r="BE399"/>
  <c r="BD399"/>
  <c r="BC399"/>
  <c r="BB399"/>
  <c r="BA399" s="1"/>
  <c r="AZ399" s="1"/>
  <c r="AX399"/>
  <c r="AW399"/>
  <c r="AV399"/>
  <c r="AC399"/>
  <c r="H399"/>
  <c r="G399"/>
  <c r="BT398"/>
  <c r="BS398"/>
  <c r="BR398"/>
  <c r="BQ398"/>
  <c r="BP398"/>
  <c r="BO398"/>
  <c r="BN398"/>
  <c r="BM398"/>
  <c r="BL398" s="1"/>
  <c r="BK398"/>
  <c r="BJ398"/>
  <c r="BI398"/>
  <c r="BH398"/>
  <c r="BG398"/>
  <c r="BF398"/>
  <c r="BE398"/>
  <c r="BD398"/>
  <c r="BC398"/>
  <c r="BB398"/>
  <c r="BA398"/>
  <c r="AX398"/>
  <c r="AW398"/>
  <c r="AV398"/>
  <c r="AC398"/>
  <c r="H398"/>
  <c r="G398"/>
  <c r="H60" i="40"/>
  <c r="I60" s="1"/>
  <c r="C60" s="1"/>
  <c r="H59"/>
  <c r="I59" s="1"/>
  <c r="C59" s="1"/>
  <c r="H58"/>
  <c r="I58" s="1"/>
  <c r="C58" s="1"/>
  <c r="H57"/>
  <c r="I57" s="1"/>
  <c r="C57" s="1"/>
  <c r="H56"/>
  <c r="I56" s="1"/>
  <c r="C56" s="1"/>
  <c r="H55"/>
  <c r="I55" s="1"/>
  <c r="C55" s="1"/>
  <c r="H54"/>
  <c r="I54" s="1"/>
  <c r="C54" s="1"/>
  <c r="H53"/>
  <c r="I53" s="1"/>
  <c r="C53" s="1"/>
  <c r="H52"/>
  <c r="I52" s="1"/>
  <c r="C52" s="1"/>
  <c r="H65" i="39"/>
  <c r="I65" s="1"/>
  <c r="C65" s="1"/>
  <c r="H64"/>
  <c r="I64" s="1"/>
  <c r="C64" s="1"/>
  <c r="H60"/>
  <c r="I60" s="1"/>
  <c r="C60" s="1"/>
  <c r="H59"/>
  <c r="I59" s="1"/>
  <c r="C59" s="1"/>
  <c r="H58"/>
  <c r="I58" s="1"/>
  <c r="C58" s="1"/>
  <c r="H57"/>
  <c r="I57" s="1"/>
  <c r="C57" s="1"/>
  <c r="H61"/>
  <c r="I61" s="1"/>
  <c r="C61" s="1"/>
  <c r="H63"/>
  <c r="I63" s="1"/>
  <c r="C63" s="1"/>
  <c r="H62"/>
  <c r="I62" s="1"/>
  <c r="C62" s="1"/>
  <c r="C145" i="21"/>
  <c r="K139" s="1"/>
  <c r="J142"/>
  <c r="J140"/>
  <c r="M87"/>
  <c r="L87"/>
  <c r="K87"/>
  <c r="J87"/>
  <c r="I87"/>
  <c r="H87"/>
  <c r="G87"/>
  <c r="F87"/>
  <c r="E87"/>
  <c r="D87"/>
  <c r="G2" i="43"/>
  <c r="X7" s="1"/>
  <c r="R42" i="31"/>
  <c r="R43"/>
  <c r="R44"/>
  <c r="R45"/>
  <c r="R46"/>
  <c r="R47"/>
  <c r="R48"/>
  <c r="R49"/>
  <c r="R50"/>
  <c r="R51"/>
  <c r="R52"/>
  <c r="R53"/>
  <c r="R54"/>
  <c r="R55"/>
  <c r="R56"/>
  <c r="R57"/>
  <c r="R58"/>
  <c r="R59"/>
  <c r="R60"/>
  <c r="R61"/>
  <c r="R62"/>
  <c r="R63"/>
  <c r="R64"/>
  <c r="R65"/>
  <c r="R66"/>
  <c r="R67"/>
  <c r="R68"/>
  <c r="R69"/>
  <c r="R70"/>
  <c r="R71"/>
  <c r="R72"/>
  <c r="R73"/>
  <c r="R74"/>
  <c r="R75"/>
  <c r="R76"/>
  <c r="R77"/>
  <c r="R78"/>
  <c r="R79"/>
  <c r="S79" s="1"/>
  <c r="R80"/>
  <c r="R81"/>
  <c r="S81" s="1"/>
  <c r="R82"/>
  <c r="R83"/>
  <c r="S83" s="1"/>
  <c r="R84"/>
  <c r="R85"/>
  <c r="S85" s="1"/>
  <c r="R86"/>
  <c r="R87"/>
  <c r="S87" s="1"/>
  <c r="R88"/>
  <c r="R89"/>
  <c r="S89" s="1"/>
  <c r="R90"/>
  <c r="R91"/>
  <c r="S91" s="1"/>
  <c r="R92"/>
  <c r="R93"/>
  <c r="S93" s="1"/>
  <c r="R94"/>
  <c r="R95"/>
  <c r="S95" s="1"/>
  <c r="R96"/>
  <c r="R97"/>
  <c r="S97" s="1"/>
  <c r="R98"/>
  <c r="R99"/>
  <c r="R100"/>
  <c r="R101"/>
  <c r="R102"/>
  <c r="R103"/>
  <c r="R104"/>
  <c r="R105"/>
  <c r="R106"/>
  <c r="R107"/>
  <c r="R108"/>
  <c r="R109"/>
  <c r="R110"/>
  <c r="R111"/>
  <c r="R112"/>
  <c r="R113"/>
  <c r="R114"/>
  <c r="R115"/>
  <c r="R116"/>
  <c r="R117"/>
  <c r="R118"/>
  <c r="R119"/>
  <c r="R120"/>
  <c r="R121"/>
  <c r="R122"/>
  <c r="R123"/>
  <c r="S123" s="1"/>
  <c r="R124"/>
  <c r="R125"/>
  <c r="S125" s="1"/>
  <c r="R126"/>
  <c r="R127"/>
  <c r="S127" s="1"/>
  <c r="R128"/>
  <c r="R129"/>
  <c r="S129" s="1"/>
  <c r="R130"/>
  <c r="R131"/>
  <c r="S131" s="1"/>
  <c r="R132"/>
  <c r="R133"/>
  <c r="S133" s="1"/>
  <c r="R134"/>
  <c r="R135"/>
  <c r="S135" s="1"/>
  <c r="R136"/>
  <c r="R137"/>
  <c r="S137" s="1"/>
  <c r="R138"/>
  <c r="R139"/>
  <c r="S139" s="1"/>
  <c r="R140"/>
  <c r="R141"/>
  <c r="S141" s="1"/>
  <c r="R142"/>
  <c r="R143"/>
  <c r="S143" s="1"/>
  <c r="R144"/>
  <c r="R145"/>
  <c r="S145" s="1"/>
  <c r="R146"/>
  <c r="R147"/>
  <c r="S147" s="1"/>
  <c r="R148"/>
  <c r="R149"/>
  <c r="S149" s="1"/>
  <c r="R150"/>
  <c r="R151"/>
  <c r="S151" s="1"/>
  <c r="R152"/>
  <c r="R153"/>
  <c r="S153" s="1"/>
  <c r="R154"/>
  <c r="R155"/>
  <c r="S155" s="1"/>
  <c r="R156"/>
  <c r="R157"/>
  <c r="S157" s="1"/>
  <c r="R158"/>
  <c r="R159"/>
  <c r="S159" s="1"/>
  <c r="R160"/>
  <c r="R161"/>
  <c r="S161" s="1"/>
  <c r="R162"/>
  <c r="R163"/>
  <c r="S163" s="1"/>
  <c r="R164"/>
  <c r="R165"/>
  <c r="S165" s="1"/>
  <c r="R166"/>
  <c r="R167"/>
  <c r="S167" s="1"/>
  <c r="R168"/>
  <c r="R169"/>
  <c r="S169" s="1"/>
  <c r="R170"/>
  <c r="R171"/>
  <c r="S171" s="1"/>
  <c r="R172"/>
  <c r="R173"/>
  <c r="S173" s="1"/>
  <c r="R174"/>
  <c r="R175"/>
  <c r="S175" s="1"/>
  <c r="R176"/>
  <c r="R177"/>
  <c r="S177" s="1"/>
  <c r="R178"/>
  <c r="R179"/>
  <c r="S179" s="1"/>
  <c r="R180"/>
  <c r="R181"/>
  <c r="S181" s="1"/>
  <c r="R182"/>
  <c r="R183"/>
  <c r="S183" s="1"/>
  <c r="R184"/>
  <c r="R185"/>
  <c r="S185" s="1"/>
  <c r="R186"/>
  <c r="R187"/>
  <c r="S187" s="1"/>
  <c r="R188"/>
  <c r="R189"/>
  <c r="S189" s="1"/>
  <c r="R190"/>
  <c r="R191"/>
  <c r="S191" s="1"/>
  <c r="R192"/>
  <c r="R193"/>
  <c r="S193" s="1"/>
  <c r="R194"/>
  <c r="R195"/>
  <c r="S195" s="1"/>
  <c r="R196"/>
  <c r="R197"/>
  <c r="S197" s="1"/>
  <c r="R198"/>
  <c r="R199"/>
  <c r="S199" s="1"/>
  <c r="R200"/>
  <c r="R201"/>
  <c r="S201" s="1"/>
  <c r="R202"/>
  <c r="R203"/>
  <c r="S203" s="1"/>
  <c r="R204"/>
  <c r="R205"/>
  <c r="S205" s="1"/>
  <c r="R206"/>
  <c r="R207"/>
  <c r="S207" s="1"/>
  <c r="R208"/>
  <c r="R209"/>
  <c r="S209" s="1"/>
  <c r="R210"/>
  <c r="R211"/>
  <c r="S211" s="1"/>
  <c r="R212"/>
  <c r="R213"/>
  <c r="S213" s="1"/>
  <c r="R214"/>
  <c r="R215"/>
  <c r="S215" s="1"/>
  <c r="R216"/>
  <c r="R217"/>
  <c r="S217" s="1"/>
  <c r="R218"/>
  <c r="R219"/>
  <c r="S219" s="1"/>
  <c r="R220"/>
  <c r="R221"/>
  <c r="S221" s="1"/>
  <c r="R222"/>
  <c r="R223"/>
  <c r="R224"/>
  <c r="R225"/>
  <c r="R226"/>
  <c r="R227"/>
  <c r="R228"/>
  <c r="R229"/>
  <c r="R230"/>
  <c r="R231"/>
  <c r="R232"/>
  <c r="R233"/>
  <c r="R234"/>
  <c r="R235"/>
  <c r="R236"/>
  <c r="R237"/>
  <c r="R238"/>
  <c r="R239"/>
  <c r="R240"/>
  <c r="R241"/>
  <c r="R242"/>
  <c r="R243"/>
  <c r="R244"/>
  <c r="R245"/>
  <c r="R246"/>
  <c r="R247"/>
  <c r="R248"/>
  <c r="R249"/>
  <c r="R250"/>
  <c r="R251"/>
  <c r="R252"/>
  <c r="R253"/>
  <c r="R254"/>
  <c r="R255"/>
  <c r="S255" s="1"/>
  <c r="R256"/>
  <c r="R257"/>
  <c r="S257" s="1"/>
  <c r="R258"/>
  <c r="R259"/>
  <c r="S259" s="1"/>
  <c r="R260"/>
  <c r="R261"/>
  <c r="S261" s="1"/>
  <c r="R262"/>
  <c r="R263"/>
  <c r="S263" s="1"/>
  <c r="R264"/>
  <c r="R265"/>
  <c r="S265" s="1"/>
  <c r="R266"/>
  <c r="R267"/>
  <c r="S267" s="1"/>
  <c r="R268"/>
  <c r="R269"/>
  <c r="S269" s="1"/>
  <c r="R270"/>
  <c r="R271"/>
  <c r="S271" s="1"/>
  <c r="R272"/>
  <c r="R273"/>
  <c r="S273" s="1"/>
  <c r="R274"/>
  <c r="R275"/>
  <c r="S275" s="1"/>
  <c r="R276"/>
  <c r="R277"/>
  <c r="S277" s="1"/>
  <c r="R278"/>
  <c r="R279"/>
  <c r="S279" s="1"/>
  <c r="R280"/>
  <c r="R281"/>
  <c r="S281" s="1"/>
  <c r="R282"/>
  <c r="R283"/>
  <c r="S283" s="1"/>
  <c r="R284"/>
  <c r="R285"/>
  <c r="S285" s="1"/>
  <c r="R286"/>
  <c r="R287"/>
  <c r="S287" s="1"/>
  <c r="R288"/>
  <c r="R289"/>
  <c r="S289" s="1"/>
  <c r="R290"/>
  <c r="R291"/>
  <c r="S291" s="1"/>
  <c r="R292"/>
  <c r="R293"/>
  <c r="S293" s="1"/>
  <c r="R294"/>
  <c r="R295"/>
  <c r="S295" s="1"/>
  <c r="R296"/>
  <c r="R297"/>
  <c r="S297" s="1"/>
  <c r="R298"/>
  <c r="R299"/>
  <c r="S299" s="1"/>
  <c r="R300"/>
  <c r="R301"/>
  <c r="S301" s="1"/>
  <c r="R302"/>
  <c r="R303"/>
  <c r="S303" s="1"/>
  <c r="R304"/>
  <c r="R305"/>
  <c r="S305" s="1"/>
  <c r="R306"/>
  <c r="R307"/>
  <c r="S307" s="1"/>
  <c r="R308"/>
  <c r="R309"/>
  <c r="S309" s="1"/>
  <c r="R310"/>
  <c r="R311"/>
  <c r="S311" s="1"/>
  <c r="R312"/>
  <c r="R313"/>
  <c r="S313" s="1"/>
  <c r="R314"/>
  <c r="R315"/>
  <c r="S315" s="1"/>
  <c r="R316"/>
  <c r="R317"/>
  <c r="S317" s="1"/>
  <c r="R318"/>
  <c r="R319"/>
  <c r="S319" s="1"/>
  <c r="R320"/>
  <c r="R321"/>
  <c r="S321" s="1"/>
  <c r="R322"/>
  <c r="R323"/>
  <c r="S323" s="1"/>
  <c r="R324"/>
  <c r="R325"/>
  <c r="S325" s="1"/>
  <c r="R326"/>
  <c r="R327"/>
  <c r="S327" s="1"/>
  <c r="R328"/>
  <c r="R329"/>
  <c r="S329" s="1"/>
  <c r="R330"/>
  <c r="R331"/>
  <c r="S331" s="1"/>
  <c r="R332"/>
  <c r="R333"/>
  <c r="S333" s="1"/>
  <c r="R334"/>
  <c r="R335"/>
  <c r="S335" s="1"/>
  <c r="R336"/>
  <c r="R337"/>
  <c r="S337" s="1"/>
  <c r="R338"/>
  <c r="R339"/>
  <c r="S339" s="1"/>
  <c r="R340"/>
  <c r="R341"/>
  <c r="S341" s="1"/>
  <c r="R342"/>
  <c r="R343"/>
  <c r="S343" s="1"/>
  <c r="R344"/>
  <c r="R345"/>
  <c r="S345" s="1"/>
  <c r="R346"/>
  <c r="R347"/>
  <c r="S347" s="1"/>
  <c r="R348"/>
  <c r="R349"/>
  <c r="S349" s="1"/>
  <c r="R350"/>
  <c r="R351"/>
  <c r="S351" s="1"/>
  <c r="R352"/>
  <c r="R353"/>
  <c r="S353" s="1"/>
  <c r="R354"/>
  <c r="R355"/>
  <c r="S355" s="1"/>
  <c r="R356"/>
  <c r="R357"/>
  <c r="S357" s="1"/>
  <c r="R358"/>
  <c r="R359"/>
  <c r="S359" s="1"/>
  <c r="R360"/>
  <c r="R361"/>
  <c r="S361" s="1"/>
  <c r="R362"/>
  <c r="R363"/>
  <c r="S363" s="1"/>
  <c r="R364"/>
  <c r="R365"/>
  <c r="S365" s="1"/>
  <c r="R366"/>
  <c r="R367"/>
  <c r="S367" s="1"/>
  <c r="R368"/>
  <c r="R369"/>
  <c r="S369" s="1"/>
  <c r="R370"/>
  <c r="R371"/>
  <c r="S371" s="1"/>
  <c r="R372"/>
  <c r="R373"/>
  <c r="S373" s="1"/>
  <c r="R374"/>
  <c r="R375"/>
  <c r="S375" s="1"/>
  <c r="R376"/>
  <c r="R377"/>
  <c r="S377" s="1"/>
  <c r="R378"/>
  <c r="R379"/>
  <c r="S379" s="1"/>
  <c r="R380"/>
  <c r="R381"/>
  <c r="S381" s="1"/>
  <c r="R382"/>
  <c r="R383"/>
  <c r="S383" s="1"/>
  <c r="R384"/>
  <c r="R385"/>
  <c r="S385" s="1"/>
  <c r="R386"/>
  <c r="R387"/>
  <c r="S387" s="1"/>
  <c r="R388"/>
  <c r="R389"/>
  <c r="S389" s="1"/>
  <c r="R390"/>
  <c r="R391"/>
  <c r="S391" s="1"/>
  <c r="R392"/>
  <c r="R393"/>
  <c r="S393" s="1"/>
  <c r="R394"/>
  <c r="R395"/>
  <c r="S395" s="1"/>
  <c r="R396"/>
  <c r="R397"/>
  <c r="S397" s="1"/>
  <c r="R398"/>
  <c r="R399"/>
  <c r="S399" s="1"/>
  <c r="R400"/>
  <c r="R401"/>
  <c r="S401" s="1"/>
  <c r="R402"/>
  <c r="R403"/>
  <c r="S403" s="1"/>
  <c r="R404"/>
  <c r="R405"/>
  <c r="S405" s="1"/>
  <c r="R406"/>
  <c r="R407"/>
  <c r="S407" s="1"/>
  <c r="R408"/>
  <c r="R409"/>
  <c r="S409" s="1"/>
  <c r="R410"/>
  <c r="R411"/>
  <c r="S411" s="1"/>
  <c r="R412"/>
  <c r="R413"/>
  <c r="S413" s="1"/>
  <c r="R414"/>
  <c r="R415"/>
  <c r="S415" s="1"/>
  <c r="R416"/>
  <c r="R417"/>
  <c r="S417" s="1"/>
  <c r="R418"/>
  <c r="R419"/>
  <c r="S419" s="1"/>
  <c r="R420"/>
  <c r="R421"/>
  <c r="S421" s="1"/>
  <c r="R422"/>
  <c r="R423"/>
  <c r="S423" s="1"/>
  <c r="R424"/>
  <c r="R425"/>
  <c r="S425" s="1"/>
  <c r="R426"/>
  <c r="R427"/>
  <c r="S427" s="1"/>
  <c r="R428"/>
  <c r="R429"/>
  <c r="S429" s="1"/>
  <c r="R430"/>
  <c r="R431"/>
  <c r="S431" s="1"/>
  <c r="R432"/>
  <c r="R433"/>
  <c r="S433" s="1"/>
  <c r="R434"/>
  <c r="R435"/>
  <c r="S435" s="1"/>
  <c r="R436"/>
  <c r="R437"/>
  <c r="S437" s="1"/>
  <c r="R438"/>
  <c r="R439"/>
  <c r="S439" s="1"/>
  <c r="R440"/>
  <c r="R441"/>
  <c r="S441" s="1"/>
  <c r="R442"/>
  <c r="R443"/>
  <c r="S443" s="1"/>
  <c r="R444"/>
  <c r="R445"/>
  <c r="S445" s="1"/>
  <c r="R446"/>
  <c r="R447"/>
  <c r="S447" s="1"/>
  <c r="R448"/>
  <c r="R449"/>
  <c r="S449" s="1"/>
  <c r="R450"/>
  <c r="R451"/>
  <c r="S451" s="1"/>
  <c r="R452"/>
  <c r="R453"/>
  <c r="S453" s="1"/>
  <c r="R454"/>
  <c r="R455"/>
  <c r="S455" s="1"/>
  <c r="R456"/>
  <c r="R457"/>
  <c r="S457" s="1"/>
  <c r="R458"/>
  <c r="R459"/>
  <c r="S459" s="1"/>
  <c r="R460"/>
  <c r="R461"/>
  <c r="S461" s="1"/>
  <c r="R462"/>
  <c r="R463"/>
  <c r="S463" s="1"/>
  <c r="R464"/>
  <c r="R465"/>
  <c r="S465" s="1"/>
  <c r="R466"/>
  <c r="R467"/>
  <c r="S467" s="1"/>
  <c r="R468"/>
  <c r="R469"/>
  <c r="R470"/>
  <c r="R471"/>
  <c r="R472"/>
  <c r="R473"/>
  <c r="R474"/>
  <c r="R475"/>
  <c r="R476"/>
  <c r="R477"/>
  <c r="R478"/>
  <c r="R479"/>
  <c r="R480"/>
  <c r="R481"/>
  <c r="R482"/>
  <c r="R483"/>
  <c r="R484"/>
  <c r="R485"/>
  <c r="R486"/>
  <c r="R487"/>
  <c r="R488"/>
  <c r="R489"/>
  <c r="R490"/>
  <c r="R491"/>
  <c r="R492"/>
  <c r="R493"/>
  <c r="R494"/>
  <c r="R495"/>
  <c r="R496"/>
  <c r="R497"/>
  <c r="R498"/>
  <c r="R499"/>
  <c r="R500"/>
  <c r="R501"/>
  <c r="R502"/>
  <c r="R503"/>
  <c r="R504"/>
  <c r="R505"/>
  <c r="R506"/>
  <c r="R507"/>
  <c r="R508"/>
  <c r="R509"/>
  <c r="R510"/>
  <c r="R511"/>
  <c r="R512"/>
  <c r="R513"/>
  <c r="R514"/>
  <c r="R515"/>
  <c r="S515" s="1"/>
  <c r="R516"/>
  <c r="R517"/>
  <c r="S517" s="1"/>
  <c r="R518"/>
  <c r="R519"/>
  <c r="S519" s="1"/>
  <c r="R520"/>
  <c r="R521"/>
  <c r="S521" s="1"/>
  <c r="R522"/>
  <c r="R523"/>
  <c r="S523" s="1"/>
  <c r="R524"/>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BM13" i="3"/>
  <c r="A6" i="52"/>
  <c r="B57" i="72" s="1"/>
  <c r="A10" i="52"/>
  <c r="B55" i="72" s="1"/>
  <c r="K4" i="9"/>
  <c r="L22" i="4"/>
  <c r="L20"/>
  <c r="A5" i="62"/>
  <c r="B72" i="72" s="1"/>
  <c r="A4" i="62"/>
  <c r="B70" i="72" s="1"/>
  <c r="F33" i="9"/>
  <c r="B37" i="48"/>
  <c r="B2" i="72" s="1"/>
  <c r="B13" i="53"/>
  <c r="B29" i="72" s="1"/>
  <c r="R35" i="4"/>
  <c r="Q35"/>
  <c r="P35"/>
  <c r="O35"/>
  <c r="N35"/>
  <c r="M35"/>
  <c r="L35"/>
  <c r="K34"/>
  <c r="T34" s="1"/>
  <c r="G13" i="1"/>
  <c r="G11"/>
  <c r="I15" i="4"/>
  <c r="H15"/>
  <c r="G15"/>
  <c r="E15"/>
  <c r="D15"/>
  <c r="L21"/>
  <c r="F19"/>
  <c r="F2" i="52"/>
  <c r="B50" i="72" s="1"/>
  <c r="D2" i="52"/>
  <c r="B46" i="72" s="1"/>
  <c r="B8" i="53"/>
  <c r="B23" i="72" s="1"/>
  <c r="L4" i="9"/>
  <c r="B17" i="72"/>
  <c r="B15"/>
  <c r="A3" i="51"/>
  <c r="C8" i="11"/>
  <c r="B2" i="49"/>
  <c r="B23" s="1"/>
  <c r="G4" i="4" s="1"/>
  <c r="K5" s="1"/>
  <c r="B47" i="48" s="1"/>
  <c r="B40"/>
  <c r="B3" i="72" s="1"/>
  <c r="I2" i="43"/>
  <c r="N1" s="1"/>
  <c r="F35" i="4"/>
  <c r="J55" i="39" s="1"/>
  <c r="H34" i="43"/>
  <c r="H35"/>
  <c r="H36"/>
  <c r="H37"/>
  <c r="H38"/>
  <c r="H39"/>
  <c r="H33"/>
  <c r="J20"/>
  <c r="P17"/>
  <c r="O17"/>
  <c r="N17"/>
  <c r="G20" s="1"/>
  <c r="M17"/>
  <c r="C18"/>
  <c r="F15"/>
  <c r="E15"/>
  <c r="D15"/>
  <c r="C15"/>
  <c r="C10"/>
  <c r="C11" s="1"/>
  <c r="C9"/>
  <c r="A7"/>
  <c r="F33" i="15"/>
  <c r="F61" s="1"/>
  <c r="M19"/>
  <c r="BR13" i="3"/>
  <c r="M10" i="1"/>
  <c r="O10" s="1"/>
  <c r="B22"/>
  <c r="B23"/>
  <c r="B24"/>
  <c r="B43"/>
  <c r="BQ13" i="3"/>
  <c r="BQ14"/>
  <c r="BQ15"/>
  <c r="BQ16"/>
  <c r="BQ17"/>
  <c r="BS13"/>
  <c r="BS14"/>
  <c r="BS15"/>
  <c r="BS16"/>
  <c r="BS17"/>
  <c r="BR14"/>
  <c r="BR15"/>
  <c r="BR16"/>
  <c r="BR17"/>
  <c r="BT13"/>
  <c r="BT14"/>
  <c r="BT15"/>
  <c r="BT16"/>
  <c r="BT17"/>
  <c r="BM14"/>
  <c r="BM15"/>
  <c r="BL15" s="1"/>
  <c r="BM16"/>
  <c r="BM17"/>
  <c r="BO13"/>
  <c r="BO14"/>
  <c r="BO15"/>
  <c r="BO16"/>
  <c r="BO17"/>
  <c r="BN13"/>
  <c r="BN14"/>
  <c r="BN15"/>
  <c r="BN16"/>
  <c r="BL16" s="1"/>
  <c r="BN17"/>
  <c r="BP13"/>
  <c r="BP14"/>
  <c r="BP15"/>
  <c r="BP16"/>
  <c r="BP17"/>
  <c r="E19" i="6"/>
  <c r="K6" i="1" s="1"/>
  <c r="E20" i="6"/>
  <c r="E21"/>
  <c r="K8" i="1" s="1"/>
  <c r="M8" s="1"/>
  <c r="F23" i="15"/>
  <c r="D24" s="1"/>
  <c r="O8" i="1"/>
  <c r="P8" s="1"/>
  <c r="M13"/>
  <c r="O13" s="1"/>
  <c r="P13" s="1"/>
  <c r="E22" i="6"/>
  <c r="M18" i="80" s="1"/>
  <c r="B118" s="1"/>
  <c r="E23" i="6"/>
  <c r="E24"/>
  <c r="E25"/>
  <c r="E26"/>
  <c r="BB13" i="3"/>
  <c r="BC13"/>
  <c r="BD13"/>
  <c r="BE13"/>
  <c r="BF13"/>
  <c r="BG13"/>
  <c r="BH13"/>
  <c r="BI13"/>
  <c r="BJ13"/>
  <c r="BK13"/>
  <c r="BB14"/>
  <c r="BC14"/>
  <c r="BD14"/>
  <c r="BE14"/>
  <c r="BF14"/>
  <c r="BG14"/>
  <c r="BH14"/>
  <c r="BI14"/>
  <c r="BJ14"/>
  <c r="BK14"/>
  <c r="BB15"/>
  <c r="BC15"/>
  <c r="BD15"/>
  <c r="BE15"/>
  <c r="BF15"/>
  <c r="BG15"/>
  <c r="BH15"/>
  <c r="BI15"/>
  <c r="BJ15"/>
  <c r="BK15"/>
  <c r="BB16"/>
  <c r="BC16"/>
  <c r="BD16"/>
  <c r="BE16"/>
  <c r="BF16"/>
  <c r="BG16"/>
  <c r="BH16"/>
  <c r="BI16"/>
  <c r="BJ16"/>
  <c r="BK16"/>
  <c r="BB17"/>
  <c r="BC17"/>
  <c r="BD17"/>
  <c r="BE17"/>
  <c r="BF17"/>
  <c r="BG17"/>
  <c r="BH17"/>
  <c r="BI17"/>
  <c r="BJ17"/>
  <c r="BK17"/>
  <c r="BC10"/>
  <c r="BD10"/>
  <c r="BB10"/>
  <c r="H13"/>
  <c r="AC13"/>
  <c r="H14"/>
  <c r="AC14"/>
  <c r="H15"/>
  <c r="AC15"/>
  <c r="H16"/>
  <c r="AC16"/>
  <c r="H17"/>
  <c r="AC17"/>
  <c r="AT5"/>
  <c r="I5"/>
  <c r="AD5"/>
  <c r="AH5"/>
  <c r="AL5"/>
  <c r="AP5"/>
  <c r="F35" i="11"/>
  <c r="F36"/>
  <c r="F38"/>
  <c r="E37"/>
  <c r="F20"/>
  <c r="F21"/>
  <c r="C21" s="1"/>
  <c r="F7"/>
  <c r="C7" s="1"/>
  <c r="C5" s="1"/>
  <c r="F12" i="12"/>
  <c r="F13"/>
  <c r="F15"/>
  <c r="E14"/>
  <c r="BC11" i="3"/>
  <c r="BD11"/>
  <c r="BB11"/>
  <c r="E19" i="12"/>
  <c r="E20"/>
  <c r="E17"/>
  <c r="F22"/>
  <c r="F23"/>
  <c r="F24"/>
  <c r="C17" i="9"/>
  <c r="D17"/>
  <c r="I55"/>
  <c r="F55" s="1"/>
  <c r="O53" s="1"/>
  <c r="D89"/>
  <c r="G12" i="1"/>
  <c r="J55" i="9"/>
  <c r="B31" i="1"/>
  <c r="B52"/>
  <c r="T4"/>
  <c r="F15" i="15"/>
  <c r="F17"/>
  <c r="F18"/>
  <c r="F20"/>
  <c r="F21"/>
  <c r="D3" i="35"/>
  <c r="E59" i="9"/>
  <c r="N55" s="1"/>
  <c r="K55"/>
  <c r="F59"/>
  <c r="N54"/>
  <c r="N53"/>
  <c r="E48"/>
  <c r="N52" s="1"/>
  <c r="O55"/>
  <c r="F56"/>
  <c r="O54" s="1"/>
  <c r="D101"/>
  <c r="C101"/>
  <c r="H104"/>
  <c r="D10" i="53" s="1"/>
  <c r="B26" i="72" s="1"/>
  <c r="C30" i="40"/>
  <c r="C28"/>
  <c r="C23" i="39"/>
  <c r="C19" i="40"/>
  <c r="D27" i="9"/>
  <c r="D30" s="1"/>
  <c r="C30" s="1"/>
  <c r="B30"/>
  <c r="C25" s="1"/>
  <c r="D77"/>
  <c r="E90"/>
  <c r="H77"/>
  <c r="H105"/>
  <c r="D11" i="53" s="1"/>
  <c r="B27" i="72" s="1"/>
  <c r="H106" i="9"/>
  <c r="D12" i="53" s="1"/>
  <c r="B28" i="72" s="1"/>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Q25"/>
  <c r="O25"/>
  <c r="M25"/>
  <c r="K25"/>
  <c r="G25"/>
  <c r="E25"/>
  <c r="S422"/>
  <c r="S420"/>
  <c r="S418"/>
  <c r="S416"/>
  <c r="S414"/>
  <c r="S412"/>
  <c r="S410"/>
  <c r="S408"/>
  <c r="S406"/>
  <c r="S404"/>
  <c r="S402"/>
  <c r="S400"/>
  <c r="S398"/>
  <c r="S396"/>
  <c r="S394"/>
  <c r="S392"/>
  <c r="S390"/>
  <c r="S388"/>
  <c r="S386"/>
  <c r="S384"/>
  <c r="S382"/>
  <c r="S380"/>
  <c r="S378"/>
  <c r="S376"/>
  <c r="S374"/>
  <c r="S372"/>
  <c r="S370"/>
  <c r="S368"/>
  <c r="S366"/>
  <c r="S364"/>
  <c r="S362"/>
  <c r="S360"/>
  <c r="S358"/>
  <c r="S356"/>
  <c r="S354"/>
  <c r="S352"/>
  <c r="S350"/>
  <c r="S348"/>
  <c r="S346"/>
  <c r="S344"/>
  <c r="S342"/>
  <c r="S340"/>
  <c r="S338"/>
  <c r="S336"/>
  <c r="S334"/>
  <c r="S332"/>
  <c r="S330"/>
  <c r="S328"/>
  <c r="S326"/>
  <c r="S324"/>
  <c r="S322"/>
  <c r="S424"/>
  <c r="S320"/>
  <c r="S318"/>
  <c r="S316"/>
  <c r="S314"/>
  <c r="S312"/>
  <c r="S310"/>
  <c r="S308"/>
  <c r="S306"/>
  <c r="S304"/>
  <c r="S302"/>
  <c r="S300"/>
  <c r="S298"/>
  <c r="S296"/>
  <c r="S294"/>
  <c r="S292"/>
  <c r="S290"/>
  <c r="S288"/>
  <c r="S286"/>
  <c r="S284"/>
  <c r="S282"/>
  <c r="S280"/>
  <c r="S278"/>
  <c r="S276"/>
  <c r="S274"/>
  <c r="S272"/>
  <c r="S270"/>
  <c r="S268"/>
  <c r="S266"/>
  <c r="S264"/>
  <c r="S262"/>
  <c r="S260"/>
  <c r="S258"/>
  <c r="S256"/>
  <c r="S254"/>
  <c r="S253"/>
  <c r="S252"/>
  <c r="S251"/>
  <c r="S250"/>
  <c r="S249"/>
  <c r="S248"/>
  <c r="S247"/>
  <c r="S246"/>
  <c r="S245"/>
  <c r="S244"/>
  <c r="S243"/>
  <c r="S242"/>
  <c r="S241"/>
  <c r="S240"/>
  <c r="S239"/>
  <c r="S238"/>
  <c r="S237"/>
  <c r="S236"/>
  <c r="S235"/>
  <c r="S234"/>
  <c r="S233"/>
  <c r="S232"/>
  <c r="S231"/>
  <c r="S230"/>
  <c r="S229"/>
  <c r="S228"/>
  <c r="S227"/>
  <c r="S226"/>
  <c r="S225"/>
  <c r="S224"/>
  <c r="S223"/>
  <c r="S428"/>
  <c r="S426"/>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124"/>
  <c r="S497"/>
  <c r="S496"/>
  <c r="S495"/>
  <c r="S494"/>
  <c r="S493"/>
  <c r="S492"/>
  <c r="S491"/>
  <c r="S490"/>
  <c r="S489"/>
  <c r="S488"/>
  <c r="S487"/>
  <c r="S486"/>
  <c r="S485"/>
  <c r="S484"/>
  <c r="S483"/>
  <c r="S482"/>
  <c r="S481"/>
  <c r="S480"/>
  <c r="S479"/>
  <c r="S478"/>
  <c r="S477"/>
  <c r="S476"/>
  <c r="S475"/>
  <c r="S474"/>
  <c r="S473"/>
  <c r="S472"/>
  <c r="S471"/>
  <c r="S470"/>
  <c r="S469"/>
  <c r="S468"/>
  <c r="S444"/>
  <c r="S442"/>
  <c r="S440"/>
  <c r="S438"/>
  <c r="S436"/>
  <c r="S434"/>
  <c r="S432"/>
  <c r="S430"/>
  <c r="S122"/>
  <c r="S121"/>
  <c r="S120"/>
  <c r="S119"/>
  <c r="S118"/>
  <c r="S117"/>
  <c r="S116"/>
  <c r="S115"/>
  <c r="S114"/>
  <c r="S113"/>
  <c r="S112"/>
  <c r="S506"/>
  <c r="S504"/>
  <c r="S502"/>
  <c r="S500"/>
  <c r="S498"/>
  <c r="S466"/>
  <c r="S464"/>
  <c r="S462"/>
  <c r="S460"/>
  <c r="S458"/>
  <c r="S456"/>
  <c r="S454"/>
  <c r="S452"/>
  <c r="S450"/>
  <c r="S54"/>
  <c r="S53"/>
  <c r="S52"/>
  <c r="S51"/>
  <c r="S50"/>
  <c r="S49"/>
  <c r="S48"/>
  <c r="S47"/>
  <c r="S46"/>
  <c r="S45"/>
  <c r="S44"/>
  <c r="S43"/>
  <c r="S42"/>
  <c r="S77"/>
  <c r="S76"/>
  <c r="S75"/>
  <c r="S74"/>
  <c r="S73"/>
  <c r="S72"/>
  <c r="S71"/>
  <c r="S70"/>
  <c r="S69"/>
  <c r="S68"/>
  <c r="S67"/>
  <c r="S66"/>
  <c r="S65"/>
  <c r="S64"/>
  <c r="S63"/>
  <c r="S62"/>
  <c r="S61"/>
  <c r="S60"/>
  <c r="S59"/>
  <c r="S58"/>
  <c r="S57"/>
  <c r="S56"/>
  <c r="S55"/>
  <c r="S96"/>
  <c r="S94"/>
  <c r="S92"/>
  <c r="S90"/>
  <c r="S88"/>
  <c r="S86"/>
  <c r="S84"/>
  <c r="S82"/>
  <c r="S80"/>
  <c r="S78"/>
  <c r="S98"/>
  <c r="S99"/>
  <c r="S100"/>
  <c r="S101"/>
  <c r="S102"/>
  <c r="S103"/>
  <c r="S104"/>
  <c r="S105"/>
  <c r="S106"/>
  <c r="S107"/>
  <c r="S108"/>
  <c r="S109"/>
  <c r="S110"/>
  <c r="S111"/>
  <c r="S446"/>
  <c r="S448"/>
  <c r="S507"/>
  <c r="S508"/>
  <c r="S509"/>
  <c r="S510"/>
  <c r="S511"/>
  <c r="S512"/>
  <c r="S513"/>
  <c r="S514"/>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E54"/>
  <c r="H493" i="3"/>
  <c r="AC493"/>
  <c r="BB493"/>
  <c r="BC493"/>
  <c r="BD493"/>
  <c r="BE493"/>
  <c r="BF493"/>
  <c r="BG493"/>
  <c r="BH493"/>
  <c r="BI493"/>
  <c r="BJ493"/>
  <c r="BK493"/>
  <c r="BM493"/>
  <c r="BN493"/>
  <c r="BO493"/>
  <c r="BP493"/>
  <c r="BR493"/>
  <c r="BS493"/>
  <c r="BT493"/>
  <c r="H494"/>
  <c r="AC494"/>
  <c r="BB494"/>
  <c r="BC494"/>
  <c r="BD494"/>
  <c r="BE494"/>
  <c r="BF494"/>
  <c r="BG494"/>
  <c r="BH494"/>
  <c r="BI494"/>
  <c r="BJ494"/>
  <c r="BK494"/>
  <c r="BM494"/>
  <c r="BN494"/>
  <c r="BO494"/>
  <c r="BP494"/>
  <c r="BQ494"/>
  <c r="BR494"/>
  <c r="BS494"/>
  <c r="BT494"/>
  <c r="H495"/>
  <c r="AC495"/>
  <c r="BB495"/>
  <c r="BC495"/>
  <c r="BD495"/>
  <c r="BE495"/>
  <c r="BF495"/>
  <c r="BG495"/>
  <c r="BH495"/>
  <c r="BI495"/>
  <c r="BJ495"/>
  <c r="BK495"/>
  <c r="BM495"/>
  <c r="BN495"/>
  <c r="BO495"/>
  <c r="BP495"/>
  <c r="BR495"/>
  <c r="BS495"/>
  <c r="BT495"/>
  <c r="H496"/>
  <c r="AC496"/>
  <c r="BB496"/>
  <c r="BC496"/>
  <c r="BD496"/>
  <c r="BE496"/>
  <c r="BF496"/>
  <c r="BG496"/>
  <c r="BH496"/>
  <c r="BI496"/>
  <c r="BJ496"/>
  <c r="BK496"/>
  <c r="BM496"/>
  <c r="BN496"/>
  <c r="BO496"/>
  <c r="BP496"/>
  <c r="BQ496"/>
  <c r="BR496"/>
  <c r="BS496"/>
  <c r="BT496"/>
  <c r="H497"/>
  <c r="AC497"/>
  <c r="BB497"/>
  <c r="BC497"/>
  <c r="BD497"/>
  <c r="BE497"/>
  <c r="BF497"/>
  <c r="BG497"/>
  <c r="BH497"/>
  <c r="BI497"/>
  <c r="BJ497"/>
  <c r="BK497"/>
  <c r="BM497"/>
  <c r="BN497"/>
  <c r="BO497"/>
  <c r="BP497"/>
  <c r="BR497"/>
  <c r="BS497"/>
  <c r="BT497"/>
  <c r="H498"/>
  <c r="AC498"/>
  <c r="BB498"/>
  <c r="BC498"/>
  <c r="BD498"/>
  <c r="BE498"/>
  <c r="BF498"/>
  <c r="BG498"/>
  <c r="BH498"/>
  <c r="BI498"/>
  <c r="BJ498"/>
  <c r="BK498"/>
  <c r="BM498"/>
  <c r="BN498"/>
  <c r="BO498"/>
  <c r="BP498"/>
  <c r="BQ498"/>
  <c r="BR498"/>
  <c r="BS498"/>
  <c r="BT498"/>
  <c r="H499"/>
  <c r="AC499"/>
  <c r="BB499"/>
  <c r="BC499"/>
  <c r="BD499"/>
  <c r="BE499"/>
  <c r="BF499"/>
  <c r="BG499"/>
  <c r="BH499"/>
  <c r="BI499"/>
  <c r="BJ499"/>
  <c r="BK499"/>
  <c r="BM499"/>
  <c r="BN499"/>
  <c r="BO499"/>
  <c r="BP499"/>
  <c r="BR499"/>
  <c r="BS499"/>
  <c r="BT499"/>
  <c r="H500"/>
  <c r="AC500"/>
  <c r="BB500"/>
  <c r="BC500"/>
  <c r="BD500"/>
  <c r="BE500"/>
  <c r="BF500"/>
  <c r="BG500"/>
  <c r="BH500"/>
  <c r="BI500"/>
  <c r="BJ500"/>
  <c r="BK500"/>
  <c r="BM500"/>
  <c r="BN500"/>
  <c r="BO500"/>
  <c r="BP500"/>
  <c r="BQ500"/>
  <c r="BR500"/>
  <c r="BS500"/>
  <c r="BT500"/>
  <c r="H501"/>
  <c r="AC501"/>
  <c r="BB501"/>
  <c r="BC501"/>
  <c r="BD501"/>
  <c r="BE501"/>
  <c r="BF501"/>
  <c r="BG501"/>
  <c r="BH501"/>
  <c r="BI501"/>
  <c r="BJ501"/>
  <c r="BK501"/>
  <c r="BM501"/>
  <c r="BN501"/>
  <c r="BO501"/>
  <c r="BP501"/>
  <c r="BR501"/>
  <c r="BS501"/>
  <c r="BT501"/>
  <c r="H502"/>
  <c r="AC502"/>
  <c r="BB502"/>
  <c r="BC502"/>
  <c r="BD502"/>
  <c r="BE502"/>
  <c r="BF502"/>
  <c r="BG502"/>
  <c r="BH502"/>
  <c r="BI502"/>
  <c r="BJ502"/>
  <c r="BK502"/>
  <c r="BM502"/>
  <c r="BN502"/>
  <c r="BO502"/>
  <c r="BP502"/>
  <c r="BQ502"/>
  <c r="BR502"/>
  <c r="BS502"/>
  <c r="BT502"/>
  <c r="H503"/>
  <c r="AC503"/>
  <c r="BB503"/>
  <c r="BC503"/>
  <c r="BD503"/>
  <c r="BE503"/>
  <c r="BF503"/>
  <c r="BG503"/>
  <c r="BH503"/>
  <c r="BI503"/>
  <c r="BJ503"/>
  <c r="BK503"/>
  <c r="BM503"/>
  <c r="BN503"/>
  <c r="BO503"/>
  <c r="BP503"/>
  <c r="BR503"/>
  <c r="BS503"/>
  <c r="BT503"/>
  <c r="H504"/>
  <c r="AC504"/>
  <c r="BB504"/>
  <c r="BC504"/>
  <c r="BD504"/>
  <c r="BE504"/>
  <c r="BF504"/>
  <c r="BG504"/>
  <c r="BH504"/>
  <c r="BI504"/>
  <c r="BJ504"/>
  <c r="BK504"/>
  <c r="BM504"/>
  <c r="BN504"/>
  <c r="BO504"/>
  <c r="BP504"/>
  <c r="BQ504"/>
  <c r="BR504"/>
  <c r="BS504"/>
  <c r="BT504"/>
  <c r="H505"/>
  <c r="AC505"/>
  <c r="BB505"/>
  <c r="BC505"/>
  <c r="BD505"/>
  <c r="BE505"/>
  <c r="BF505"/>
  <c r="BG505"/>
  <c r="BH505"/>
  <c r="BI505"/>
  <c r="BJ505"/>
  <c r="BK505"/>
  <c r="BM505"/>
  <c r="BN505"/>
  <c r="BO505"/>
  <c r="BP505"/>
  <c r="BR505"/>
  <c r="BS505"/>
  <c r="BT505"/>
  <c r="H506"/>
  <c r="AC506"/>
  <c r="BB506"/>
  <c r="BC506"/>
  <c r="BD506"/>
  <c r="BE506"/>
  <c r="BF506"/>
  <c r="BG506"/>
  <c r="BH506"/>
  <c r="BI506"/>
  <c r="BJ506"/>
  <c r="BK506"/>
  <c r="BM506"/>
  <c r="BN506"/>
  <c r="BO506"/>
  <c r="BP506"/>
  <c r="BQ506"/>
  <c r="BR506"/>
  <c r="BS506"/>
  <c r="BT506"/>
  <c r="H507"/>
  <c r="AC507"/>
  <c r="BB507"/>
  <c r="BC507"/>
  <c r="BD507"/>
  <c r="BE507"/>
  <c r="BF507"/>
  <c r="BG507"/>
  <c r="BH507"/>
  <c r="BI507"/>
  <c r="BJ507"/>
  <c r="BK507"/>
  <c r="BM507"/>
  <c r="BN507"/>
  <c r="BO507"/>
  <c r="BP507"/>
  <c r="BR507"/>
  <c r="BS507"/>
  <c r="BT507"/>
  <c r="H508"/>
  <c r="AC508"/>
  <c r="BB508"/>
  <c r="BC508"/>
  <c r="BD508"/>
  <c r="BE508"/>
  <c r="BF508"/>
  <c r="BG508"/>
  <c r="BH508"/>
  <c r="BI508"/>
  <c r="BJ508"/>
  <c r="BK508"/>
  <c r="BM508"/>
  <c r="BN508"/>
  <c r="BO508"/>
  <c r="BP508"/>
  <c r="BQ508"/>
  <c r="BR508"/>
  <c r="BS508"/>
  <c r="BT508"/>
  <c r="H509"/>
  <c r="BB509"/>
  <c r="BC509"/>
  <c r="BD509"/>
  <c r="BE509"/>
  <c r="BF509"/>
  <c r="BG509"/>
  <c r="BH509"/>
  <c r="BI509"/>
  <c r="BJ509"/>
  <c r="BK509"/>
  <c r="BM509"/>
  <c r="BN509"/>
  <c r="BO509"/>
  <c r="BP509"/>
  <c r="BR509"/>
  <c r="BS509"/>
  <c r="BT509"/>
  <c r="H510"/>
  <c r="AC510"/>
  <c r="BB510"/>
  <c r="BC510"/>
  <c r="BD510"/>
  <c r="BE510"/>
  <c r="BF510"/>
  <c r="BG510"/>
  <c r="BH510"/>
  <c r="BI510"/>
  <c r="BJ510"/>
  <c r="BK510"/>
  <c r="BM510"/>
  <c r="BN510"/>
  <c r="BO510"/>
  <c r="BP510"/>
  <c r="BQ510"/>
  <c r="BR510"/>
  <c r="BS510"/>
  <c r="BT510"/>
  <c r="H511"/>
  <c r="AC511"/>
  <c r="BB511"/>
  <c r="BC511"/>
  <c r="BD511"/>
  <c r="BE511"/>
  <c r="BF511"/>
  <c r="BG511"/>
  <c r="BH511"/>
  <c r="BI511"/>
  <c r="BJ511"/>
  <c r="BK511"/>
  <c r="BM511"/>
  <c r="BN511"/>
  <c r="BO511"/>
  <c r="BP511"/>
  <c r="BR511"/>
  <c r="BS511"/>
  <c r="BT511"/>
  <c r="H512"/>
  <c r="AC512"/>
  <c r="BB512"/>
  <c r="BC512"/>
  <c r="BD512"/>
  <c r="BE512"/>
  <c r="BF512"/>
  <c r="BG512"/>
  <c r="BH512"/>
  <c r="BI512"/>
  <c r="BJ512"/>
  <c r="BK512"/>
  <c r="BM512"/>
  <c r="BN512"/>
  <c r="BO512"/>
  <c r="BP512"/>
  <c r="BQ512"/>
  <c r="BR512"/>
  <c r="BS512"/>
  <c r="BT512"/>
  <c r="H513"/>
  <c r="AC513"/>
  <c r="BB513"/>
  <c r="BC513"/>
  <c r="BD513"/>
  <c r="BE513"/>
  <c r="BF513"/>
  <c r="BG513"/>
  <c r="BH513"/>
  <c r="BI513"/>
  <c r="BJ513"/>
  <c r="BK513"/>
  <c r="BM513"/>
  <c r="BN513"/>
  <c r="BO513"/>
  <c r="BP513"/>
  <c r="BR513"/>
  <c r="BS513"/>
  <c r="BT513"/>
  <c r="H514"/>
  <c r="AC514"/>
  <c r="BB514"/>
  <c r="BC514"/>
  <c r="BD514"/>
  <c r="BE514"/>
  <c r="BF514"/>
  <c r="BG514"/>
  <c r="BH514"/>
  <c r="BI514"/>
  <c r="BJ514"/>
  <c r="BK514"/>
  <c r="BM514"/>
  <c r="BN514"/>
  <c r="BO514"/>
  <c r="BP514"/>
  <c r="BQ514"/>
  <c r="BR514"/>
  <c r="BS514"/>
  <c r="BT514"/>
  <c r="H515"/>
  <c r="AC515"/>
  <c r="BB515"/>
  <c r="BC515"/>
  <c r="BD515"/>
  <c r="BE515"/>
  <c r="BF515"/>
  <c r="BG515"/>
  <c r="BH515"/>
  <c r="BI515"/>
  <c r="BJ515"/>
  <c r="BK515"/>
  <c r="BM515"/>
  <c r="BN515"/>
  <c r="BO515"/>
  <c r="BP515"/>
  <c r="BR515"/>
  <c r="BS515"/>
  <c r="BT515"/>
  <c r="H516"/>
  <c r="AC516"/>
  <c r="BB516"/>
  <c r="BC516"/>
  <c r="BD516"/>
  <c r="BE516"/>
  <c r="BF516"/>
  <c r="BG516"/>
  <c r="BH516"/>
  <c r="BI516"/>
  <c r="BJ516"/>
  <c r="BK516"/>
  <c r="BM516"/>
  <c r="BN516"/>
  <c r="BO516"/>
  <c r="BP516"/>
  <c r="BQ516"/>
  <c r="BR516"/>
  <c r="BS516"/>
  <c r="BT516"/>
  <c r="H517"/>
  <c r="AC517"/>
  <c r="BB517"/>
  <c r="BC517"/>
  <c r="BD517"/>
  <c r="BE517"/>
  <c r="BF517"/>
  <c r="BG517"/>
  <c r="BH517"/>
  <c r="BI517"/>
  <c r="BJ517"/>
  <c r="BK517"/>
  <c r="BM517"/>
  <c r="BN517"/>
  <c r="BO517"/>
  <c r="BP517"/>
  <c r="BR517"/>
  <c r="BS517"/>
  <c r="BT517"/>
  <c r="H518"/>
  <c r="AC518"/>
  <c r="BB518"/>
  <c r="BC518"/>
  <c r="BD518"/>
  <c r="BE518"/>
  <c r="BF518"/>
  <c r="BG518"/>
  <c r="BH518"/>
  <c r="BI518"/>
  <c r="BJ518"/>
  <c r="BK518"/>
  <c r="BM518"/>
  <c r="BN518"/>
  <c r="BO518"/>
  <c r="BP518"/>
  <c r="BQ518"/>
  <c r="BR518"/>
  <c r="BS518"/>
  <c r="BT518"/>
  <c r="H519"/>
  <c r="AC519"/>
  <c r="BB519"/>
  <c r="BC519"/>
  <c r="BD519"/>
  <c r="BE519"/>
  <c r="BF519"/>
  <c r="BG519"/>
  <c r="BH519"/>
  <c r="BI519"/>
  <c r="BJ519"/>
  <c r="BK519"/>
  <c r="BM519"/>
  <c r="BN519"/>
  <c r="BO519"/>
  <c r="BP519"/>
  <c r="BR519"/>
  <c r="BS519"/>
  <c r="BT519"/>
  <c r="H520"/>
  <c r="AC520"/>
  <c r="BB520"/>
  <c r="BC520"/>
  <c r="BD520"/>
  <c r="BE520"/>
  <c r="BF520"/>
  <c r="BG520"/>
  <c r="BH520"/>
  <c r="BI520"/>
  <c r="BJ520"/>
  <c r="BK520"/>
  <c r="BM520"/>
  <c r="BN520"/>
  <c r="BO520"/>
  <c r="BP520"/>
  <c r="BQ520"/>
  <c r="BR520"/>
  <c r="BS520"/>
  <c r="BT520"/>
  <c r="H521"/>
  <c r="BB521"/>
  <c r="BC521"/>
  <c r="BD521"/>
  <c r="BE521"/>
  <c r="BF521"/>
  <c r="BG521"/>
  <c r="BH521"/>
  <c r="BI521"/>
  <c r="BJ521"/>
  <c r="BK521"/>
  <c r="BM521"/>
  <c r="BN521"/>
  <c r="BO521"/>
  <c r="BP521"/>
  <c r="BR521"/>
  <c r="BS521"/>
  <c r="BT521"/>
  <c r="H522"/>
  <c r="AC522"/>
  <c r="BB522"/>
  <c r="BC522"/>
  <c r="BD522"/>
  <c r="BE522"/>
  <c r="BF522"/>
  <c r="BG522"/>
  <c r="BH522"/>
  <c r="BI522"/>
  <c r="BJ522"/>
  <c r="BK522"/>
  <c r="BM522"/>
  <c r="BN522"/>
  <c r="BO522"/>
  <c r="BP522"/>
  <c r="BQ522"/>
  <c r="BR522"/>
  <c r="BS522"/>
  <c r="BT522"/>
  <c r="H523"/>
  <c r="AC523"/>
  <c r="BB523"/>
  <c r="BC523"/>
  <c r="BD523"/>
  <c r="BE523"/>
  <c r="BF523"/>
  <c r="BG523"/>
  <c r="BH523"/>
  <c r="BI523"/>
  <c r="BJ523"/>
  <c r="BK523"/>
  <c r="BM523"/>
  <c r="BN523"/>
  <c r="BO523"/>
  <c r="BP523"/>
  <c r="BR523"/>
  <c r="BS523"/>
  <c r="BT523"/>
  <c r="H524"/>
  <c r="AC524"/>
  <c r="BB524"/>
  <c r="BC524"/>
  <c r="BD524"/>
  <c r="BE524"/>
  <c r="BF524"/>
  <c r="BG524"/>
  <c r="BH524"/>
  <c r="BI524"/>
  <c r="BJ524"/>
  <c r="BK524"/>
  <c r="BM524"/>
  <c r="BN524"/>
  <c r="BO524"/>
  <c r="BP524"/>
  <c r="BQ524"/>
  <c r="BR524"/>
  <c r="BS524"/>
  <c r="BT524"/>
  <c r="H525"/>
  <c r="AC525"/>
  <c r="BB525"/>
  <c r="BC525"/>
  <c r="BD525"/>
  <c r="BE525"/>
  <c r="BF525"/>
  <c r="BG525"/>
  <c r="BH525"/>
  <c r="BI525"/>
  <c r="BJ525"/>
  <c r="BK525"/>
  <c r="BM525"/>
  <c r="BN525"/>
  <c r="BO525"/>
  <c r="BP525"/>
  <c r="BR525"/>
  <c r="BS525"/>
  <c r="BT525"/>
  <c r="H526"/>
  <c r="AC526"/>
  <c r="G526"/>
  <c r="BB526"/>
  <c r="BC526"/>
  <c r="BD526"/>
  <c r="BE526"/>
  <c r="BF526"/>
  <c r="BG526"/>
  <c r="BH526"/>
  <c r="BI526"/>
  <c r="BJ526"/>
  <c r="BK526"/>
  <c r="BM526"/>
  <c r="BN526"/>
  <c r="BO526"/>
  <c r="BP526"/>
  <c r="BQ526"/>
  <c r="BR526"/>
  <c r="BS526"/>
  <c r="BT526"/>
  <c r="H527"/>
  <c r="AC527"/>
  <c r="BB527"/>
  <c r="BC527"/>
  <c r="BD527"/>
  <c r="BE527"/>
  <c r="BF527"/>
  <c r="BG527"/>
  <c r="BH527"/>
  <c r="BI527"/>
  <c r="BJ527"/>
  <c r="BK527"/>
  <c r="BM527"/>
  <c r="BN527"/>
  <c r="BO527"/>
  <c r="BP527"/>
  <c r="BR527"/>
  <c r="BS527"/>
  <c r="BT527"/>
  <c r="H528"/>
  <c r="AC528"/>
  <c r="BB528"/>
  <c r="BC528"/>
  <c r="BD528"/>
  <c r="BE528"/>
  <c r="BF528"/>
  <c r="BG528"/>
  <c r="BH528"/>
  <c r="BI528"/>
  <c r="BJ528"/>
  <c r="BK528"/>
  <c r="BM528"/>
  <c r="BN528"/>
  <c r="BO528"/>
  <c r="BP528"/>
  <c r="BQ528"/>
  <c r="BR528"/>
  <c r="BS528"/>
  <c r="BT528"/>
  <c r="H529"/>
  <c r="AC529"/>
  <c r="BB529"/>
  <c r="BC529"/>
  <c r="BD529"/>
  <c r="BE529"/>
  <c r="BF529"/>
  <c r="BG529"/>
  <c r="BH529"/>
  <c r="BI529"/>
  <c r="BJ529"/>
  <c r="BK529"/>
  <c r="BM529"/>
  <c r="BN529"/>
  <c r="BO529"/>
  <c r="BP529"/>
  <c r="BR529"/>
  <c r="BS529"/>
  <c r="BT529"/>
  <c r="H530"/>
  <c r="AC530"/>
  <c r="BB530"/>
  <c r="BC530"/>
  <c r="BD530"/>
  <c r="BE530"/>
  <c r="BF530"/>
  <c r="BG530"/>
  <c r="BH530"/>
  <c r="BI530"/>
  <c r="BJ530"/>
  <c r="BK530"/>
  <c r="BM530"/>
  <c r="BN530"/>
  <c r="BO530"/>
  <c r="BP530"/>
  <c r="BQ530"/>
  <c r="BR530"/>
  <c r="BS530"/>
  <c r="BT530"/>
  <c r="H531"/>
  <c r="AC531"/>
  <c r="BB531"/>
  <c r="BC531"/>
  <c r="BD531"/>
  <c r="BE531"/>
  <c r="BF531"/>
  <c r="BG531"/>
  <c r="BH531"/>
  <c r="BI531"/>
  <c r="BJ531"/>
  <c r="BK531"/>
  <c r="BM531"/>
  <c r="BN531"/>
  <c r="BO531"/>
  <c r="BP531"/>
  <c r="BR531"/>
  <c r="BS531"/>
  <c r="BT531"/>
  <c r="H532"/>
  <c r="AC532"/>
  <c r="BB532"/>
  <c r="BC532"/>
  <c r="BD532"/>
  <c r="BE532"/>
  <c r="BF532"/>
  <c r="BG532"/>
  <c r="BH532"/>
  <c r="BI532"/>
  <c r="BJ532"/>
  <c r="BK532"/>
  <c r="BM532"/>
  <c r="BN532"/>
  <c r="BO532"/>
  <c r="BP532"/>
  <c r="BQ532"/>
  <c r="BR532"/>
  <c r="BS532"/>
  <c r="BT532"/>
  <c r="H533"/>
  <c r="AC533"/>
  <c r="BB533"/>
  <c r="BC533"/>
  <c r="BD533"/>
  <c r="BE533"/>
  <c r="BF533"/>
  <c r="BG533"/>
  <c r="BH533"/>
  <c r="BI533"/>
  <c r="BJ533"/>
  <c r="BK533"/>
  <c r="BM533"/>
  <c r="BN533"/>
  <c r="BO533"/>
  <c r="BP533"/>
  <c r="BR533"/>
  <c r="BS533"/>
  <c r="BT533"/>
  <c r="H534"/>
  <c r="AC534"/>
  <c r="BB534"/>
  <c r="BC534"/>
  <c r="BD534"/>
  <c r="BE534"/>
  <c r="BF534"/>
  <c r="BG534"/>
  <c r="BH534"/>
  <c r="BI534"/>
  <c r="BJ534"/>
  <c r="BK534"/>
  <c r="BM534"/>
  <c r="BN534"/>
  <c r="BO534"/>
  <c r="BP534"/>
  <c r="BQ534"/>
  <c r="BR534"/>
  <c r="BS534"/>
  <c r="BT534"/>
  <c r="H535"/>
  <c r="AC535"/>
  <c r="BB535"/>
  <c r="BC535"/>
  <c r="BD535"/>
  <c r="BE535"/>
  <c r="BF535"/>
  <c r="BG535"/>
  <c r="BH535"/>
  <c r="BI535"/>
  <c r="BJ535"/>
  <c r="BK535"/>
  <c r="BM535"/>
  <c r="BN535"/>
  <c r="BO535"/>
  <c r="BP535"/>
  <c r="BR535"/>
  <c r="BS535"/>
  <c r="BT535"/>
  <c r="H536"/>
  <c r="AC536"/>
  <c r="BB536"/>
  <c r="BC536"/>
  <c r="BD536"/>
  <c r="BE536"/>
  <c r="BF536"/>
  <c r="BG536"/>
  <c r="BH536"/>
  <c r="BI536"/>
  <c r="BJ536"/>
  <c r="BK536"/>
  <c r="BM536"/>
  <c r="BN536"/>
  <c r="BO536"/>
  <c r="BP536"/>
  <c r="BQ536"/>
  <c r="BR536"/>
  <c r="BS536"/>
  <c r="BT536"/>
  <c r="H537"/>
  <c r="AC537"/>
  <c r="BB537"/>
  <c r="BC537"/>
  <c r="BD537"/>
  <c r="BE537"/>
  <c r="BF537"/>
  <c r="BG537"/>
  <c r="BH537"/>
  <c r="BI537"/>
  <c r="BJ537"/>
  <c r="BK537"/>
  <c r="BM537"/>
  <c r="BN537"/>
  <c r="BO537"/>
  <c r="BP537"/>
  <c r="BR537"/>
  <c r="BS537"/>
  <c r="BT537"/>
  <c r="H538"/>
  <c r="AC538"/>
  <c r="BB538"/>
  <c r="BC538"/>
  <c r="BD538"/>
  <c r="BE538"/>
  <c r="BF538"/>
  <c r="BG538"/>
  <c r="BH538"/>
  <c r="BI538"/>
  <c r="BJ538"/>
  <c r="BK538"/>
  <c r="BM538"/>
  <c r="BN538"/>
  <c r="BO538"/>
  <c r="BP538"/>
  <c r="BQ538"/>
  <c r="BR538"/>
  <c r="BS538"/>
  <c r="BT538"/>
  <c r="H539"/>
  <c r="AC539"/>
  <c r="BB539"/>
  <c r="BC539"/>
  <c r="BD539"/>
  <c r="BE539"/>
  <c r="BF539"/>
  <c r="BG539"/>
  <c r="BH539"/>
  <c r="BI539"/>
  <c r="BJ539"/>
  <c r="BK539"/>
  <c r="BM539"/>
  <c r="BN539"/>
  <c r="BO539"/>
  <c r="BP539"/>
  <c r="BR539"/>
  <c r="BS539"/>
  <c r="BT539"/>
  <c r="H540"/>
  <c r="AC540"/>
  <c r="BB540"/>
  <c r="BC540"/>
  <c r="BD540"/>
  <c r="BE540"/>
  <c r="BF540"/>
  <c r="BG540"/>
  <c r="BH540"/>
  <c r="BI540"/>
  <c r="BJ540"/>
  <c r="BK540"/>
  <c r="BM540"/>
  <c r="BN540"/>
  <c r="BO540"/>
  <c r="BP540"/>
  <c r="BQ540"/>
  <c r="BR540"/>
  <c r="BS540"/>
  <c r="BT540"/>
  <c r="H541"/>
  <c r="AC541"/>
  <c r="BB541"/>
  <c r="BC541"/>
  <c r="BD541"/>
  <c r="BE541"/>
  <c r="BF541"/>
  <c r="BG541"/>
  <c r="BH541"/>
  <c r="BI541"/>
  <c r="BJ541"/>
  <c r="BK541"/>
  <c r="BM541"/>
  <c r="BN541"/>
  <c r="BO541"/>
  <c r="BP541"/>
  <c r="BR541"/>
  <c r="BS541"/>
  <c r="BT541"/>
  <c r="H542"/>
  <c r="AC542"/>
  <c r="G542" s="1"/>
  <c r="BB542"/>
  <c r="BC542"/>
  <c r="BD542"/>
  <c r="BE542"/>
  <c r="BF542"/>
  <c r="BG542"/>
  <c r="BH542"/>
  <c r="BI542"/>
  <c r="BJ542"/>
  <c r="BK542"/>
  <c r="BM542"/>
  <c r="BN542"/>
  <c r="BO542"/>
  <c r="BP542"/>
  <c r="BQ542"/>
  <c r="BR542"/>
  <c r="BS542"/>
  <c r="BT542"/>
  <c r="H543"/>
  <c r="AC543"/>
  <c r="BB543"/>
  <c r="BC543"/>
  <c r="BD543"/>
  <c r="BE543"/>
  <c r="BF543"/>
  <c r="BG543"/>
  <c r="BH543"/>
  <c r="BI543"/>
  <c r="BJ543"/>
  <c r="BK543"/>
  <c r="BM543"/>
  <c r="BN543"/>
  <c r="BO543"/>
  <c r="BP543"/>
  <c r="BR543"/>
  <c r="BS543"/>
  <c r="BT543"/>
  <c r="H544"/>
  <c r="AC544"/>
  <c r="BB544"/>
  <c r="BC544"/>
  <c r="BD544"/>
  <c r="BE544"/>
  <c r="BF544"/>
  <c r="BG544"/>
  <c r="BH544"/>
  <c r="BI544"/>
  <c r="BJ544"/>
  <c r="BK544"/>
  <c r="BM544"/>
  <c r="BN544"/>
  <c r="BO544"/>
  <c r="BP544"/>
  <c r="BQ544"/>
  <c r="BR544"/>
  <c r="BS544"/>
  <c r="BT544"/>
  <c r="H545"/>
  <c r="AC545"/>
  <c r="BB545"/>
  <c r="BC545"/>
  <c r="BD545"/>
  <c r="BE545"/>
  <c r="BF545"/>
  <c r="BG545"/>
  <c r="BH545"/>
  <c r="BI545"/>
  <c r="BJ545"/>
  <c r="BK545"/>
  <c r="BM545"/>
  <c r="BN545"/>
  <c r="BO545"/>
  <c r="BP545"/>
  <c r="BR545"/>
  <c r="BS545"/>
  <c r="BT545"/>
  <c r="H546"/>
  <c r="AC546"/>
  <c r="BB546"/>
  <c r="BC546"/>
  <c r="BD546"/>
  <c r="BE546"/>
  <c r="BF546"/>
  <c r="BG546"/>
  <c r="BH546"/>
  <c r="BI546"/>
  <c r="BJ546"/>
  <c r="BK546"/>
  <c r="BM546"/>
  <c r="BN546"/>
  <c r="BO546"/>
  <c r="BP546"/>
  <c r="BQ546"/>
  <c r="BR546"/>
  <c r="BS546"/>
  <c r="BT546"/>
  <c r="H547"/>
  <c r="AC547"/>
  <c r="BB547"/>
  <c r="BC547"/>
  <c r="BD547"/>
  <c r="BE547"/>
  <c r="BF547"/>
  <c r="BG547"/>
  <c r="BH547"/>
  <c r="BI547"/>
  <c r="BJ547"/>
  <c r="BK547"/>
  <c r="BM547"/>
  <c r="BN547"/>
  <c r="BO547"/>
  <c r="BP547"/>
  <c r="BR547"/>
  <c r="BS547"/>
  <c r="BT547"/>
  <c r="H548"/>
  <c r="AC548"/>
  <c r="BB548"/>
  <c r="BC548"/>
  <c r="BD548"/>
  <c r="BE548"/>
  <c r="BF548"/>
  <c r="BG548"/>
  <c r="BH548"/>
  <c r="BI548"/>
  <c r="BJ548"/>
  <c r="BK548"/>
  <c r="BM548"/>
  <c r="BN548"/>
  <c r="BL548" s="1"/>
  <c r="BO548"/>
  <c r="BP548"/>
  <c r="BQ548"/>
  <c r="BR548"/>
  <c r="BS548"/>
  <c r="BT548"/>
  <c r="H549"/>
  <c r="AC549"/>
  <c r="BB549"/>
  <c r="BC549"/>
  <c r="BD549"/>
  <c r="BE549"/>
  <c r="BF549"/>
  <c r="BG549"/>
  <c r="BH549"/>
  <c r="BI549"/>
  <c r="BJ549"/>
  <c r="BK549"/>
  <c r="BM549"/>
  <c r="BN549"/>
  <c r="BO549"/>
  <c r="BP549"/>
  <c r="BR549"/>
  <c r="BS549"/>
  <c r="BT549"/>
  <c r="H550"/>
  <c r="AC550"/>
  <c r="BB550"/>
  <c r="BC550"/>
  <c r="BD550"/>
  <c r="BE550"/>
  <c r="BF550"/>
  <c r="BA550" s="1"/>
  <c r="BG550"/>
  <c r="BH550"/>
  <c r="BI550"/>
  <c r="BJ550"/>
  <c r="BK550"/>
  <c r="BM550"/>
  <c r="BL550" s="1"/>
  <c r="BN550"/>
  <c r="BO550"/>
  <c r="BP550"/>
  <c r="BQ550"/>
  <c r="BR550"/>
  <c r="BS550"/>
  <c r="BT550"/>
  <c r="H551"/>
  <c r="G551"/>
  <c r="AC551"/>
  <c r="BB551"/>
  <c r="BA551" s="1"/>
  <c r="BC551"/>
  <c r="BD551"/>
  <c r="BE551"/>
  <c r="BF551"/>
  <c r="BG551"/>
  <c r="BH551"/>
  <c r="BI551"/>
  <c r="BJ551"/>
  <c r="BK551"/>
  <c r="BM551"/>
  <c r="BN551"/>
  <c r="BO551"/>
  <c r="BP551"/>
  <c r="BR551"/>
  <c r="BS551"/>
  <c r="BT551"/>
  <c r="H552"/>
  <c r="AC552"/>
  <c r="G552"/>
  <c r="BB552"/>
  <c r="BC552"/>
  <c r="BD552"/>
  <c r="BE552"/>
  <c r="BF552"/>
  <c r="BG552"/>
  <c r="BH552"/>
  <c r="BI552"/>
  <c r="BJ552"/>
  <c r="BK552"/>
  <c r="BM552"/>
  <c r="BN552"/>
  <c r="BO552"/>
  <c r="BP552"/>
  <c r="BQ552"/>
  <c r="BR552"/>
  <c r="BS552"/>
  <c r="BT552"/>
  <c r="H553"/>
  <c r="AC553"/>
  <c r="BB553"/>
  <c r="BC553"/>
  <c r="BD553"/>
  <c r="BE553"/>
  <c r="BF553"/>
  <c r="BG553"/>
  <c r="BH553"/>
  <c r="BI553"/>
  <c r="BJ553"/>
  <c r="BK553"/>
  <c r="BM553"/>
  <c r="BN553"/>
  <c r="BO553"/>
  <c r="BP553"/>
  <c r="BR553"/>
  <c r="BS553"/>
  <c r="BT553"/>
  <c r="H554"/>
  <c r="AC554"/>
  <c r="BB554"/>
  <c r="BC554"/>
  <c r="BD554"/>
  <c r="BE554"/>
  <c r="BF554"/>
  <c r="BG554"/>
  <c r="BH554"/>
  <c r="BI554"/>
  <c r="BJ554"/>
  <c r="BK554"/>
  <c r="BM554"/>
  <c r="BN554"/>
  <c r="BO554"/>
  <c r="BP554"/>
  <c r="BQ554"/>
  <c r="BR554"/>
  <c r="BS554"/>
  <c r="BT554"/>
  <c r="H555"/>
  <c r="AC555"/>
  <c r="BB555"/>
  <c r="BC555"/>
  <c r="BD555"/>
  <c r="BE555"/>
  <c r="BF555"/>
  <c r="BG555"/>
  <c r="BH555"/>
  <c r="BI555"/>
  <c r="BJ555"/>
  <c r="BK555"/>
  <c r="BM555"/>
  <c r="BN555"/>
  <c r="BO555"/>
  <c r="BP555"/>
  <c r="BR555"/>
  <c r="BS555"/>
  <c r="BT555"/>
  <c r="H556"/>
  <c r="AC556"/>
  <c r="G556" s="1"/>
  <c r="BB556"/>
  <c r="BC556"/>
  <c r="BD556"/>
  <c r="BE556"/>
  <c r="BF556"/>
  <c r="BG556"/>
  <c r="BH556"/>
  <c r="BI556"/>
  <c r="BJ556"/>
  <c r="BK556"/>
  <c r="BM556"/>
  <c r="BN556"/>
  <c r="BO556"/>
  <c r="BP556"/>
  <c r="BQ556"/>
  <c r="BR556"/>
  <c r="BS556"/>
  <c r="BT556"/>
  <c r="H557"/>
  <c r="BB557"/>
  <c r="BC557"/>
  <c r="BD557"/>
  <c r="BE557"/>
  <c r="BF557"/>
  <c r="BG557"/>
  <c r="BH557"/>
  <c r="BI557"/>
  <c r="BJ557"/>
  <c r="BK557"/>
  <c r="BM557"/>
  <c r="BN557"/>
  <c r="BO557"/>
  <c r="BP557"/>
  <c r="BR557"/>
  <c r="BS557"/>
  <c r="BT557"/>
  <c r="H558"/>
  <c r="AC558"/>
  <c r="G558"/>
  <c r="BB558"/>
  <c r="BC558"/>
  <c r="BD558"/>
  <c r="BE558"/>
  <c r="BF558"/>
  <c r="BG558"/>
  <c r="BH558"/>
  <c r="BI558"/>
  <c r="BJ558"/>
  <c r="BK558"/>
  <c r="BM558"/>
  <c r="BN558"/>
  <c r="BO558"/>
  <c r="BP558"/>
  <c r="BQ558"/>
  <c r="BR558"/>
  <c r="BS558"/>
  <c r="BT558"/>
  <c r="H559"/>
  <c r="AC559"/>
  <c r="BB559"/>
  <c r="BC559"/>
  <c r="BD559"/>
  <c r="BE559"/>
  <c r="BF559"/>
  <c r="BG559"/>
  <c r="BH559"/>
  <c r="BI559"/>
  <c r="BJ559"/>
  <c r="BK559"/>
  <c r="BM559"/>
  <c r="BN559"/>
  <c r="BO559"/>
  <c r="BP559"/>
  <c r="BR559"/>
  <c r="BS559"/>
  <c r="BT559"/>
  <c r="H560"/>
  <c r="AC560"/>
  <c r="BB560"/>
  <c r="BC560"/>
  <c r="BD560"/>
  <c r="BE560"/>
  <c r="BF560"/>
  <c r="BG560"/>
  <c r="BH560"/>
  <c r="BI560"/>
  <c r="BJ560"/>
  <c r="BK560"/>
  <c r="BM560"/>
  <c r="BN560"/>
  <c r="BO560"/>
  <c r="BP560"/>
  <c r="BQ560"/>
  <c r="BR560"/>
  <c r="BS560"/>
  <c r="BT560"/>
  <c r="H561"/>
  <c r="AC561"/>
  <c r="BB561"/>
  <c r="BC561"/>
  <c r="BD561"/>
  <c r="BE561"/>
  <c r="BF561"/>
  <c r="BG561"/>
  <c r="BH561"/>
  <c r="BI561"/>
  <c r="BJ561"/>
  <c r="BK561"/>
  <c r="BM561"/>
  <c r="BN561"/>
  <c r="BO561"/>
  <c r="BP561"/>
  <c r="BR561"/>
  <c r="BS561"/>
  <c r="BT561"/>
  <c r="H562"/>
  <c r="AC562"/>
  <c r="G562" s="1"/>
  <c r="BB562"/>
  <c r="BC562"/>
  <c r="BD562"/>
  <c r="BE562"/>
  <c r="BF562"/>
  <c r="BG562"/>
  <c r="BH562"/>
  <c r="BI562"/>
  <c r="BJ562"/>
  <c r="BK562"/>
  <c r="BM562"/>
  <c r="BN562"/>
  <c r="BO562"/>
  <c r="BP562"/>
  <c r="BQ562"/>
  <c r="BR562"/>
  <c r="BS562"/>
  <c r="BT562"/>
  <c r="H563"/>
  <c r="AC563"/>
  <c r="BB563"/>
  <c r="BC563"/>
  <c r="BD563"/>
  <c r="BE563"/>
  <c r="BF563"/>
  <c r="BG563"/>
  <c r="BH563"/>
  <c r="BI563"/>
  <c r="BJ563"/>
  <c r="BK563"/>
  <c r="BM563"/>
  <c r="BN563"/>
  <c r="BO563"/>
  <c r="BP563"/>
  <c r="BR563"/>
  <c r="BS563"/>
  <c r="BT563"/>
  <c r="H564"/>
  <c r="AC564"/>
  <c r="BB564"/>
  <c r="BC564"/>
  <c r="BD564"/>
  <c r="BE564"/>
  <c r="BF564"/>
  <c r="BG564"/>
  <c r="BH564"/>
  <c r="BI564"/>
  <c r="BJ564"/>
  <c r="BK564"/>
  <c r="BM564"/>
  <c r="BN564"/>
  <c r="BO564"/>
  <c r="BP564"/>
  <c r="BQ564"/>
  <c r="BR564"/>
  <c r="BS564"/>
  <c r="BT564"/>
  <c r="H565"/>
  <c r="AC565"/>
  <c r="BB565"/>
  <c r="BC565"/>
  <c r="BD565"/>
  <c r="BE565"/>
  <c r="BF565"/>
  <c r="BG565"/>
  <c r="BH565"/>
  <c r="BI565"/>
  <c r="BJ565"/>
  <c r="BK565"/>
  <c r="BM565"/>
  <c r="BN565"/>
  <c r="BO565"/>
  <c r="BP565"/>
  <c r="BR565"/>
  <c r="BS565"/>
  <c r="BT565"/>
  <c r="H566"/>
  <c r="AC566"/>
  <c r="G566"/>
  <c r="BB566"/>
  <c r="BC566"/>
  <c r="BD566"/>
  <c r="BE566"/>
  <c r="BF566"/>
  <c r="BG566"/>
  <c r="BH566"/>
  <c r="BI566"/>
  <c r="BJ566"/>
  <c r="BK566"/>
  <c r="BM566"/>
  <c r="BN566"/>
  <c r="BO566"/>
  <c r="BP566"/>
  <c r="BQ566"/>
  <c r="BR566"/>
  <c r="BS566"/>
  <c r="BT566"/>
  <c r="H567"/>
  <c r="AC567"/>
  <c r="BB567"/>
  <c r="BC567"/>
  <c r="BD567"/>
  <c r="BE567"/>
  <c r="BF567"/>
  <c r="BG567"/>
  <c r="BH567"/>
  <c r="BI567"/>
  <c r="BJ567"/>
  <c r="BK567"/>
  <c r="BM567"/>
  <c r="BN567"/>
  <c r="BO567"/>
  <c r="BP567"/>
  <c r="BR567"/>
  <c r="BS567"/>
  <c r="BT567"/>
  <c r="H568"/>
  <c r="AC568"/>
  <c r="BB568"/>
  <c r="BC568"/>
  <c r="BD568"/>
  <c r="BE568"/>
  <c r="BF568"/>
  <c r="BG568"/>
  <c r="BH568"/>
  <c r="BI568"/>
  <c r="BJ568"/>
  <c r="BK568"/>
  <c r="BM568"/>
  <c r="BN568"/>
  <c r="BO568"/>
  <c r="BP568"/>
  <c r="BQ568"/>
  <c r="BR568"/>
  <c r="BS568"/>
  <c r="BT568"/>
  <c r="H569"/>
  <c r="AC569"/>
  <c r="BB569"/>
  <c r="BC569"/>
  <c r="BD569"/>
  <c r="BE569"/>
  <c r="BF569"/>
  <c r="BG569"/>
  <c r="BH569"/>
  <c r="BI569"/>
  <c r="BJ569"/>
  <c r="BK569"/>
  <c r="BM569"/>
  <c r="BN569"/>
  <c r="BO569"/>
  <c r="BP569"/>
  <c r="BR569"/>
  <c r="BS569"/>
  <c r="BT569"/>
  <c r="H570"/>
  <c r="AC570"/>
  <c r="G570" s="1"/>
  <c r="BB570"/>
  <c r="BC570"/>
  <c r="BD570"/>
  <c r="BE570"/>
  <c r="BF570"/>
  <c r="BG570"/>
  <c r="BH570"/>
  <c r="BI570"/>
  <c r="BJ570"/>
  <c r="BK570"/>
  <c r="BM570"/>
  <c r="BN570"/>
  <c r="BO570"/>
  <c r="BP570"/>
  <c r="BQ570"/>
  <c r="BR570"/>
  <c r="BS570"/>
  <c r="BT570"/>
  <c r="H571"/>
  <c r="AC571"/>
  <c r="BB571"/>
  <c r="BC571"/>
  <c r="BD571"/>
  <c r="BE571"/>
  <c r="BF571"/>
  <c r="BG571"/>
  <c r="BH571"/>
  <c r="BI571"/>
  <c r="BJ571"/>
  <c r="BK571"/>
  <c r="BM571"/>
  <c r="BN571"/>
  <c r="BO571"/>
  <c r="BP571"/>
  <c r="BR571"/>
  <c r="BS571"/>
  <c r="BT571"/>
  <c r="H572"/>
  <c r="AC572"/>
  <c r="BB572"/>
  <c r="BC572"/>
  <c r="BD572"/>
  <c r="BE572"/>
  <c r="BF572"/>
  <c r="BG572"/>
  <c r="BH572"/>
  <c r="BI572"/>
  <c r="BJ572"/>
  <c r="BK572"/>
  <c r="BM572"/>
  <c r="BN572"/>
  <c r="BO572"/>
  <c r="BP572"/>
  <c r="BQ572"/>
  <c r="BR572"/>
  <c r="BS572"/>
  <c r="BT572"/>
  <c r="H573"/>
  <c r="AC573"/>
  <c r="BB573"/>
  <c r="BC573"/>
  <c r="BD573"/>
  <c r="BE573"/>
  <c r="BF573"/>
  <c r="BG573"/>
  <c r="BH573"/>
  <c r="BI573"/>
  <c r="BJ573"/>
  <c r="BK573"/>
  <c r="BM573"/>
  <c r="BN573"/>
  <c r="BO573"/>
  <c r="BP573"/>
  <c r="BR573"/>
  <c r="BS573"/>
  <c r="BT573"/>
  <c r="H574"/>
  <c r="AC574"/>
  <c r="G574"/>
  <c r="BB574"/>
  <c r="BC574"/>
  <c r="BD574"/>
  <c r="BE574"/>
  <c r="BF574"/>
  <c r="BG574"/>
  <c r="BH574"/>
  <c r="BI574"/>
  <c r="BJ574"/>
  <c r="BK574"/>
  <c r="BM574"/>
  <c r="BN574"/>
  <c r="BO574"/>
  <c r="BP574"/>
  <c r="BQ574"/>
  <c r="BR574"/>
  <c r="BS574"/>
  <c r="BT574"/>
  <c r="H575"/>
  <c r="AC575"/>
  <c r="BB575"/>
  <c r="BC575"/>
  <c r="BD575"/>
  <c r="BE575"/>
  <c r="BF575"/>
  <c r="BG575"/>
  <c r="BH575"/>
  <c r="BI575"/>
  <c r="BJ575"/>
  <c r="BK575"/>
  <c r="BM575"/>
  <c r="BN575"/>
  <c r="BO575"/>
  <c r="BP575"/>
  <c r="BR575"/>
  <c r="BS575"/>
  <c r="BT575"/>
  <c r="H576"/>
  <c r="AC576"/>
  <c r="BB576"/>
  <c r="BC576"/>
  <c r="BD576"/>
  <c r="BE576"/>
  <c r="BF576"/>
  <c r="BG576"/>
  <c r="BH576"/>
  <c r="BI576"/>
  <c r="BJ576"/>
  <c r="BK576"/>
  <c r="BM576"/>
  <c r="BN576"/>
  <c r="BO576"/>
  <c r="BP576"/>
  <c r="BQ576"/>
  <c r="BR576"/>
  <c r="BS576"/>
  <c r="BT576"/>
  <c r="H577"/>
  <c r="AC577"/>
  <c r="BB577"/>
  <c r="BC577"/>
  <c r="BD577"/>
  <c r="BE577"/>
  <c r="BF577"/>
  <c r="BG577"/>
  <c r="BH577"/>
  <c r="BI577"/>
  <c r="BJ577"/>
  <c r="BK577"/>
  <c r="BM577"/>
  <c r="BN577"/>
  <c r="BO577"/>
  <c r="BP577"/>
  <c r="BR577"/>
  <c r="BS577"/>
  <c r="BT577"/>
  <c r="H578"/>
  <c r="AC578"/>
  <c r="G578" s="1"/>
  <c r="BB578"/>
  <c r="BC578"/>
  <c r="BD578"/>
  <c r="BE578"/>
  <c r="BF578"/>
  <c r="BG578"/>
  <c r="BH578"/>
  <c r="BI578"/>
  <c r="BJ578"/>
  <c r="BK578"/>
  <c r="BM578"/>
  <c r="BN578"/>
  <c r="BO578"/>
  <c r="BP578"/>
  <c r="BQ578"/>
  <c r="BR578"/>
  <c r="BS578"/>
  <c r="BT578"/>
  <c r="H579"/>
  <c r="AC579"/>
  <c r="BB579"/>
  <c r="BC579"/>
  <c r="BD579"/>
  <c r="BE579"/>
  <c r="BF579"/>
  <c r="BG579"/>
  <c r="BH579"/>
  <c r="BI579"/>
  <c r="BJ579"/>
  <c r="BK579"/>
  <c r="BM579"/>
  <c r="BN579"/>
  <c r="BO579"/>
  <c r="BP579"/>
  <c r="BR579"/>
  <c r="BS579"/>
  <c r="BT579"/>
  <c r="H580"/>
  <c r="AC580"/>
  <c r="BB580"/>
  <c r="BC580"/>
  <c r="BD580"/>
  <c r="BE580"/>
  <c r="BF580"/>
  <c r="BG580"/>
  <c r="BH580"/>
  <c r="BI580"/>
  <c r="BJ580"/>
  <c r="BK580"/>
  <c r="BM580"/>
  <c r="BN580"/>
  <c r="BO580"/>
  <c r="BP580"/>
  <c r="BQ580"/>
  <c r="BR580"/>
  <c r="BS580"/>
  <c r="BT580"/>
  <c r="H581"/>
  <c r="AC581"/>
  <c r="BB581"/>
  <c r="BC581"/>
  <c r="BD581"/>
  <c r="BE581"/>
  <c r="BF581"/>
  <c r="BG581"/>
  <c r="BH581"/>
  <c r="BI581"/>
  <c r="BJ581"/>
  <c r="BK581"/>
  <c r="BM581"/>
  <c r="BN581"/>
  <c r="BO581"/>
  <c r="BP581"/>
  <c r="BR581"/>
  <c r="BS581"/>
  <c r="BT581"/>
  <c r="H582"/>
  <c r="AC582"/>
  <c r="G582"/>
  <c r="BB582"/>
  <c r="BC582"/>
  <c r="BD582"/>
  <c r="BE582"/>
  <c r="BF582"/>
  <c r="BG582"/>
  <c r="BH582"/>
  <c r="BI582"/>
  <c r="BJ582"/>
  <c r="BK582"/>
  <c r="BM582"/>
  <c r="BN582"/>
  <c r="BO582"/>
  <c r="BP582"/>
  <c r="BQ582"/>
  <c r="BR582"/>
  <c r="BS582"/>
  <c r="BT582"/>
  <c r="H583"/>
  <c r="AC583"/>
  <c r="BB583"/>
  <c r="BC583"/>
  <c r="BD583"/>
  <c r="BE583"/>
  <c r="BF583"/>
  <c r="BG583"/>
  <c r="BH583"/>
  <c r="BI583"/>
  <c r="BJ583"/>
  <c r="BK583"/>
  <c r="BM583"/>
  <c r="BN583"/>
  <c r="BO583"/>
  <c r="BP583"/>
  <c r="BR583"/>
  <c r="BS583"/>
  <c r="BT583"/>
  <c r="H584"/>
  <c r="AC584"/>
  <c r="BB584"/>
  <c r="BC584"/>
  <c r="BD584"/>
  <c r="BE584"/>
  <c r="BF584"/>
  <c r="BG584"/>
  <c r="BH584"/>
  <c r="BI584"/>
  <c r="BJ584"/>
  <c r="BK584"/>
  <c r="BM584"/>
  <c r="BN584"/>
  <c r="BO584"/>
  <c r="BP584"/>
  <c r="BQ584"/>
  <c r="BR584"/>
  <c r="BS584"/>
  <c r="BT584"/>
  <c r="H7" i="12"/>
  <c r="I7"/>
  <c r="J7"/>
  <c r="K7"/>
  <c r="H111" i="21"/>
  <c r="B110" i="39"/>
  <c r="B112"/>
  <c r="J30" i="36"/>
  <c r="H30"/>
  <c r="F30"/>
  <c r="AA30" s="1"/>
  <c r="C26" i="35"/>
  <c r="C79" s="1"/>
  <c r="J31"/>
  <c r="W31" s="1"/>
  <c r="H31"/>
  <c r="F31"/>
  <c r="D87"/>
  <c r="E87" s="1"/>
  <c r="F87" s="1"/>
  <c r="G87" s="1"/>
  <c r="H87" s="1"/>
  <c r="I87" s="1"/>
  <c r="J87" s="1"/>
  <c r="K87" s="1"/>
  <c r="L87" s="1"/>
  <c r="M87" s="1"/>
  <c r="H34" i="37"/>
  <c r="D101"/>
  <c r="F34"/>
  <c r="D99"/>
  <c r="E99" s="1"/>
  <c r="F99" s="1"/>
  <c r="G99" s="1"/>
  <c r="H99" s="1"/>
  <c r="I99" s="1"/>
  <c r="J99" s="1"/>
  <c r="K99" s="1"/>
  <c r="L99" s="1"/>
  <c r="M99" s="1"/>
  <c r="H42" i="34"/>
  <c r="J42"/>
  <c r="W42" s="1"/>
  <c r="F42"/>
  <c r="J38"/>
  <c r="W38" s="1"/>
  <c r="D114"/>
  <c r="F38"/>
  <c r="S38" s="1"/>
  <c r="D112"/>
  <c r="E112" s="1"/>
  <c r="F112" s="1"/>
  <c r="G112" s="1"/>
  <c r="H112" s="1"/>
  <c r="I112" s="1"/>
  <c r="J112" s="1"/>
  <c r="K112" s="1"/>
  <c r="L112" s="1"/>
  <c r="M112" s="1"/>
  <c r="F40" i="33"/>
  <c r="J41"/>
  <c r="W41" s="1"/>
  <c r="D113"/>
  <c r="F37" s="1"/>
  <c r="D111"/>
  <c r="E111" s="1"/>
  <c r="F111" s="1"/>
  <c r="S516" i="31"/>
  <c r="S518"/>
  <c r="S520"/>
  <c r="S522"/>
  <c r="S524"/>
  <c r="F41" i="21"/>
  <c r="J41"/>
  <c r="AC41" s="1"/>
  <c r="H41"/>
  <c r="U41" s="1"/>
  <c r="D81" i="39"/>
  <c r="E81" s="1"/>
  <c r="F81" s="1"/>
  <c r="G81" s="1"/>
  <c r="H81" s="1"/>
  <c r="I81" s="1"/>
  <c r="J81" s="1"/>
  <c r="K81" s="1"/>
  <c r="L81" s="1"/>
  <c r="M81" s="1"/>
  <c r="D76" i="40"/>
  <c r="E76" s="1"/>
  <c r="F76" s="1"/>
  <c r="G76" s="1"/>
  <c r="H76" s="1"/>
  <c r="I76" s="1"/>
  <c r="J76" s="1"/>
  <c r="K76" s="1"/>
  <c r="L76" s="1"/>
  <c r="M76" s="1"/>
  <c r="B120"/>
  <c r="J40" s="1"/>
  <c r="B118"/>
  <c r="B116"/>
  <c r="F38" s="1"/>
  <c r="D115"/>
  <c r="E115" s="1"/>
  <c r="F115" s="1"/>
  <c r="G115" s="1"/>
  <c r="H115" s="1"/>
  <c r="I115" s="1"/>
  <c r="J115" s="1"/>
  <c r="K115" s="1"/>
  <c r="L115" s="1"/>
  <c r="M115" s="1"/>
  <c r="D113"/>
  <c r="E113" s="1"/>
  <c r="F113" s="1"/>
  <c r="G113" s="1"/>
  <c r="H113" s="1"/>
  <c r="I113" s="1"/>
  <c r="J113" s="1"/>
  <c r="K113" s="1"/>
  <c r="L113" s="1"/>
  <c r="M113" s="1"/>
  <c r="D111"/>
  <c r="E111" s="1"/>
  <c r="M107"/>
  <c r="L107"/>
  <c r="K107"/>
  <c r="J107"/>
  <c r="H107"/>
  <c r="G107"/>
  <c r="F107"/>
  <c r="E107"/>
  <c r="D107"/>
  <c r="C107"/>
  <c r="B105"/>
  <c r="J33" s="1"/>
  <c r="W33" s="1"/>
  <c r="B103"/>
  <c r="J32" s="1"/>
  <c r="B101"/>
  <c r="J31" s="1"/>
  <c r="D100"/>
  <c r="E100" s="1"/>
  <c r="F100" s="1"/>
  <c r="G100" s="1"/>
  <c r="H100" s="1"/>
  <c r="I100" s="1"/>
  <c r="J100" s="1"/>
  <c r="K100" s="1"/>
  <c r="L100" s="1"/>
  <c r="M100" s="1"/>
  <c r="D98"/>
  <c r="J28"/>
  <c r="AC28" s="1"/>
  <c r="D96"/>
  <c r="E96"/>
  <c r="B95"/>
  <c r="D92"/>
  <c r="E92" s="1"/>
  <c r="F92" s="1"/>
  <c r="G92" s="1"/>
  <c r="D90"/>
  <c r="E90" s="1"/>
  <c r="F90" s="1"/>
  <c r="G90" s="1"/>
  <c r="D88"/>
  <c r="E88" s="1"/>
  <c r="D86"/>
  <c r="E86" s="1"/>
  <c r="F86" s="1"/>
  <c r="G86" s="1"/>
  <c r="D84"/>
  <c r="E84" s="1"/>
  <c r="F84" s="1"/>
  <c r="G84" s="1"/>
  <c r="B81"/>
  <c r="B79"/>
  <c r="B77"/>
  <c r="J12" s="1"/>
  <c r="W12" s="1"/>
  <c r="M74"/>
  <c r="L74"/>
  <c r="K74"/>
  <c r="J74"/>
  <c r="I74"/>
  <c r="H74"/>
  <c r="G74"/>
  <c r="F74"/>
  <c r="E74"/>
  <c r="D74"/>
  <c r="C74"/>
  <c r="P43"/>
  <c r="P42"/>
  <c r="V41"/>
  <c r="T41"/>
  <c r="R41"/>
  <c r="P41"/>
  <c r="Q40"/>
  <c r="Z40"/>
  <c r="H40"/>
  <c r="AB40" s="1"/>
  <c r="Q39"/>
  <c r="Z39" s="1"/>
  <c r="J39"/>
  <c r="AC39" s="1"/>
  <c r="H39"/>
  <c r="U39" s="1"/>
  <c r="F39"/>
  <c r="AA39" s="1"/>
  <c r="Q38"/>
  <c r="Z38"/>
  <c r="H38"/>
  <c r="AB38" s="1"/>
  <c r="Q37"/>
  <c r="Z37" s="1"/>
  <c r="Q36"/>
  <c r="Z36" s="1"/>
  <c r="Q35"/>
  <c r="Z35" s="1"/>
  <c r="Q34"/>
  <c r="Z34" s="1"/>
  <c r="J34"/>
  <c r="AC34" s="1"/>
  <c r="H34"/>
  <c r="AB34" s="1"/>
  <c r="F34"/>
  <c r="AA34" s="1"/>
  <c r="Q33"/>
  <c r="Z33" s="1"/>
  <c r="Q32"/>
  <c r="Z32" s="1"/>
  <c r="Q31"/>
  <c r="Z31" s="1"/>
  <c r="Q30"/>
  <c r="Z30" s="1"/>
  <c r="Q28"/>
  <c r="Z28" s="1"/>
  <c r="Q27"/>
  <c r="Z27" s="1"/>
  <c r="Q23"/>
  <c r="Z23" s="1"/>
  <c r="Q21"/>
  <c r="Z21" s="1"/>
  <c r="Q19"/>
  <c r="Z19" s="1"/>
  <c r="Q17"/>
  <c r="Z17" s="1"/>
  <c r="Q15"/>
  <c r="Z15" s="1"/>
  <c r="Q14"/>
  <c r="Z14" s="1"/>
  <c r="Q13"/>
  <c r="Z13" s="1"/>
  <c r="Q12"/>
  <c r="Z12" s="1"/>
  <c r="Q11"/>
  <c r="Z11" s="1"/>
  <c r="Q10"/>
  <c r="Z10" s="1"/>
  <c r="Q9"/>
  <c r="Z9" s="1"/>
  <c r="J9"/>
  <c r="W9" s="1"/>
  <c r="H9"/>
  <c r="AB9" s="1"/>
  <c r="F9"/>
  <c r="S9" s="1"/>
  <c r="J8"/>
  <c r="AC8" s="1"/>
  <c r="H8"/>
  <c r="AB8" s="1"/>
  <c r="F8"/>
  <c r="AA8"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s="1"/>
  <c r="D109"/>
  <c r="F34"/>
  <c r="AA34" s="1"/>
  <c r="D107"/>
  <c r="E107" s="1"/>
  <c r="D105"/>
  <c r="E105" s="1"/>
  <c r="F105" s="1"/>
  <c r="G105" s="1"/>
  <c r="H105" s="1"/>
  <c r="I105" s="1"/>
  <c r="J105" s="1"/>
  <c r="K105" s="1"/>
  <c r="L105" s="1"/>
  <c r="M105" s="1"/>
  <c r="D101"/>
  <c r="D99"/>
  <c r="E99" s="1"/>
  <c r="F99" s="1"/>
  <c r="G99" s="1"/>
  <c r="Q39"/>
  <c r="Z39" s="1"/>
  <c r="Q40"/>
  <c r="Z40" s="1"/>
  <c r="Q41"/>
  <c r="Z41" s="1"/>
  <c r="Q42"/>
  <c r="Z42" s="1"/>
  <c r="Q43"/>
  <c r="Z43" s="1"/>
  <c r="Q44"/>
  <c r="Z44" s="1"/>
  <c r="Q45"/>
  <c r="Z45" s="1"/>
  <c r="Q38"/>
  <c r="Z38" s="1"/>
  <c r="Q36"/>
  <c r="Z36" s="1"/>
  <c r="Q37"/>
  <c r="Z37" s="1"/>
  <c r="B131"/>
  <c r="H45" s="1"/>
  <c r="B129"/>
  <c r="H44" s="1"/>
  <c r="B127"/>
  <c r="J43" s="1"/>
  <c r="D126"/>
  <c r="E126" s="1"/>
  <c r="F126" s="1"/>
  <c r="G126" s="1"/>
  <c r="H126" s="1"/>
  <c r="I126" s="1"/>
  <c r="J126" s="1"/>
  <c r="K126" s="1"/>
  <c r="L126" s="1"/>
  <c r="M126" s="1"/>
  <c r="D122"/>
  <c r="E122" s="1"/>
  <c r="F122" s="1"/>
  <c r="G122" s="1"/>
  <c r="H122" s="1"/>
  <c r="I122" s="1"/>
  <c r="J122" s="1"/>
  <c r="K122" s="1"/>
  <c r="L122" s="1"/>
  <c r="M122" s="1"/>
  <c r="H35"/>
  <c r="AB35" s="1"/>
  <c r="B104"/>
  <c r="D97"/>
  <c r="J23"/>
  <c r="AC23" s="1"/>
  <c r="D95"/>
  <c r="E95" s="1"/>
  <c r="F95" s="1"/>
  <c r="D93"/>
  <c r="E93" s="1"/>
  <c r="F93" s="1"/>
  <c r="G93" s="1"/>
  <c r="D91"/>
  <c r="E91" s="1"/>
  <c r="F91" s="1"/>
  <c r="G91" s="1"/>
  <c r="D89"/>
  <c r="E89"/>
  <c r="B86"/>
  <c r="B84"/>
  <c r="B82"/>
  <c r="J12"/>
  <c r="AC12" s="1"/>
  <c r="M79"/>
  <c r="L79"/>
  <c r="K79"/>
  <c r="J79"/>
  <c r="I79"/>
  <c r="H79"/>
  <c r="G79"/>
  <c r="F79"/>
  <c r="E79"/>
  <c r="D79"/>
  <c r="C79"/>
  <c r="P48"/>
  <c r="P47"/>
  <c r="V46"/>
  <c r="T46"/>
  <c r="R46"/>
  <c r="P46"/>
  <c r="F44"/>
  <c r="AA44" s="1"/>
  <c r="J40"/>
  <c r="AC40" s="1"/>
  <c r="F40"/>
  <c r="AA40" s="1"/>
  <c r="Q35"/>
  <c r="Z35" s="1"/>
  <c r="Q34"/>
  <c r="Z34" s="1"/>
  <c r="Q32"/>
  <c r="Z32" s="1"/>
  <c r="Q31"/>
  <c r="Z31" s="1"/>
  <c r="Q27"/>
  <c r="Z27" s="1"/>
  <c r="Q25"/>
  <c r="Z25" s="1"/>
  <c r="Q23"/>
  <c r="Z23" s="1"/>
  <c r="Q21"/>
  <c r="Z21" s="1"/>
  <c r="Q19"/>
  <c r="Z19" s="1"/>
  <c r="Q17"/>
  <c r="Z17" s="1"/>
  <c r="Q15"/>
  <c r="Z15" s="1"/>
  <c r="Q14"/>
  <c r="Z14" s="1"/>
  <c r="Q13"/>
  <c r="Z13" s="1"/>
  <c r="Q12"/>
  <c r="Z12" s="1"/>
  <c r="H12"/>
  <c r="AB12" s="1"/>
  <c r="Q11"/>
  <c r="Z11" s="1"/>
  <c r="Q10"/>
  <c r="Z10" s="1"/>
  <c r="Q9"/>
  <c r="Z9" s="1"/>
  <c r="J9"/>
  <c r="AC9" s="1"/>
  <c r="H9"/>
  <c r="AB9" s="1"/>
  <c r="F9"/>
  <c r="AA9" s="1"/>
  <c r="J8"/>
  <c r="AC8" s="1"/>
  <c r="H8"/>
  <c r="U8" s="1"/>
  <c r="F8"/>
  <c r="AA8" s="1"/>
  <c r="C20" i="36"/>
  <c r="C20" i="35"/>
  <c r="C16" i="36"/>
  <c r="C16" i="35"/>
  <c r="C14" i="36"/>
  <c r="C14" i="35"/>
  <c r="B80" i="37"/>
  <c r="H25" s="1"/>
  <c r="U25" s="1"/>
  <c r="B110"/>
  <c r="J39" s="1"/>
  <c r="AC39" s="1"/>
  <c r="B108"/>
  <c r="C23"/>
  <c r="C19"/>
  <c r="C17"/>
  <c r="C15"/>
  <c r="B112"/>
  <c r="D107"/>
  <c r="E107" s="1"/>
  <c r="D105"/>
  <c r="E105" s="1"/>
  <c r="D103"/>
  <c r="J35"/>
  <c r="W35" s="1"/>
  <c r="F97"/>
  <c r="E97"/>
  <c r="D97"/>
  <c r="C97"/>
  <c r="D96"/>
  <c r="E96" s="1"/>
  <c r="D94"/>
  <c r="M90"/>
  <c r="L90"/>
  <c r="K90"/>
  <c r="J90"/>
  <c r="I90"/>
  <c r="H90"/>
  <c r="G90"/>
  <c r="F90"/>
  <c r="E90"/>
  <c r="D90"/>
  <c r="C90"/>
  <c r="D89"/>
  <c r="B86"/>
  <c r="B84"/>
  <c r="H27" s="1"/>
  <c r="U27" s="1"/>
  <c r="B82"/>
  <c r="J26" s="1"/>
  <c r="AC26" s="1"/>
  <c r="D79"/>
  <c r="E79" s="1"/>
  <c r="D75"/>
  <c r="E75" s="1"/>
  <c r="D73"/>
  <c r="E73" s="1"/>
  <c r="F73" s="1"/>
  <c r="D71"/>
  <c r="H15"/>
  <c r="AB15" s="1"/>
  <c r="B68"/>
  <c r="H14" s="1"/>
  <c r="B66"/>
  <c r="B64"/>
  <c r="D63"/>
  <c r="E63" s="1"/>
  <c r="M61"/>
  <c r="L61"/>
  <c r="K61"/>
  <c r="J61"/>
  <c r="I61"/>
  <c r="H61"/>
  <c r="G61"/>
  <c r="F61"/>
  <c r="E61"/>
  <c r="D61"/>
  <c r="C61"/>
  <c r="F60"/>
  <c r="G60" s="1"/>
  <c r="C57"/>
  <c r="P43"/>
  <c r="P42"/>
  <c r="V41"/>
  <c r="T41"/>
  <c r="R41"/>
  <c r="P41"/>
  <c r="Q40"/>
  <c r="Z40" s="1"/>
  <c r="Q39"/>
  <c r="Z39" s="1"/>
  <c r="Q38"/>
  <c r="Z38" s="1"/>
  <c r="Q37"/>
  <c r="Z37" s="1"/>
  <c r="Q36"/>
  <c r="Z36" s="1"/>
  <c r="Q35"/>
  <c r="Z35" s="1"/>
  <c r="Q34"/>
  <c r="Z34"/>
  <c r="Q33"/>
  <c r="Z33"/>
  <c r="Q32"/>
  <c r="Z32"/>
  <c r="Q31"/>
  <c r="Z31"/>
  <c r="J31"/>
  <c r="AC31" s="1"/>
  <c r="Q30"/>
  <c r="Z30" s="1"/>
  <c r="J30"/>
  <c r="AC30" s="1"/>
  <c r="H30"/>
  <c r="AB30" s="1"/>
  <c r="F30"/>
  <c r="AA30" s="1"/>
  <c r="Q29"/>
  <c r="Z29" s="1"/>
  <c r="H29"/>
  <c r="AB29" s="1"/>
  <c r="Q28"/>
  <c r="Z28"/>
  <c r="Q27"/>
  <c r="Z27"/>
  <c r="Q26"/>
  <c r="Z26"/>
  <c r="H26"/>
  <c r="AB26" s="1"/>
  <c r="Q25"/>
  <c r="Z25" s="1"/>
  <c r="J25"/>
  <c r="AC25" s="1"/>
  <c r="Q23"/>
  <c r="Z23" s="1"/>
  <c r="Q19"/>
  <c r="Z19" s="1"/>
  <c r="Q17"/>
  <c r="Z17"/>
  <c r="Q15"/>
  <c r="Z15" s="1"/>
  <c r="Q14"/>
  <c r="Z14" s="1"/>
  <c r="Q13"/>
  <c r="Z13" s="1"/>
  <c r="Q12"/>
  <c r="Z12" s="1"/>
  <c r="Q11"/>
  <c r="Z11" s="1"/>
  <c r="Q10"/>
  <c r="Z10" s="1"/>
  <c r="F10"/>
  <c r="AA10" s="1"/>
  <c r="Q9"/>
  <c r="Z9" s="1"/>
  <c r="J8"/>
  <c r="W8" s="1"/>
  <c r="H8"/>
  <c r="AB8" s="1"/>
  <c r="F8"/>
  <c r="S8" s="1"/>
  <c r="J31" i="36"/>
  <c r="H31"/>
  <c r="AB31" s="1"/>
  <c r="F31"/>
  <c r="S31" s="1"/>
  <c r="M86"/>
  <c r="L86"/>
  <c r="K86"/>
  <c r="J86"/>
  <c r="I86"/>
  <c r="H86"/>
  <c r="G86"/>
  <c r="F86"/>
  <c r="E86"/>
  <c r="D86"/>
  <c r="C86"/>
  <c r="D85"/>
  <c r="H29"/>
  <c r="D81"/>
  <c r="E81" s="1"/>
  <c r="F81" s="1"/>
  <c r="G81" s="1"/>
  <c r="H81" s="1"/>
  <c r="I81" s="1"/>
  <c r="J81" s="1"/>
  <c r="K81" s="1"/>
  <c r="L81" s="1"/>
  <c r="M81" s="1"/>
  <c r="F79"/>
  <c r="E79"/>
  <c r="D79"/>
  <c r="C79"/>
  <c r="B93"/>
  <c r="H33"/>
  <c r="B91"/>
  <c r="F32"/>
  <c r="AA32" s="1"/>
  <c r="B95"/>
  <c r="H34"/>
  <c r="D83"/>
  <c r="E83"/>
  <c r="D78"/>
  <c r="E78"/>
  <c r="F78" s="1"/>
  <c r="G78" s="1"/>
  <c r="H78" s="1"/>
  <c r="I78" s="1"/>
  <c r="J78" s="1"/>
  <c r="K78" s="1"/>
  <c r="L78" s="1"/>
  <c r="M78" s="1"/>
  <c r="B75"/>
  <c r="B73"/>
  <c r="J24" s="1"/>
  <c r="AC24" s="1"/>
  <c r="B71"/>
  <c r="H23" s="1"/>
  <c r="AB23" s="1"/>
  <c r="D70"/>
  <c r="H22"/>
  <c r="AB22" s="1"/>
  <c r="D68"/>
  <c r="E68"/>
  <c r="D64"/>
  <c r="E64"/>
  <c r="F64" s="1"/>
  <c r="G64" s="1"/>
  <c r="J16"/>
  <c r="W16" s="1"/>
  <c r="D62"/>
  <c r="E62" s="1"/>
  <c r="F62" s="1"/>
  <c r="G62" s="1"/>
  <c r="B59"/>
  <c r="B57"/>
  <c r="J12" s="1"/>
  <c r="B55"/>
  <c r="F54"/>
  <c r="G54" s="1"/>
  <c r="H54" s="1"/>
  <c r="I54" s="1"/>
  <c r="C51"/>
  <c r="J9" s="1"/>
  <c r="AC9" s="1"/>
  <c r="P37"/>
  <c r="P36"/>
  <c r="V35"/>
  <c r="T35"/>
  <c r="R35"/>
  <c r="P35"/>
  <c r="Q34"/>
  <c r="Z34" s="1"/>
  <c r="Q33"/>
  <c r="Z33" s="1"/>
  <c r="Q32"/>
  <c r="Z32" s="1"/>
  <c r="Q31"/>
  <c r="Z31" s="1"/>
  <c r="Q30"/>
  <c r="Z30" s="1"/>
  <c r="AC30"/>
  <c r="Q29"/>
  <c r="Z29"/>
  <c r="Q28"/>
  <c r="Z28"/>
  <c r="J28"/>
  <c r="AC28" s="1"/>
  <c r="Q27"/>
  <c r="Z27" s="1"/>
  <c r="Q26"/>
  <c r="Z26" s="1"/>
  <c r="H26"/>
  <c r="AB26" s="1"/>
  <c r="Q25"/>
  <c r="Z25"/>
  <c r="Q24"/>
  <c r="Z24"/>
  <c r="Q23"/>
  <c r="Z23" s="1"/>
  <c r="J23"/>
  <c r="AC23" s="1"/>
  <c r="F23"/>
  <c r="AA23" s="1"/>
  <c r="Q22"/>
  <c r="Z22"/>
  <c r="J22"/>
  <c r="AC22" s="1"/>
  <c r="Q20"/>
  <c r="Z20" s="1"/>
  <c r="Q16"/>
  <c r="Z16" s="1"/>
  <c r="Q14"/>
  <c r="Z14" s="1"/>
  <c r="Q13"/>
  <c r="Z13" s="1"/>
  <c r="Q12"/>
  <c r="Z12" s="1"/>
  <c r="H12"/>
  <c r="U12" s="1"/>
  <c r="Q11"/>
  <c r="Z11" s="1"/>
  <c r="Q10"/>
  <c r="Z10" s="1"/>
  <c r="F10"/>
  <c r="AA10" s="1"/>
  <c r="Q9"/>
  <c r="Z9" s="1"/>
  <c r="H9"/>
  <c r="AB9" s="1"/>
  <c r="J8"/>
  <c r="AC8" s="1"/>
  <c r="H8"/>
  <c r="U8" s="1"/>
  <c r="F8"/>
  <c r="AA8" s="1"/>
  <c r="D89" i="35"/>
  <c r="M90"/>
  <c r="L90"/>
  <c r="K90"/>
  <c r="J90"/>
  <c r="I90"/>
  <c r="H90"/>
  <c r="G90"/>
  <c r="F90"/>
  <c r="E90"/>
  <c r="D90"/>
  <c r="C90"/>
  <c r="F85"/>
  <c r="E85"/>
  <c r="D85"/>
  <c r="C85"/>
  <c r="J27"/>
  <c r="W27" s="1"/>
  <c r="H27"/>
  <c r="U27" s="1"/>
  <c r="F27"/>
  <c r="AA27" s="1"/>
  <c r="J22"/>
  <c r="AC22" s="1"/>
  <c r="B101"/>
  <c r="H36"/>
  <c r="AB36" s="1"/>
  <c r="B99"/>
  <c r="B97"/>
  <c r="J34" s="1"/>
  <c r="B77"/>
  <c r="B75"/>
  <c r="J24" s="1"/>
  <c r="AC24" s="1"/>
  <c r="B73"/>
  <c r="H23" s="1"/>
  <c r="B57"/>
  <c r="B61"/>
  <c r="B59"/>
  <c r="H12" s="1"/>
  <c r="B131" i="34"/>
  <c r="B129"/>
  <c r="B127"/>
  <c r="B99"/>
  <c r="B97"/>
  <c r="B95"/>
  <c r="B93"/>
  <c r="B75"/>
  <c r="B73"/>
  <c r="B71"/>
  <c r="H12" s="1"/>
  <c r="B130" i="33"/>
  <c r="B128"/>
  <c r="B126"/>
  <c r="B98"/>
  <c r="B96"/>
  <c r="B94"/>
  <c r="B74"/>
  <c r="B72"/>
  <c r="B70"/>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s="1"/>
  <c r="F70" s="1"/>
  <c r="G70" s="1"/>
  <c r="D66"/>
  <c r="E66" s="1"/>
  <c r="F66" s="1"/>
  <c r="G66" s="1"/>
  <c r="D64"/>
  <c r="E64" s="1"/>
  <c r="F64" s="1"/>
  <c r="G64" s="1"/>
  <c r="J14"/>
  <c r="W14" s="1"/>
  <c r="F56"/>
  <c r="G56" s="1"/>
  <c r="H56" s="1"/>
  <c r="I56" s="1"/>
  <c r="C53"/>
  <c r="J9" s="1"/>
  <c r="P39"/>
  <c r="P38"/>
  <c r="V37"/>
  <c r="T37"/>
  <c r="R37"/>
  <c r="P37"/>
  <c r="Q36"/>
  <c r="Z36" s="1"/>
  <c r="J36"/>
  <c r="AC36" s="1"/>
  <c r="Q35"/>
  <c r="Z35"/>
  <c r="Q34"/>
  <c r="Z34"/>
  <c r="H34"/>
  <c r="AB34" s="1"/>
  <c r="Q33"/>
  <c r="Z33" s="1"/>
  <c r="Q32"/>
  <c r="Z32" s="1"/>
  <c r="H32"/>
  <c r="AB32" s="1"/>
  <c r="F32"/>
  <c r="AA32" s="1"/>
  <c r="Q31"/>
  <c r="Z31" s="1"/>
  <c r="AC31"/>
  <c r="AB31"/>
  <c r="AA31"/>
  <c r="Q30"/>
  <c r="Z30" s="1"/>
  <c r="Q29"/>
  <c r="Z29" s="1"/>
  <c r="Q28"/>
  <c r="Z28" s="1"/>
  <c r="J28"/>
  <c r="AC28" s="1"/>
  <c r="H28"/>
  <c r="AB28" s="1"/>
  <c r="F28"/>
  <c r="AA28" s="1"/>
  <c r="Q27"/>
  <c r="Z27" s="1"/>
  <c r="Q26"/>
  <c r="Z26" s="1"/>
  <c r="Q25"/>
  <c r="Z25" s="1"/>
  <c r="Q24"/>
  <c r="Z24" s="1"/>
  <c r="Q23"/>
  <c r="Z23" s="1"/>
  <c r="J23"/>
  <c r="AC23" s="1"/>
  <c r="Q22"/>
  <c r="Z22" s="1"/>
  <c r="Q20"/>
  <c r="Z20" s="1"/>
  <c r="Q16"/>
  <c r="Z16" s="1"/>
  <c r="Q14"/>
  <c r="Z14" s="1"/>
  <c r="Q13"/>
  <c r="Z13" s="1"/>
  <c r="Q12"/>
  <c r="Z12" s="1"/>
  <c r="J12"/>
  <c r="W12" s="1"/>
  <c r="F12"/>
  <c r="S12" s="1"/>
  <c r="Q11"/>
  <c r="Z11" s="1"/>
  <c r="Q10"/>
  <c r="Z10" s="1"/>
  <c r="Q9"/>
  <c r="Z9" s="1"/>
  <c r="J8"/>
  <c r="W8" s="1"/>
  <c r="H8"/>
  <c r="AB8" s="1"/>
  <c r="F8"/>
  <c r="AA8" s="1"/>
  <c r="D120" i="34"/>
  <c r="E120"/>
  <c r="D90"/>
  <c r="E90" s="1"/>
  <c r="F90" s="1"/>
  <c r="G90" s="1"/>
  <c r="H90" s="1"/>
  <c r="I90" s="1"/>
  <c r="J90" s="1"/>
  <c r="K90" s="1"/>
  <c r="L90" s="1"/>
  <c r="M90" s="1"/>
  <c r="C15"/>
  <c r="F67"/>
  <c r="G67" s="1"/>
  <c r="D126"/>
  <c r="E126" s="1"/>
  <c r="F126" s="1"/>
  <c r="G126" s="1"/>
  <c r="D124"/>
  <c r="E124" s="1"/>
  <c r="F124" s="1"/>
  <c r="G124" s="1"/>
  <c r="H124" s="1"/>
  <c r="I124" s="1"/>
  <c r="J124" s="1"/>
  <c r="K124" s="1"/>
  <c r="L124" s="1"/>
  <c r="M124" s="1"/>
  <c r="H43"/>
  <c r="AB43" s="1"/>
  <c r="D118"/>
  <c r="E118"/>
  <c r="F118" s="1"/>
  <c r="G118" s="1"/>
  <c r="D116"/>
  <c r="E116" s="1"/>
  <c r="F116" s="1"/>
  <c r="G116" s="1"/>
  <c r="H116" s="1"/>
  <c r="I116" s="1"/>
  <c r="J116" s="1"/>
  <c r="K116" s="1"/>
  <c r="L116" s="1"/>
  <c r="M116" s="1"/>
  <c r="F110"/>
  <c r="E110"/>
  <c r="D110"/>
  <c r="C110"/>
  <c r="D109"/>
  <c r="E109" s="1"/>
  <c r="F109" s="1"/>
  <c r="G109" s="1"/>
  <c r="H109" s="1"/>
  <c r="I109" s="1"/>
  <c r="J109" s="1"/>
  <c r="K109" s="1"/>
  <c r="L109" s="1"/>
  <c r="M109" s="1"/>
  <c r="D107"/>
  <c r="E107" s="1"/>
  <c r="F107" s="1"/>
  <c r="G107" s="1"/>
  <c r="H107" s="1"/>
  <c r="I107" s="1"/>
  <c r="J107" s="1"/>
  <c r="K107" s="1"/>
  <c r="L107" s="1"/>
  <c r="M107" s="1"/>
  <c r="F35"/>
  <c r="AA35" s="1"/>
  <c r="M103"/>
  <c r="L103"/>
  <c r="K103"/>
  <c r="J103"/>
  <c r="I103"/>
  <c r="H103"/>
  <c r="G103"/>
  <c r="F103"/>
  <c r="E103"/>
  <c r="D103"/>
  <c r="C103"/>
  <c r="D102"/>
  <c r="E102" s="1"/>
  <c r="F102" s="1"/>
  <c r="G102" s="1"/>
  <c r="H102" s="1"/>
  <c r="I102" s="1"/>
  <c r="J102" s="1"/>
  <c r="K102" s="1"/>
  <c r="L102" s="1"/>
  <c r="M102" s="1"/>
  <c r="D92"/>
  <c r="E92" s="1"/>
  <c r="F92" s="1"/>
  <c r="G92" s="1"/>
  <c r="H92" s="1"/>
  <c r="I92" s="1"/>
  <c r="J92" s="1"/>
  <c r="K92" s="1"/>
  <c r="L92" s="1"/>
  <c r="M92" s="1"/>
  <c r="B91"/>
  <c r="B89"/>
  <c r="J27"/>
  <c r="D88"/>
  <c r="E88" s="1"/>
  <c r="F88" s="1"/>
  <c r="G88" s="1"/>
  <c r="H88" s="1"/>
  <c r="I88" s="1"/>
  <c r="J88" s="1"/>
  <c r="K88" s="1"/>
  <c r="L88" s="1"/>
  <c r="M88" s="1"/>
  <c r="D86"/>
  <c r="E86" s="1"/>
  <c r="F86" s="1"/>
  <c r="G86" s="1"/>
  <c r="D82"/>
  <c r="E82" s="1"/>
  <c r="F82" s="1"/>
  <c r="G82" s="1"/>
  <c r="D80"/>
  <c r="E80" s="1"/>
  <c r="F80" s="1"/>
  <c r="G80" s="1"/>
  <c r="D78"/>
  <c r="E78" s="1"/>
  <c r="F78" s="1"/>
  <c r="G78" s="1"/>
  <c r="D70"/>
  <c r="E70" s="1"/>
  <c r="M68"/>
  <c r="L68"/>
  <c r="K68"/>
  <c r="J68"/>
  <c r="I68"/>
  <c r="H68"/>
  <c r="G68"/>
  <c r="F68"/>
  <c r="E68"/>
  <c r="D68"/>
  <c r="C68"/>
  <c r="C64"/>
  <c r="J9" s="1"/>
  <c r="P50"/>
  <c r="P49"/>
  <c r="V48"/>
  <c r="T48"/>
  <c r="R48"/>
  <c r="P48"/>
  <c r="Q47"/>
  <c r="Z47" s="1"/>
  <c r="Q46"/>
  <c r="Z46" s="1"/>
  <c r="Q45"/>
  <c r="Z45" s="1"/>
  <c r="Q44"/>
  <c r="Z44" s="1"/>
  <c r="Q43"/>
  <c r="Z43" s="1"/>
  <c r="Q42"/>
  <c r="Z42" s="1"/>
  <c r="Q41"/>
  <c r="Z41" s="1"/>
  <c r="Q40"/>
  <c r="Z40" s="1"/>
  <c r="Q39"/>
  <c r="Z39" s="1"/>
  <c r="H39"/>
  <c r="AB39" s="1"/>
  <c r="Q38"/>
  <c r="Z38" s="1"/>
  <c r="Q37"/>
  <c r="Z37" s="1"/>
  <c r="Q36"/>
  <c r="Z36" s="1"/>
  <c r="Q35"/>
  <c r="Z35" s="1"/>
  <c r="Q34"/>
  <c r="Z34" s="1"/>
  <c r="J34"/>
  <c r="AC34" s="1"/>
  <c r="H34"/>
  <c r="AB34" s="1"/>
  <c r="F34"/>
  <c r="AA34" s="1"/>
  <c r="Q33"/>
  <c r="Z33" s="1"/>
  <c r="Q32"/>
  <c r="Z32" s="1"/>
  <c r="Q31"/>
  <c r="Z31" s="1"/>
  <c r="Q30"/>
  <c r="Z30" s="1"/>
  <c r="Q29"/>
  <c r="Z29" s="1"/>
  <c r="Q28"/>
  <c r="Z28" s="1"/>
  <c r="Q27"/>
  <c r="Z27" s="1"/>
  <c r="Q25"/>
  <c r="Z25" s="1"/>
  <c r="Q23"/>
  <c r="Z23" s="1"/>
  <c r="C23"/>
  <c r="Q19"/>
  <c r="Z19" s="1"/>
  <c r="C19"/>
  <c r="Q17"/>
  <c r="Z17"/>
  <c r="C17"/>
  <c r="Q15"/>
  <c r="Z15" s="1"/>
  <c r="Q14"/>
  <c r="Z14" s="1"/>
  <c r="Q13"/>
  <c r="Z13" s="1"/>
  <c r="Q12"/>
  <c r="Z12" s="1"/>
  <c r="J12"/>
  <c r="W12" s="1"/>
  <c r="F12"/>
  <c r="S12" s="1"/>
  <c r="Q11"/>
  <c r="Z11" s="1"/>
  <c r="Q10"/>
  <c r="Z10" s="1"/>
  <c r="F10"/>
  <c r="AA10" s="1"/>
  <c r="Q9"/>
  <c r="Z9" s="1"/>
  <c r="H9"/>
  <c r="J8"/>
  <c r="AC8" s="1"/>
  <c r="H8"/>
  <c r="U8" s="1"/>
  <c r="F8"/>
  <c r="D121" i="33"/>
  <c r="E121" s="1"/>
  <c r="F109"/>
  <c r="E109"/>
  <c r="D109"/>
  <c r="C109"/>
  <c r="D91"/>
  <c r="E91" s="1"/>
  <c r="B88"/>
  <c r="J26"/>
  <c r="AC26" s="1"/>
  <c r="C23"/>
  <c r="C19"/>
  <c r="C17"/>
  <c r="C15"/>
  <c r="C15" i="21"/>
  <c r="D125" i="33"/>
  <c r="D123"/>
  <c r="D117"/>
  <c r="E117" s="1"/>
  <c r="F117" s="1"/>
  <c r="G117" s="1"/>
  <c r="D115"/>
  <c r="E115" s="1"/>
  <c r="F115" s="1"/>
  <c r="G115" s="1"/>
  <c r="H115" s="1"/>
  <c r="I115" s="1"/>
  <c r="J115" s="1"/>
  <c r="K115" s="1"/>
  <c r="L115" s="1"/>
  <c r="M115" s="1"/>
  <c r="D108"/>
  <c r="E108" s="1"/>
  <c r="F108" s="1"/>
  <c r="D106"/>
  <c r="E106" s="1"/>
  <c r="M102"/>
  <c r="L102"/>
  <c r="K102"/>
  <c r="J102"/>
  <c r="I102"/>
  <c r="H102"/>
  <c r="G102"/>
  <c r="F102"/>
  <c r="E102"/>
  <c r="D102"/>
  <c r="C102"/>
  <c r="D101"/>
  <c r="E101" s="1"/>
  <c r="B92"/>
  <c r="B90"/>
  <c r="D87"/>
  <c r="E87" s="1"/>
  <c r="D85"/>
  <c r="E85" s="1"/>
  <c r="D81"/>
  <c r="E81" s="1"/>
  <c r="D79"/>
  <c r="E79" s="1"/>
  <c r="D77"/>
  <c r="E77" s="1"/>
  <c r="F77" s="1"/>
  <c r="G77" s="1"/>
  <c r="D69"/>
  <c r="E69" s="1"/>
  <c r="F69" s="1"/>
  <c r="G69" s="1"/>
  <c r="H69" s="1"/>
  <c r="I69" s="1"/>
  <c r="J69" s="1"/>
  <c r="K69" s="1"/>
  <c r="L69" s="1"/>
  <c r="M69" s="1"/>
  <c r="M67"/>
  <c r="L67"/>
  <c r="K67"/>
  <c r="J67"/>
  <c r="I67"/>
  <c r="H67"/>
  <c r="G67"/>
  <c r="F67"/>
  <c r="E67"/>
  <c r="D67"/>
  <c r="C67"/>
  <c r="G66"/>
  <c r="H66" s="1"/>
  <c r="C63"/>
  <c r="H9" s="1"/>
  <c r="AB9" s="1"/>
  <c r="H54"/>
  <c r="F54"/>
  <c r="P49"/>
  <c r="P48"/>
  <c r="V47"/>
  <c r="T47"/>
  <c r="R47"/>
  <c r="P47"/>
  <c r="Q46"/>
  <c r="Z46"/>
  <c r="Q45"/>
  <c r="Z45"/>
  <c r="Q44"/>
  <c r="Z44"/>
  <c r="Q43"/>
  <c r="Z43"/>
  <c r="Q42"/>
  <c r="Z42"/>
  <c r="J42"/>
  <c r="AC42" s="1"/>
  <c r="AC41"/>
  <c r="Q41"/>
  <c r="Z41" s="1"/>
  <c r="Q40"/>
  <c r="Z40" s="1"/>
  <c r="J40"/>
  <c r="AC40" s="1"/>
  <c r="H40"/>
  <c r="AB40" s="1"/>
  <c r="AA40"/>
  <c r="Q39"/>
  <c r="Z39" s="1"/>
  <c r="J39"/>
  <c r="AC39" s="1"/>
  <c r="Q38"/>
  <c r="Z38" s="1"/>
  <c r="J38"/>
  <c r="AC38" s="1"/>
  <c r="H38"/>
  <c r="AB38" s="1"/>
  <c r="F38"/>
  <c r="AA38" s="1"/>
  <c r="Q37"/>
  <c r="Z37" s="1"/>
  <c r="Q36"/>
  <c r="Z36" s="1"/>
  <c r="Q35"/>
  <c r="Z35" s="1"/>
  <c r="H35"/>
  <c r="AB35" s="1"/>
  <c r="Q34"/>
  <c r="Z34" s="1"/>
  <c r="Q33"/>
  <c r="Z33" s="1"/>
  <c r="J33"/>
  <c r="AC33" s="1"/>
  <c r="H33"/>
  <c r="AB33" s="1"/>
  <c r="F33"/>
  <c r="AA33" s="1"/>
  <c r="Q32"/>
  <c r="Z32" s="1"/>
  <c r="Q31"/>
  <c r="Z31" s="1"/>
  <c r="Q30"/>
  <c r="Z30" s="1"/>
  <c r="Q29"/>
  <c r="Z29" s="1"/>
  <c r="Q28"/>
  <c r="Z28" s="1"/>
  <c r="Q27"/>
  <c r="Z27" s="1"/>
  <c r="Q26"/>
  <c r="Z26" s="1"/>
  <c r="Q25"/>
  <c r="Z25" s="1"/>
  <c r="Q23"/>
  <c r="Z23" s="1"/>
  <c r="Q19"/>
  <c r="Z19" s="1"/>
  <c r="Q17"/>
  <c r="Z17"/>
  <c r="Q15"/>
  <c r="Z15" s="1"/>
  <c r="F15"/>
  <c r="AA15" s="1"/>
  <c r="Q14"/>
  <c r="Z14" s="1"/>
  <c r="Q13"/>
  <c r="Z13" s="1"/>
  <c r="Q12"/>
  <c r="Z12" s="1"/>
  <c r="J12"/>
  <c r="W12" s="1"/>
  <c r="H12"/>
  <c r="U12" s="1"/>
  <c r="F12"/>
  <c r="S12" s="1"/>
  <c r="Q11"/>
  <c r="Z11" s="1"/>
  <c r="Q10"/>
  <c r="Z10" s="1"/>
  <c r="Q9"/>
  <c r="Z9" s="1"/>
  <c r="J9"/>
  <c r="AC9" s="1"/>
  <c r="F9"/>
  <c r="AA9" s="1"/>
  <c r="J8"/>
  <c r="AC8" s="1"/>
  <c r="H8"/>
  <c r="AB8" s="1"/>
  <c r="F8"/>
  <c r="AA8" s="1"/>
  <c r="M102" i="21"/>
  <c r="D102"/>
  <c r="E102"/>
  <c r="F102"/>
  <c r="G102"/>
  <c r="H102"/>
  <c r="I102"/>
  <c r="J102"/>
  <c r="K102"/>
  <c r="L102"/>
  <c r="C102"/>
  <c r="C63"/>
  <c r="F9"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s="1"/>
  <c r="I54"/>
  <c r="J54" s="1"/>
  <c r="G54"/>
  <c r="H54" s="1"/>
  <c r="D125"/>
  <c r="E125" s="1"/>
  <c r="F125" s="1"/>
  <c r="G125" s="1"/>
  <c r="D123"/>
  <c r="E123" s="1"/>
  <c r="F123" s="1"/>
  <c r="F42"/>
  <c r="AA42" s="1"/>
  <c r="D119"/>
  <c r="F40"/>
  <c r="AA40" s="1"/>
  <c r="D117"/>
  <c r="E117"/>
  <c r="F117" s="1"/>
  <c r="G117" s="1"/>
  <c r="D115"/>
  <c r="E115"/>
  <c r="F115" s="1"/>
  <c r="G115" s="1"/>
  <c r="H115" s="1"/>
  <c r="I115" s="1"/>
  <c r="J115" s="1"/>
  <c r="K115" s="1"/>
  <c r="L115" s="1"/>
  <c r="M115" s="1"/>
  <c r="D113"/>
  <c r="E113"/>
  <c r="F113" s="1"/>
  <c r="G113" s="1"/>
  <c r="D110"/>
  <c r="E110"/>
  <c r="F110" s="1"/>
  <c r="G110" s="1"/>
  <c r="H110" s="1"/>
  <c r="I110" s="1"/>
  <c r="J110" s="1"/>
  <c r="K110" s="1"/>
  <c r="L110" s="1"/>
  <c r="M110" s="1"/>
  <c r="J36"/>
  <c r="AC36" s="1"/>
  <c r="D108"/>
  <c r="E108" s="1"/>
  <c r="F108" s="1"/>
  <c r="G108" s="1"/>
  <c r="H108" s="1"/>
  <c r="I108" s="1"/>
  <c r="J108" s="1"/>
  <c r="K108" s="1"/>
  <c r="L108" s="1"/>
  <c r="M108" s="1"/>
  <c r="D106"/>
  <c r="E106" s="1"/>
  <c r="F106" s="1"/>
  <c r="G106" s="1"/>
  <c r="H106" s="1"/>
  <c r="I106" s="1"/>
  <c r="J106" s="1"/>
  <c r="K106" s="1"/>
  <c r="L106" s="1"/>
  <c r="M106" s="1"/>
  <c r="D101"/>
  <c r="E101" s="1"/>
  <c r="F101" s="1"/>
  <c r="G101" s="1"/>
  <c r="H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F19"/>
  <c r="AA19" s="1"/>
  <c r="E81"/>
  <c r="F81" s="1"/>
  <c r="G81" s="1"/>
  <c r="D77"/>
  <c r="E77" s="1"/>
  <c r="B130"/>
  <c r="B128"/>
  <c r="J45" s="1"/>
  <c r="W45" s="1"/>
  <c r="B126"/>
  <c r="B98"/>
  <c r="H31" s="1"/>
  <c r="B96"/>
  <c r="B94"/>
  <c r="J29" s="1"/>
  <c r="AC29" s="1"/>
  <c r="B92"/>
  <c r="B90"/>
  <c r="J27" s="1"/>
  <c r="W27" s="1"/>
  <c r="B74"/>
  <c r="B72"/>
  <c r="H13" s="1"/>
  <c r="B70"/>
  <c r="F12" s="1"/>
  <c r="S12" s="1"/>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s="1"/>
  <c r="J38"/>
  <c r="W38" s="1"/>
  <c r="Q38"/>
  <c r="Z38" s="1"/>
  <c r="J39"/>
  <c r="AC39" s="1"/>
  <c r="Q39"/>
  <c r="Z39" s="1"/>
  <c r="H40"/>
  <c r="AB40" s="1"/>
  <c r="Q40"/>
  <c r="Z40" s="1"/>
  <c r="Q41"/>
  <c r="Z41" s="1"/>
  <c r="Q42"/>
  <c r="Z42" s="1"/>
  <c r="J43"/>
  <c r="AC43" s="1"/>
  <c r="Q43"/>
  <c r="Z43" s="1"/>
  <c r="Q44"/>
  <c r="Z44" s="1"/>
  <c r="Q45"/>
  <c r="Z45" s="1"/>
  <c r="Q46"/>
  <c r="Z46" s="1"/>
  <c r="P47"/>
  <c r="R47"/>
  <c r="T47"/>
  <c r="V47"/>
  <c r="P48"/>
  <c r="P49"/>
  <c r="F8"/>
  <c r="AA8" s="1"/>
  <c r="E10" i="11"/>
  <c r="E9"/>
  <c r="C7" i="12"/>
  <c r="BB12" i="3"/>
  <c r="F7" i="12"/>
  <c r="D7"/>
  <c r="E7"/>
  <c r="G7"/>
  <c r="K5" i="3"/>
  <c r="J5"/>
  <c r="BE10"/>
  <c r="BB585"/>
  <c r="BC585"/>
  <c r="BD585"/>
  <c r="BE585"/>
  <c r="BF585"/>
  <c r="BG585"/>
  <c r="BH585"/>
  <c r="BI585"/>
  <c r="BJ585"/>
  <c r="BK585"/>
  <c r="BM585"/>
  <c r="BL585" s="1"/>
  <c r="AZ585" s="1"/>
  <c r="BN585"/>
  <c r="BO585"/>
  <c r="BP585"/>
  <c r="BQ585"/>
  <c r="BR585"/>
  <c r="BS585"/>
  <c r="BT585"/>
  <c r="BB586"/>
  <c r="BC586"/>
  <c r="BD586"/>
  <c r="BE586"/>
  <c r="BF586"/>
  <c r="BG586"/>
  <c r="BH586"/>
  <c r="BI586"/>
  <c r="BJ586"/>
  <c r="BK586"/>
  <c r="BM586"/>
  <c r="BN586"/>
  <c r="BO586"/>
  <c r="BL586" s="1"/>
  <c r="BP586"/>
  <c r="BQ586"/>
  <c r="BR586"/>
  <c r="BS586"/>
  <c r="BT586"/>
  <c r="BB587"/>
  <c r="BC587"/>
  <c r="BD587"/>
  <c r="BE587"/>
  <c r="BF587"/>
  <c r="BG587"/>
  <c r="BH587"/>
  <c r="BI587"/>
  <c r="BJ587"/>
  <c r="BK587"/>
  <c r="BM587"/>
  <c r="BN587"/>
  <c r="BO587"/>
  <c r="BP587"/>
  <c r="BQ587"/>
  <c r="BR587"/>
  <c r="BS587"/>
  <c r="BT587"/>
  <c r="AC585"/>
  <c r="AC586"/>
  <c r="AC587"/>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AE5"/>
  <c r="AF5"/>
  <c r="AG5"/>
  <c r="AI5"/>
  <c r="AJ5"/>
  <c r="AK5"/>
  <c r="AM5"/>
  <c r="AN5"/>
  <c r="AO5"/>
  <c r="AQ5"/>
  <c r="AR5"/>
  <c r="AS5"/>
  <c r="L5"/>
  <c r="M5"/>
  <c r="N5"/>
  <c r="O5"/>
  <c r="P5"/>
  <c r="Q5"/>
  <c r="R5"/>
  <c r="S5"/>
  <c r="T5"/>
  <c r="U5"/>
  <c r="V5"/>
  <c r="W5"/>
  <c r="X5"/>
  <c r="Y5"/>
  <c r="Z5"/>
  <c r="AA5"/>
  <c r="AB5"/>
  <c r="H585"/>
  <c r="G585" s="1"/>
  <c r="H586"/>
  <c r="G586" s="1"/>
  <c r="H587"/>
  <c r="G587" s="1"/>
  <c r="F5"/>
  <c r="G27" i="6"/>
  <c r="F34" i="21"/>
  <c r="AA34" s="1"/>
  <c r="H34"/>
  <c r="AB34" s="1"/>
  <c r="F43"/>
  <c r="S43" s="1"/>
  <c r="H38"/>
  <c r="U38" s="1"/>
  <c r="H43"/>
  <c r="AB43" s="1"/>
  <c r="F38"/>
  <c r="S38" s="1"/>
  <c r="F36"/>
  <c r="S36" s="1"/>
  <c r="F39"/>
  <c r="AA39" s="1"/>
  <c r="J40"/>
  <c r="W40" s="1"/>
  <c r="H35"/>
  <c r="AB35" s="1"/>
  <c r="J8"/>
  <c r="AC8" s="1"/>
  <c r="H8"/>
  <c r="U8" s="1"/>
  <c r="H10"/>
  <c r="AB10" s="1"/>
  <c r="H39"/>
  <c r="U39" s="1"/>
  <c r="J34"/>
  <c r="W34" s="1"/>
  <c r="H36"/>
  <c r="U36" s="1"/>
  <c r="F35"/>
  <c r="AA35" s="1"/>
  <c r="J10"/>
  <c r="AC10" s="1"/>
  <c r="H26"/>
  <c r="AB26" s="1"/>
  <c r="AB19"/>
  <c r="J19"/>
  <c r="W19" s="1"/>
  <c r="H12"/>
  <c r="AB12" s="1"/>
  <c r="J26"/>
  <c r="W26" s="1"/>
  <c r="F26"/>
  <c r="S26" s="1"/>
  <c r="AB41"/>
  <c r="S41"/>
  <c r="AA41"/>
  <c r="F45" i="39"/>
  <c r="S45" s="1"/>
  <c r="J45"/>
  <c r="W45" s="1"/>
  <c r="J44"/>
  <c r="AC44" s="1"/>
  <c r="F36"/>
  <c r="S36" s="1"/>
  <c r="H36"/>
  <c r="AB36" s="1"/>
  <c r="J35"/>
  <c r="AC35" s="1"/>
  <c r="F35"/>
  <c r="AA35" s="1"/>
  <c r="J36"/>
  <c r="AC36" s="1"/>
  <c r="U9"/>
  <c r="W40"/>
  <c r="W25" i="37"/>
  <c r="U30"/>
  <c r="W31"/>
  <c r="E103"/>
  <c r="F103"/>
  <c r="F39"/>
  <c r="S39" s="1"/>
  <c r="F29" i="36"/>
  <c r="AA29" s="1"/>
  <c r="W8"/>
  <c r="F16"/>
  <c r="AA16" s="1"/>
  <c r="U9"/>
  <c r="W28"/>
  <c r="S30"/>
  <c r="S32"/>
  <c r="AA31"/>
  <c r="AC31"/>
  <c r="W31"/>
  <c r="U31"/>
  <c r="J33"/>
  <c r="W33" s="1"/>
  <c r="H22" i="35"/>
  <c r="AB22" s="1"/>
  <c r="AC27"/>
  <c r="W28"/>
  <c r="U31"/>
  <c r="W22"/>
  <c r="S31"/>
  <c r="U34"/>
  <c r="F36" i="34"/>
  <c r="J35"/>
  <c r="S34"/>
  <c r="U34"/>
  <c r="H39" i="33"/>
  <c r="AB39" s="1"/>
  <c r="F26"/>
  <c r="AA26" s="1"/>
  <c r="S9"/>
  <c r="U35"/>
  <c r="S40"/>
  <c r="W33"/>
  <c r="H39" i="37"/>
  <c r="AB39" s="1"/>
  <c r="S27" i="35"/>
  <c r="F11" i="40"/>
  <c r="AA11" s="1"/>
  <c r="H11"/>
  <c r="AB11" s="1"/>
  <c r="W8"/>
  <c r="AB39"/>
  <c r="AA9"/>
  <c r="AC9"/>
  <c r="U9"/>
  <c r="S34"/>
  <c r="U38"/>
  <c r="U34"/>
  <c r="S39"/>
  <c r="W39"/>
  <c r="U40"/>
  <c r="F42" i="39"/>
  <c r="AA42" s="1"/>
  <c r="F41"/>
  <c r="S41" s="1"/>
  <c r="H40"/>
  <c r="AB40" s="1"/>
  <c r="H39"/>
  <c r="U39" s="1"/>
  <c r="S38"/>
  <c r="S34"/>
  <c r="H34"/>
  <c r="U34" s="1"/>
  <c r="E109"/>
  <c r="H31"/>
  <c r="AB31" s="1"/>
  <c r="F31"/>
  <c r="AA31" s="1"/>
  <c r="E101"/>
  <c r="H19"/>
  <c r="AB19" s="1"/>
  <c r="F19"/>
  <c r="AA19" s="1"/>
  <c r="H17"/>
  <c r="AB17" s="1"/>
  <c r="F17"/>
  <c r="AA17" s="1"/>
  <c r="J23" i="40"/>
  <c r="AC23" s="1"/>
  <c r="F21"/>
  <c r="AA21" s="1"/>
  <c r="J21"/>
  <c r="W21" s="1"/>
  <c r="H42" i="39"/>
  <c r="AB42" s="1"/>
  <c r="J34"/>
  <c r="AC34" s="1"/>
  <c r="F109"/>
  <c r="G109" s="1"/>
  <c r="H109" s="1"/>
  <c r="I109" s="1"/>
  <c r="J109" s="1"/>
  <c r="K109" s="1"/>
  <c r="L109" s="1"/>
  <c r="M109" s="1"/>
  <c r="J31"/>
  <c r="F101"/>
  <c r="H27"/>
  <c r="U27" s="1"/>
  <c r="J19"/>
  <c r="AC19" s="1"/>
  <c r="J17"/>
  <c r="J27"/>
  <c r="AC27" s="1"/>
  <c r="F27"/>
  <c r="F11" i="21"/>
  <c r="S11" s="1"/>
  <c r="S40"/>
  <c r="U34"/>
  <c r="S34"/>
  <c r="C27" i="39"/>
  <c r="C21"/>
  <c r="H11"/>
  <c r="S40"/>
  <c r="S19"/>
  <c r="H32" i="33"/>
  <c r="AB32" s="1"/>
  <c r="H11" i="21"/>
  <c r="U11" s="1"/>
  <c r="J11"/>
  <c r="W11" s="1"/>
  <c r="H37" i="40"/>
  <c r="U37" s="1"/>
  <c r="H36"/>
  <c r="AB36" s="1"/>
  <c r="F35"/>
  <c r="AA35" s="1"/>
  <c r="H23"/>
  <c r="AB23" s="1"/>
  <c r="H17"/>
  <c r="U17" s="1"/>
  <c r="J15"/>
  <c r="W15" s="1"/>
  <c r="J11"/>
  <c r="W11" s="1"/>
  <c r="AB8" i="39"/>
  <c r="AC12" i="33"/>
  <c r="AB12"/>
  <c r="AA12"/>
  <c r="AC12" i="34"/>
  <c r="AA12"/>
  <c r="AB12" i="36"/>
  <c r="S44" i="39"/>
  <c r="F37"/>
  <c r="AA37" s="1"/>
  <c r="J34" i="36"/>
  <c r="W34" s="1"/>
  <c r="U30"/>
  <c r="J30" i="35"/>
  <c r="W30" s="1"/>
  <c r="H30"/>
  <c r="AB30" s="1"/>
  <c r="F22"/>
  <c r="AA22" s="1"/>
  <c r="H10"/>
  <c r="U10" s="1"/>
  <c r="AC16" i="36"/>
  <c r="AB33"/>
  <c r="U33"/>
  <c r="F33"/>
  <c r="AA33" s="1"/>
  <c r="W30"/>
  <c r="H16"/>
  <c r="AB16" s="1"/>
  <c r="E85"/>
  <c r="F85" s="1"/>
  <c r="G85" s="1"/>
  <c r="H85" s="1"/>
  <c r="I85" s="1"/>
  <c r="J85" s="1"/>
  <c r="K85" s="1"/>
  <c r="L85" s="1"/>
  <c r="M85" s="1"/>
  <c r="J29"/>
  <c r="AC29" s="1"/>
  <c r="F12"/>
  <c r="F24"/>
  <c r="AA24" s="1"/>
  <c r="F34"/>
  <c r="S34" s="1"/>
  <c r="S10"/>
  <c r="AB8"/>
  <c r="S8"/>
  <c r="U8" i="35"/>
  <c r="F14"/>
  <c r="AA14" s="1"/>
  <c r="F23"/>
  <c r="AA23" s="1"/>
  <c r="J32"/>
  <c r="AC32" s="1"/>
  <c r="J16"/>
  <c r="AC16" s="1"/>
  <c r="H16"/>
  <c r="U16" s="1"/>
  <c r="F16"/>
  <c r="S16" s="1"/>
  <c r="H14"/>
  <c r="AB14" s="1"/>
  <c r="J29"/>
  <c r="W29" s="1"/>
  <c r="H33"/>
  <c r="AB33" s="1"/>
  <c r="J20"/>
  <c r="W20" s="1"/>
  <c r="F35" i="37"/>
  <c r="S35" s="1"/>
  <c r="E101"/>
  <c r="F101" s="1"/>
  <c r="G101" s="1"/>
  <c r="H101" s="1"/>
  <c r="I101" s="1"/>
  <c r="J101" s="1"/>
  <c r="K101" s="1"/>
  <c r="L101" s="1"/>
  <c r="M101" s="1"/>
  <c r="J34"/>
  <c r="W34" s="1"/>
  <c r="S10"/>
  <c r="AA39"/>
  <c r="AB34"/>
  <c r="J33"/>
  <c r="AC33" s="1"/>
  <c r="F120" i="34"/>
  <c r="G120" s="1"/>
  <c r="H120" s="1"/>
  <c r="I120" s="1"/>
  <c r="J120" s="1"/>
  <c r="K120" s="1"/>
  <c r="L120" s="1"/>
  <c r="M120" s="1"/>
  <c r="U42"/>
  <c r="H40"/>
  <c r="U40" s="1"/>
  <c r="E114"/>
  <c r="H36"/>
  <c r="U36" s="1"/>
  <c r="F37"/>
  <c r="AA37" s="1"/>
  <c r="S35"/>
  <c r="F28"/>
  <c r="AA28" s="1"/>
  <c r="F27"/>
  <c r="AA27" s="1"/>
  <c r="F25"/>
  <c r="S25" s="1"/>
  <c r="H23"/>
  <c r="U23" s="1"/>
  <c r="J23"/>
  <c r="F19"/>
  <c r="H17"/>
  <c r="U17" s="1"/>
  <c r="F15"/>
  <c r="J15"/>
  <c r="H15"/>
  <c r="AB15" s="1"/>
  <c r="W8"/>
  <c r="J28"/>
  <c r="W28" s="1"/>
  <c r="F41" i="33"/>
  <c r="AA41" s="1"/>
  <c r="S38"/>
  <c r="E113"/>
  <c r="F32"/>
  <c r="AA32" s="1"/>
  <c r="J19"/>
  <c r="AC19" s="1"/>
  <c r="J15"/>
  <c r="AC15" s="1"/>
  <c r="F11"/>
  <c r="AA11" s="1"/>
  <c r="S26"/>
  <c r="W26"/>
  <c r="U40"/>
  <c r="W40"/>
  <c r="U8"/>
  <c r="S8"/>
  <c r="F37" i="40"/>
  <c r="AA37" s="1"/>
  <c r="F36"/>
  <c r="AA36" s="1"/>
  <c r="H28"/>
  <c r="U28" s="1"/>
  <c r="F23"/>
  <c r="AA23" s="1"/>
  <c r="F17"/>
  <c r="AA17" s="1"/>
  <c r="J17"/>
  <c r="W17" s="1"/>
  <c r="F15"/>
  <c r="S15" s="1"/>
  <c r="H15"/>
  <c r="AB15" s="1"/>
  <c r="AC11"/>
  <c r="S12" i="36"/>
  <c r="AA12"/>
  <c r="AB30"/>
  <c r="AC34"/>
  <c r="U33" i="35"/>
  <c r="F29"/>
  <c r="S29" s="1"/>
  <c r="H29"/>
  <c r="AB29" s="1"/>
  <c r="H33" i="37"/>
  <c r="AB33" s="1"/>
  <c r="F33"/>
  <c r="AA33" s="1"/>
  <c r="U34"/>
  <c r="W33"/>
  <c r="S34"/>
  <c r="AA34"/>
  <c r="J43" i="34"/>
  <c r="AB42"/>
  <c r="J40"/>
  <c r="F114"/>
  <c r="G114" s="1"/>
  <c r="H114" s="1"/>
  <c r="I114" s="1"/>
  <c r="J114" s="1"/>
  <c r="K114" s="1"/>
  <c r="L114" s="1"/>
  <c r="M114" s="1"/>
  <c r="H38"/>
  <c r="AB38" s="1"/>
  <c r="J36"/>
  <c r="W36" s="1"/>
  <c r="H37"/>
  <c r="U37" s="1"/>
  <c r="H25"/>
  <c r="AB25" s="1"/>
  <c r="J25"/>
  <c r="AC25" s="1"/>
  <c r="AB23"/>
  <c r="F23"/>
  <c r="AA23" s="1"/>
  <c r="J19"/>
  <c r="AC19" s="1"/>
  <c r="F17"/>
  <c r="AA17" s="1"/>
  <c r="J17"/>
  <c r="W17" s="1"/>
  <c r="AA15"/>
  <c r="S15"/>
  <c r="S41" i="33"/>
  <c r="F113"/>
  <c r="G113" s="1"/>
  <c r="H113" s="1"/>
  <c r="I113" s="1"/>
  <c r="J113" s="1"/>
  <c r="K113" s="1"/>
  <c r="L113" s="1"/>
  <c r="M113" s="1"/>
  <c r="H37"/>
  <c r="AB37" s="1"/>
  <c r="H15"/>
  <c r="AB15" s="1"/>
  <c r="H11"/>
  <c r="AB11" s="1"/>
  <c r="F28" i="40"/>
  <c r="AA28" s="1"/>
  <c r="AA42" i="34"/>
  <c r="S42"/>
  <c r="AC38"/>
  <c r="AA38"/>
  <c r="J37"/>
  <c r="AC37" s="1"/>
  <c r="J11" i="33"/>
  <c r="W11" s="1"/>
  <c r="S28" i="34"/>
  <c r="G123" i="21"/>
  <c r="H123" s="1"/>
  <c r="I123" s="1"/>
  <c r="J123" s="1"/>
  <c r="K123" s="1"/>
  <c r="L123" s="1"/>
  <c r="M123" s="1"/>
  <c r="J42"/>
  <c r="AC42" s="1"/>
  <c r="H42"/>
  <c r="U42" s="1"/>
  <c r="J44" i="34"/>
  <c r="F44"/>
  <c r="AA44" s="1"/>
  <c r="J10" i="35"/>
  <c r="W10" s="1"/>
  <c r="BL587" i="3"/>
  <c r="J14" i="21"/>
  <c r="W14" s="1"/>
  <c r="F14"/>
  <c r="S14" s="1"/>
  <c r="H14"/>
  <c r="U14" s="1"/>
  <c r="H28"/>
  <c r="AB28" s="1"/>
  <c r="F28"/>
  <c r="AA28" s="1"/>
  <c r="J28"/>
  <c r="H30"/>
  <c r="U30" s="1"/>
  <c r="F30"/>
  <c r="S30" s="1"/>
  <c r="J30"/>
  <c r="AC30" s="1"/>
  <c r="J44"/>
  <c r="AC44" s="1"/>
  <c r="H44"/>
  <c r="U44" s="1"/>
  <c r="F44"/>
  <c r="AA44" s="1"/>
  <c r="H46"/>
  <c r="U46" s="1"/>
  <c r="J46"/>
  <c r="W46" s="1"/>
  <c r="F46"/>
  <c r="AA46" s="1"/>
  <c r="E119"/>
  <c r="F119" s="1"/>
  <c r="G119" s="1"/>
  <c r="H119" s="1"/>
  <c r="I119" s="1"/>
  <c r="J119" s="1"/>
  <c r="K119" s="1"/>
  <c r="L119" s="1"/>
  <c r="M119" s="1"/>
  <c r="H26" i="33"/>
  <c r="U26" s="1"/>
  <c r="H28"/>
  <c r="U28" s="1"/>
  <c r="F28"/>
  <c r="AA28" s="1"/>
  <c r="J28"/>
  <c r="W28" s="1"/>
  <c r="F33" i="35"/>
  <c r="S33" s="1"/>
  <c r="J33"/>
  <c r="AC33" s="1"/>
  <c r="F30"/>
  <c r="S30" s="1"/>
  <c r="E89"/>
  <c r="F89" s="1"/>
  <c r="G89" s="1"/>
  <c r="H89" s="1"/>
  <c r="I89" s="1"/>
  <c r="J89" s="1"/>
  <c r="K89" s="1"/>
  <c r="L89" s="1"/>
  <c r="M89" s="1"/>
  <c r="H10" i="36"/>
  <c r="AB10" s="1"/>
  <c r="J14"/>
  <c r="AC14" s="1"/>
  <c r="H14"/>
  <c r="U14" s="1"/>
  <c r="F83"/>
  <c r="G83" s="1"/>
  <c r="H83" s="1"/>
  <c r="I83" s="1"/>
  <c r="J83" s="1"/>
  <c r="K83" s="1"/>
  <c r="L83" s="1"/>
  <c r="M83" s="1"/>
  <c r="F28"/>
  <c r="AA28" s="1"/>
  <c r="J13" i="21"/>
  <c r="AC13" s="1"/>
  <c r="H27"/>
  <c r="AB27" s="1"/>
  <c r="F27"/>
  <c r="AA27" s="1"/>
  <c r="H29"/>
  <c r="U29" s="1"/>
  <c r="J31"/>
  <c r="AC31" s="1"/>
  <c r="F31"/>
  <c r="S31" s="1"/>
  <c r="F45"/>
  <c r="AA45" s="1"/>
  <c r="F27" i="33"/>
  <c r="AA27" s="1"/>
  <c r="J13"/>
  <c r="H13"/>
  <c r="AB13" s="1"/>
  <c r="F13"/>
  <c r="S13" s="1"/>
  <c r="J29"/>
  <c r="AC29" s="1"/>
  <c r="H29"/>
  <c r="U29" s="1"/>
  <c r="F29"/>
  <c r="S29" s="1"/>
  <c r="J31"/>
  <c r="W31" s="1"/>
  <c r="H31"/>
  <c r="F31"/>
  <c r="H45"/>
  <c r="U45" s="1"/>
  <c r="J45"/>
  <c r="W45" s="1"/>
  <c r="F45"/>
  <c r="AA45" s="1"/>
  <c r="J14" i="34"/>
  <c r="W14" s="1"/>
  <c r="F14"/>
  <c r="S14" s="1"/>
  <c r="H14"/>
  <c r="H30"/>
  <c r="F30"/>
  <c r="S30" s="1"/>
  <c r="J30"/>
  <c r="W30" s="1"/>
  <c r="H32"/>
  <c r="F32"/>
  <c r="J32"/>
  <c r="W32" s="1"/>
  <c r="H46"/>
  <c r="U46" s="1"/>
  <c r="F46"/>
  <c r="J46"/>
  <c r="H11" i="35"/>
  <c r="J11"/>
  <c r="AC11" s="1"/>
  <c r="F11"/>
  <c r="S11" s="1"/>
  <c r="J26" i="36"/>
  <c r="W26" s="1"/>
  <c r="H28"/>
  <c r="U28" s="1"/>
  <c r="H32"/>
  <c r="AB32" s="1"/>
  <c r="J32"/>
  <c r="W32" s="1"/>
  <c r="J11"/>
  <c r="AC11" s="1"/>
  <c r="H11"/>
  <c r="U11" s="1"/>
  <c r="F11"/>
  <c r="H13"/>
  <c r="AB13" s="1"/>
  <c r="J13"/>
  <c r="AC13" s="1"/>
  <c r="F13"/>
  <c r="S13" s="1"/>
  <c r="E89" i="37"/>
  <c r="F89" s="1"/>
  <c r="G89" s="1"/>
  <c r="H89" s="1"/>
  <c r="I89" s="1"/>
  <c r="J89" s="1"/>
  <c r="K89" s="1"/>
  <c r="L89" s="1"/>
  <c r="M89" s="1"/>
  <c r="J29"/>
  <c r="W29" s="1"/>
  <c r="F29"/>
  <c r="S29" s="1"/>
  <c r="F105"/>
  <c r="G105" s="1"/>
  <c r="H36"/>
  <c r="AB36" s="1"/>
  <c r="F107"/>
  <c r="J37"/>
  <c r="AC37" s="1"/>
  <c r="H37"/>
  <c r="U37" s="1"/>
  <c r="H40"/>
  <c r="U40" s="1"/>
  <c r="J40"/>
  <c r="AC40" s="1"/>
  <c r="F40"/>
  <c r="AA40" s="1"/>
  <c r="AC12" i="40"/>
  <c r="H14" i="33"/>
  <c r="U14" s="1"/>
  <c r="F14"/>
  <c r="S14" s="1"/>
  <c r="J14"/>
  <c r="H30"/>
  <c r="AB30" s="1"/>
  <c r="F30"/>
  <c r="J30"/>
  <c r="H44"/>
  <c r="J44"/>
  <c r="AC44" s="1"/>
  <c r="F44"/>
  <c r="J46"/>
  <c r="AC46" s="1"/>
  <c r="F46"/>
  <c r="AA46" s="1"/>
  <c r="H46"/>
  <c r="AB46" s="1"/>
  <c r="H13" i="34"/>
  <c r="U13" s="1"/>
  <c r="J13"/>
  <c r="W13" s="1"/>
  <c r="F13"/>
  <c r="AA13" s="1"/>
  <c r="J29"/>
  <c r="F29"/>
  <c r="S29" s="1"/>
  <c r="H29"/>
  <c r="AB29" s="1"/>
  <c r="J31"/>
  <c r="AC31" s="1"/>
  <c r="H31"/>
  <c r="AB31" s="1"/>
  <c r="F31"/>
  <c r="S31" s="1"/>
  <c r="H45"/>
  <c r="U45" s="1"/>
  <c r="J45"/>
  <c r="W45" s="1"/>
  <c r="F45"/>
  <c r="S45" s="1"/>
  <c r="H47"/>
  <c r="U47" s="1"/>
  <c r="F47"/>
  <c r="S47" s="1"/>
  <c r="J47"/>
  <c r="AC47" s="1"/>
  <c r="F13" i="35"/>
  <c r="S13" s="1"/>
  <c r="J13"/>
  <c r="AC13" s="1"/>
  <c r="H13"/>
  <c r="U13" s="1"/>
  <c r="J25"/>
  <c r="W25" s="1"/>
  <c r="F25"/>
  <c r="S25" s="1"/>
  <c r="H25"/>
  <c r="AB25" s="1"/>
  <c r="J35"/>
  <c r="AC35" s="1"/>
  <c r="F35"/>
  <c r="AA35" s="1"/>
  <c r="H35"/>
  <c r="AB35" s="1"/>
  <c r="J25" i="36"/>
  <c r="W25" s="1"/>
  <c r="F25"/>
  <c r="S25" s="1"/>
  <c r="H25"/>
  <c r="AB25" s="1"/>
  <c r="H13" i="37"/>
  <c r="AB13" s="1"/>
  <c r="F13"/>
  <c r="S13" s="1"/>
  <c r="J13"/>
  <c r="W13" s="1"/>
  <c r="F28"/>
  <c r="AA28" s="1"/>
  <c r="J28"/>
  <c r="AC28" s="1"/>
  <c r="H28"/>
  <c r="U28" s="1"/>
  <c r="H38"/>
  <c r="AB38" s="1"/>
  <c r="J38"/>
  <c r="AC38" s="1"/>
  <c r="F38"/>
  <c r="S38" s="1"/>
  <c r="F43" i="39"/>
  <c r="AA43" s="1"/>
  <c r="H43"/>
  <c r="J14"/>
  <c r="AC14" s="1"/>
  <c r="F14"/>
  <c r="H14"/>
  <c r="AB14" s="1"/>
  <c r="F12" i="40"/>
  <c r="S12" s="1"/>
  <c r="H12"/>
  <c r="AB12" s="1"/>
  <c r="H30"/>
  <c r="AB30" s="1"/>
  <c r="F33"/>
  <c r="AA33" s="1"/>
  <c r="H33"/>
  <c r="U33" s="1"/>
  <c r="J35"/>
  <c r="AC35" s="1"/>
  <c r="J37"/>
  <c r="AC37" s="1"/>
  <c r="H13"/>
  <c r="U13" s="1"/>
  <c r="J13"/>
  <c r="W13" s="1"/>
  <c r="F13"/>
  <c r="AA13" s="1"/>
  <c r="F14" i="37"/>
  <c r="S14" s="1"/>
  <c r="F27"/>
  <c r="AA27" s="1"/>
  <c r="F13" i="39"/>
  <c r="J13"/>
  <c r="W13" s="1"/>
  <c r="H13"/>
  <c r="H14" i="40"/>
  <c r="AB14" s="1"/>
  <c r="J14"/>
  <c r="W14" s="1"/>
  <c r="F14"/>
  <c r="AA14" s="1"/>
  <c r="J14" i="37"/>
  <c r="AC14" s="1"/>
  <c r="J27"/>
  <c r="AC27" s="1"/>
  <c r="W28"/>
  <c r="AA13" i="35"/>
  <c r="AA47" i="34"/>
  <c r="U31"/>
  <c r="AC13"/>
  <c r="U46" i="33"/>
  <c r="U30"/>
  <c r="AA14"/>
  <c r="J36" i="37"/>
  <c r="AC36" s="1"/>
  <c r="AB11" i="36"/>
  <c r="J10"/>
  <c r="AC10" s="1"/>
  <c r="AB26" i="33"/>
  <c r="AB30" i="21"/>
  <c r="AA14" i="37"/>
  <c r="W31" i="34"/>
  <c r="W13" i="36"/>
  <c r="W11"/>
  <c r="W11" i="35"/>
  <c r="AB46" i="34"/>
  <c r="AC30"/>
  <c r="AA14"/>
  <c r="S45" i="33"/>
  <c r="AB45"/>
  <c r="AB31"/>
  <c r="U31"/>
  <c r="W29"/>
  <c r="U13"/>
  <c r="S44" i="34"/>
  <c r="BA586" i="3"/>
  <c r="AZ586"/>
  <c r="BA585"/>
  <c r="F17" i="21"/>
  <c r="AA17" s="1"/>
  <c r="H17"/>
  <c r="AB17" s="1"/>
  <c r="F15"/>
  <c r="S15" s="1"/>
  <c r="AB11"/>
  <c r="J41" i="39"/>
  <c r="W41" s="1"/>
  <c r="AC45"/>
  <c r="W44"/>
  <c r="W36"/>
  <c r="W35"/>
  <c r="U36"/>
  <c r="S35"/>
  <c r="G544" i="3"/>
  <c r="G540"/>
  <c r="G536"/>
  <c r="G535"/>
  <c r="G532"/>
  <c r="G531"/>
  <c r="G528"/>
  <c r="G527"/>
  <c r="G523"/>
  <c r="G518"/>
  <c r="G514"/>
  <c r="G510"/>
  <c r="G508"/>
  <c r="G504"/>
  <c r="G500"/>
  <c r="G496"/>
  <c r="G584"/>
  <c r="G580"/>
  <c r="G576"/>
  <c r="G572"/>
  <c r="G568"/>
  <c r="G564"/>
  <c r="G560"/>
  <c r="G554"/>
  <c r="G550"/>
  <c r="BL584"/>
  <c r="BL580"/>
  <c r="BL576"/>
  <c r="BL572"/>
  <c r="BL568"/>
  <c r="BL564"/>
  <c r="BL560"/>
  <c r="BL554"/>
  <c r="AZ554" s="1"/>
  <c r="BL546"/>
  <c r="BL542"/>
  <c r="AZ542" s="1"/>
  <c r="BL538"/>
  <c r="BL534"/>
  <c r="AZ534" s="1"/>
  <c r="BL530"/>
  <c r="BL526"/>
  <c r="BL522"/>
  <c r="BL516"/>
  <c r="AZ516" s="1"/>
  <c r="BL512"/>
  <c r="BL506"/>
  <c r="BL502"/>
  <c r="BL498"/>
  <c r="BL494"/>
  <c r="BL582"/>
  <c r="BL578"/>
  <c r="BL574"/>
  <c r="BL570"/>
  <c r="BL566"/>
  <c r="BL562"/>
  <c r="BL556"/>
  <c r="BL552"/>
  <c r="BL544"/>
  <c r="BL540"/>
  <c r="BL536"/>
  <c r="G533"/>
  <c r="BL532"/>
  <c r="G529"/>
  <c r="BL528"/>
  <c r="G525"/>
  <c r="BL524"/>
  <c r="BL518"/>
  <c r="BL514"/>
  <c r="BL510"/>
  <c r="BL504"/>
  <c r="BL500"/>
  <c r="BL496"/>
  <c r="G493"/>
  <c r="BA584"/>
  <c r="BA582"/>
  <c r="AZ582" s="1"/>
  <c r="BA580"/>
  <c r="BA578"/>
  <c r="AZ578" s="1"/>
  <c r="BA576"/>
  <c r="AZ576" s="1"/>
  <c r="BA574"/>
  <c r="AZ574" s="1"/>
  <c r="BA572"/>
  <c r="BA570"/>
  <c r="AZ570" s="1"/>
  <c r="BA568"/>
  <c r="AZ568" s="1"/>
  <c r="BA566"/>
  <c r="AZ566" s="1"/>
  <c r="BA564"/>
  <c r="BA562"/>
  <c r="AZ562" s="1"/>
  <c r="BA560"/>
  <c r="AZ560" s="1"/>
  <c r="BA558"/>
  <c r="BA556"/>
  <c r="AZ556"/>
  <c r="BA554"/>
  <c r="BA552"/>
  <c r="AZ552"/>
  <c r="BA548"/>
  <c r="BA546"/>
  <c r="BA544"/>
  <c r="AZ544"/>
  <c r="BA542"/>
  <c r="BA540"/>
  <c r="AZ540"/>
  <c r="BA538"/>
  <c r="AZ538"/>
  <c r="BA536"/>
  <c r="AZ536"/>
  <c r="BA534"/>
  <c r="BA532"/>
  <c r="AZ532"/>
  <c r="BA530"/>
  <c r="BA528"/>
  <c r="AZ528" s="1"/>
  <c r="BA526"/>
  <c r="AZ526" s="1"/>
  <c r="BA524"/>
  <c r="AZ524" s="1"/>
  <c r="BA522"/>
  <c r="BA520"/>
  <c r="BA518"/>
  <c r="AZ518"/>
  <c r="BA516"/>
  <c r="BA514"/>
  <c r="BA512"/>
  <c r="AZ512" s="1"/>
  <c r="BA510"/>
  <c r="AZ510" s="1"/>
  <c r="BA508"/>
  <c r="BA506"/>
  <c r="BA504"/>
  <c r="AZ504" s="1"/>
  <c r="BA502"/>
  <c r="BA500"/>
  <c r="BA498"/>
  <c r="AZ498" s="1"/>
  <c r="BA496"/>
  <c r="BA494"/>
  <c r="BA587"/>
  <c r="AZ587" s="1"/>
  <c r="BA583"/>
  <c r="AZ583" s="1"/>
  <c r="BA581"/>
  <c r="BA579"/>
  <c r="BA577"/>
  <c r="BA575"/>
  <c r="BA573"/>
  <c r="BA571"/>
  <c r="BA569"/>
  <c r="BA567"/>
  <c r="BA565"/>
  <c r="BA563"/>
  <c r="BA561"/>
  <c r="BA559"/>
  <c r="BA555"/>
  <c r="BA553"/>
  <c r="BA549"/>
  <c r="BA547"/>
  <c r="BA545"/>
  <c r="BA543"/>
  <c r="BA541"/>
  <c r="BA539"/>
  <c r="BA537"/>
  <c r="BA535"/>
  <c r="BA533"/>
  <c r="BA531"/>
  <c r="BA529"/>
  <c r="BA527"/>
  <c r="BA525"/>
  <c r="BA523"/>
  <c r="BA519"/>
  <c r="BA517"/>
  <c r="BA515"/>
  <c r="BA513"/>
  <c r="BA511"/>
  <c r="BA507"/>
  <c r="BA505"/>
  <c r="AZ505" s="1"/>
  <c r="BA503"/>
  <c r="BA501"/>
  <c r="BA499"/>
  <c r="BA497"/>
  <c r="BA495"/>
  <c r="BA493"/>
  <c r="G583"/>
  <c r="G581"/>
  <c r="G579"/>
  <c r="G577"/>
  <c r="G575"/>
  <c r="G573"/>
  <c r="G571"/>
  <c r="G569"/>
  <c r="G567"/>
  <c r="G565"/>
  <c r="G563"/>
  <c r="G561"/>
  <c r="BL558"/>
  <c r="AZ558" s="1"/>
  <c r="BA557"/>
  <c r="AC557"/>
  <c r="G557" s="1"/>
  <c r="BQ557"/>
  <c r="BL557" s="1"/>
  <c r="AZ557" s="1"/>
  <c r="BQ583"/>
  <c r="BL583"/>
  <c r="BQ581"/>
  <c r="BL581" s="1"/>
  <c r="AZ581" s="1"/>
  <c r="BQ579"/>
  <c r="BL579" s="1"/>
  <c r="AZ579"/>
  <c r="BQ577"/>
  <c r="BL577"/>
  <c r="BQ575"/>
  <c r="BL575" s="1"/>
  <c r="AZ575"/>
  <c r="BQ573"/>
  <c r="BL573"/>
  <c r="BQ571"/>
  <c r="BL571" s="1"/>
  <c r="AZ571"/>
  <c r="BQ569"/>
  <c r="BL569"/>
  <c r="BQ567"/>
  <c r="BL567" s="1"/>
  <c r="AZ567"/>
  <c r="BQ565"/>
  <c r="BL565"/>
  <c r="BQ563"/>
  <c r="BL563" s="1"/>
  <c r="BQ561"/>
  <c r="BL561" s="1"/>
  <c r="AZ561" s="1"/>
  <c r="BQ559"/>
  <c r="BL559"/>
  <c r="AZ559" s="1"/>
  <c r="G559"/>
  <c r="G555"/>
  <c r="G553"/>
  <c r="G549"/>
  <c r="G547"/>
  <c r="G545"/>
  <c r="G543"/>
  <c r="G541"/>
  <c r="G539"/>
  <c r="G537"/>
  <c r="BQ555"/>
  <c r="BL555" s="1"/>
  <c r="AZ555" s="1"/>
  <c r="BQ553"/>
  <c r="BL553"/>
  <c r="BQ551"/>
  <c r="BL551"/>
  <c r="AZ551" s="1"/>
  <c r="BQ549"/>
  <c r="BQ547"/>
  <c r="BL547"/>
  <c r="BQ545"/>
  <c r="BL545"/>
  <c r="BQ543"/>
  <c r="BL543"/>
  <c r="BQ541"/>
  <c r="BL541"/>
  <c r="BQ539"/>
  <c r="BL539"/>
  <c r="BQ537"/>
  <c r="BL537"/>
  <c r="BQ535"/>
  <c r="BL535"/>
  <c r="BQ533"/>
  <c r="BL533"/>
  <c r="BQ531"/>
  <c r="BL531"/>
  <c r="BQ529"/>
  <c r="BL529"/>
  <c r="BQ527"/>
  <c r="BL527"/>
  <c r="BQ525"/>
  <c r="BL525"/>
  <c r="BQ523"/>
  <c r="BL523"/>
  <c r="BA521"/>
  <c r="AC521"/>
  <c r="G521" s="1"/>
  <c r="BQ521"/>
  <c r="BL521" s="1"/>
  <c r="AZ521" s="1"/>
  <c r="BL520"/>
  <c r="AZ520"/>
  <c r="G519"/>
  <c r="G517"/>
  <c r="G515"/>
  <c r="G513"/>
  <c r="G511"/>
  <c r="BQ519"/>
  <c r="BL519" s="1"/>
  <c r="AZ519" s="1"/>
  <c r="BQ517"/>
  <c r="BL517"/>
  <c r="AZ517" s="1"/>
  <c r="BQ515"/>
  <c r="BL515" s="1"/>
  <c r="AZ515" s="1"/>
  <c r="BQ513"/>
  <c r="BL513"/>
  <c r="AZ513" s="1"/>
  <c r="BQ511"/>
  <c r="BL511" s="1"/>
  <c r="AZ511" s="1"/>
  <c r="BA509"/>
  <c r="AC509"/>
  <c r="BQ509"/>
  <c r="BL509"/>
  <c r="BL508"/>
  <c r="AZ508"/>
  <c r="G507"/>
  <c r="G505"/>
  <c r="G503"/>
  <c r="G501"/>
  <c r="G499"/>
  <c r="G497"/>
  <c r="G495"/>
  <c r="BQ507"/>
  <c r="BL507" s="1"/>
  <c r="AZ507" s="1"/>
  <c r="BQ505"/>
  <c r="BL505"/>
  <c r="BQ503"/>
  <c r="BL503" s="1"/>
  <c r="AZ503" s="1"/>
  <c r="BQ501"/>
  <c r="BL501"/>
  <c r="BQ499"/>
  <c r="BL499"/>
  <c r="BQ497"/>
  <c r="BL497"/>
  <c r="BQ495"/>
  <c r="BL495"/>
  <c r="AZ495" s="1"/>
  <c r="BQ493"/>
  <c r="AZ584"/>
  <c r="S505" i="31"/>
  <c r="S503"/>
  <c r="S501"/>
  <c r="S499"/>
  <c r="O27"/>
  <c r="O28"/>
  <c r="O26"/>
  <c r="M27"/>
  <c r="M28"/>
  <c r="M26"/>
  <c r="I26"/>
  <c r="I25"/>
  <c r="Q26"/>
  <c r="K26"/>
  <c r="I27"/>
  <c r="Q27"/>
  <c r="K27"/>
  <c r="I28"/>
  <c r="Q28"/>
  <c r="K28"/>
  <c r="AC28" i="34"/>
  <c r="S21" i="40"/>
  <c r="AA12" i="21"/>
  <c r="H25"/>
  <c r="U25" s="1"/>
  <c r="F25"/>
  <c r="S25" s="1"/>
  <c r="J25"/>
  <c r="AC25" s="1"/>
  <c r="E125" i="33"/>
  <c r="F125" s="1"/>
  <c r="G125" s="1"/>
  <c r="H43"/>
  <c r="AB43" s="1"/>
  <c r="H17" i="37"/>
  <c r="U17" s="1"/>
  <c r="AB27"/>
  <c r="U32" i="33"/>
  <c r="AA36" i="39"/>
  <c r="F39" i="33"/>
  <c r="AA39" s="1"/>
  <c r="E123"/>
  <c r="F42"/>
  <c r="AA42" s="1"/>
  <c r="H28" i="34"/>
  <c r="AB28" s="1"/>
  <c r="F14" i="36"/>
  <c r="AA14" s="1"/>
  <c r="F22"/>
  <c r="S22" s="1"/>
  <c r="F26"/>
  <c r="S26" s="1"/>
  <c r="H27" i="34"/>
  <c r="AB27" s="1"/>
  <c r="H35"/>
  <c r="U35" s="1"/>
  <c r="F41"/>
  <c r="S41" s="1"/>
  <c r="H41"/>
  <c r="U41" s="1"/>
  <c r="J41"/>
  <c r="AC41" s="1"/>
  <c r="F10" i="35"/>
  <c r="S10" s="1"/>
  <c r="F24"/>
  <c r="AA24" s="1"/>
  <c r="H24"/>
  <c r="AB24" s="1"/>
  <c r="H23" i="37"/>
  <c r="AB23" s="1"/>
  <c r="J32"/>
  <c r="AC32" s="1"/>
  <c r="F36"/>
  <c r="AA36" s="1"/>
  <c r="F37"/>
  <c r="AA37" s="1"/>
  <c r="F31" i="40"/>
  <c r="AA31" s="1"/>
  <c r="H31"/>
  <c r="U31" s="1"/>
  <c r="F32"/>
  <c r="S32" s="1"/>
  <c r="H32"/>
  <c r="AB32" s="1"/>
  <c r="J36"/>
  <c r="W36" s="1"/>
  <c r="AA41" i="34"/>
  <c r="H19" i="37"/>
  <c r="AB19" s="1"/>
  <c r="F123" i="33"/>
  <c r="G123" s="1"/>
  <c r="H123" s="1"/>
  <c r="I123" s="1"/>
  <c r="J123" s="1"/>
  <c r="K123" s="1"/>
  <c r="L123" s="1"/>
  <c r="M123" s="1"/>
  <c r="H42"/>
  <c r="AB42" s="1"/>
  <c r="J43"/>
  <c r="AC43" s="1"/>
  <c r="U43"/>
  <c r="U14" i="40"/>
  <c r="AC32" i="36"/>
  <c r="AC33"/>
  <c r="U35" i="35"/>
  <c r="AA12"/>
  <c r="W23"/>
  <c r="W14" i="37"/>
  <c r="AB28"/>
  <c r="U33"/>
  <c r="U39"/>
  <c r="W26"/>
  <c r="AC8"/>
  <c r="U26"/>
  <c r="W47" i="34"/>
  <c r="AB13"/>
  <c r="W37"/>
  <c r="AB37"/>
  <c r="AC36"/>
  <c r="AA13" i="33"/>
  <c r="AC31"/>
  <c r="AC45"/>
  <c r="W44"/>
  <c r="U11"/>
  <c r="U19" i="21"/>
  <c r="W44"/>
  <c r="U26"/>
  <c r="AC46"/>
  <c r="U12"/>
  <c r="AB38"/>
  <c r="F43" i="33"/>
  <c r="AA43" s="1"/>
  <c r="W15" i="34"/>
  <c r="AC15"/>
  <c r="W16" i="35"/>
  <c r="W40" i="37"/>
  <c r="G107"/>
  <c r="H107" s="1"/>
  <c r="I107" s="1"/>
  <c r="J107" s="1"/>
  <c r="K107" s="1"/>
  <c r="L107" s="1"/>
  <c r="M107" s="1"/>
  <c r="H113" i="21"/>
  <c r="H37"/>
  <c r="U37" s="1"/>
  <c r="S42"/>
  <c r="H19" i="34"/>
  <c r="AB19" s="1"/>
  <c r="F36" i="35"/>
  <c r="S36" s="1"/>
  <c r="J9" i="37"/>
  <c r="W9" s="1"/>
  <c r="H9"/>
  <c r="AB9" s="1"/>
  <c r="F9"/>
  <c r="S9" s="1"/>
  <c r="J12"/>
  <c r="W12" s="1"/>
  <c r="H12"/>
  <c r="AB12" s="1"/>
  <c r="F12"/>
  <c r="S12" s="1"/>
  <c r="E71"/>
  <c r="F15"/>
  <c r="AA15" s="1"/>
  <c r="E94"/>
  <c r="F31"/>
  <c r="S31" s="1"/>
  <c r="F12" i="39"/>
  <c r="S12" s="1"/>
  <c r="J42"/>
  <c r="AC42" s="1"/>
  <c r="H21" i="40"/>
  <c r="AB21" s="1"/>
  <c r="AC12" i="37"/>
  <c r="F94"/>
  <c r="G94" s="1"/>
  <c r="H94" s="1"/>
  <c r="I94" s="1"/>
  <c r="J94" s="1"/>
  <c r="K94" s="1"/>
  <c r="L94" s="1"/>
  <c r="M94" s="1"/>
  <c r="H31"/>
  <c r="U31" s="1"/>
  <c r="F71"/>
  <c r="G71" s="1"/>
  <c r="J15"/>
  <c r="W15" s="1"/>
  <c r="AT6" i="3"/>
  <c r="H5"/>
  <c r="AA25" i="21"/>
  <c r="C12" i="43"/>
  <c r="H19" i="40"/>
  <c r="U19" s="1"/>
  <c r="F88"/>
  <c r="G88" s="1"/>
  <c r="F19"/>
  <c r="S19" s="1"/>
  <c r="S14"/>
  <c r="AC13"/>
  <c r="AB33"/>
  <c r="W23" i="39"/>
  <c r="AC43"/>
  <c r="W43"/>
  <c r="U45"/>
  <c r="AB45"/>
  <c r="AB44"/>
  <c r="U44"/>
  <c r="G101"/>
  <c r="H37"/>
  <c r="AB37" s="1"/>
  <c r="AC37"/>
  <c r="W37"/>
  <c r="H25"/>
  <c r="AB25" s="1"/>
  <c r="J25"/>
  <c r="F25"/>
  <c r="AA25" s="1"/>
  <c r="F15"/>
  <c r="AA15" s="1"/>
  <c r="H15"/>
  <c r="U15" s="1"/>
  <c r="J15"/>
  <c r="W15" s="1"/>
  <c r="F89"/>
  <c r="G89" s="1"/>
  <c r="H41"/>
  <c r="W12"/>
  <c r="W27"/>
  <c r="AB34"/>
  <c r="U40"/>
  <c r="S42"/>
  <c r="W14"/>
  <c r="AA41"/>
  <c r="W9"/>
  <c r="W8"/>
  <c r="J19" i="40"/>
  <c r="AC19" s="1"/>
  <c r="J50"/>
  <c r="B54" i="72"/>
  <c r="H103" i="9"/>
  <c r="D8" i="53" s="1"/>
  <c r="B16"/>
  <c r="B33" i="72" s="1"/>
  <c r="C7" i="37"/>
  <c r="C7" i="34"/>
  <c r="C7" i="36"/>
  <c r="W35" i="40"/>
  <c r="A118" i="9"/>
  <c r="A4" i="52"/>
  <c r="B41" i="72" s="1"/>
  <c r="J11" i="39"/>
  <c r="W11" s="1"/>
  <c r="F11"/>
  <c r="AA11" s="1"/>
  <c r="A12" i="52"/>
  <c r="B56" i="72" s="1"/>
  <c r="S11" i="39"/>
  <c r="I4" i="4"/>
  <c r="A2" i="9"/>
  <c r="N2" i="43"/>
  <c r="F59" s="1"/>
  <c r="AZ550" i="3"/>
  <c r="AZ20"/>
  <c r="AZ24"/>
  <c r="AZ28"/>
  <c r="AZ32"/>
  <c r="AZ497"/>
  <c r="AZ525"/>
  <c r="AZ529"/>
  <c r="AZ537"/>
  <c r="BL549"/>
  <c r="AZ494"/>
  <c r="AZ502"/>
  <c r="AZ514"/>
  <c r="AZ522"/>
  <c r="AZ530"/>
  <c r="AZ546"/>
  <c r="G546"/>
  <c r="G524"/>
  <c r="G303"/>
  <c r="BL304"/>
  <c r="G305"/>
  <c r="BL306"/>
  <c r="BA308"/>
  <c r="AZ308" s="1"/>
  <c r="BA309"/>
  <c r="BL309"/>
  <c r="G310"/>
  <c r="BA311"/>
  <c r="G319"/>
  <c r="BL320"/>
  <c r="G321"/>
  <c r="BL322"/>
  <c r="BA324"/>
  <c r="AZ324" s="1"/>
  <c r="BA325"/>
  <c r="BL325"/>
  <c r="G326"/>
  <c r="BA327"/>
  <c r="G335"/>
  <c r="BL336"/>
  <c r="G337"/>
  <c r="BL338"/>
  <c r="BA340"/>
  <c r="AZ340" s="1"/>
  <c r="BA341"/>
  <c r="BL341"/>
  <c r="BA343"/>
  <c r="BA345"/>
  <c r="BL355"/>
  <c r="G356"/>
  <c r="BL357"/>
  <c r="BA359"/>
  <c r="AZ359"/>
  <c r="BA360"/>
  <c r="BL360"/>
  <c r="AZ360" s="1"/>
  <c r="G361"/>
  <c r="BA362"/>
  <c r="AZ362" s="1"/>
  <c r="G370"/>
  <c r="BL371"/>
  <c r="G372"/>
  <c r="BL373"/>
  <c r="BA375"/>
  <c r="AZ375" s="1"/>
  <c r="BA376"/>
  <c r="BL376"/>
  <c r="G377"/>
  <c r="BA378"/>
  <c r="AZ378"/>
  <c r="BL378"/>
  <c r="G379"/>
  <c r="BA380"/>
  <c r="G388"/>
  <c r="BL389"/>
  <c r="G390"/>
  <c r="BL391"/>
  <c r="BA393"/>
  <c r="AZ393" s="1"/>
  <c r="BA394"/>
  <c r="AZ394" s="1"/>
  <c r="BL394"/>
  <c r="G113"/>
  <c r="BA115"/>
  <c r="AZ115"/>
  <c r="BL116"/>
  <c r="AZ116"/>
  <c r="G117"/>
  <c r="BA119"/>
  <c r="AZ119" s="1"/>
  <c r="BL120"/>
  <c r="G121"/>
  <c r="BA123"/>
  <c r="AZ123" s="1"/>
  <c r="BL124"/>
  <c r="AZ124" s="1"/>
  <c r="G125"/>
  <c r="BA127"/>
  <c r="AZ127"/>
  <c r="BL128"/>
  <c r="G129"/>
  <c r="BA131"/>
  <c r="AZ131"/>
  <c r="BL132"/>
  <c r="AZ132"/>
  <c r="G133"/>
  <c r="BA135"/>
  <c r="AZ135" s="1"/>
  <c r="BL136"/>
  <c r="G137"/>
  <c r="BA139"/>
  <c r="AZ139" s="1"/>
  <c r="BL140"/>
  <c r="AZ140" s="1"/>
  <c r="G141"/>
  <c r="BA143"/>
  <c r="AZ143"/>
  <c r="BL144"/>
  <c r="G145"/>
  <c r="BA147"/>
  <c r="AZ147"/>
  <c r="BL148"/>
  <c r="AZ148"/>
  <c r="G149"/>
  <c r="BA151"/>
  <c r="AZ151" s="1"/>
  <c r="BL152"/>
  <c r="G153"/>
  <c r="BA155"/>
  <c r="AZ155" s="1"/>
  <c r="BL156"/>
  <c r="AZ156" s="1"/>
  <c r="G157"/>
  <c r="BA159"/>
  <c r="AZ159"/>
  <c r="BL160"/>
  <c r="G161"/>
  <c r="BA163"/>
  <c r="AZ163"/>
  <c r="BL164"/>
  <c r="AZ164"/>
  <c r="G165"/>
  <c r="BA167"/>
  <c r="AZ167" s="1"/>
  <c r="BL168"/>
  <c r="G169"/>
  <c r="BA171"/>
  <c r="AZ171" s="1"/>
  <c r="BL172"/>
  <c r="AZ172" s="1"/>
  <c r="G173"/>
  <c r="BA175"/>
  <c r="AZ175"/>
  <c r="BL176"/>
  <c r="G177"/>
  <c r="BA179"/>
  <c r="AZ179"/>
  <c r="BL180"/>
  <c r="AZ180"/>
  <c r="G181"/>
  <c r="BA183"/>
  <c r="AZ183" s="1"/>
  <c r="BL184"/>
  <c r="G185"/>
  <c r="BA187"/>
  <c r="AZ187" s="1"/>
  <c r="BL188"/>
  <c r="AZ188" s="1"/>
  <c r="G189"/>
  <c r="BA191"/>
  <c r="AZ191"/>
  <c r="BL192"/>
  <c r="G193"/>
  <c r="BA195"/>
  <c r="AZ195"/>
  <c r="BL196"/>
  <c r="AZ196"/>
  <c r="G197"/>
  <c r="BA199"/>
  <c r="AZ199" s="1"/>
  <c r="BL200"/>
  <c r="G201"/>
  <c r="BA203"/>
  <c r="AZ203" s="1"/>
  <c r="BL204"/>
  <c r="AZ204" s="1"/>
  <c r="AZ39"/>
  <c r="AZ43"/>
  <c r="AZ47"/>
  <c r="AZ51"/>
  <c r="AZ55"/>
  <c r="AZ59"/>
  <c r="AZ63"/>
  <c r="AZ67"/>
  <c r="AZ71"/>
  <c r="AZ75"/>
  <c r="AZ79"/>
  <c r="AZ83"/>
  <c r="AZ136"/>
  <c r="AZ144"/>
  <c r="AZ152"/>
  <c r="AZ160"/>
  <c r="AZ168"/>
  <c r="AZ176"/>
  <c r="AZ184"/>
  <c r="AZ192"/>
  <c r="AZ200"/>
  <c r="AZ85"/>
  <c r="AZ89"/>
  <c r="AZ93"/>
  <c r="AZ97"/>
  <c r="AZ101"/>
  <c r="AZ105"/>
  <c r="AZ109"/>
  <c r="AZ120"/>
  <c r="AZ128"/>
  <c r="AZ527"/>
  <c r="AZ539"/>
  <c r="G534"/>
  <c r="G530"/>
  <c r="G522"/>
  <c r="G516"/>
  <c r="G512"/>
  <c r="G506"/>
  <c r="G498"/>
  <c r="G494"/>
  <c r="G16"/>
  <c r="G15"/>
  <c r="BA304"/>
  <c r="AZ304" s="1"/>
  <c r="BA305"/>
  <c r="AZ305" s="1"/>
  <c r="BL305"/>
  <c r="G306"/>
  <c r="G309"/>
  <c r="BL310"/>
  <c r="BA312"/>
  <c r="AZ312"/>
  <c r="BA313"/>
  <c r="BL313"/>
  <c r="AZ313" s="1"/>
  <c r="G314"/>
  <c r="G317"/>
  <c r="BL318"/>
  <c r="BA320"/>
  <c r="AZ320" s="1"/>
  <c r="BA321"/>
  <c r="AZ321" s="1"/>
  <c r="BL321"/>
  <c r="G322"/>
  <c r="G325"/>
  <c r="BL326"/>
  <c r="BA328"/>
  <c r="AZ328"/>
  <c r="BA329"/>
  <c r="BL329"/>
  <c r="AZ329" s="1"/>
  <c r="G330"/>
  <c r="G333"/>
  <c r="BL334"/>
  <c r="BA336"/>
  <c r="AZ336" s="1"/>
  <c r="BA337"/>
  <c r="AZ337" s="1"/>
  <c r="BL337"/>
  <c r="G338"/>
  <c r="G341"/>
  <c r="BA342"/>
  <c r="BL342"/>
  <c r="AZ342"/>
  <c r="BA344"/>
  <c r="BL344"/>
  <c r="AZ344" s="1"/>
  <c r="BA346"/>
  <c r="AZ346" s="1"/>
  <c r="BA347"/>
  <c r="AZ347" s="1"/>
  <c r="BL347"/>
  <c r="G350"/>
  <c r="BA351"/>
  <c r="AZ351"/>
  <c r="BL351"/>
  <c r="G352"/>
  <c r="G354"/>
  <c r="BA355"/>
  <c r="AZ355" s="1"/>
  <c r="BA356"/>
  <c r="BL356"/>
  <c r="G357"/>
  <c r="G360"/>
  <c r="BL361"/>
  <c r="BA363"/>
  <c r="AZ363"/>
  <c r="BA364"/>
  <c r="BL364"/>
  <c r="G365"/>
  <c r="G368"/>
  <c r="BL369"/>
  <c r="BA371"/>
  <c r="AZ371" s="1"/>
  <c r="BA372"/>
  <c r="AZ372" s="1"/>
  <c r="BL372"/>
  <c r="G373"/>
  <c r="G376"/>
  <c r="BL377"/>
  <c r="BL379"/>
  <c r="BA381"/>
  <c r="AZ381"/>
  <c r="BA382"/>
  <c r="BL382"/>
  <c r="G383"/>
  <c r="G386"/>
  <c r="BL387"/>
  <c r="BA389"/>
  <c r="AZ389" s="1"/>
  <c r="BA390"/>
  <c r="AZ390" s="1"/>
  <c r="BL390"/>
  <c r="G391"/>
  <c r="G394"/>
  <c r="AZ138"/>
  <c r="AZ142"/>
  <c r="AZ146"/>
  <c r="AZ150"/>
  <c r="AZ154"/>
  <c r="AZ158"/>
  <c r="AZ162"/>
  <c r="AZ166"/>
  <c r="AZ170"/>
  <c r="AZ174"/>
  <c r="AZ178"/>
  <c r="AZ182"/>
  <c r="AZ186"/>
  <c r="AZ190"/>
  <c r="AZ194"/>
  <c r="AZ198"/>
  <c r="AZ202"/>
  <c r="AZ206"/>
  <c r="AZ523"/>
  <c r="AZ531"/>
  <c r="AZ543"/>
  <c r="AZ500"/>
  <c r="BA16"/>
  <c r="AZ16" s="1"/>
  <c r="BL303"/>
  <c r="G304"/>
  <c r="BA306"/>
  <c r="AZ306"/>
  <c r="BL307"/>
  <c r="AZ307"/>
  <c r="G308"/>
  <c r="BA310"/>
  <c r="AZ310" s="1"/>
  <c r="BL311"/>
  <c r="AZ311" s="1"/>
  <c r="G312"/>
  <c r="BA314"/>
  <c r="AZ314" s="1"/>
  <c r="BL315"/>
  <c r="AZ315" s="1"/>
  <c r="G316"/>
  <c r="BA318"/>
  <c r="AZ318"/>
  <c r="BL319"/>
  <c r="G320"/>
  <c r="BA322"/>
  <c r="AZ322"/>
  <c r="BL323"/>
  <c r="AZ323"/>
  <c r="G324"/>
  <c r="BA326"/>
  <c r="AZ326" s="1"/>
  <c r="BL327"/>
  <c r="AZ327" s="1"/>
  <c r="G328"/>
  <c r="BA330"/>
  <c r="AZ330" s="1"/>
  <c r="BL331"/>
  <c r="AZ331" s="1"/>
  <c r="G332"/>
  <c r="BA334"/>
  <c r="AZ334"/>
  <c r="BL335"/>
  <c r="G336"/>
  <c r="BA338"/>
  <c r="AZ338"/>
  <c r="BL339"/>
  <c r="AZ339"/>
  <c r="G340"/>
  <c r="BL343"/>
  <c r="G344"/>
  <c r="G348"/>
  <c r="G355"/>
  <c r="AZ209"/>
  <c r="AZ214"/>
  <c r="AZ218"/>
  <c r="AZ222"/>
  <c r="AZ303"/>
  <c r="AZ319"/>
  <c r="AZ335"/>
  <c r="G342"/>
  <c r="BL345"/>
  <c r="AZ345" s="1"/>
  <c r="G346"/>
  <c r="AZ348"/>
  <c r="BL349"/>
  <c r="AZ349"/>
  <c r="BL352"/>
  <c r="G353"/>
  <c r="BA357"/>
  <c r="AZ357"/>
  <c r="BL358"/>
  <c r="AZ358"/>
  <c r="G359"/>
  <c r="BA361"/>
  <c r="AZ361" s="1"/>
  <c r="BL362"/>
  <c r="G363"/>
  <c r="BA365"/>
  <c r="AZ365" s="1"/>
  <c r="BL366"/>
  <c r="AZ366" s="1"/>
  <c r="G367"/>
  <c r="BA369"/>
  <c r="AZ369"/>
  <c r="BL370"/>
  <c r="G371"/>
  <c r="BA373"/>
  <c r="AZ373"/>
  <c r="BL374"/>
  <c r="AZ374"/>
  <c r="G375"/>
  <c r="BA377"/>
  <c r="AZ377" s="1"/>
  <c r="AZ229"/>
  <c r="AZ233"/>
  <c r="AZ237"/>
  <c r="AZ241"/>
  <c r="AZ245"/>
  <c r="AZ249"/>
  <c r="AZ253"/>
  <c r="AZ257"/>
  <c r="AZ261"/>
  <c r="AZ265"/>
  <c r="AZ269"/>
  <c r="AZ273"/>
  <c r="AZ370"/>
  <c r="BA379"/>
  <c r="AZ379"/>
  <c r="BL380"/>
  <c r="G381"/>
  <c r="BA383"/>
  <c r="AZ383"/>
  <c r="BL384"/>
  <c r="G385"/>
  <c r="BA387"/>
  <c r="AZ387"/>
  <c r="BL388"/>
  <c r="G389"/>
  <c r="BA391"/>
  <c r="AZ391"/>
  <c r="BL392"/>
  <c r="G393"/>
  <c r="AZ263"/>
  <c r="AZ275"/>
  <c r="AZ279"/>
  <c r="AZ283"/>
  <c r="AZ287"/>
  <c r="AZ291"/>
  <c r="AZ295"/>
  <c r="AZ299"/>
  <c r="AZ541"/>
  <c r="AZ545"/>
  <c r="BO5"/>
  <c r="BM5"/>
  <c r="F29" i="6" s="1"/>
  <c r="E29" s="1"/>
  <c r="BJ5" i="3"/>
  <c r="BH5"/>
  <c r="BF5"/>
  <c r="BD5"/>
  <c r="AZ309"/>
  <c r="AZ317"/>
  <c r="AZ325"/>
  <c r="AZ333"/>
  <c r="AZ341"/>
  <c r="BQ5"/>
  <c r="AC5"/>
  <c r="AZ533"/>
  <c r="AZ549"/>
  <c r="AZ535"/>
  <c r="AZ547"/>
  <c r="AZ506"/>
  <c r="AZ548"/>
  <c r="AZ496"/>
  <c r="G548"/>
  <c r="G538"/>
  <c r="G520"/>
  <c r="G502"/>
  <c r="BS5"/>
  <c r="BP5"/>
  <c r="G29" i="6" s="1"/>
  <c r="BN5" i="3"/>
  <c r="AZ343"/>
  <c r="BK5"/>
  <c r="BI5"/>
  <c r="BG5"/>
  <c r="BE5"/>
  <c r="BC5"/>
  <c r="G17"/>
  <c r="BA17"/>
  <c r="BT5"/>
  <c r="AZ350"/>
  <c r="AZ352"/>
  <c r="AZ356"/>
  <c r="AZ364"/>
  <c r="AZ368"/>
  <c r="BA15"/>
  <c r="AZ15" s="1"/>
  <c r="BB5"/>
  <c r="BR5"/>
  <c r="G28" i="6" s="1"/>
  <c r="AZ380" i="3"/>
  <c r="AZ384"/>
  <c r="AZ388"/>
  <c r="AZ392"/>
  <c r="AZ396"/>
  <c r="AZ499"/>
  <c r="AZ509"/>
  <c r="E8" i="6"/>
  <c r="F27" s="1"/>
  <c r="G509" i="3"/>
  <c r="BL493"/>
  <c r="AZ493" s="1"/>
  <c r="AZ398"/>
  <c r="AZ402"/>
  <c r="AZ406"/>
  <c r="AZ410"/>
  <c r="AZ414"/>
  <c r="AZ418"/>
  <c r="AZ422"/>
  <c r="AZ426"/>
  <c r="AZ430"/>
  <c r="AZ434"/>
  <c r="AZ438"/>
  <c r="AZ442"/>
  <c r="AZ446"/>
  <c r="AZ450"/>
  <c r="AZ454"/>
  <c r="AZ458"/>
  <c r="AZ462"/>
  <c r="AZ479"/>
  <c r="AZ483"/>
  <c r="AZ487"/>
  <c r="AZ491"/>
  <c r="AZ467"/>
  <c r="AZ471"/>
  <c r="AZ475"/>
  <c r="AZ477"/>
  <c r="AZ481"/>
  <c r="AZ489"/>
  <c r="AZ376"/>
  <c r="AZ382"/>
  <c r="U36" i="40"/>
  <c r="N4" i="43"/>
  <c r="F36"/>
  <c r="F81"/>
  <c r="H83" s="1"/>
  <c r="H113"/>
  <c r="F48"/>
  <c r="H52" s="1"/>
  <c r="N7"/>
  <c r="F70"/>
  <c r="H73" s="1"/>
  <c r="M6"/>
  <c r="M11"/>
  <c r="E17"/>
  <c r="F39"/>
  <c r="I17"/>
  <c r="F35"/>
  <c r="J17"/>
  <c r="F6" i="1"/>
  <c r="U17" i="39"/>
  <c r="S14" i="35"/>
  <c r="U43" i="21"/>
  <c r="U35"/>
  <c r="AC35"/>
  <c r="U10"/>
  <c r="O6" i="1"/>
  <c r="P6" s="1"/>
  <c r="G10"/>
  <c r="F48" i="9"/>
  <c r="O52" s="1"/>
  <c r="AC11" i="39"/>
  <c r="AZ553" i="3"/>
  <c r="AZ563"/>
  <c r="AZ501"/>
  <c r="W37" i="37"/>
  <c r="W44" i="34"/>
  <c r="AC44"/>
  <c r="S15" i="37"/>
  <c r="U13"/>
  <c r="U12" i="40"/>
  <c r="AA12"/>
  <c r="J37" i="33"/>
  <c r="W37" s="1"/>
  <c r="AC17" i="34"/>
  <c r="F106" i="33"/>
  <c r="G106" s="1"/>
  <c r="H106" s="1"/>
  <c r="I106" s="1"/>
  <c r="J106" s="1"/>
  <c r="K106" s="1"/>
  <c r="L106" s="1"/>
  <c r="M106" s="1"/>
  <c r="J34"/>
  <c r="W34" s="1"/>
  <c r="AC27" i="34"/>
  <c r="W27"/>
  <c r="F33"/>
  <c r="S33" s="1"/>
  <c r="W12" i="36"/>
  <c r="AC12"/>
  <c r="H20"/>
  <c r="U20" s="1"/>
  <c r="J20"/>
  <c r="W20" s="1"/>
  <c r="F68"/>
  <c r="W24"/>
  <c r="AB34"/>
  <c r="U34"/>
  <c r="J27"/>
  <c r="W27" s="1"/>
  <c r="AB25" i="37"/>
  <c r="AC33" i="40"/>
  <c r="F111"/>
  <c r="G111" s="1"/>
  <c r="H111" s="1"/>
  <c r="I111" s="1"/>
  <c r="J111" s="1"/>
  <c r="K111" s="1"/>
  <c r="L111" s="1"/>
  <c r="M111" s="1"/>
  <c r="H35"/>
  <c r="AB35" s="1"/>
  <c r="AC29" i="35"/>
  <c r="G103" i="37"/>
  <c r="H103" s="1"/>
  <c r="I103" s="1"/>
  <c r="J103" s="1"/>
  <c r="K103" s="1"/>
  <c r="L103" s="1"/>
  <c r="M103" s="1"/>
  <c r="H35"/>
  <c r="U35" s="1"/>
  <c r="AC14" i="35"/>
  <c r="H20"/>
  <c r="U20" s="1"/>
  <c r="F20"/>
  <c r="AA20" s="1"/>
  <c r="AB29" i="36"/>
  <c r="U29"/>
  <c r="H32" i="37"/>
  <c r="AB32" s="1"/>
  <c r="F96"/>
  <c r="H27" i="40"/>
  <c r="U27" s="1"/>
  <c r="F96"/>
  <c r="G96" s="1"/>
  <c r="H96" s="1"/>
  <c r="I96" s="1"/>
  <c r="J96" s="1"/>
  <c r="K96" s="1"/>
  <c r="L96" s="1"/>
  <c r="M96" s="1"/>
  <c r="J27"/>
  <c r="AC27" s="1"/>
  <c r="F27"/>
  <c r="S27" s="1"/>
  <c r="J30"/>
  <c r="AC30" s="1"/>
  <c r="F30"/>
  <c r="AA30" s="1"/>
  <c r="AC21"/>
  <c r="S31" i="39"/>
  <c r="S11" i="40"/>
  <c r="E98"/>
  <c r="F98" s="1"/>
  <c r="G98" s="1"/>
  <c r="H98" s="1"/>
  <c r="I98" s="1"/>
  <c r="J98" s="1"/>
  <c r="K98" s="1"/>
  <c r="L98" s="1"/>
  <c r="M98" s="1"/>
  <c r="AZ424" i="3"/>
  <c r="AZ440"/>
  <c r="AZ448"/>
  <c r="AZ456"/>
  <c r="AZ464"/>
  <c r="AZ472"/>
  <c r="F10" i="33"/>
  <c r="S10" s="1"/>
  <c r="F34"/>
  <c r="H34"/>
  <c r="U34" s="1"/>
  <c r="F35"/>
  <c r="S35" s="1"/>
  <c r="F39" i="34"/>
  <c r="S39" s="1"/>
  <c r="J39"/>
  <c r="W39" s="1"/>
  <c r="F40"/>
  <c r="S40" s="1"/>
  <c r="F43"/>
  <c r="AA43" s="1"/>
  <c r="H44"/>
  <c r="AB44" s="1"/>
  <c r="AC38" i="39"/>
  <c r="F39"/>
  <c r="S39" s="1"/>
  <c r="J39"/>
  <c r="AC39" s="1"/>
  <c r="E97"/>
  <c r="F97" s="1"/>
  <c r="G97" s="1"/>
  <c r="AZ403" i="3"/>
  <c r="AZ411"/>
  <c r="AZ419"/>
  <c r="AZ427"/>
  <c r="AZ435"/>
  <c r="AZ443"/>
  <c r="AZ451"/>
  <c r="AZ459"/>
  <c r="AZ469"/>
  <c r="AZ485"/>
  <c r="AZ353"/>
  <c r="AZ354"/>
  <c r="AZ386"/>
  <c r="C40" i="11"/>
  <c r="AZ215" i="3"/>
  <c r="AZ223"/>
  <c r="AZ227"/>
  <c r="AZ232"/>
  <c r="AZ235"/>
  <c r="AZ240"/>
  <c r="AZ243"/>
  <c r="AZ248"/>
  <c r="AZ251"/>
  <c r="AZ256"/>
  <c r="AZ259"/>
  <c r="AZ268"/>
  <c r="AZ271"/>
  <c r="AZ280"/>
  <c r="AZ288"/>
  <c r="AZ296"/>
  <c r="AZ114"/>
  <c r="AZ117"/>
  <c r="AZ130"/>
  <c r="AZ133"/>
  <c r="AZ21"/>
  <c r="AZ29"/>
  <c r="AZ31"/>
  <c r="AZ33"/>
  <c r="AZ37"/>
  <c r="AZ42"/>
  <c r="AZ45"/>
  <c r="AZ50"/>
  <c r="AZ53"/>
  <c r="AZ58"/>
  <c r="AZ61"/>
  <c r="AZ66"/>
  <c r="AZ69"/>
  <c r="AZ72"/>
  <c r="AZ74"/>
  <c r="AZ77"/>
  <c r="AZ82"/>
  <c r="AZ86"/>
  <c r="AZ94"/>
  <c r="AZ102"/>
  <c r="AZ110"/>
  <c r="H75" i="43"/>
  <c r="H74"/>
  <c r="H50"/>
  <c r="H49"/>
  <c r="H48"/>
  <c r="I20"/>
  <c r="F23" i="39"/>
  <c r="AA23" s="1"/>
  <c r="S34" i="33"/>
  <c r="AA34"/>
  <c r="H27" i="36"/>
  <c r="U27" s="1"/>
  <c r="F27"/>
  <c r="AA27" s="1"/>
  <c r="H33" i="34"/>
  <c r="U33" s="1"/>
  <c r="AC34" i="33"/>
  <c r="AA39" i="34"/>
  <c r="F32" i="37"/>
  <c r="AA32" s="1"/>
  <c r="G96"/>
  <c r="H96" s="1"/>
  <c r="I96" s="1"/>
  <c r="J96" s="1"/>
  <c r="K96" s="1"/>
  <c r="L96" s="1"/>
  <c r="M96" s="1"/>
  <c r="G68" i="36"/>
  <c r="F20"/>
  <c r="AA20" s="1"/>
  <c r="J33" i="34"/>
  <c r="AC33" s="1"/>
  <c r="H23" i="39"/>
  <c r="U23" s="1"/>
  <c r="D48" i="9"/>
  <c r="M52" s="1"/>
  <c r="H86" i="43"/>
  <c r="H82"/>
  <c r="H87"/>
  <c r="K9" i="1"/>
  <c r="F3" i="35"/>
  <c r="D93" i="9"/>
  <c r="J51" i="15"/>
  <c r="F42" i="78"/>
  <c r="L47"/>
  <c r="M9"/>
  <c r="M27"/>
  <c r="M29"/>
  <c r="C76"/>
  <c r="J15"/>
  <c r="M22"/>
  <c r="F37"/>
  <c r="M6"/>
  <c r="F8"/>
  <c r="M24"/>
  <c r="M26"/>
  <c r="F40"/>
  <c r="F43"/>
  <c r="F9"/>
  <c r="F13"/>
  <c r="M28"/>
  <c r="F36"/>
  <c r="F6"/>
  <c r="F16"/>
  <c r="M23"/>
  <c r="F38"/>
  <c r="F7"/>
  <c r="M8"/>
  <c r="F26"/>
  <c r="F28" i="6" l="1"/>
  <c r="U12" i="37"/>
  <c r="AZ564" i="3"/>
  <c r="AZ572"/>
  <c r="AZ580"/>
  <c r="S44" i="33"/>
  <c r="AA44"/>
  <c r="AA11" i="36"/>
  <c r="S11"/>
  <c r="AC9" i="34"/>
  <c r="W9"/>
  <c r="AC32" i="40"/>
  <c r="W32"/>
  <c r="AZ465" i="3"/>
  <c r="AZ565"/>
  <c r="AZ569"/>
  <c r="AZ573"/>
  <c r="AZ577"/>
  <c r="U11" i="35"/>
  <c r="AB11"/>
  <c r="W28" i="21"/>
  <c r="AC28"/>
  <c r="U12" i="35"/>
  <c r="AB12"/>
  <c r="AC34"/>
  <c r="W34"/>
  <c r="AB14" i="37"/>
  <c r="U14"/>
  <c r="AC31" i="40"/>
  <c r="W31"/>
  <c r="AA38"/>
  <c r="S38"/>
  <c r="W40"/>
  <c r="AC40"/>
  <c r="AZ404" i="3"/>
  <c r="AZ409"/>
  <c r="AZ420"/>
  <c r="AZ431"/>
  <c r="AZ437"/>
  <c r="AZ441"/>
  <c r="AZ453"/>
  <c r="AZ457"/>
  <c r="AZ468"/>
  <c r="AZ473"/>
  <c r="AZ367"/>
  <c r="U23" i="40"/>
  <c r="AB17" i="34"/>
  <c r="U30" i="35"/>
  <c r="C15" i="39"/>
  <c r="C25"/>
  <c r="W39" i="33"/>
  <c r="U33"/>
  <c r="W36" i="35"/>
  <c r="J12" i="21"/>
  <c r="AC12" s="1"/>
  <c r="F9" i="34"/>
  <c r="F34" i="35"/>
  <c r="F9" i="36"/>
  <c r="AA9" s="1"/>
  <c r="H24"/>
  <c r="AB24" s="1"/>
  <c r="F25" i="37"/>
  <c r="AA25" s="1"/>
  <c r="F26"/>
  <c r="AA26" s="1"/>
  <c r="J38" i="40"/>
  <c r="AC38" s="1"/>
  <c r="F40"/>
  <c r="M20" i="15"/>
  <c r="F34" i="78"/>
  <c r="F62" s="1"/>
  <c r="M20"/>
  <c r="D78" i="9"/>
  <c r="D93" i="80"/>
  <c r="D78"/>
  <c r="F7" i="1"/>
  <c r="G7" s="1"/>
  <c r="F8"/>
  <c r="G8" s="1"/>
  <c r="F9"/>
  <c r="AZ286" i="3"/>
  <c r="AZ210"/>
  <c r="AZ216"/>
  <c r="AZ221"/>
  <c r="AZ228"/>
  <c r="AZ231"/>
  <c r="AZ244"/>
  <c r="AZ247"/>
  <c r="AZ260"/>
  <c r="AZ264"/>
  <c r="AZ267"/>
  <c r="AZ278"/>
  <c r="AZ297"/>
  <c r="AZ300"/>
  <c r="AZ118"/>
  <c r="AZ121"/>
  <c r="AZ134"/>
  <c r="AZ137"/>
  <c r="AZ145"/>
  <c r="AZ153"/>
  <c r="AZ161"/>
  <c r="AZ169"/>
  <c r="AZ177"/>
  <c r="AZ185"/>
  <c r="AZ193"/>
  <c r="AZ201"/>
  <c r="AZ207"/>
  <c r="AZ23"/>
  <c r="AZ26"/>
  <c r="AZ34"/>
  <c r="AZ36"/>
  <c r="AZ48"/>
  <c r="AZ52"/>
  <c r="AZ64"/>
  <c r="AZ68"/>
  <c r="AZ80"/>
  <c r="AZ84"/>
  <c r="AZ88"/>
  <c r="AZ107"/>
  <c r="AZ111"/>
  <c r="E26" i="66"/>
  <c r="C30"/>
  <c r="C6" i="78"/>
  <c r="C10"/>
  <c r="F50"/>
  <c r="M7"/>
  <c r="J6" s="1"/>
  <c r="F51"/>
  <c r="C27"/>
  <c r="F64"/>
  <c r="F65"/>
  <c r="F66"/>
  <c r="F68"/>
  <c r="F70"/>
  <c r="F71"/>
  <c r="Q71"/>
  <c r="M9" i="1"/>
  <c r="O9" s="1"/>
  <c r="P9" s="1"/>
  <c r="M6"/>
  <c r="S12"/>
  <c r="R12"/>
  <c r="S10"/>
  <c r="R10"/>
  <c r="C51" i="10"/>
  <c r="A13" i="51" s="1"/>
  <c r="B11" i="72" s="1"/>
  <c r="A118" i="80"/>
  <c r="A2"/>
  <c r="S13" i="1"/>
  <c r="R13"/>
  <c r="S11"/>
  <c r="R11"/>
  <c r="M47" i="80"/>
  <c r="J51" i="78"/>
  <c r="L59" s="1"/>
  <c r="B10" i="1"/>
  <c r="E10" s="1"/>
  <c r="B12"/>
  <c r="E12" s="1"/>
  <c r="AA29" i="35"/>
  <c r="U23"/>
  <c r="AB23"/>
  <c r="AC8"/>
  <c r="BA14" i="3"/>
  <c r="BL14"/>
  <c r="E15" i="6"/>
  <c r="E60" i="40" s="1"/>
  <c r="G14" i="3"/>
  <c r="E12" i="6"/>
  <c r="E57" i="40" s="1"/>
  <c r="E13" i="6"/>
  <c r="A15" i="62"/>
  <c r="B61" i="72" s="1"/>
  <c r="J51" i="67"/>
  <c r="C42" i="1"/>
  <c r="B41"/>
  <c r="J100" i="43"/>
  <c r="AB37" i="40"/>
  <c r="S35"/>
  <c r="U35"/>
  <c r="AC36"/>
  <c r="W38"/>
  <c r="AA32"/>
  <c r="S17"/>
  <c r="S23"/>
  <c r="AC17"/>
  <c r="AC15"/>
  <c r="AB27"/>
  <c r="S30"/>
  <c r="AA19"/>
  <c r="S28"/>
  <c r="AA27"/>
  <c r="U21"/>
  <c r="AB19"/>
  <c r="W42" i="39"/>
  <c r="U37"/>
  <c r="W39"/>
  <c r="S43"/>
  <c r="S37"/>
  <c r="U35"/>
  <c r="F32"/>
  <c r="F107"/>
  <c r="G107" s="1"/>
  <c r="U25"/>
  <c r="AB27"/>
  <c r="U31"/>
  <c r="S25"/>
  <c r="J21"/>
  <c r="F21"/>
  <c r="G95"/>
  <c r="H21"/>
  <c r="W19"/>
  <c r="U19"/>
  <c r="S17"/>
  <c r="AC15"/>
  <c r="S15"/>
  <c r="AB15"/>
  <c r="AA12"/>
  <c r="S9"/>
  <c r="U14"/>
  <c r="AC13"/>
  <c r="U12"/>
  <c r="S23" i="36"/>
  <c r="U13"/>
  <c r="AC27"/>
  <c r="AB27"/>
  <c r="U26"/>
  <c r="S33"/>
  <c r="S27"/>
  <c r="AA26"/>
  <c r="AA34"/>
  <c r="S29"/>
  <c r="AC26"/>
  <c r="AA22"/>
  <c r="W14"/>
  <c r="AB14"/>
  <c r="U22"/>
  <c r="S16"/>
  <c r="AA25"/>
  <c r="S24"/>
  <c r="U24"/>
  <c r="U23"/>
  <c r="AB20"/>
  <c r="U16"/>
  <c r="S14"/>
  <c r="U10"/>
  <c r="W10"/>
  <c r="AA25" i="35"/>
  <c r="S23"/>
  <c r="W24"/>
  <c r="AB13"/>
  <c r="U29"/>
  <c r="U28"/>
  <c r="AB27"/>
  <c r="U36"/>
  <c r="U32"/>
  <c r="AA33"/>
  <c r="AC30"/>
  <c r="S32"/>
  <c r="AA36"/>
  <c r="W32"/>
  <c r="S28"/>
  <c r="AB16"/>
  <c r="U22"/>
  <c r="S20"/>
  <c r="AC20"/>
  <c r="S22"/>
  <c r="U14"/>
  <c r="AC10"/>
  <c r="AA10"/>
  <c r="AB10"/>
  <c r="AA11"/>
  <c r="S8"/>
  <c r="AC9"/>
  <c r="W9"/>
  <c r="AC12"/>
  <c r="W13"/>
  <c r="F9"/>
  <c r="H9"/>
  <c r="F26"/>
  <c r="AA26" s="1"/>
  <c r="J26"/>
  <c r="H26"/>
  <c r="AB40" i="37"/>
  <c r="S25"/>
  <c r="W27"/>
  <c r="S26"/>
  <c r="AC9"/>
  <c r="AC29"/>
  <c r="U29"/>
  <c r="S32"/>
  <c r="AB31"/>
  <c r="W30"/>
  <c r="S36"/>
  <c r="AA38"/>
  <c r="U32"/>
  <c r="W38"/>
  <c r="AC35"/>
  <c r="W39"/>
  <c r="S30"/>
  <c r="S37"/>
  <c r="AC15"/>
  <c r="J17"/>
  <c r="W17" s="1"/>
  <c r="G73"/>
  <c r="F17"/>
  <c r="AA17" s="1"/>
  <c r="AB17"/>
  <c r="F75"/>
  <c r="F19"/>
  <c r="F79"/>
  <c r="F23"/>
  <c r="S23" s="1"/>
  <c r="U23"/>
  <c r="U15"/>
  <c r="AC13"/>
  <c r="U9"/>
  <c r="AA13"/>
  <c r="AA12"/>
  <c r="AA9"/>
  <c r="H10"/>
  <c r="H60"/>
  <c r="F63"/>
  <c r="F11"/>
  <c r="S11" s="1"/>
  <c r="S27" i="34"/>
  <c r="W25"/>
  <c r="AB8"/>
  <c r="AA33"/>
  <c r="U44"/>
  <c r="U43"/>
  <c r="AC39"/>
  <c r="W41"/>
  <c r="AC42"/>
  <c r="AB35"/>
  <c r="U39"/>
  <c r="S43"/>
  <c r="AB41"/>
  <c r="AA45"/>
  <c r="W34"/>
  <c r="AA25"/>
  <c r="U28"/>
  <c r="S17"/>
  <c r="AA29"/>
  <c r="U27"/>
  <c r="S23"/>
  <c r="U15"/>
  <c r="S10"/>
  <c r="S13"/>
  <c r="H67"/>
  <c r="H10"/>
  <c r="F11"/>
  <c r="S11" s="1"/>
  <c r="F70"/>
  <c r="W42" i="33"/>
  <c r="AA35"/>
  <c r="S27"/>
  <c r="S32"/>
  <c r="AA29"/>
  <c r="AB29"/>
  <c r="W38"/>
  <c r="H41"/>
  <c r="F121"/>
  <c r="G121" s="1"/>
  <c r="H121" s="1"/>
  <c r="I121" s="1"/>
  <c r="J121" s="1"/>
  <c r="K121" s="1"/>
  <c r="L121" s="1"/>
  <c r="M121" s="1"/>
  <c r="U42"/>
  <c r="S42"/>
  <c r="F36"/>
  <c r="G111"/>
  <c r="G108"/>
  <c r="H108" s="1"/>
  <c r="I108" s="1"/>
  <c r="J108" s="1"/>
  <c r="K108" s="1"/>
  <c r="L108" s="1"/>
  <c r="M108" s="1"/>
  <c r="J35"/>
  <c r="S37"/>
  <c r="AA37"/>
  <c r="S39"/>
  <c r="F101"/>
  <c r="G101" s="1"/>
  <c r="H101" s="1"/>
  <c r="I101" s="1"/>
  <c r="J101" s="1"/>
  <c r="K101" s="1"/>
  <c r="L101" s="1"/>
  <c r="M101" s="1"/>
  <c r="J32"/>
  <c r="S46"/>
  <c r="W43"/>
  <c r="S43"/>
  <c r="F91"/>
  <c r="H27"/>
  <c r="F87"/>
  <c r="H25"/>
  <c r="F25"/>
  <c r="J23"/>
  <c r="F85"/>
  <c r="H23"/>
  <c r="F81"/>
  <c r="F19"/>
  <c r="S19" s="1"/>
  <c r="W19"/>
  <c r="J17"/>
  <c r="F79"/>
  <c r="S15"/>
  <c r="W15"/>
  <c r="U9"/>
  <c r="I66"/>
  <c r="J10" s="1"/>
  <c r="H10"/>
  <c r="AA10"/>
  <c r="AC11"/>
  <c r="AB14"/>
  <c r="W43" i="21"/>
  <c r="W36"/>
  <c r="W41"/>
  <c r="AB39"/>
  <c r="AA43"/>
  <c r="S39"/>
  <c r="AA38"/>
  <c r="AA36"/>
  <c r="AC40"/>
  <c r="J15"/>
  <c r="W15" s="1"/>
  <c r="F77"/>
  <c r="G77" s="1"/>
  <c r="F23"/>
  <c r="S23" s="1"/>
  <c r="E85"/>
  <c r="AC11"/>
  <c r="AA14"/>
  <c r="AB8"/>
  <c r="S8"/>
  <c r="M3" i="43"/>
  <c r="N10"/>
  <c r="M1"/>
  <c r="M8"/>
  <c r="N8"/>
  <c r="N9"/>
  <c r="D120" i="9"/>
  <c r="C18"/>
  <c r="D18" s="1"/>
  <c r="F34" i="67"/>
  <c r="F62" s="1"/>
  <c r="M20"/>
  <c r="F34" i="15"/>
  <c r="F62" s="1"/>
  <c r="G13" i="3"/>
  <c r="G5" s="1"/>
  <c r="B3" s="1"/>
  <c r="BA13"/>
  <c r="E10" i="6"/>
  <c r="BA5" i="3"/>
  <c r="E11" i="6"/>
  <c r="E61" i="39" s="1"/>
  <c r="BL17" i="3"/>
  <c r="AZ17" s="1"/>
  <c r="BL13"/>
  <c r="E65" i="39"/>
  <c r="G30" i="6"/>
  <c r="G31" s="1"/>
  <c r="J56" i="9"/>
  <c r="J57" s="1"/>
  <c r="A24" i="51"/>
  <c r="B18" i="72" s="1"/>
  <c r="U29" i="34"/>
  <c r="E14" i="6"/>
  <c r="E64" i="39" s="1"/>
  <c r="E5" i="6"/>
  <c r="D9" i="11" s="1"/>
  <c r="C9" s="1"/>
  <c r="P10" i="1"/>
  <c r="E32" i="6"/>
  <c r="L19" s="1"/>
  <c r="G1" i="68"/>
  <c r="K1" i="12"/>
  <c r="AZ13" i="3"/>
  <c r="F30" i="6"/>
  <c r="F31" s="1"/>
  <c r="E28"/>
  <c r="E30" s="1"/>
  <c r="E27"/>
  <c r="AR13" i="1"/>
  <c r="AQ13"/>
  <c r="T13"/>
  <c r="AR11"/>
  <c r="AQ11"/>
  <c r="T11"/>
  <c r="AR12"/>
  <c r="AQ12"/>
  <c r="T12"/>
  <c r="AR10"/>
  <c r="AQ10"/>
  <c r="T10"/>
  <c r="E19" i="69"/>
  <c r="E19" i="68"/>
  <c r="E19" i="11"/>
  <c r="F52" i="9"/>
  <c r="M18" i="15"/>
  <c r="F30" i="11"/>
  <c r="F32" i="15"/>
  <c r="F60" s="1"/>
  <c r="F31" i="12"/>
  <c r="F30" i="69"/>
  <c r="F30" i="68"/>
  <c r="F32" i="67"/>
  <c r="F60" s="1"/>
  <c r="F28"/>
  <c r="M18"/>
  <c r="E1" i="73"/>
  <c r="K1" s="1"/>
  <c r="G41" i="69"/>
  <c r="G22"/>
  <c r="G41" i="68"/>
  <c r="G22"/>
  <c r="G27" i="12"/>
  <c r="G26"/>
  <c r="G41" i="11"/>
  <c r="G22"/>
  <c r="G25" i="12"/>
  <c r="C100" i="43"/>
  <c r="E11"/>
  <c r="E10"/>
  <c r="E9"/>
  <c r="E8"/>
  <c r="E81"/>
  <c r="B79" s="1"/>
  <c r="E48"/>
  <c r="B46" s="1"/>
  <c r="E70"/>
  <c r="B68" s="1"/>
  <c r="C20"/>
  <c r="F100"/>
  <c r="H17"/>
  <c r="D9" i="53"/>
  <c r="B25" i="72" s="1"/>
  <c r="B24"/>
  <c r="G6" i="1"/>
  <c r="H85" i="43"/>
  <c r="H81"/>
  <c r="H84"/>
  <c r="H88"/>
  <c r="H53"/>
  <c r="H54"/>
  <c r="H78"/>
  <c r="H70"/>
  <c r="H71"/>
  <c r="C17"/>
  <c r="F33"/>
  <c r="G17"/>
  <c r="F34"/>
  <c r="M7"/>
  <c r="N6"/>
  <c r="M2"/>
  <c r="C6" s="1"/>
  <c r="M10"/>
  <c r="N3"/>
  <c r="N11"/>
  <c r="F38"/>
  <c r="F37"/>
  <c r="M9"/>
  <c r="N12"/>
  <c r="N5"/>
  <c r="M5"/>
  <c r="M12"/>
  <c r="M4"/>
  <c r="B19" i="53"/>
  <c r="B37" i="72" s="1"/>
  <c r="C7" i="39"/>
  <c r="C68" s="1"/>
  <c r="C7" i="35"/>
  <c r="C7" i="33"/>
  <c r="C7" i="21"/>
  <c r="C7" i="40"/>
  <c r="M47" i="9"/>
  <c r="G19" i="43"/>
  <c r="T35" i="4"/>
  <c r="A19" i="51" s="1"/>
  <c r="B14" i="72" s="1"/>
  <c r="C46" i="36"/>
  <c r="D46" s="1"/>
  <c r="E46" s="1"/>
  <c r="C59" i="34"/>
  <c r="D59" s="1"/>
  <c r="C52" i="37"/>
  <c r="D52" s="1"/>
  <c r="C63" i="40"/>
  <c r="P24" i="43"/>
  <c r="B66" i="40" s="1"/>
  <c r="P23" i="43"/>
  <c r="B71" i="39" s="1"/>
  <c r="A4" i="51"/>
  <c r="B6" i="72" s="1"/>
  <c r="C70" i="39"/>
  <c r="D68"/>
  <c r="D70" s="1"/>
  <c r="C48" i="35"/>
  <c r="D48" s="1"/>
  <c r="C58" i="33"/>
  <c r="D58" s="1"/>
  <c r="E58" s="1"/>
  <c r="F58" s="1"/>
  <c r="G58" s="1"/>
  <c r="H58" s="1"/>
  <c r="I58" s="1"/>
  <c r="J58" s="1"/>
  <c r="K58" s="1"/>
  <c r="L58" s="1"/>
  <c r="M58" s="1"/>
  <c r="N58" s="1"/>
  <c r="O58" s="1"/>
  <c r="C58" i="21"/>
  <c r="D58" s="1"/>
  <c r="C4" i="12"/>
  <c r="H62" i="43"/>
  <c r="H66"/>
  <c r="H61"/>
  <c r="H65"/>
  <c r="H60"/>
  <c r="H64"/>
  <c r="H59"/>
  <c r="H63"/>
  <c r="H67"/>
  <c r="H55"/>
  <c r="H51"/>
  <c r="H56"/>
  <c r="H76"/>
  <c r="H72"/>
  <c r="H77"/>
  <c r="L20" i="6"/>
  <c r="K15" i="1"/>
  <c r="E62" i="39"/>
  <c r="E56"/>
  <c r="E51" i="40"/>
  <c r="B6" i="1"/>
  <c r="E6" s="1"/>
  <c r="K11"/>
  <c r="M11" s="1"/>
  <c r="O11" s="1"/>
  <c r="P11" s="1"/>
  <c r="AP6"/>
  <c r="B9"/>
  <c r="E9" s="1"/>
  <c r="K7"/>
  <c r="G1" i="15"/>
  <c r="G1" i="69"/>
  <c r="G1" i="67"/>
  <c r="W23" i="40"/>
  <c r="U32"/>
  <c r="AB31"/>
  <c r="S37"/>
  <c r="AB28"/>
  <c r="W28"/>
  <c r="W34"/>
  <c r="W19"/>
  <c r="W27"/>
  <c r="S36"/>
  <c r="W37"/>
  <c r="AC14"/>
  <c r="S13"/>
  <c r="S33"/>
  <c r="AA15"/>
  <c r="U11"/>
  <c r="S31"/>
  <c r="AB13"/>
  <c r="U15"/>
  <c r="AB17"/>
  <c r="U8"/>
  <c r="S8"/>
  <c r="AA39" i="39"/>
  <c r="AC41"/>
  <c r="U42"/>
  <c r="AB23"/>
  <c r="U41"/>
  <c r="AB41"/>
  <c r="W25"/>
  <c r="AC25"/>
  <c r="U13"/>
  <c r="AB13"/>
  <c r="AA13"/>
  <c r="S13"/>
  <c r="S14"/>
  <c r="AA14"/>
  <c r="U43"/>
  <c r="AB43"/>
  <c r="AB11"/>
  <c r="U11"/>
  <c r="AA27"/>
  <c r="S27"/>
  <c r="W17"/>
  <c r="AC17"/>
  <c r="W31"/>
  <c r="AC31"/>
  <c r="S23"/>
  <c r="AA45"/>
  <c r="AB39"/>
  <c r="W34"/>
  <c r="U38"/>
  <c r="S8"/>
  <c r="S20" i="36"/>
  <c r="AC25"/>
  <c r="S28"/>
  <c r="U32"/>
  <c r="W29"/>
  <c r="AC20"/>
  <c r="U25"/>
  <c r="AB28"/>
  <c r="AA13"/>
  <c r="W9"/>
  <c r="W22"/>
  <c r="W23"/>
  <c r="S9"/>
  <c r="AB20" i="35"/>
  <c r="AC25"/>
  <c r="U25"/>
  <c r="S24"/>
  <c r="W33"/>
  <c r="AA30"/>
  <c r="U24"/>
  <c r="S35"/>
  <c r="W35"/>
  <c r="AA16"/>
  <c r="AA35" i="37"/>
  <c r="W36"/>
  <c r="S27"/>
  <c r="S28"/>
  <c r="W32"/>
  <c r="U36"/>
  <c r="S40"/>
  <c r="U38"/>
  <c r="AB37"/>
  <c r="S33"/>
  <c r="AC34"/>
  <c r="AB35"/>
  <c r="AA11"/>
  <c r="AA31"/>
  <c r="U19"/>
  <c r="AA29"/>
  <c r="AA8"/>
  <c r="U8"/>
  <c r="AA40" i="34"/>
  <c r="AB40"/>
  <c r="U19"/>
  <c r="W19"/>
  <c r="AB33"/>
  <c r="AC45"/>
  <c r="AA31"/>
  <c r="AA30"/>
  <c r="AB45"/>
  <c r="AB47"/>
  <c r="U25"/>
  <c r="AB36"/>
  <c r="W33"/>
  <c r="AC14"/>
  <c r="AC32"/>
  <c r="AC29"/>
  <c r="W29"/>
  <c r="W46"/>
  <c r="AC46"/>
  <c r="S32"/>
  <c r="AA32"/>
  <c r="U30"/>
  <c r="AB30"/>
  <c r="S37"/>
  <c r="U38"/>
  <c r="AC40"/>
  <c r="W40"/>
  <c r="AA19"/>
  <c r="S19"/>
  <c r="AA36"/>
  <c r="S36"/>
  <c r="AA8"/>
  <c r="S8"/>
  <c r="AB9"/>
  <c r="U9"/>
  <c r="S46"/>
  <c r="AA46"/>
  <c r="U32"/>
  <c r="AB32"/>
  <c r="U14"/>
  <c r="AB14"/>
  <c r="AC43"/>
  <c r="W43"/>
  <c r="AA11"/>
  <c r="W23"/>
  <c r="AC23"/>
  <c r="AC35"/>
  <c r="W35"/>
  <c r="U12"/>
  <c r="AB12"/>
  <c r="AB28" i="33"/>
  <c r="AC37"/>
  <c r="W46"/>
  <c r="U39"/>
  <c r="U38"/>
  <c r="S33"/>
  <c r="AB34"/>
  <c r="U44"/>
  <c r="AB44"/>
  <c r="S30"/>
  <c r="AA30"/>
  <c r="AC14"/>
  <c r="W14"/>
  <c r="AC30"/>
  <c r="W30"/>
  <c r="S31"/>
  <c r="AA31"/>
  <c r="W13"/>
  <c r="AC13"/>
  <c r="U15"/>
  <c r="S11"/>
  <c r="U37"/>
  <c r="AC28"/>
  <c r="S28"/>
  <c r="W9"/>
  <c r="W8"/>
  <c r="S44" i="21"/>
  <c r="AB42"/>
  <c r="U28"/>
  <c r="AA11"/>
  <c r="S45"/>
  <c r="I101"/>
  <c r="J101" s="1"/>
  <c r="K101" s="1"/>
  <c r="L101" s="1"/>
  <c r="M101" s="1"/>
  <c r="F33"/>
  <c r="J33"/>
  <c r="H33"/>
  <c r="AB33" s="1"/>
  <c r="F37"/>
  <c r="AA37" s="1"/>
  <c r="AA26"/>
  <c r="AB14"/>
  <c r="AB46"/>
  <c r="U40"/>
  <c r="AB31"/>
  <c r="U31"/>
  <c r="AC15"/>
  <c r="U13"/>
  <c r="AB13"/>
  <c r="W8"/>
  <c r="S35"/>
  <c r="AB37"/>
  <c r="J37"/>
  <c r="W37" s="1"/>
  <c r="H15"/>
  <c r="U15" s="1"/>
  <c r="J17"/>
  <c r="AC17" s="1"/>
  <c r="AC19"/>
  <c r="W39"/>
  <c r="AC14"/>
  <c r="W30"/>
  <c r="S46"/>
  <c r="H45"/>
  <c r="U45" s="1"/>
  <c r="F29"/>
  <c r="S29" s="1"/>
  <c r="F13"/>
  <c r="AA13" s="1"/>
  <c r="AC38"/>
  <c r="H32"/>
  <c r="H9"/>
  <c r="J9"/>
  <c r="J32"/>
  <c r="F32"/>
  <c r="AA31"/>
  <c r="U17"/>
  <c r="W29"/>
  <c r="S19"/>
  <c r="S9"/>
  <c r="AA9"/>
  <c r="K141"/>
  <c r="K144"/>
  <c r="K143"/>
  <c r="U27"/>
  <c r="AB25"/>
  <c r="AB44"/>
  <c r="AA30"/>
  <c r="W13"/>
  <c r="W42"/>
  <c r="AC45"/>
  <c r="F10"/>
  <c r="K145"/>
  <c r="W17"/>
  <c r="W25"/>
  <c r="AA29"/>
  <c r="W31"/>
  <c r="S27"/>
  <c r="S17"/>
  <c r="AA15"/>
  <c r="AC27"/>
  <c r="AC26"/>
  <c r="AB29"/>
  <c r="S28"/>
  <c r="AC34"/>
  <c r="W10"/>
  <c r="W12"/>
  <c r="AB36"/>
  <c r="F11" i="67"/>
  <c r="M11"/>
  <c r="F11" i="15"/>
  <c r="W30" i="40"/>
  <c r="C19" i="39"/>
  <c r="C15" i="40"/>
  <c r="C17"/>
  <c r="C23"/>
  <c r="C21"/>
  <c r="U30"/>
  <c r="B54" i="43"/>
  <c r="B65"/>
  <c r="B49"/>
  <c r="B52"/>
  <c r="B56"/>
  <c r="B60"/>
  <c r="B63"/>
  <c r="B67"/>
  <c r="B22" i="49"/>
  <c r="B10"/>
  <c r="B7"/>
  <c r="B16"/>
  <c r="B14"/>
  <c r="E7"/>
  <c r="E22"/>
  <c r="D23" i="15"/>
  <c r="D22"/>
  <c r="E6" i="49"/>
  <c r="B5"/>
  <c r="B9"/>
  <c r="B17"/>
  <c r="B19"/>
  <c r="B13"/>
  <c r="E16"/>
  <c r="B11"/>
  <c r="E8"/>
  <c r="E21"/>
  <c r="E10"/>
  <c r="B18"/>
  <c r="E9"/>
  <c r="E5"/>
  <c r="B6"/>
  <c r="B4"/>
  <c r="C4" i="4" s="1"/>
  <c r="B20" i="49"/>
  <c r="B8"/>
  <c r="E18"/>
  <c r="E4"/>
  <c r="E11"/>
  <c r="L48" i="78"/>
  <c r="F42" i="67"/>
  <c r="F42" i="15"/>
  <c r="M6" i="67"/>
  <c r="F43"/>
  <c r="M24" i="15"/>
  <c r="M23" i="67"/>
  <c r="F40" i="15"/>
  <c r="F7" i="67"/>
  <c r="F26" i="15"/>
  <c r="C76" i="67"/>
  <c r="C76" i="15"/>
  <c r="F43"/>
  <c r="M26"/>
  <c r="M29"/>
  <c r="C16" i="78"/>
  <c r="M6" i="15"/>
  <c r="F7"/>
  <c r="F13"/>
  <c r="J15"/>
  <c r="F8"/>
  <c r="L48" i="67"/>
  <c r="M28"/>
  <c r="M29"/>
  <c r="F16" i="15"/>
  <c r="F38"/>
  <c r="M24" i="67"/>
  <c r="F9" i="15"/>
  <c r="F9" i="67"/>
  <c r="L47"/>
  <c r="F36"/>
  <c r="F13"/>
  <c r="M23" i="15"/>
  <c r="F26" i="67"/>
  <c r="M9"/>
  <c r="F40"/>
  <c r="F38"/>
  <c r="F36" i="15"/>
  <c r="M28"/>
  <c r="L47"/>
  <c r="M26" i="67"/>
  <c r="M8"/>
  <c r="M22" i="15"/>
  <c r="L48"/>
  <c r="F6" i="67"/>
  <c r="M9" i="15"/>
  <c r="M8"/>
  <c r="F37"/>
  <c r="F8" i="67"/>
  <c r="M22"/>
  <c r="F6" i="15"/>
  <c r="J15" i="67"/>
  <c r="G1" i="73"/>
  <c r="F16" i="67"/>
  <c r="F37"/>
  <c r="C49" i="78" l="1"/>
  <c r="C48" s="1"/>
  <c r="C60" s="1"/>
  <c r="L58"/>
  <c r="Q73" s="1"/>
  <c r="AZ14" i="3"/>
  <c r="G9" i="1"/>
  <c r="AA40" i="40"/>
  <c r="S40"/>
  <c r="AA34" i="35"/>
  <c r="S34"/>
  <c r="E29" i="77"/>
  <c r="F29" s="1"/>
  <c r="K89" i="9"/>
  <c r="F53"/>
  <c r="D68" i="80"/>
  <c r="F52"/>
  <c r="F54"/>
  <c r="F53"/>
  <c r="F32" i="78"/>
  <c r="F60" s="1"/>
  <c r="F28"/>
  <c r="M18"/>
  <c r="AA9" i="34"/>
  <c r="S9"/>
  <c r="C7" i="43"/>
  <c r="C5" i="78"/>
  <c r="C32" s="1"/>
  <c r="Q61"/>
  <c r="Q74"/>
  <c r="C77" i="80"/>
  <c r="C74"/>
  <c r="C28" i="78"/>
  <c r="L60"/>
  <c r="J10"/>
  <c r="J5" s="1"/>
  <c r="K53"/>
  <c r="J53"/>
  <c r="J57"/>
  <c r="J55" s="1"/>
  <c r="J58" s="1"/>
  <c r="Q50" s="1"/>
  <c r="C66"/>
  <c r="L56"/>
  <c r="L57"/>
  <c r="F28" i="15"/>
  <c r="C28" s="1"/>
  <c r="K20" i="6"/>
  <c r="S7" i="1" s="1"/>
  <c r="AQ7" s="1"/>
  <c r="E59" i="40"/>
  <c r="H29" i="77"/>
  <c r="A3" i="3"/>
  <c r="D19" i="12"/>
  <c r="C19" s="1"/>
  <c r="E56" i="40"/>
  <c r="E125" i="3"/>
  <c r="E217"/>
  <c r="E366"/>
  <c r="E526"/>
  <c r="E553"/>
  <c r="E268"/>
  <c r="E282"/>
  <c r="E322"/>
  <c r="N6"/>
  <c r="AJ6"/>
  <c r="E58" i="40"/>
  <c r="E63" i="39"/>
  <c r="D9" i="69"/>
  <c r="C9" s="1"/>
  <c r="D9" i="68"/>
  <c r="C9" s="1"/>
  <c r="E16" i="6"/>
  <c r="E66" i="39"/>
  <c r="E4" i="4"/>
  <c r="K4" s="1"/>
  <c r="B46" i="48" s="1"/>
  <c r="C28" i="67"/>
  <c r="C31" i="12"/>
  <c r="C48" i="69"/>
  <c r="C30" i="68"/>
  <c r="C24" i="12"/>
  <c r="C30" i="69"/>
  <c r="C48" i="68"/>
  <c r="C77" i="9"/>
  <c r="C74" s="1"/>
  <c r="C16" i="43"/>
  <c r="D68" i="9"/>
  <c r="F54"/>
  <c r="J32" i="39"/>
  <c r="H107"/>
  <c r="I107" s="1"/>
  <c r="J107" s="1"/>
  <c r="K107" s="1"/>
  <c r="L107" s="1"/>
  <c r="M107" s="1"/>
  <c r="H32"/>
  <c r="AA32"/>
  <c r="S32"/>
  <c r="AB21"/>
  <c r="U21"/>
  <c r="AA21"/>
  <c r="S21"/>
  <c r="AC21"/>
  <c r="W21"/>
  <c r="S26" i="35"/>
  <c r="U9"/>
  <c r="AB9"/>
  <c r="AA9"/>
  <c r="S9"/>
  <c r="AC26"/>
  <c r="W26"/>
  <c r="AB26"/>
  <c r="U26"/>
  <c r="AC17" i="37"/>
  <c r="S17"/>
  <c r="J19"/>
  <c r="G75"/>
  <c r="S19"/>
  <c r="AA19"/>
  <c r="AA23"/>
  <c r="J23"/>
  <c r="G79"/>
  <c r="J10"/>
  <c r="I60"/>
  <c r="G63"/>
  <c r="H11"/>
  <c r="AB10"/>
  <c r="U10"/>
  <c r="G70" i="34"/>
  <c r="H11"/>
  <c r="AB10"/>
  <c r="U10"/>
  <c r="J10"/>
  <c r="I67"/>
  <c r="AB41" i="33"/>
  <c r="U41"/>
  <c r="W35"/>
  <c r="AC35"/>
  <c r="H111"/>
  <c r="I111" s="1"/>
  <c r="J111" s="1"/>
  <c r="K111" s="1"/>
  <c r="L111" s="1"/>
  <c r="M111" s="1"/>
  <c r="J36"/>
  <c r="H36"/>
  <c r="S36"/>
  <c r="AA36"/>
  <c r="AC32"/>
  <c r="W32"/>
  <c r="U27"/>
  <c r="AB27"/>
  <c r="G91"/>
  <c r="H91" s="1"/>
  <c r="I91" s="1"/>
  <c r="J91" s="1"/>
  <c r="K91" s="1"/>
  <c r="L91" s="1"/>
  <c r="M91" s="1"/>
  <c r="J27"/>
  <c r="U25"/>
  <c r="AB25"/>
  <c r="S25"/>
  <c r="AA25"/>
  <c r="G87"/>
  <c r="H87" s="1"/>
  <c r="I87" s="1"/>
  <c r="J87" s="1"/>
  <c r="K87" s="1"/>
  <c r="L87" s="1"/>
  <c r="M87" s="1"/>
  <c r="J25"/>
  <c r="AB23"/>
  <c r="U23"/>
  <c r="F23"/>
  <c r="G85"/>
  <c r="AC23"/>
  <c r="W23"/>
  <c r="AA19"/>
  <c r="H19"/>
  <c r="G81"/>
  <c r="G79"/>
  <c r="H17" s="1"/>
  <c r="F17"/>
  <c r="W17"/>
  <c r="AC17"/>
  <c r="U10"/>
  <c r="AB10"/>
  <c r="AC10"/>
  <c r="W10"/>
  <c r="AC37" i="21"/>
  <c r="U33"/>
  <c r="S37"/>
  <c r="AA23"/>
  <c r="AB15"/>
  <c r="J23"/>
  <c r="F85"/>
  <c r="G85" s="1"/>
  <c r="H23"/>
  <c r="S13"/>
  <c r="D6" i="52"/>
  <c r="D121" i="9"/>
  <c r="D7" i="52" s="1"/>
  <c r="K120" i="9"/>
  <c r="AZ5" i="3"/>
  <c r="E329"/>
  <c r="E347"/>
  <c r="E539"/>
  <c r="E583"/>
  <c r="E545"/>
  <c r="AA6"/>
  <c r="E567"/>
  <c r="X6"/>
  <c r="E510"/>
  <c r="E399"/>
  <c r="E461"/>
  <c r="E336"/>
  <c r="E352"/>
  <c r="E280"/>
  <c r="E227"/>
  <c r="E246"/>
  <c r="E205"/>
  <c r="E124"/>
  <c r="E165"/>
  <c r="E293"/>
  <c r="E128"/>
  <c r="E31" i="6"/>
  <c r="K24"/>
  <c r="M24" s="1"/>
  <c r="I24" s="1"/>
  <c r="K14" i="1"/>
  <c r="M14" s="1"/>
  <c r="O14" s="1"/>
  <c r="P14" s="1"/>
  <c r="BL5" i="3"/>
  <c r="P21" i="43"/>
  <c r="M20"/>
  <c r="C19" s="1"/>
  <c r="J59" i="9"/>
  <c r="J61" s="1"/>
  <c r="K21" i="6"/>
  <c r="E397" i="3"/>
  <c r="E353"/>
  <c r="E314"/>
  <c r="E385"/>
  <c r="E568"/>
  <c r="E495"/>
  <c r="E511"/>
  <c r="E518"/>
  <c r="I6"/>
  <c r="AN6"/>
  <c r="E16"/>
  <c r="AI6"/>
  <c r="E536"/>
  <c r="E586"/>
  <c r="AK6"/>
  <c r="E578"/>
  <c r="E549"/>
  <c r="E402"/>
  <c r="E434"/>
  <c r="E423"/>
  <c r="E453"/>
  <c r="E350"/>
  <c r="E306"/>
  <c r="E382"/>
  <c r="E368"/>
  <c r="E303"/>
  <c r="E296"/>
  <c r="E263"/>
  <c r="E244"/>
  <c r="E301"/>
  <c r="E262"/>
  <c r="E245"/>
  <c r="E196"/>
  <c r="E159"/>
  <c r="E136"/>
  <c r="E191"/>
  <c r="E156"/>
  <c r="E99"/>
  <c r="E236"/>
  <c r="E188"/>
  <c r="E148"/>
  <c r="E228"/>
  <c r="E269"/>
  <c r="E181"/>
  <c r="E122"/>
  <c r="E157"/>
  <c r="E89"/>
  <c r="K26" i="6"/>
  <c r="M26" s="1"/>
  <c r="I26" s="1"/>
  <c r="S26" s="1"/>
  <c r="K22"/>
  <c r="K19"/>
  <c r="S6" i="1" s="1"/>
  <c r="AR6" s="1"/>
  <c r="K25" i="6"/>
  <c r="M25" s="1"/>
  <c r="I25" s="1"/>
  <c r="K23"/>
  <c r="M23" s="1"/>
  <c r="I23" s="1"/>
  <c r="S23" s="1"/>
  <c r="E140" i="3"/>
  <c r="E120"/>
  <c r="E85"/>
  <c r="E45"/>
  <c r="E223"/>
  <c r="E277"/>
  <c r="E238"/>
  <c r="E224"/>
  <c r="E197"/>
  <c r="E177"/>
  <c r="E116"/>
  <c r="E193"/>
  <c r="E173"/>
  <c r="E133"/>
  <c r="E105"/>
  <c r="E3" i="6"/>
  <c r="E313" i="3"/>
  <c r="E369"/>
  <c r="E330"/>
  <c r="E393"/>
  <c r="E519"/>
  <c r="E525"/>
  <c r="K6"/>
  <c r="E493"/>
  <c r="E532"/>
  <c r="E534"/>
  <c r="Q6"/>
  <c r="E564"/>
  <c r="E573"/>
  <c r="T6"/>
  <c r="E560"/>
  <c r="E543"/>
  <c r="E529"/>
  <c r="E405"/>
  <c r="E437"/>
  <c r="E427"/>
  <c r="E458"/>
  <c r="E456"/>
  <c r="E472"/>
  <c r="E486"/>
  <c r="E474"/>
  <c r="E469"/>
  <c r="E481"/>
  <c r="E507"/>
  <c r="E527"/>
  <c r="E512"/>
  <c r="E406"/>
  <c r="E422"/>
  <c r="E438"/>
  <c r="E408"/>
  <c r="E424"/>
  <c r="E440"/>
  <c r="E457"/>
  <c r="E451"/>
  <c r="E465"/>
  <c r="E490"/>
  <c r="E288"/>
  <c r="E360"/>
  <c r="E344"/>
  <c r="E376"/>
  <c r="E562"/>
  <c r="E556"/>
  <c r="E587"/>
  <c r="AH6"/>
  <c r="W6"/>
  <c r="E497"/>
  <c r="AE6"/>
  <c r="J6"/>
  <c r="E571"/>
  <c r="E13"/>
  <c r="E577"/>
  <c r="E498"/>
  <c r="E537"/>
  <c r="E494"/>
  <c r="E429"/>
  <c r="E419"/>
  <c r="E450"/>
  <c r="E452"/>
  <c r="E468"/>
  <c r="E483"/>
  <c r="E471"/>
  <c r="E470"/>
  <c r="E496"/>
  <c r="E401"/>
  <c r="E433"/>
  <c r="E420"/>
  <c r="E454"/>
  <c r="E463"/>
  <c r="E475"/>
  <c r="E26"/>
  <c r="E55"/>
  <c r="E40"/>
  <c r="E72"/>
  <c r="E104"/>
  <c r="E106"/>
  <c r="E25"/>
  <c r="E54"/>
  <c r="E41"/>
  <c r="E73"/>
  <c r="E108"/>
  <c r="E111"/>
  <c r="E115"/>
  <c r="E146"/>
  <c r="E178"/>
  <c r="E168"/>
  <c r="E198"/>
  <c r="E203"/>
  <c r="E119"/>
  <c r="E150"/>
  <c r="E139"/>
  <c r="E171"/>
  <c r="E202"/>
  <c r="E208"/>
  <c r="E225"/>
  <c r="E256"/>
  <c r="E242"/>
  <c r="E279"/>
  <c r="E281"/>
  <c r="E214"/>
  <c r="E226"/>
  <c r="E257"/>
  <c r="E243"/>
  <c r="E274"/>
  <c r="E276"/>
  <c r="E351"/>
  <c r="E332"/>
  <c r="E315"/>
  <c r="E346"/>
  <c r="E357"/>
  <c r="E391"/>
  <c r="E394"/>
  <c r="E333"/>
  <c r="E318"/>
  <c r="E356"/>
  <c r="E362"/>
  <c r="E372"/>
  <c r="E14"/>
  <c r="AL6"/>
  <c r="E580"/>
  <c r="L6"/>
  <c r="E31"/>
  <c r="E42"/>
  <c r="E74"/>
  <c r="E60"/>
  <c r="E93"/>
  <c r="E94"/>
  <c r="E32"/>
  <c r="E43"/>
  <c r="E75"/>
  <c r="E488"/>
  <c r="E409"/>
  <c r="E428"/>
  <c r="E473"/>
  <c r="E482"/>
  <c r="E15"/>
  <c r="E412"/>
  <c r="E455"/>
  <c r="E18"/>
  <c r="E79"/>
  <c r="E96"/>
  <c r="E38"/>
  <c r="E78"/>
  <c r="E100"/>
  <c r="E129"/>
  <c r="E170"/>
  <c r="E190"/>
  <c r="E195"/>
  <c r="E137"/>
  <c r="E142"/>
  <c r="E174"/>
  <c r="E163"/>
  <c r="E194"/>
  <c r="E200"/>
  <c r="E220"/>
  <c r="E248"/>
  <c r="E234"/>
  <c r="E267"/>
  <c r="E275"/>
  <c r="E209"/>
  <c r="E219"/>
  <c r="E249"/>
  <c r="E235"/>
  <c r="E266"/>
  <c r="E299"/>
  <c r="E300"/>
  <c r="E324"/>
  <c r="E307"/>
  <c r="E339"/>
  <c r="E371"/>
  <c r="E383"/>
  <c r="E386"/>
  <c r="E325"/>
  <c r="E310"/>
  <c r="E342"/>
  <c r="E354"/>
  <c r="E392"/>
  <c r="E492"/>
  <c r="E522"/>
  <c r="E584"/>
  <c r="AQ6"/>
  <c r="E23"/>
  <c r="E35"/>
  <c r="E66"/>
  <c r="E52"/>
  <c r="E84"/>
  <c r="E86"/>
  <c r="E24"/>
  <c r="E36"/>
  <c r="E67"/>
  <c r="E34"/>
  <c r="E48"/>
  <c r="E112"/>
  <c r="E33"/>
  <c r="E49"/>
  <c r="E87"/>
  <c r="E123"/>
  <c r="E144"/>
  <c r="E206"/>
  <c r="E127"/>
  <c r="E147"/>
  <c r="E184"/>
  <c r="E232"/>
  <c r="E250"/>
  <c r="E289"/>
  <c r="E233"/>
  <c r="E251"/>
  <c r="E284"/>
  <c r="E340"/>
  <c r="E355"/>
  <c r="E370"/>
  <c r="E341"/>
  <c r="E364"/>
  <c r="E381"/>
  <c r="AF6"/>
  <c r="Y6"/>
  <c r="E50"/>
  <c r="E68"/>
  <c r="E102"/>
  <c r="E51"/>
  <c r="E20"/>
  <c r="E63"/>
  <c r="E80"/>
  <c r="E19"/>
  <c r="E62"/>
  <c r="E81"/>
  <c r="E113"/>
  <c r="E154"/>
  <c r="E176"/>
  <c r="E118"/>
  <c r="E158"/>
  <c r="E179"/>
  <c r="E218"/>
  <c r="E264"/>
  <c r="E287"/>
  <c r="E222"/>
  <c r="E265"/>
  <c r="E283"/>
  <c r="E308"/>
  <c r="E323"/>
  <c r="E365"/>
  <c r="E309"/>
  <c r="E326"/>
  <c r="E373"/>
  <c r="E524"/>
  <c r="E513"/>
  <c r="E22"/>
  <c r="E82"/>
  <c r="E101"/>
  <c r="E21"/>
  <c r="E83"/>
  <c r="AR7" i="1"/>
  <c r="T7"/>
  <c r="C48" i="11"/>
  <c r="C30"/>
  <c r="B40" i="1"/>
  <c r="O19" i="43"/>
  <c r="K53" i="15"/>
  <c r="J53"/>
  <c r="P22" i="43"/>
  <c r="P25"/>
  <c r="C5"/>
  <c r="E52" i="37"/>
  <c r="F52" s="1"/>
  <c r="G52" s="1"/>
  <c r="H52" s="1"/>
  <c r="I52" s="1"/>
  <c r="J52" s="1"/>
  <c r="K52" s="1"/>
  <c r="L52" s="1"/>
  <c r="M52" s="1"/>
  <c r="N52" s="1"/>
  <c r="O52" s="1"/>
  <c r="F46" i="36"/>
  <c r="G46" s="1"/>
  <c r="H46" s="1"/>
  <c r="I46" s="1"/>
  <c r="J46" s="1"/>
  <c r="K46" s="1"/>
  <c r="L46" s="1"/>
  <c r="M46" s="1"/>
  <c r="N46" s="1"/>
  <c r="O46" s="1"/>
  <c r="E58" i="21"/>
  <c r="F58" s="1"/>
  <c r="E48" i="35"/>
  <c r="F48" s="1"/>
  <c r="G48" s="1"/>
  <c r="H48" s="1"/>
  <c r="I48" s="1"/>
  <c r="J48" s="1"/>
  <c r="K48" s="1"/>
  <c r="L48" s="1"/>
  <c r="M48" s="1"/>
  <c r="N48" s="1"/>
  <c r="O48" s="1"/>
  <c r="E59" i="34"/>
  <c r="F59" s="1"/>
  <c r="C65" i="40"/>
  <c r="D63"/>
  <c r="B4" i="62"/>
  <c r="C10" i="15"/>
  <c r="M19" i="6"/>
  <c r="S25"/>
  <c r="L27"/>
  <c r="S24"/>
  <c r="G16" i="1"/>
  <c r="H10" i="40" s="1"/>
  <c r="U10" s="1"/>
  <c r="C27" i="67"/>
  <c r="L56"/>
  <c r="J57"/>
  <c r="J55" s="1"/>
  <c r="J58" s="1"/>
  <c r="Q50" s="1"/>
  <c r="J53"/>
  <c r="K53"/>
  <c r="F70"/>
  <c r="F51"/>
  <c r="F68"/>
  <c r="L59"/>
  <c r="L58"/>
  <c r="F71"/>
  <c r="F66"/>
  <c r="F50"/>
  <c r="M7"/>
  <c r="Q71"/>
  <c r="F64"/>
  <c r="C6"/>
  <c r="F65"/>
  <c r="F71" i="15"/>
  <c r="L59"/>
  <c r="Q74" s="1"/>
  <c r="L58"/>
  <c r="Q73" s="1"/>
  <c r="C27"/>
  <c r="Q71"/>
  <c r="F64"/>
  <c r="F51"/>
  <c r="F65"/>
  <c r="J57"/>
  <c r="J55" s="1"/>
  <c r="J58" s="1"/>
  <c r="Q50" s="1"/>
  <c r="L56"/>
  <c r="F68"/>
  <c r="M7"/>
  <c r="F50"/>
  <c r="F66"/>
  <c r="C6"/>
  <c r="C10" i="67"/>
  <c r="AP7" i="1"/>
  <c r="M7"/>
  <c r="O7" s="1"/>
  <c r="Q16"/>
  <c r="F27" i="69" s="1"/>
  <c r="H16" i="1"/>
  <c r="K16"/>
  <c r="AB45" i="21"/>
  <c r="AC33"/>
  <c r="W33"/>
  <c r="S33"/>
  <c r="AA33"/>
  <c r="W32"/>
  <c r="AC32"/>
  <c r="AB9"/>
  <c r="U9"/>
  <c r="AA32"/>
  <c r="S32"/>
  <c r="W9"/>
  <c r="AC9"/>
  <c r="AB32"/>
  <c r="U32"/>
  <c r="AA10"/>
  <c r="S10"/>
  <c r="C36" i="69"/>
  <c r="M17" i="67"/>
  <c r="F31"/>
  <c r="F59"/>
  <c r="F59" i="15"/>
  <c r="F31"/>
  <c r="M17"/>
  <c r="C17"/>
  <c r="C16" i="67"/>
  <c r="C16" i="15"/>
  <c r="F24" i="78" l="1"/>
  <c r="F24" i="83"/>
  <c r="Q60" i="78"/>
  <c r="E53" i="3"/>
  <c r="C88" i="9"/>
  <c r="C89" s="1"/>
  <c r="C87" s="1"/>
  <c r="C38" i="78"/>
  <c r="B4" i="72"/>
  <c r="B71"/>
  <c r="E7" i="70"/>
  <c r="M20" i="6"/>
  <c r="I20" s="1"/>
  <c r="K27"/>
  <c r="E328" i="3"/>
  <c r="E508"/>
  <c r="E426"/>
  <c r="E305"/>
  <c r="E153"/>
  <c r="E343"/>
  <c r="E501"/>
  <c r="E530"/>
  <c r="E319"/>
  <c r="E175"/>
  <c r="I4" i="6"/>
  <c r="G3" i="43" s="1"/>
  <c r="E69" i="3"/>
  <c r="E237"/>
  <c r="E114"/>
  <c r="E261"/>
  <c r="E278"/>
  <c r="E304"/>
  <c r="E415"/>
  <c r="E528"/>
  <c r="E563"/>
  <c r="E565"/>
  <c r="E395"/>
  <c r="E183"/>
  <c r="E172"/>
  <c r="E213"/>
  <c r="E260"/>
  <c r="E361"/>
  <c r="E445"/>
  <c r="E17"/>
  <c r="E550"/>
  <c r="E503"/>
  <c r="E535"/>
  <c r="E302"/>
  <c r="E239"/>
  <c r="E388"/>
  <c r="E509"/>
  <c r="O6"/>
  <c r="E516"/>
  <c r="E555"/>
  <c r="E579"/>
  <c r="E574"/>
  <c r="E569"/>
  <c r="E410"/>
  <c r="E431"/>
  <c r="E359"/>
  <c r="E396"/>
  <c r="E337"/>
  <c r="E247"/>
  <c r="E285"/>
  <c r="E229"/>
  <c r="E143"/>
  <c r="E201"/>
  <c r="E97"/>
  <c r="E151"/>
  <c r="E270"/>
  <c r="E311"/>
  <c r="E390"/>
  <c r="E358"/>
  <c r="E533"/>
  <c r="E514"/>
  <c r="S6"/>
  <c r="E559"/>
  <c r="AR6"/>
  <c r="E570"/>
  <c r="E523"/>
  <c r="E551"/>
  <c r="E561"/>
  <c r="M6"/>
  <c r="E506"/>
  <c r="V6"/>
  <c r="E538"/>
  <c r="AB6"/>
  <c r="E418"/>
  <c r="E407"/>
  <c r="E439"/>
  <c r="E387"/>
  <c r="E338"/>
  <c r="E320"/>
  <c r="E380"/>
  <c r="E335"/>
  <c r="E321"/>
  <c r="E294"/>
  <c r="E231"/>
  <c r="E215"/>
  <c r="E298"/>
  <c r="E230"/>
  <c r="E216"/>
  <c r="E189"/>
  <c r="E169"/>
  <c r="E130"/>
  <c r="E185"/>
  <c r="E134"/>
  <c r="E61"/>
  <c r="E254"/>
  <c r="E135"/>
  <c r="E91"/>
  <c r="E290"/>
  <c r="E221"/>
  <c r="E161"/>
  <c r="E180"/>
  <c r="E117"/>
  <c r="E149"/>
  <c r="E207"/>
  <c r="E77"/>
  <c r="E252"/>
  <c r="E212"/>
  <c r="E271"/>
  <c r="E253"/>
  <c r="E204"/>
  <c r="E167"/>
  <c r="E145"/>
  <c r="E199"/>
  <c r="E164"/>
  <c r="E141"/>
  <c r="E107"/>
  <c r="AY6"/>
  <c r="E286"/>
  <c r="E327"/>
  <c r="E312"/>
  <c r="E379"/>
  <c r="E575"/>
  <c r="E576"/>
  <c r="AD6"/>
  <c r="E585"/>
  <c r="E499"/>
  <c r="Z6"/>
  <c r="E542"/>
  <c r="U6"/>
  <c r="R6"/>
  <c r="AG6"/>
  <c r="E552"/>
  <c r="E515"/>
  <c r="E502"/>
  <c r="AO6"/>
  <c r="E421"/>
  <c r="E411"/>
  <c r="E442"/>
  <c r="E448"/>
  <c r="E464"/>
  <c r="E478"/>
  <c r="E466"/>
  <c r="E485"/>
  <c r="E487"/>
  <c r="E548"/>
  <c r="E541"/>
  <c r="P6"/>
  <c r="E398"/>
  <c r="E414"/>
  <c r="E430"/>
  <c r="E400"/>
  <c r="E416"/>
  <c r="E432"/>
  <c r="E449"/>
  <c r="E443"/>
  <c r="E459"/>
  <c r="E477"/>
  <c r="E255"/>
  <c r="E345"/>
  <c r="E374"/>
  <c r="E367"/>
  <c r="I3" i="6"/>
  <c r="E558" i="3"/>
  <c r="E566"/>
  <c r="E505"/>
  <c r="AP6"/>
  <c r="E557"/>
  <c r="E500"/>
  <c r="E547"/>
  <c r="E554"/>
  <c r="E581"/>
  <c r="E582"/>
  <c r="AS6"/>
  <c r="E517"/>
  <c r="E531"/>
  <c r="E413"/>
  <c r="E403"/>
  <c r="E435"/>
  <c r="E444"/>
  <c r="E460"/>
  <c r="E476"/>
  <c r="E491"/>
  <c r="E489"/>
  <c r="E520"/>
  <c r="E546"/>
  <c r="E417"/>
  <c r="E404"/>
  <c r="E436"/>
  <c r="E447"/>
  <c r="E479"/>
  <c r="E28"/>
  <c r="E39"/>
  <c r="E71"/>
  <c r="E56"/>
  <c r="E88"/>
  <c r="E90"/>
  <c r="E27"/>
  <c r="E37"/>
  <c r="E70"/>
  <c r="E57"/>
  <c r="E92"/>
  <c r="E95"/>
  <c r="E121"/>
  <c r="E131"/>
  <c r="E162"/>
  <c r="E152"/>
  <c r="E182"/>
  <c r="E187"/>
  <c r="E126"/>
  <c r="E132"/>
  <c r="E166"/>
  <c r="E155"/>
  <c r="E186"/>
  <c r="E192"/>
  <c r="E211"/>
  <c r="E240"/>
  <c r="E272"/>
  <c r="E258"/>
  <c r="E295"/>
  <c r="E297"/>
  <c r="E210"/>
  <c r="E241"/>
  <c r="E273"/>
  <c r="E259"/>
  <c r="E291"/>
  <c r="E292"/>
  <c r="E316"/>
  <c r="E348"/>
  <c r="E331"/>
  <c r="E363"/>
  <c r="E377"/>
  <c r="E378"/>
  <c r="E317"/>
  <c r="E349"/>
  <c r="E334"/>
  <c r="E375"/>
  <c r="E384"/>
  <c r="E389"/>
  <c r="E572"/>
  <c r="E504"/>
  <c r="AM6"/>
  <c r="E544"/>
  <c r="E30"/>
  <c r="E58"/>
  <c r="E44"/>
  <c r="E76"/>
  <c r="E109"/>
  <c r="E110"/>
  <c r="E29"/>
  <c r="E59"/>
  <c r="E480"/>
  <c r="E540"/>
  <c r="E441"/>
  <c r="E462"/>
  <c r="E484"/>
  <c r="E521"/>
  <c r="E425"/>
  <c r="E446"/>
  <c r="E467"/>
  <c r="E47"/>
  <c r="E64"/>
  <c r="E98"/>
  <c r="E46"/>
  <c r="E65"/>
  <c r="E103"/>
  <c r="E138"/>
  <c r="E160"/>
  <c r="F1" i="78"/>
  <c r="Q52"/>
  <c r="J26"/>
  <c r="J18"/>
  <c r="J24"/>
  <c r="AQ6" i="1"/>
  <c r="E6" i="70"/>
  <c r="Q66" i="78"/>
  <c r="Q57"/>
  <c r="C24"/>
  <c r="B5" i="62"/>
  <c r="M22" i="6"/>
  <c r="I22" s="1"/>
  <c r="S9" i="1"/>
  <c r="M21" i="6"/>
  <c r="I21" s="1"/>
  <c r="S21" s="1"/>
  <c r="S8" i="1"/>
  <c r="F22" i="43"/>
  <c r="G101"/>
  <c r="J101"/>
  <c r="B113"/>
  <c r="F101"/>
  <c r="H22"/>
  <c r="H101"/>
  <c r="M101"/>
  <c r="E101"/>
  <c r="AJ11"/>
  <c r="AJ13" s="1"/>
  <c r="AF11"/>
  <c r="AF13" s="1"/>
  <c r="AB11"/>
  <c r="AB13" s="1"/>
  <c r="Z7"/>
  <c r="AI11"/>
  <c r="AI13" s="1"/>
  <c r="AE11"/>
  <c r="AE13" s="1"/>
  <c r="AA11"/>
  <c r="AA13" s="1"/>
  <c r="E22"/>
  <c r="C101"/>
  <c r="N104" i="46"/>
  <c r="K101" i="43"/>
  <c r="N101"/>
  <c r="L101"/>
  <c r="D101"/>
  <c r="I101"/>
  <c r="G22"/>
  <c r="AH11"/>
  <c r="AH13" s="1"/>
  <c r="AD11"/>
  <c r="AD13" s="1"/>
  <c r="Z11"/>
  <c r="Z13" s="1"/>
  <c r="AG11"/>
  <c r="AG13" s="1"/>
  <c r="AC11"/>
  <c r="AC13" s="1"/>
  <c r="Y11"/>
  <c r="Y13" s="1"/>
  <c r="B14" i="74"/>
  <c r="B1" s="1"/>
  <c r="D3" i="33"/>
  <c r="D3" i="34"/>
  <c r="D3" i="21"/>
  <c r="A18" i="62"/>
  <c r="B64" i="72" s="1"/>
  <c r="C33" i="43"/>
  <c r="C36"/>
  <c r="C34"/>
  <c r="C35"/>
  <c r="U32" i="39"/>
  <c r="AB32"/>
  <c r="AC32"/>
  <c r="W32"/>
  <c r="W19" i="37"/>
  <c r="AC19"/>
  <c r="W23"/>
  <c r="AC23"/>
  <c r="AB11"/>
  <c r="U11"/>
  <c r="H63"/>
  <c r="I63" s="1"/>
  <c r="J63" s="1"/>
  <c r="K63" s="1"/>
  <c r="L63" s="1"/>
  <c r="M63" s="1"/>
  <c r="J11"/>
  <c r="W10"/>
  <c r="AC10"/>
  <c r="U11" i="34"/>
  <c r="AB11"/>
  <c r="AC10"/>
  <c r="W10"/>
  <c r="H70"/>
  <c r="I70" s="1"/>
  <c r="J70" s="1"/>
  <c r="K70" s="1"/>
  <c r="L70" s="1"/>
  <c r="M70" s="1"/>
  <c r="J11"/>
  <c r="AC36" i="33"/>
  <c r="W36"/>
  <c r="U36"/>
  <c r="AB36"/>
  <c r="W27"/>
  <c r="AC27"/>
  <c r="W25"/>
  <c r="AC25"/>
  <c r="AA23"/>
  <c r="S23"/>
  <c r="AB19"/>
  <c r="U19"/>
  <c r="AA17"/>
  <c r="S17"/>
  <c r="U17"/>
  <c r="AB17"/>
  <c r="U23" i="21"/>
  <c r="AB23"/>
  <c r="AC23"/>
  <c r="W23"/>
  <c r="J6" i="67"/>
  <c r="J6" i="15"/>
  <c r="T6" i="1"/>
  <c r="F7" i="36"/>
  <c r="S7" s="1"/>
  <c r="H7" i="37"/>
  <c r="U7" s="1"/>
  <c r="J10" i="15"/>
  <c r="H6" i="3"/>
  <c r="AC6"/>
  <c r="C5" i="15"/>
  <c r="C32" s="1"/>
  <c r="E6" i="6"/>
  <c r="D19" i="11"/>
  <c r="C19" s="1"/>
  <c r="C20" s="1"/>
  <c r="C17" i="4"/>
  <c r="B4" i="52" s="1"/>
  <c r="B43" i="72" s="1"/>
  <c r="D37" i="11"/>
  <c r="L18" i="9"/>
  <c r="D14" i="12"/>
  <c r="D17" s="1"/>
  <c r="C17" s="1"/>
  <c r="D3" i="37"/>
  <c r="M18" i="9"/>
  <c r="B118" s="1"/>
  <c r="AY103" i="3"/>
  <c r="AY87"/>
  <c r="AY98"/>
  <c r="AY83"/>
  <c r="AY67"/>
  <c r="AY51"/>
  <c r="AY82"/>
  <c r="AY66"/>
  <c r="AY50"/>
  <c r="AY34"/>
  <c r="AY18"/>
  <c r="AY23"/>
  <c r="AY196"/>
  <c r="AY207"/>
  <c r="AY191"/>
  <c r="AY176"/>
  <c r="AY160"/>
  <c r="AY144"/>
  <c r="AY171"/>
  <c r="AY155"/>
  <c r="AY139"/>
  <c r="AY124"/>
  <c r="AY132"/>
  <c r="AY115"/>
  <c r="AY289"/>
  <c r="AY95"/>
  <c r="AY90"/>
  <c r="AY59"/>
  <c r="AY74"/>
  <c r="AY42"/>
  <c r="AY31"/>
  <c r="AY188"/>
  <c r="AY183"/>
  <c r="AY152"/>
  <c r="AY163"/>
  <c r="AY131"/>
  <c r="AY123"/>
  <c r="AY281"/>
  <c r="AY292"/>
  <c r="AY276"/>
  <c r="AY261"/>
  <c r="AY111"/>
  <c r="AY75"/>
  <c r="AY58"/>
  <c r="AY204"/>
  <c r="AY168"/>
  <c r="AY147"/>
  <c r="AY297"/>
  <c r="AY284"/>
  <c r="AY253"/>
  <c r="AY237"/>
  <c r="AY268"/>
  <c r="AY252"/>
  <c r="AY236"/>
  <c r="AY220"/>
  <c r="AY225"/>
  <c r="AY209"/>
  <c r="AY382"/>
  <c r="AY387"/>
  <c r="AY371"/>
  <c r="AY363"/>
  <c r="AY366"/>
  <c r="AY350"/>
  <c r="AY335"/>
  <c r="AY319"/>
  <c r="AY303"/>
  <c r="AY334"/>
  <c r="AY318"/>
  <c r="AY489"/>
  <c r="AY473"/>
  <c r="AY486"/>
  <c r="AY470"/>
  <c r="AY455"/>
  <c r="AY460"/>
  <c r="AY444"/>
  <c r="AY428"/>
  <c r="AY412"/>
  <c r="AY441"/>
  <c r="AY425"/>
  <c r="AY409"/>
  <c r="AY497"/>
  <c r="AY529"/>
  <c r="AY526"/>
  <c r="AY106"/>
  <c r="AY43"/>
  <c r="AY26"/>
  <c r="AY199"/>
  <c r="AY180"/>
  <c r="AY116"/>
  <c r="AY300"/>
  <c r="AY269"/>
  <c r="AY245"/>
  <c r="AY229"/>
  <c r="AY260"/>
  <c r="AY244"/>
  <c r="AY228"/>
  <c r="AY212"/>
  <c r="AY217"/>
  <c r="AY390"/>
  <c r="AY395"/>
  <c r="AY379"/>
  <c r="AY372"/>
  <c r="AY355"/>
  <c r="AY358"/>
  <c r="AY343"/>
  <c r="AY327"/>
  <c r="AY311"/>
  <c r="AY342"/>
  <c r="AY326"/>
  <c r="AY310"/>
  <c r="AY481"/>
  <c r="AY465"/>
  <c r="AY478"/>
  <c r="AY463"/>
  <c r="AY447"/>
  <c r="AY452"/>
  <c r="AY436"/>
  <c r="AY420"/>
  <c r="AY404"/>
  <c r="AY433"/>
  <c r="AY417"/>
  <c r="AY401"/>
  <c r="AY535"/>
  <c r="AY513"/>
  <c r="AY557"/>
  <c r="AY549"/>
  <c r="AY562"/>
  <c r="BK6"/>
  <c r="AY573"/>
  <c r="AY544"/>
  <c r="AY574"/>
  <c r="AY569"/>
  <c r="AY540"/>
  <c r="AY533"/>
  <c r="BO6"/>
  <c r="AY541"/>
  <c r="AY539"/>
  <c r="BE6"/>
  <c r="AY555"/>
  <c r="AY553"/>
  <c r="AY105"/>
  <c r="AY97"/>
  <c r="AY89"/>
  <c r="AY108"/>
  <c r="AY100"/>
  <c r="AY92"/>
  <c r="AY85"/>
  <c r="AY77"/>
  <c r="AY69"/>
  <c r="AY61"/>
  <c r="AY53"/>
  <c r="AY45"/>
  <c r="AY84"/>
  <c r="AY76"/>
  <c r="AY68"/>
  <c r="AY60"/>
  <c r="AY52"/>
  <c r="AY44"/>
  <c r="AY36"/>
  <c r="AY28"/>
  <c r="AY20"/>
  <c r="AY33"/>
  <c r="AY25"/>
  <c r="AY206"/>
  <c r="AY198"/>
  <c r="AY190"/>
  <c r="AY182"/>
  <c r="AY201"/>
  <c r="AY193"/>
  <c r="AY185"/>
  <c r="AY178"/>
  <c r="AY170"/>
  <c r="AY162"/>
  <c r="AY154"/>
  <c r="AY146"/>
  <c r="AY138"/>
  <c r="AY173"/>
  <c r="AY165"/>
  <c r="AY157"/>
  <c r="AY149"/>
  <c r="AY141"/>
  <c r="AY133"/>
  <c r="AY126"/>
  <c r="AY118"/>
  <c r="AY134"/>
  <c r="AY125"/>
  <c r="AY117"/>
  <c r="AY299"/>
  <c r="AY291"/>
  <c r="AY283"/>
  <c r="AY302"/>
  <c r="AY294"/>
  <c r="AY286"/>
  <c r="AY278"/>
  <c r="AY271"/>
  <c r="AY263"/>
  <c r="AY255"/>
  <c r="AY247"/>
  <c r="AY239"/>
  <c r="AY231"/>
  <c r="AY270"/>
  <c r="AY262"/>
  <c r="AY254"/>
  <c r="AY246"/>
  <c r="AY238"/>
  <c r="AY230"/>
  <c r="AY222"/>
  <c r="AY214"/>
  <c r="AY227"/>
  <c r="AY219"/>
  <c r="AY211"/>
  <c r="AY392"/>
  <c r="AY384"/>
  <c r="AY397"/>
  <c r="AY389"/>
  <c r="AY381"/>
  <c r="AY373"/>
  <c r="AY374"/>
  <c r="AY365"/>
  <c r="AY357"/>
  <c r="AY368"/>
  <c r="AY360"/>
  <c r="BS6"/>
  <c r="AY554"/>
  <c r="AY507"/>
  <c r="BH6"/>
  <c r="BI6"/>
  <c r="BJ6"/>
  <c r="BB6"/>
  <c r="AY109"/>
  <c r="AY93"/>
  <c r="AY104"/>
  <c r="AY88"/>
  <c r="AY73"/>
  <c r="AY57"/>
  <c r="AY41"/>
  <c r="AY72"/>
  <c r="AY56"/>
  <c r="AY40"/>
  <c r="AY24"/>
  <c r="AY29"/>
  <c r="AY202"/>
  <c r="AY186"/>
  <c r="AY197"/>
  <c r="AY181"/>
  <c r="AY166"/>
  <c r="AY150"/>
  <c r="AY177"/>
  <c r="AY161"/>
  <c r="AY145"/>
  <c r="AY130"/>
  <c r="AY114"/>
  <c r="AY121"/>
  <c r="AY295"/>
  <c r="AY279"/>
  <c r="AY290"/>
  <c r="AY275"/>
  <c r="AY259"/>
  <c r="AY243"/>
  <c r="AY274"/>
  <c r="AY258"/>
  <c r="AY242"/>
  <c r="AY226"/>
  <c r="AY210"/>
  <c r="AY215"/>
  <c r="AY388"/>
  <c r="AY393"/>
  <c r="AY377"/>
  <c r="AY370"/>
  <c r="AY353"/>
  <c r="AY356"/>
  <c r="AY349"/>
  <c r="AY341"/>
  <c r="AY333"/>
  <c r="AY325"/>
  <c r="AY317"/>
  <c r="AY309"/>
  <c r="AY348"/>
  <c r="AY340"/>
  <c r="AY332"/>
  <c r="AY324"/>
  <c r="AY316"/>
  <c r="AY308"/>
  <c r="AY491"/>
  <c r="AY483"/>
  <c r="AY475"/>
  <c r="AY467"/>
  <c r="AY488"/>
  <c r="AY480"/>
  <c r="AY472"/>
  <c r="AY464"/>
  <c r="AY457"/>
  <c r="AY449"/>
  <c r="AY462"/>
  <c r="AY454"/>
  <c r="AY446"/>
  <c r="AY438"/>
  <c r="AY430"/>
  <c r="AY422"/>
  <c r="AY414"/>
  <c r="AY406"/>
  <c r="AY398"/>
  <c r="AY435"/>
  <c r="AY427"/>
  <c r="AY419"/>
  <c r="AY411"/>
  <c r="AY403"/>
  <c r="AY581"/>
  <c r="AY503"/>
  <c r="BQ6"/>
  <c r="AY525"/>
  <c r="BM6"/>
  <c r="AY580"/>
  <c r="AY585"/>
  <c r="AY516"/>
  <c r="AY561"/>
  <c r="AY572"/>
  <c r="AY534"/>
  <c r="BN6"/>
  <c r="BF6"/>
  <c r="AY536"/>
  <c r="AY571"/>
  <c r="AY527"/>
  <c r="AY546"/>
  <c r="AY520"/>
  <c r="AY495"/>
  <c r="AY518"/>
  <c r="AY510"/>
  <c r="AY552"/>
  <c r="BG6"/>
  <c r="AY559"/>
  <c r="AY16"/>
  <c r="AY543"/>
  <c r="AY501"/>
  <c r="AY508"/>
  <c r="AY584"/>
  <c r="AY532"/>
  <c r="AY494"/>
  <c r="AY556"/>
  <c r="AY514"/>
  <c r="AY496"/>
  <c r="AY582"/>
  <c r="AY577"/>
  <c r="AY519"/>
  <c r="AY523"/>
  <c r="AY101"/>
  <c r="AY112"/>
  <c r="AY96"/>
  <c r="AY81"/>
  <c r="AY65"/>
  <c r="AY49"/>
  <c r="AY80"/>
  <c r="AY64"/>
  <c r="AY48"/>
  <c r="AY32"/>
  <c r="AY37"/>
  <c r="AY21"/>
  <c r="AY194"/>
  <c r="AY205"/>
  <c r="AY189"/>
  <c r="AY174"/>
  <c r="AY158"/>
  <c r="AY142"/>
  <c r="AY169"/>
  <c r="AY153"/>
  <c r="AY137"/>
  <c r="AY122"/>
  <c r="AY129"/>
  <c r="AY113"/>
  <c r="AY287"/>
  <c r="AY298"/>
  <c r="AY282"/>
  <c r="AY267"/>
  <c r="AY251"/>
  <c r="AY235"/>
  <c r="AY266"/>
  <c r="AY250"/>
  <c r="AY234"/>
  <c r="AY218"/>
  <c r="AY223"/>
  <c r="AY396"/>
  <c r="AY380"/>
  <c r="AY385"/>
  <c r="AY369"/>
  <c r="AY361"/>
  <c r="AY364"/>
  <c r="AY352"/>
  <c r="AY345"/>
  <c r="AY337"/>
  <c r="AY329"/>
  <c r="AY321"/>
  <c r="AY313"/>
  <c r="AY305"/>
  <c r="AY344"/>
  <c r="AY336"/>
  <c r="AY328"/>
  <c r="AY320"/>
  <c r="AY312"/>
  <c r="AY304"/>
  <c r="AY487"/>
  <c r="AY479"/>
  <c r="AY471"/>
  <c r="AY492"/>
  <c r="AY484"/>
  <c r="AY476"/>
  <c r="AY468"/>
  <c r="AY461"/>
  <c r="AY453"/>
  <c r="AY445"/>
  <c r="AY458"/>
  <c r="AY450"/>
  <c r="AY442"/>
  <c r="AY434"/>
  <c r="AY426"/>
  <c r="AY418"/>
  <c r="AY410"/>
  <c r="AY402"/>
  <c r="AY439"/>
  <c r="AY431"/>
  <c r="AY423"/>
  <c r="AY415"/>
  <c r="AY407"/>
  <c r="AY399"/>
  <c r="AY579"/>
  <c r="AY505"/>
  <c r="AY506"/>
  <c r="AY17"/>
  <c r="AY499"/>
  <c r="AY538"/>
  <c r="AY14"/>
  <c r="AY564"/>
  <c r="D3" i="6"/>
  <c r="AY522" i="3"/>
  <c r="AY524"/>
  <c r="AY575"/>
  <c r="AY502"/>
  <c r="AY515"/>
  <c r="AY565"/>
  <c r="AY537"/>
  <c r="AY509"/>
  <c r="AY551"/>
  <c r="AY542"/>
  <c r="AY530"/>
  <c r="BR6"/>
  <c r="AY545"/>
  <c r="AY570"/>
  <c r="AY548"/>
  <c r="AY531"/>
  <c r="BP6"/>
  <c r="AY578"/>
  <c r="AY563"/>
  <c r="BA6"/>
  <c r="AY493"/>
  <c r="AY99"/>
  <c r="AY110"/>
  <c r="AY94"/>
  <c r="AY79"/>
  <c r="AY63"/>
  <c r="AY47"/>
  <c r="AY78"/>
  <c r="AY62"/>
  <c r="AY46"/>
  <c r="AY30"/>
  <c r="AY35"/>
  <c r="AY19"/>
  <c r="AY192"/>
  <c r="AY203"/>
  <c r="AY187"/>
  <c r="AY172"/>
  <c r="AY156"/>
  <c r="AY140"/>
  <c r="AY167"/>
  <c r="AY151"/>
  <c r="AY135"/>
  <c r="AY120"/>
  <c r="AY127"/>
  <c r="AY301"/>
  <c r="AY285"/>
  <c r="AY296"/>
  <c r="AY280"/>
  <c r="AY265"/>
  <c r="AY249"/>
  <c r="AY233"/>
  <c r="AY264"/>
  <c r="AY248"/>
  <c r="AY232"/>
  <c r="AY216"/>
  <c r="AY221"/>
  <c r="AY394"/>
  <c r="AY378"/>
  <c r="AY383"/>
  <c r="AY376"/>
  <c r="AY359"/>
  <c r="AY362"/>
  <c r="AY347"/>
  <c r="AY331"/>
  <c r="AY315"/>
  <c r="AY346"/>
  <c r="AY330"/>
  <c r="AY314"/>
  <c r="AY485"/>
  <c r="AY469"/>
  <c r="AY482"/>
  <c r="AY466"/>
  <c r="AY451"/>
  <c r="AY456"/>
  <c r="AY440"/>
  <c r="AY424"/>
  <c r="AY408"/>
  <c r="AY437"/>
  <c r="AY421"/>
  <c r="AY405"/>
  <c r="AY500"/>
  <c r="AY558"/>
  <c r="AY13"/>
  <c r="AY517"/>
  <c r="AY547"/>
  <c r="AY560"/>
  <c r="AY528"/>
  <c r="AY512"/>
  <c r="AY568"/>
  <c r="BL6"/>
  <c r="AY576"/>
  <c r="AY587"/>
  <c r="AY107"/>
  <c r="AY91"/>
  <c r="AY102"/>
  <c r="AY86"/>
  <c r="AY71"/>
  <c r="AY55"/>
  <c r="AY39"/>
  <c r="AY70"/>
  <c r="AY54"/>
  <c r="AY38"/>
  <c r="AY22"/>
  <c r="AY27"/>
  <c r="AY200"/>
  <c r="AY184"/>
  <c r="AY195"/>
  <c r="AY179"/>
  <c r="AY164"/>
  <c r="AY148"/>
  <c r="AY175"/>
  <c r="AY159"/>
  <c r="AY143"/>
  <c r="AY128"/>
  <c r="AY136"/>
  <c r="AY119"/>
  <c r="AY293"/>
  <c r="AY277"/>
  <c r="AY288"/>
  <c r="AY273"/>
  <c r="AY257"/>
  <c r="AY241"/>
  <c r="AY272"/>
  <c r="AY256"/>
  <c r="AY240"/>
  <c r="AY224"/>
  <c r="AY208"/>
  <c r="AY213"/>
  <c r="AY386"/>
  <c r="AY391"/>
  <c r="AY375"/>
  <c r="AY367"/>
  <c r="AY351"/>
  <c r="AY354"/>
  <c r="AY339"/>
  <c r="AY323"/>
  <c r="AY307"/>
  <c r="AY338"/>
  <c r="AY322"/>
  <c r="AY306"/>
  <c r="AY477"/>
  <c r="AY490"/>
  <c r="AY474"/>
  <c r="AY459"/>
  <c r="AY443"/>
  <c r="AY448"/>
  <c r="AY432"/>
  <c r="AY416"/>
  <c r="AY400"/>
  <c r="AY429"/>
  <c r="AY413"/>
  <c r="AY550"/>
  <c r="AY521"/>
  <c r="BD6"/>
  <c r="AY15"/>
  <c r="BC6"/>
  <c r="AY566"/>
  <c r="AY511"/>
  <c r="AY583"/>
  <c r="AY504"/>
  <c r="BT6"/>
  <c r="AY586"/>
  <c r="AY567"/>
  <c r="AY498"/>
  <c r="C47" i="69"/>
  <c r="D45" s="1"/>
  <c r="C29"/>
  <c r="D27" s="1"/>
  <c r="F27" i="68"/>
  <c r="C29" s="1"/>
  <c r="D27" s="1"/>
  <c r="F28" i="12"/>
  <c r="C29" s="1"/>
  <c r="D28" s="1"/>
  <c r="P7" i="1"/>
  <c r="O16"/>
  <c r="C38" i="43"/>
  <c r="G38" s="1"/>
  <c r="I38" s="1"/>
  <c r="F24" i="15"/>
  <c r="C24" s="1"/>
  <c r="F22" i="11"/>
  <c r="F25" i="12"/>
  <c r="F22" i="69"/>
  <c r="F24" i="67"/>
  <c r="C24" s="1"/>
  <c r="F22" i="68"/>
  <c r="T11" i="43"/>
  <c r="V11" s="1"/>
  <c r="T16"/>
  <c r="V16" s="1"/>
  <c r="T14"/>
  <c r="V14" s="1"/>
  <c r="T12"/>
  <c r="V12" s="1"/>
  <c r="T9"/>
  <c r="V9" s="1"/>
  <c r="T8"/>
  <c r="V8" s="1"/>
  <c r="T15"/>
  <c r="V15" s="1"/>
  <c r="T13"/>
  <c r="V13" s="1"/>
  <c r="T10"/>
  <c r="V10" s="1"/>
  <c r="F1" i="15"/>
  <c r="Q52"/>
  <c r="C39" i="43"/>
  <c r="E39" s="1"/>
  <c r="G33"/>
  <c r="I33" s="1"/>
  <c r="E36"/>
  <c r="C37"/>
  <c r="G37" s="1"/>
  <c r="I37" s="1"/>
  <c r="H7" i="35"/>
  <c r="F7" i="37"/>
  <c r="AB10" i="40"/>
  <c r="F10" i="39"/>
  <c r="S10" s="1"/>
  <c r="J7" i="35"/>
  <c r="F7"/>
  <c r="J7" i="36"/>
  <c r="H7"/>
  <c r="U7" s="1"/>
  <c r="J7" i="37"/>
  <c r="G59" i="34"/>
  <c r="H59" s="1"/>
  <c r="I59" s="1"/>
  <c r="J59" s="1"/>
  <c r="K59" s="1"/>
  <c r="L59" s="1"/>
  <c r="M59" s="1"/>
  <c r="N59" s="1"/>
  <c r="O59" s="1"/>
  <c r="G58" i="21"/>
  <c r="H58" s="1"/>
  <c r="I58" s="1"/>
  <c r="J58" s="1"/>
  <c r="K58" s="1"/>
  <c r="L58" s="1"/>
  <c r="M58" s="1"/>
  <c r="N58" s="1"/>
  <c r="O58" s="1"/>
  <c r="E63" i="40"/>
  <c r="D65"/>
  <c r="J7" i="34"/>
  <c r="G39" i="43"/>
  <c r="I39" s="1"/>
  <c r="E68" i="39"/>
  <c r="F68" s="1"/>
  <c r="G68" s="1"/>
  <c r="H68" s="1"/>
  <c r="I68" s="1"/>
  <c r="J68" s="1"/>
  <c r="K68" s="1"/>
  <c r="L68" s="1"/>
  <c r="M68" s="1"/>
  <c r="N68" s="1"/>
  <c r="O68" s="1"/>
  <c r="J10" i="40"/>
  <c r="W10" s="1"/>
  <c r="C5" i="68"/>
  <c r="C53" i="15"/>
  <c r="J10" i="67"/>
  <c r="C53"/>
  <c r="C5"/>
  <c r="C32" s="1"/>
  <c r="F10" i="40"/>
  <c r="AA10" s="1"/>
  <c r="S20" i="6"/>
  <c r="I19"/>
  <c r="M27"/>
  <c r="H10" i="39"/>
  <c r="J10"/>
  <c r="Q61" i="15"/>
  <c r="C49"/>
  <c r="Q60"/>
  <c r="M16" i="1"/>
  <c r="N16" s="1"/>
  <c r="Q60" i="67"/>
  <c r="Q73"/>
  <c r="F27" i="11"/>
  <c r="Q61" i="67"/>
  <c r="Q74"/>
  <c r="C49"/>
  <c r="F1"/>
  <c r="Q52"/>
  <c r="C14" i="78"/>
  <c r="AE9" i="1"/>
  <c r="C17" i="78"/>
  <c r="C24" i="83" l="1"/>
  <c r="C23"/>
  <c r="B73" i="72"/>
  <c r="C15" i="78"/>
  <c r="C18"/>
  <c r="S22" i="6"/>
  <c r="L18" i="80"/>
  <c r="E9" i="70"/>
  <c r="D22" i="43"/>
  <c r="AQ8" i="1"/>
  <c r="AR8"/>
  <c r="T8"/>
  <c r="AR9"/>
  <c r="T9"/>
  <c r="AQ9"/>
  <c r="D109" i="43"/>
  <c r="D103"/>
  <c r="D104"/>
  <c r="D107"/>
  <c r="D105"/>
  <c r="D106"/>
  <c r="D102"/>
  <c r="N102"/>
  <c r="N103"/>
  <c r="N107"/>
  <c r="N106"/>
  <c r="N104"/>
  <c r="N109"/>
  <c r="N105"/>
  <c r="E104"/>
  <c r="E107"/>
  <c r="E105"/>
  <c r="E109"/>
  <c r="E102"/>
  <c r="E106"/>
  <c r="E103"/>
  <c r="H107"/>
  <c r="H106"/>
  <c r="H105"/>
  <c r="H102"/>
  <c r="H103"/>
  <c r="H104"/>
  <c r="H109"/>
  <c r="F104"/>
  <c r="F102"/>
  <c r="F105"/>
  <c r="F107"/>
  <c r="F106"/>
  <c r="F103"/>
  <c r="F109"/>
  <c r="J104"/>
  <c r="J105"/>
  <c r="J107"/>
  <c r="J102"/>
  <c r="J109"/>
  <c r="J103"/>
  <c r="J106"/>
  <c r="I109"/>
  <c r="I102"/>
  <c r="I106"/>
  <c r="I103"/>
  <c r="I104"/>
  <c r="I107"/>
  <c r="I105"/>
  <c r="L109"/>
  <c r="L102"/>
  <c r="L105"/>
  <c r="L104"/>
  <c r="L106"/>
  <c r="L107"/>
  <c r="L103"/>
  <c r="K103"/>
  <c r="K105"/>
  <c r="K102"/>
  <c r="K109"/>
  <c r="K104"/>
  <c r="K107"/>
  <c r="K106"/>
  <c r="C104"/>
  <c r="C107"/>
  <c r="C103"/>
  <c r="C102"/>
  <c r="C106"/>
  <c r="C105"/>
  <c r="C109"/>
  <c r="M109"/>
  <c r="M104"/>
  <c r="M107"/>
  <c r="M105"/>
  <c r="M102"/>
  <c r="M106"/>
  <c r="M103"/>
  <c r="B115"/>
  <c r="I118"/>
  <c r="J118" s="1"/>
  <c r="K118" s="1"/>
  <c r="L118" s="1"/>
  <c r="M118" s="1"/>
  <c r="D118"/>
  <c r="E118" s="1"/>
  <c r="F118" s="1"/>
  <c r="B116"/>
  <c r="C116" s="1"/>
  <c r="I117"/>
  <c r="J117" s="1"/>
  <c r="K117" s="1"/>
  <c r="L117" s="1"/>
  <c r="M117" s="1"/>
  <c r="B117"/>
  <c r="C117" s="1"/>
  <c r="D115"/>
  <c r="E115" s="1"/>
  <c r="F115" s="1"/>
  <c r="G115" s="1"/>
  <c r="H115" s="1"/>
  <c r="D117"/>
  <c r="E117" s="1"/>
  <c r="F117" s="1"/>
  <c r="G117" s="1"/>
  <c r="H117" s="1"/>
  <c r="I115"/>
  <c r="J115" s="1"/>
  <c r="K115" s="1"/>
  <c r="L115" s="1"/>
  <c r="M115" s="1"/>
  <c r="D116"/>
  <c r="E116" s="1"/>
  <c r="F116" s="1"/>
  <c r="G116" s="1"/>
  <c r="H116" s="1"/>
  <c r="G118"/>
  <c r="H118" s="1"/>
  <c r="B118"/>
  <c r="C118" s="1"/>
  <c r="I116"/>
  <c r="J116" s="1"/>
  <c r="K116" s="1"/>
  <c r="L116" s="1"/>
  <c r="M116" s="1"/>
  <c r="G105"/>
  <c r="G102"/>
  <c r="G103"/>
  <c r="G109"/>
  <c r="G107"/>
  <c r="G104"/>
  <c r="G106"/>
  <c r="E37"/>
  <c r="AA7" i="36"/>
  <c r="R36" s="1"/>
  <c r="E36" s="1"/>
  <c r="E40" s="1"/>
  <c r="F40" s="1"/>
  <c r="AC11" i="37"/>
  <c r="W11"/>
  <c r="AB7"/>
  <c r="T42" s="1"/>
  <c r="G42" s="1"/>
  <c r="G46" s="1"/>
  <c r="H46" s="1"/>
  <c r="W11" i="34"/>
  <c r="AC11"/>
  <c r="J5" i="67"/>
  <c r="J5" i="15"/>
  <c r="H20" i="6"/>
  <c r="C14" i="74"/>
  <c r="B2" s="1"/>
  <c r="AB7" i="36"/>
  <c r="T36" s="1"/>
  <c r="C23" i="68"/>
  <c r="C38" i="15"/>
  <c r="E38" i="43"/>
  <c r="E6" i="3"/>
  <c r="C47" i="68"/>
  <c r="D45" s="1"/>
  <c r="AA10" i="39"/>
  <c r="D10" i="68"/>
  <c r="D10" i="11"/>
  <c r="C10" s="1"/>
  <c r="D20" i="12"/>
  <c r="C20" s="1"/>
  <c r="C18" s="1"/>
  <c r="M19" i="9"/>
  <c r="C118" s="1"/>
  <c r="D19" i="6"/>
  <c r="D25"/>
  <c r="D26"/>
  <c r="D15"/>
  <c r="C18" i="4"/>
  <c r="D22" i="6"/>
  <c r="D8"/>
  <c r="D21"/>
  <c r="D23"/>
  <c r="D24"/>
  <c r="D14"/>
  <c r="D20"/>
  <c r="R20" s="1"/>
  <c r="D5"/>
  <c r="D6"/>
  <c r="D12"/>
  <c r="D9"/>
  <c r="D11"/>
  <c r="D10"/>
  <c r="D13"/>
  <c r="L19" i="9"/>
  <c r="D28" i="6"/>
  <c r="D29"/>
  <c r="E61" i="40"/>
  <c r="H25" i="6"/>
  <c r="R25" s="1"/>
  <c r="H22"/>
  <c r="H23"/>
  <c r="H21"/>
  <c r="H26"/>
  <c r="H24"/>
  <c r="C13" i="12"/>
  <c r="P16" i="1"/>
  <c r="C11" i="12" s="1"/>
  <c r="C26"/>
  <c r="D25" s="1"/>
  <c r="F34" i="11"/>
  <c r="C37" s="1"/>
  <c r="F11" i="12"/>
  <c r="F34" i="68"/>
  <c r="AC10" i="40"/>
  <c r="C26" i="68"/>
  <c r="D22" s="1"/>
  <c r="C44"/>
  <c r="D41" s="1"/>
  <c r="C26" i="69"/>
  <c r="D22" s="1"/>
  <c r="C44"/>
  <c r="D41" s="1"/>
  <c r="C25" i="11"/>
  <c r="C26"/>
  <c r="D22" s="1"/>
  <c r="C24"/>
  <c r="C44"/>
  <c r="D41" s="1"/>
  <c r="C23"/>
  <c r="E33" i="43"/>
  <c r="G35"/>
  <c r="I35" s="1"/>
  <c r="E35"/>
  <c r="G36"/>
  <c r="I36" s="1"/>
  <c r="G34"/>
  <c r="I34" s="1"/>
  <c r="E34"/>
  <c r="J7" i="21"/>
  <c r="AC7" s="1"/>
  <c r="V48" s="1"/>
  <c r="I48" s="1"/>
  <c r="F7" i="34"/>
  <c r="S7" s="1"/>
  <c r="AB7" i="35"/>
  <c r="T38" s="1"/>
  <c r="G38" s="1"/>
  <c r="G42" s="1"/>
  <c r="H42" s="1"/>
  <c r="U7"/>
  <c r="S7" i="37"/>
  <c r="AA7"/>
  <c r="R42" s="1"/>
  <c r="F7" i="21"/>
  <c r="S7" s="1"/>
  <c r="AA7" i="35"/>
  <c r="R38" s="1"/>
  <c r="S7"/>
  <c r="W7" i="36"/>
  <c r="AC7"/>
  <c r="V36" s="1"/>
  <c r="I36" s="1"/>
  <c r="I41" s="1"/>
  <c r="J41" s="1"/>
  <c r="AC7" i="35"/>
  <c r="V38" s="1"/>
  <c r="I38" s="1"/>
  <c r="W7"/>
  <c r="H7" i="21"/>
  <c r="AB7" s="1"/>
  <c r="T48" s="1"/>
  <c r="H7" i="34"/>
  <c r="U7" s="1"/>
  <c r="W7" i="37"/>
  <c r="AC7"/>
  <c r="V42" s="1"/>
  <c r="I42" s="1"/>
  <c r="W7" i="34"/>
  <c r="AC7"/>
  <c r="V49" s="1"/>
  <c r="I49" s="1"/>
  <c r="I53" s="1"/>
  <c r="J53" s="1"/>
  <c r="AA7"/>
  <c r="R49" s="1"/>
  <c r="F63" i="40"/>
  <c r="E65"/>
  <c r="E70" i="39"/>
  <c r="F70"/>
  <c r="S10" i="40"/>
  <c r="C38" i="67"/>
  <c r="H19" i="6"/>
  <c r="S19"/>
  <c r="I27"/>
  <c r="W10" i="39"/>
  <c r="AC10"/>
  <c r="U10"/>
  <c r="AB10"/>
  <c r="F50" i="11"/>
  <c r="F50" i="69"/>
  <c r="F50" i="68"/>
  <c r="C47" i="11"/>
  <c r="D45" s="1"/>
  <c r="C29"/>
  <c r="D27" s="1"/>
  <c r="C28"/>
  <c r="C27" s="1"/>
  <c r="L16" i="1"/>
  <c r="C29" i="83" l="1"/>
  <c r="J59" s="1"/>
  <c r="J60" s="1"/>
  <c r="S27" i="6"/>
  <c r="C19" i="78"/>
  <c r="C20" s="1"/>
  <c r="C26" s="1"/>
  <c r="M19" i="80"/>
  <c r="C118" s="1"/>
  <c r="L19"/>
  <c r="C34" i="11"/>
  <c r="C36"/>
  <c r="S2" i="43"/>
  <c r="T2" s="1"/>
  <c r="V2" s="1"/>
  <c r="S6"/>
  <c r="T6" s="1"/>
  <c r="V6" s="1"/>
  <c r="S4"/>
  <c r="T4" s="1"/>
  <c r="V4" s="1"/>
  <c r="S7"/>
  <c r="T7" s="1"/>
  <c r="V7" s="1"/>
  <c r="C23"/>
  <c r="C21" s="1"/>
  <c r="C29" s="1"/>
  <c r="S3"/>
  <c r="T3" s="1"/>
  <c r="V3" s="1"/>
  <c r="S5"/>
  <c r="T5" s="1"/>
  <c r="V5" s="1"/>
  <c r="C115"/>
  <c r="D113" s="1"/>
  <c r="J22" s="1"/>
  <c r="J24" i="67"/>
  <c r="J18"/>
  <c r="J24" i="15"/>
  <c r="J18"/>
  <c r="G36" i="36"/>
  <c r="R37"/>
  <c r="AB7" i="34"/>
  <c r="T49" s="1"/>
  <c r="G49" s="1"/>
  <c r="G53" s="1"/>
  <c r="H53" s="1"/>
  <c r="W7" i="21"/>
  <c r="AA7"/>
  <c r="R48" s="1"/>
  <c r="E48" s="1"/>
  <c r="E52" s="1"/>
  <c r="F52" s="1"/>
  <c r="R26" i="6"/>
  <c r="R23"/>
  <c r="R24"/>
  <c r="R21"/>
  <c r="R8" i="1" s="1"/>
  <c r="R22" i="6"/>
  <c r="R9" i="1" s="1"/>
  <c r="D30" i="6"/>
  <c r="D16"/>
  <c r="A7" i="51"/>
  <c r="B7" i="72" s="1"/>
  <c r="C4" i="52"/>
  <c r="B45" i="72" s="1"/>
  <c r="A10" i="51"/>
  <c r="B9" i="72" s="1"/>
  <c r="D27" i="6"/>
  <c r="D19" i="68"/>
  <c r="C10"/>
  <c r="C12" i="12"/>
  <c r="C15"/>
  <c r="C34" i="68"/>
  <c r="C36"/>
  <c r="U7" i="21"/>
  <c r="C22" i="11"/>
  <c r="C31" s="1"/>
  <c r="I52" i="21"/>
  <c r="J52" s="1"/>
  <c r="I40" i="36"/>
  <c r="J40" s="1"/>
  <c r="R43" i="37"/>
  <c r="E42"/>
  <c r="I47" s="1"/>
  <c r="J47" s="1"/>
  <c r="G43" i="35"/>
  <c r="H43" s="1"/>
  <c r="I42"/>
  <c r="J42" s="1"/>
  <c r="R39"/>
  <c r="E38"/>
  <c r="I43" s="1"/>
  <c r="J43" s="1"/>
  <c r="G47" i="37"/>
  <c r="H47" s="1"/>
  <c r="I46"/>
  <c r="J46" s="1"/>
  <c r="G63" i="40"/>
  <c r="F65"/>
  <c r="G48" i="21"/>
  <c r="R50" i="34"/>
  <c r="E49"/>
  <c r="G70" i="39"/>
  <c r="H27" i="6"/>
  <c r="R19"/>
  <c r="R7" i="1" s="1"/>
  <c r="C35" i="11"/>
  <c r="C38"/>
  <c r="C14" i="12"/>
  <c r="C23"/>
  <c r="F35" i="83"/>
  <c r="M21"/>
  <c r="F35" i="78"/>
  <c r="M21"/>
  <c r="Q48" i="83" l="1"/>
  <c r="L46"/>
  <c r="J20"/>
  <c r="F63"/>
  <c r="C62" s="1"/>
  <c r="C34"/>
  <c r="C57"/>
  <c r="Q49"/>
  <c r="C36"/>
  <c r="C33"/>
  <c r="C31" s="1"/>
  <c r="J19"/>
  <c r="J14"/>
  <c r="C13"/>
  <c r="C23" i="78"/>
  <c r="C29" s="1"/>
  <c r="J20"/>
  <c r="F63"/>
  <c r="C62" s="1"/>
  <c r="C34"/>
  <c r="D31" i="6"/>
  <c r="C30" i="43"/>
  <c r="E30" s="1"/>
  <c r="C27" s="1"/>
  <c r="E29"/>
  <c r="C26" s="1"/>
  <c r="B2" s="1"/>
  <c r="R49" i="21"/>
  <c r="C48" s="1"/>
  <c r="G54" i="34"/>
  <c r="H54" s="1"/>
  <c r="I53" i="21"/>
  <c r="J53" s="1"/>
  <c r="C37" i="36"/>
  <c r="C36"/>
  <c r="G40"/>
  <c r="H40" s="1"/>
  <c r="E41"/>
  <c r="F41" s="1"/>
  <c r="G41"/>
  <c r="H41" s="1"/>
  <c r="C19" i="68"/>
  <c r="D37"/>
  <c r="C37" s="1"/>
  <c r="I6" i="6"/>
  <c r="I5"/>
  <c r="R27"/>
  <c r="R6" i="1"/>
  <c r="C16" i="12"/>
  <c r="C21" s="1"/>
  <c r="C38" i="68"/>
  <c r="C35"/>
  <c r="E47" i="37"/>
  <c r="F47" s="1"/>
  <c r="E46"/>
  <c r="F46" s="1"/>
  <c r="C43"/>
  <c r="C42"/>
  <c r="C39" i="35"/>
  <c r="B2" s="1"/>
  <c r="B3" s="1"/>
  <c r="C38"/>
  <c r="E43"/>
  <c r="F43" s="1"/>
  <c r="E42"/>
  <c r="F42" s="1"/>
  <c r="E54" i="34"/>
  <c r="F54" s="1"/>
  <c r="I54"/>
  <c r="J54" s="1"/>
  <c r="E53"/>
  <c r="F53" s="1"/>
  <c r="G52" i="21"/>
  <c r="H52" s="1"/>
  <c r="G53"/>
  <c r="H53" s="1"/>
  <c r="E53"/>
  <c r="F53" s="1"/>
  <c r="C49" i="34"/>
  <c r="C50"/>
  <c r="H63" i="40"/>
  <c r="G65"/>
  <c r="H70" i="39"/>
  <c r="C33" i="11"/>
  <c r="C42" s="1"/>
  <c r="F35" i="15"/>
  <c r="E6" i="76"/>
  <c r="M21" i="15"/>
  <c r="F35" i="67"/>
  <c r="M21"/>
  <c r="B6" i="76"/>
  <c r="J17" i="83" l="1"/>
  <c r="J22"/>
  <c r="J13"/>
  <c r="J23" s="1"/>
  <c r="C75"/>
  <c r="C56"/>
  <c r="C65" s="1"/>
  <c r="Q70"/>
  <c r="C37"/>
  <c r="C30" s="1"/>
  <c r="C39" s="1"/>
  <c r="C61"/>
  <c r="C59" s="1"/>
  <c r="C64"/>
  <c r="J59" i="78"/>
  <c r="J60" s="1"/>
  <c r="J14"/>
  <c r="C13"/>
  <c r="Q49"/>
  <c r="C36"/>
  <c r="C33"/>
  <c r="C31" s="1"/>
  <c r="J19"/>
  <c r="J17" s="1"/>
  <c r="C57"/>
  <c r="E2" i="76"/>
  <c r="B2"/>
  <c r="B3" i="43"/>
  <c r="C49" i="21"/>
  <c r="F63" i="67"/>
  <c r="C62" s="1"/>
  <c r="C34"/>
  <c r="J20"/>
  <c r="C24" i="68"/>
  <c r="C20"/>
  <c r="C28" s="1"/>
  <c r="C27" s="1"/>
  <c r="J20" i="15"/>
  <c r="F63"/>
  <c r="C62" s="1"/>
  <c r="C34"/>
  <c r="R16" i="1"/>
  <c r="C22" i="12"/>
  <c r="C30" s="1"/>
  <c r="C28" s="1"/>
  <c r="C33" i="68"/>
  <c r="C91" i="9" s="1"/>
  <c r="I63" i="40"/>
  <c r="H65"/>
  <c r="C39" i="11"/>
  <c r="C43" s="1"/>
  <c r="C41" s="1"/>
  <c r="I70" i="39"/>
  <c r="L51" i="83"/>
  <c r="J16" l="1"/>
  <c r="J25" s="1"/>
  <c r="C58"/>
  <c r="C67" s="1"/>
  <c r="Q67"/>
  <c r="L57"/>
  <c r="Q69"/>
  <c r="Q68" s="1"/>
  <c r="C80"/>
  <c r="C79" s="1"/>
  <c r="C94" i="9"/>
  <c r="C92"/>
  <c r="C75" i="78"/>
  <c r="C56"/>
  <c r="C65" s="1"/>
  <c r="Q70"/>
  <c r="C37"/>
  <c r="C30" s="1"/>
  <c r="C39" s="1"/>
  <c r="Q48"/>
  <c r="L46"/>
  <c r="C61"/>
  <c r="C59" s="1"/>
  <c r="C64"/>
  <c r="J22"/>
  <c r="J13"/>
  <c r="J23" s="1"/>
  <c r="B3" i="76"/>
  <c r="C25" i="68"/>
  <c r="C22" s="1"/>
  <c r="C31" s="1"/>
  <c r="C27" i="12"/>
  <c r="C25" s="1"/>
  <c r="C32" s="1"/>
  <c r="B2" s="1"/>
  <c r="B3" s="1"/>
  <c r="C39" i="68"/>
  <c r="C43" s="1"/>
  <c r="C42"/>
  <c r="J63" i="40"/>
  <c r="I65"/>
  <c r="C46" i="11"/>
  <c r="C45" s="1"/>
  <c r="C49" s="1"/>
  <c r="C51" s="1"/>
  <c r="C52" s="1"/>
  <c r="B2" s="1"/>
  <c r="B3" s="1"/>
  <c r="J70" i="39"/>
  <c r="L51" i="78"/>
  <c r="J16" l="1"/>
  <c r="J25" s="1"/>
  <c r="C58"/>
  <c r="C67" s="1"/>
  <c r="Q67"/>
  <c r="Q69"/>
  <c r="Q68" s="1"/>
  <c r="C80"/>
  <c r="C79" s="1"/>
  <c r="C41" i="68"/>
  <c r="C46"/>
  <c r="C45" s="1"/>
  <c r="K63" i="40"/>
  <c r="J65"/>
  <c r="K70" i="39"/>
  <c r="C56" i="11"/>
  <c r="C57" s="1"/>
  <c r="C49" i="68" l="1"/>
  <c r="C51" s="1"/>
  <c r="C52" s="1"/>
  <c r="C57" s="1"/>
  <c r="C56" s="1"/>
  <c r="L63" i="40"/>
  <c r="K65"/>
  <c r="L70" i="39"/>
  <c r="E2" i="70"/>
  <c r="C34" i="69"/>
  <c r="C17" i="67"/>
  <c r="M63" i="40" l="1"/>
  <c r="L65"/>
  <c r="M70" i="39"/>
  <c r="C35" i="69"/>
  <c r="C38"/>
  <c r="D10"/>
  <c r="N63" i="40" l="1"/>
  <c r="M65"/>
  <c r="O70" i="39"/>
  <c r="N70"/>
  <c r="D19" i="69"/>
  <c r="C10"/>
  <c r="C8" s="1"/>
  <c r="C5" s="1"/>
  <c r="O63" i="40" l="1"/>
  <c r="O65" s="1"/>
  <c r="N65"/>
  <c r="C23" i="69"/>
  <c r="C19"/>
  <c r="C24" s="1"/>
  <c r="D37"/>
  <c r="C37" s="1"/>
  <c r="C33" s="1"/>
  <c r="C14" i="67"/>
  <c r="F7" i="40" l="1"/>
  <c r="H7"/>
  <c r="J7"/>
  <c r="C15" i="67"/>
  <c r="C18"/>
  <c r="C42" i="69"/>
  <c r="C39"/>
  <c r="C43" s="1"/>
  <c r="C20"/>
  <c r="C25" s="1"/>
  <c r="C22" s="1"/>
  <c r="W7" i="40" l="1"/>
  <c r="AC7"/>
  <c r="V42" s="1"/>
  <c r="I42" s="1"/>
  <c r="AB7"/>
  <c r="T42" s="1"/>
  <c r="G42" s="1"/>
  <c r="U7"/>
  <c r="AA7"/>
  <c r="R42" s="1"/>
  <c r="S7"/>
  <c r="C19" i="67"/>
  <c r="C46" i="69"/>
  <c r="C45" s="1"/>
  <c r="C41"/>
  <c r="C28"/>
  <c r="C27" s="1"/>
  <c r="C31" s="1"/>
  <c r="C20" i="67" l="1"/>
  <c r="C23" s="1"/>
  <c r="C49" i="69"/>
  <c r="C51" s="1"/>
  <c r="I46" i="40"/>
  <c r="J46" s="1"/>
  <c r="E42"/>
  <c r="I47" s="1"/>
  <c r="J47" s="1"/>
  <c r="R43"/>
  <c r="G47"/>
  <c r="H47" s="1"/>
  <c r="G46"/>
  <c r="H46" s="1"/>
  <c r="C26" i="67" l="1"/>
  <c r="C29" s="1"/>
  <c r="J59" s="1"/>
  <c r="J60" s="1"/>
  <c r="C42" i="40"/>
  <c r="C43"/>
  <c r="E46"/>
  <c r="F46" s="1"/>
  <c r="E47"/>
  <c r="F47" s="1"/>
  <c r="C52" i="69"/>
  <c r="Q48" i="67" l="1"/>
  <c r="L46"/>
  <c r="Q49"/>
  <c r="C13"/>
  <c r="Q70" s="1"/>
  <c r="J19"/>
  <c r="J17" s="1"/>
  <c r="C36"/>
  <c r="J14"/>
  <c r="J13" s="1"/>
  <c r="J23" s="1"/>
  <c r="C33"/>
  <c r="C31" s="1"/>
  <c r="C57"/>
  <c r="C61" s="1"/>
  <c r="B55" i="40"/>
  <c r="F55" s="1"/>
  <c r="B53"/>
  <c r="F53" s="1"/>
  <c r="B60"/>
  <c r="F60" s="1"/>
  <c r="F61"/>
  <c r="B2" s="1"/>
  <c r="B3" s="1"/>
  <c r="B57"/>
  <c r="F57" s="1"/>
  <c r="B58"/>
  <c r="F58" s="1"/>
  <c r="B59"/>
  <c r="F59" s="1"/>
  <c r="B52"/>
  <c r="F52" s="1"/>
  <c r="B56"/>
  <c r="F56" s="1"/>
  <c r="B51"/>
  <c r="F51" s="1"/>
  <c r="B54"/>
  <c r="F54" s="1"/>
  <c r="C57" i="69"/>
  <c r="C56" s="1"/>
  <c r="S16" i="1"/>
  <c r="C64" i="67" l="1"/>
  <c r="C56"/>
  <c r="C65" s="1"/>
  <c r="J22"/>
  <c r="J16" s="1"/>
  <c r="J25" s="1"/>
  <c r="C75"/>
  <c r="C37"/>
  <c r="C30" s="1"/>
  <c r="C39" s="1"/>
  <c r="C48"/>
  <c r="C60" s="1"/>
  <c r="C14" i="15"/>
  <c r="AE7" i="1"/>
  <c r="L51" i="67"/>
  <c r="L57" l="1"/>
  <c r="L60" s="1"/>
  <c r="C80"/>
  <c r="C79" s="1"/>
  <c r="Q69"/>
  <c r="Q68" s="1"/>
  <c r="Q67"/>
  <c r="C59"/>
  <c r="C66"/>
  <c r="T16" i="1"/>
  <c r="C18" i="15"/>
  <c r="C15"/>
  <c r="F41" i="78"/>
  <c r="F41" i="83"/>
  <c r="F69" l="1"/>
  <c r="C68" s="1"/>
  <c r="C71" s="1"/>
  <c r="C40"/>
  <c r="C83" s="1"/>
  <c r="C82" s="1"/>
  <c r="J29"/>
  <c r="F69" i="78"/>
  <c r="C68" s="1"/>
  <c r="C71" s="1"/>
  <c r="C40"/>
  <c r="C83" s="1"/>
  <c r="C82" s="1"/>
  <c r="J29"/>
  <c r="Q66" i="67"/>
  <c r="Q57"/>
  <c r="C58"/>
  <c r="C67" s="1"/>
  <c r="C19" i="15"/>
  <c r="C43" i="83" l="1"/>
  <c r="Q56"/>
  <c r="Q62" s="1"/>
  <c r="C45"/>
  <c r="C46" s="1"/>
  <c r="Q65"/>
  <c r="Q75" s="1"/>
  <c r="D2"/>
  <c r="B2" s="1"/>
  <c r="Q47"/>
  <c r="Q53" s="1"/>
  <c r="B3"/>
  <c r="C43" i="78"/>
  <c r="Q65"/>
  <c r="Q75" s="1"/>
  <c r="C45"/>
  <c r="C46" s="1"/>
  <c r="Q56"/>
  <c r="Q62" s="1"/>
  <c r="D2"/>
  <c r="B2" s="1"/>
  <c r="Q47"/>
  <c r="Q53" s="1"/>
  <c r="C20" i="15"/>
  <c r="C26" s="1"/>
  <c r="R24" i="81" l="1"/>
  <c r="C44" i="83"/>
  <c r="B3" i="78"/>
  <c r="C23" i="15"/>
  <c r="C29" s="1"/>
  <c r="J59" s="1"/>
  <c r="J60" s="1"/>
  <c r="Q48" s="1"/>
  <c r="J19" l="1"/>
  <c r="J17" s="1"/>
  <c r="Q49"/>
  <c r="C57"/>
  <c r="C61" s="1"/>
  <c r="C33"/>
  <c r="C31" s="1"/>
  <c r="C13"/>
  <c r="C37" s="1"/>
  <c r="C36"/>
  <c r="J14"/>
  <c r="J22" s="1"/>
  <c r="C30" l="1"/>
  <c r="C39" s="1"/>
  <c r="Q69" s="1"/>
  <c r="C56"/>
  <c r="C48" s="1"/>
  <c r="C64"/>
  <c r="Q70"/>
  <c r="C75"/>
  <c r="J13"/>
  <c r="J23" s="1"/>
  <c r="J16" s="1"/>
  <c r="J25" s="1"/>
  <c r="AE8" i="1"/>
  <c r="AE6"/>
  <c r="C66" i="15" l="1"/>
  <c r="C60"/>
  <c r="C59" s="1"/>
  <c r="AG6" i="1"/>
  <c r="C80" i="15"/>
  <c r="C79" s="1"/>
  <c r="C65"/>
  <c r="Q68"/>
  <c r="L57"/>
  <c r="L60" s="1"/>
  <c r="M27"/>
  <c r="F41" i="67"/>
  <c r="L51" i="15"/>
  <c r="F41"/>
  <c r="M27" i="67"/>
  <c r="Q67" i="15" l="1"/>
  <c r="J26"/>
  <c r="J29" s="1"/>
  <c r="J26" i="67"/>
  <c r="J29" s="1"/>
  <c r="C58" i="15"/>
  <c r="C67" s="1"/>
  <c r="F69"/>
  <c r="C40"/>
  <c r="C43" s="1"/>
  <c r="L46"/>
  <c r="Q57"/>
  <c r="Q66"/>
  <c r="F69" i="67"/>
  <c r="C68" s="1"/>
  <c r="C71" s="1"/>
  <c r="C40"/>
  <c r="C83" s="1"/>
  <c r="C82" s="1"/>
  <c r="C68" i="15" l="1"/>
  <c r="C71" s="1"/>
  <c r="C83"/>
  <c r="C82" s="1"/>
  <c r="Q65"/>
  <c r="Q75" s="1"/>
  <c r="Q47"/>
  <c r="Q53" s="1"/>
  <c r="Q56"/>
  <c r="Q62" s="1"/>
  <c r="B2"/>
  <c r="C43" i="67"/>
  <c r="C45"/>
  <c r="C46" s="1"/>
  <c r="Q65"/>
  <c r="Q75" s="1"/>
  <c r="Q56"/>
  <c r="Q62" s="1"/>
  <c r="Q47"/>
  <c r="Q53" s="1"/>
  <c r="D2"/>
  <c r="AO6" i="1"/>
  <c r="AO9"/>
  <c r="AO8"/>
  <c r="E2" i="69"/>
  <c r="D19" i="80"/>
  <c r="B2" i="67" l="1"/>
  <c r="B3"/>
  <c r="D102" i="80"/>
  <c r="D21"/>
  <c r="B9" i="70"/>
  <c r="B3" i="15"/>
  <c r="B8" i="70"/>
  <c r="B6"/>
  <c r="C46" i="15"/>
  <c r="B2" i="69"/>
  <c r="B3" s="1"/>
  <c r="B2" i="68"/>
  <c r="J20" i="9"/>
  <c r="D2" i="33"/>
  <c r="F20" i="31"/>
  <c r="E2" i="68"/>
  <c r="D2" i="37"/>
  <c r="D2" i="35"/>
  <c r="AO7" i="1"/>
  <c r="D2" i="36"/>
  <c r="D2" i="21"/>
  <c r="D20" i="80"/>
  <c r="D2" i="34"/>
  <c r="R24" i="84" l="1"/>
  <c r="C44" i="67"/>
  <c r="B7" i="70"/>
  <c r="D103" i="80"/>
  <c r="B2" i="36"/>
  <c r="B3" s="1"/>
  <c r="B2" i="37"/>
  <c r="B3" s="1"/>
  <c r="B2" i="34"/>
  <c r="B3" s="1"/>
  <c r="B2" i="21"/>
  <c r="B2" i="70"/>
  <c r="B3" s="1"/>
  <c r="B3" i="68"/>
  <c r="D19" i="9"/>
  <c r="C19" i="80"/>
  <c r="C19" i="9"/>
  <c r="D20"/>
  <c r="C102" l="1"/>
  <c r="C21"/>
  <c r="C21" i="80"/>
  <c r="C102"/>
  <c r="G19"/>
  <c r="D22"/>
  <c r="B3" i="21"/>
  <c r="G19" i="9"/>
  <c r="D102"/>
  <c r="D22"/>
  <c r="D21"/>
  <c r="D103"/>
  <c r="C20"/>
  <c r="C20" i="80"/>
  <c r="J21" i="9" l="1"/>
  <c r="J22" s="1"/>
  <c r="K3" i="79" s="1"/>
  <c r="C103" i="9"/>
  <c r="G20"/>
  <c r="C32" s="1"/>
  <c r="C103" i="80"/>
  <c r="G20"/>
  <c r="G21"/>
  <c r="G21" i="9"/>
  <c r="D34"/>
  <c r="C32" i="80" l="1"/>
  <c r="C35" s="1"/>
  <c r="R24" i="31"/>
  <c r="R67" i="81"/>
  <c r="S67" s="1"/>
  <c r="R163"/>
  <c r="S163" s="1"/>
  <c r="R161"/>
  <c r="S161" s="1"/>
  <c r="R159"/>
  <c r="S159" s="1"/>
  <c r="R157"/>
  <c r="S157" s="1"/>
  <c r="R155"/>
  <c r="S155" s="1"/>
  <c r="R153"/>
  <c r="S153" s="1"/>
  <c r="R151"/>
  <c r="S151" s="1"/>
  <c r="R149"/>
  <c r="S149" s="1"/>
  <c r="R147"/>
  <c r="S147" s="1"/>
  <c r="R145"/>
  <c r="S145" s="1"/>
  <c r="R143"/>
  <c r="S143" s="1"/>
  <c r="R141"/>
  <c r="S141" s="1"/>
  <c r="R139"/>
  <c r="S139" s="1"/>
  <c r="R137"/>
  <c r="S137" s="1"/>
  <c r="R135"/>
  <c r="S135" s="1"/>
  <c r="R133"/>
  <c r="S133" s="1"/>
  <c r="R131"/>
  <c r="S131" s="1"/>
  <c r="R129"/>
  <c r="S129" s="1"/>
  <c r="R127"/>
  <c r="S127" s="1"/>
  <c r="R125"/>
  <c r="S125" s="1"/>
  <c r="R123"/>
  <c r="S123" s="1"/>
  <c r="R121"/>
  <c r="S121" s="1"/>
  <c r="R119"/>
  <c r="S119" s="1"/>
  <c r="R117"/>
  <c r="S117" s="1"/>
  <c r="R115"/>
  <c r="S115" s="1"/>
  <c r="R113"/>
  <c r="S113" s="1"/>
  <c r="R111"/>
  <c r="S111" s="1"/>
  <c r="R109"/>
  <c r="S109" s="1"/>
  <c r="R107"/>
  <c r="S107" s="1"/>
  <c r="R105"/>
  <c r="S105" s="1"/>
  <c r="R103"/>
  <c r="S103" s="1"/>
  <c r="R89"/>
  <c r="S89" s="1"/>
  <c r="R162"/>
  <c r="S162" s="1"/>
  <c r="R158"/>
  <c r="S158" s="1"/>
  <c r="R154"/>
  <c r="S154" s="1"/>
  <c r="R150"/>
  <c r="S150" s="1"/>
  <c r="R146"/>
  <c r="S146" s="1"/>
  <c r="R142"/>
  <c r="S142" s="1"/>
  <c r="R138"/>
  <c r="S138" s="1"/>
  <c r="R134"/>
  <c r="S134" s="1"/>
  <c r="R130"/>
  <c r="S130" s="1"/>
  <c r="R126"/>
  <c r="S126" s="1"/>
  <c r="R122"/>
  <c r="S122" s="1"/>
  <c r="R118"/>
  <c r="S118" s="1"/>
  <c r="R114"/>
  <c r="S114" s="1"/>
  <c r="R110"/>
  <c r="S110" s="1"/>
  <c r="R106"/>
  <c r="S106" s="1"/>
  <c r="R164"/>
  <c r="S164" s="1"/>
  <c r="R160"/>
  <c r="S160" s="1"/>
  <c r="R156"/>
  <c r="S156" s="1"/>
  <c r="R152"/>
  <c r="S152" s="1"/>
  <c r="R148"/>
  <c r="S148" s="1"/>
  <c r="R144"/>
  <c r="S144" s="1"/>
  <c r="R140"/>
  <c r="S140" s="1"/>
  <c r="R136"/>
  <c r="S136" s="1"/>
  <c r="R132"/>
  <c r="S132" s="1"/>
  <c r="R128"/>
  <c r="S128" s="1"/>
  <c r="R124"/>
  <c r="S124" s="1"/>
  <c r="R120"/>
  <c r="S120" s="1"/>
  <c r="R116"/>
  <c r="S116" s="1"/>
  <c r="R112"/>
  <c r="S112" s="1"/>
  <c r="R108"/>
  <c r="S108" s="1"/>
  <c r="R104"/>
  <c r="S104" s="1"/>
  <c r="R96"/>
  <c r="S96" s="1"/>
  <c r="H109" i="9"/>
  <c r="S24" i="84" l="1"/>
  <c r="R28"/>
  <c r="S28" s="1"/>
  <c r="R32"/>
  <c r="S32" s="1"/>
  <c r="R36"/>
  <c r="S36" s="1"/>
  <c r="R40"/>
  <c r="S40" s="1"/>
  <c r="R44"/>
  <c r="S44" s="1"/>
  <c r="R48"/>
  <c r="S48" s="1"/>
  <c r="R52"/>
  <c r="S52" s="1"/>
  <c r="R56"/>
  <c r="S56" s="1"/>
  <c r="R60"/>
  <c r="S60" s="1"/>
  <c r="R64"/>
  <c r="S64" s="1"/>
  <c r="R68"/>
  <c r="S68" s="1"/>
  <c r="R72"/>
  <c r="S72" s="1"/>
  <c r="R76"/>
  <c r="S76" s="1"/>
  <c r="R80"/>
  <c r="S80" s="1"/>
  <c r="R84"/>
  <c r="S84" s="1"/>
  <c r="R88"/>
  <c r="S88" s="1"/>
  <c r="R92"/>
  <c r="S92" s="1"/>
  <c r="R96"/>
  <c r="S96" s="1"/>
  <c r="R100"/>
  <c r="S100" s="1"/>
  <c r="R25"/>
  <c r="S25" s="1"/>
  <c r="R29"/>
  <c r="S29" s="1"/>
  <c r="R33"/>
  <c r="S33" s="1"/>
  <c r="R37"/>
  <c r="S37" s="1"/>
  <c r="R41"/>
  <c r="S41" s="1"/>
  <c r="R45"/>
  <c r="S45" s="1"/>
  <c r="R49"/>
  <c r="S49" s="1"/>
  <c r="R53"/>
  <c r="S53" s="1"/>
  <c r="R57"/>
  <c r="S57" s="1"/>
  <c r="R61"/>
  <c r="S61" s="1"/>
  <c r="R65"/>
  <c r="S65" s="1"/>
  <c r="R69"/>
  <c r="S69" s="1"/>
  <c r="R73"/>
  <c r="S73" s="1"/>
  <c r="R77"/>
  <c r="S77" s="1"/>
  <c r="R81"/>
  <c r="S81" s="1"/>
  <c r="R85"/>
  <c r="S85" s="1"/>
  <c r="R89"/>
  <c r="S89" s="1"/>
  <c r="R93"/>
  <c r="S93" s="1"/>
  <c r="R97"/>
  <c r="S97" s="1"/>
  <c r="R101"/>
  <c r="S101" s="1"/>
  <c r="R26"/>
  <c r="S26" s="1"/>
  <c r="R30"/>
  <c r="S30" s="1"/>
  <c r="R34"/>
  <c r="S34" s="1"/>
  <c r="R38"/>
  <c r="S38" s="1"/>
  <c r="R42"/>
  <c r="S42" s="1"/>
  <c r="R46"/>
  <c r="S46" s="1"/>
  <c r="R50"/>
  <c r="S50" s="1"/>
  <c r="R54"/>
  <c r="S54" s="1"/>
  <c r="R58"/>
  <c r="S58" s="1"/>
  <c r="R62"/>
  <c r="S62" s="1"/>
  <c r="R66"/>
  <c r="S66" s="1"/>
  <c r="R70"/>
  <c r="S70" s="1"/>
  <c r="R74"/>
  <c r="S74" s="1"/>
  <c r="R78"/>
  <c r="S78" s="1"/>
  <c r="R82"/>
  <c r="S82" s="1"/>
  <c r="R86"/>
  <c r="S86" s="1"/>
  <c r="R90"/>
  <c r="S90" s="1"/>
  <c r="R94"/>
  <c r="S94" s="1"/>
  <c r="R98"/>
  <c r="S98" s="1"/>
  <c r="R102"/>
  <c r="S102" s="1"/>
  <c r="R27"/>
  <c r="S27" s="1"/>
  <c r="R31"/>
  <c r="S31" s="1"/>
  <c r="R35"/>
  <c r="S35" s="1"/>
  <c r="R39"/>
  <c r="S39" s="1"/>
  <c r="R43"/>
  <c r="S43" s="1"/>
  <c r="R47"/>
  <c r="S47" s="1"/>
  <c r="R51"/>
  <c r="S51" s="1"/>
  <c r="R55"/>
  <c r="S55" s="1"/>
  <c r="R59"/>
  <c r="S59" s="1"/>
  <c r="R63"/>
  <c r="S63" s="1"/>
  <c r="R67"/>
  <c r="S67" s="1"/>
  <c r="R71"/>
  <c r="S71" s="1"/>
  <c r="R75"/>
  <c r="S75" s="1"/>
  <c r="R79"/>
  <c r="S79" s="1"/>
  <c r="R83"/>
  <c r="S83" s="1"/>
  <c r="R87"/>
  <c r="S87" s="1"/>
  <c r="R91"/>
  <c r="S91" s="1"/>
  <c r="R95"/>
  <c r="S95" s="1"/>
  <c r="R99"/>
  <c r="S99" s="1"/>
  <c r="R27" i="31"/>
  <c r="S27" s="1"/>
  <c r="S24"/>
  <c r="R30"/>
  <c r="S30" s="1"/>
  <c r="R34"/>
  <c r="S34" s="1"/>
  <c r="R37"/>
  <c r="S37" s="1"/>
  <c r="R40"/>
  <c r="S40" s="1"/>
  <c r="R32"/>
  <c r="S32" s="1"/>
  <c r="R25"/>
  <c r="S25" s="1"/>
  <c r="R35"/>
  <c r="S35" s="1"/>
  <c r="R39"/>
  <c r="S39" s="1"/>
  <c r="R41"/>
  <c r="S41" s="1"/>
  <c r="R38"/>
  <c r="S38" s="1"/>
  <c r="R33"/>
  <c r="S33" s="1"/>
  <c r="R26"/>
  <c r="S26" s="1"/>
  <c r="R29"/>
  <c r="S29" s="1"/>
  <c r="R36"/>
  <c r="S36" s="1"/>
  <c r="R28"/>
  <c r="S28" s="1"/>
  <c r="R31"/>
  <c r="S31" s="1"/>
  <c r="R31" i="81"/>
  <c r="S31" s="1"/>
  <c r="R98"/>
  <c r="S98" s="1"/>
  <c r="R47"/>
  <c r="S47" s="1"/>
  <c r="R29"/>
  <c r="S29" s="1"/>
  <c r="R64"/>
  <c r="S64" s="1"/>
  <c r="R66"/>
  <c r="S66" s="1"/>
  <c r="R73"/>
  <c r="S73" s="1"/>
  <c r="R28"/>
  <c r="S28" s="1"/>
  <c r="R30"/>
  <c r="S30" s="1"/>
  <c r="R48"/>
  <c r="S48" s="1"/>
  <c r="R80"/>
  <c r="S80" s="1"/>
  <c r="R50"/>
  <c r="S50" s="1"/>
  <c r="R82"/>
  <c r="S82" s="1"/>
  <c r="R61"/>
  <c r="S61" s="1"/>
  <c r="R81"/>
  <c r="S81" s="1"/>
  <c r="R97"/>
  <c r="S97" s="1"/>
  <c r="R55"/>
  <c r="S55" s="1"/>
  <c r="R36"/>
  <c r="S36" s="1"/>
  <c r="R37"/>
  <c r="S37" s="1"/>
  <c r="R38"/>
  <c r="S38" s="1"/>
  <c r="R39"/>
  <c r="S39" s="1"/>
  <c r="S24"/>
  <c r="R56"/>
  <c r="S56" s="1"/>
  <c r="R72"/>
  <c r="S72" s="1"/>
  <c r="R88"/>
  <c r="S88" s="1"/>
  <c r="R42"/>
  <c r="S42" s="1"/>
  <c r="R58"/>
  <c r="S58" s="1"/>
  <c r="R74"/>
  <c r="S74" s="1"/>
  <c r="R90"/>
  <c r="S90" s="1"/>
  <c r="R53"/>
  <c r="S53" s="1"/>
  <c r="R69"/>
  <c r="S69" s="1"/>
  <c r="R77"/>
  <c r="S77" s="1"/>
  <c r="R85"/>
  <c r="S85" s="1"/>
  <c r="R93"/>
  <c r="S93" s="1"/>
  <c r="R101"/>
  <c r="S101" s="1"/>
  <c r="R45"/>
  <c r="S45" s="1"/>
  <c r="R65"/>
  <c r="S65" s="1"/>
  <c r="R40"/>
  <c r="S40" s="1"/>
  <c r="R32"/>
  <c r="S32" s="1"/>
  <c r="R41"/>
  <c r="S41" s="1"/>
  <c r="R33"/>
  <c r="S33" s="1"/>
  <c r="R25"/>
  <c r="S25" s="1"/>
  <c r="R34"/>
  <c r="S34" s="1"/>
  <c r="R26"/>
  <c r="S26" s="1"/>
  <c r="R35"/>
  <c r="S35" s="1"/>
  <c r="R27"/>
  <c r="S27" s="1"/>
  <c r="R44"/>
  <c r="S44" s="1"/>
  <c r="R52"/>
  <c r="S52" s="1"/>
  <c r="R60"/>
  <c r="S60" s="1"/>
  <c r="R68"/>
  <c r="S68" s="1"/>
  <c r="R76"/>
  <c r="S76" s="1"/>
  <c r="R84"/>
  <c r="S84" s="1"/>
  <c r="R92"/>
  <c r="S92" s="1"/>
  <c r="R100"/>
  <c r="S100" s="1"/>
  <c r="R46"/>
  <c r="S46" s="1"/>
  <c r="R54"/>
  <c r="S54" s="1"/>
  <c r="R62"/>
  <c r="S62" s="1"/>
  <c r="R70"/>
  <c r="S70" s="1"/>
  <c r="R78"/>
  <c r="S78" s="1"/>
  <c r="R86"/>
  <c r="S86" s="1"/>
  <c r="R94"/>
  <c r="S94" s="1"/>
  <c r="R102"/>
  <c r="S102" s="1"/>
  <c r="R43"/>
  <c r="S43" s="1"/>
  <c r="R49"/>
  <c r="S49" s="1"/>
  <c r="R57"/>
  <c r="S57" s="1"/>
  <c r="R63"/>
  <c r="S63" s="1"/>
  <c r="R71"/>
  <c r="S71" s="1"/>
  <c r="R75"/>
  <c r="S75" s="1"/>
  <c r="R79"/>
  <c r="S79" s="1"/>
  <c r="R83"/>
  <c r="S83" s="1"/>
  <c r="R87"/>
  <c r="S87" s="1"/>
  <c r="R91"/>
  <c r="S91" s="1"/>
  <c r="R95"/>
  <c r="S95" s="1"/>
  <c r="R99"/>
  <c r="S99" s="1"/>
  <c r="R51"/>
  <c r="S51" s="1"/>
  <c r="R59"/>
  <c r="S59" s="1"/>
  <c r="C34" i="80"/>
  <c r="I118"/>
  <c r="H118" s="1"/>
  <c r="H119" s="1"/>
  <c r="H110" i="9"/>
  <c r="D18" i="53" s="1"/>
  <c r="B35" i="72" s="1"/>
  <c r="D124" i="9"/>
  <c r="D16" i="53"/>
  <c r="B34" i="72" s="1"/>
  <c r="S22" i="84" l="1"/>
  <c r="C104" i="80"/>
  <c r="H101"/>
  <c r="D45" s="1"/>
  <c r="S22" i="31"/>
  <c r="J27" i="79" s="1"/>
  <c r="S22" i="81"/>
  <c r="J28" i="79" s="1"/>
  <c r="H102" i="80"/>
  <c r="C105"/>
  <c r="G118"/>
  <c r="M48"/>
  <c r="D10" i="52"/>
  <c r="H14" i="74"/>
  <c r="D17" i="53"/>
  <c r="B36" i="72" s="1"/>
  <c r="D125" i="9"/>
  <c r="D11" i="52" s="1"/>
  <c r="H107" i="80" l="1"/>
  <c r="D122" s="1"/>
  <c r="D123" s="1"/>
  <c r="R22" i="84"/>
  <c r="B21" s="1"/>
  <c r="B20"/>
  <c r="E118" i="80"/>
  <c r="D118" s="1"/>
  <c r="D119" s="1"/>
  <c r="F118"/>
  <c r="F119" s="1"/>
  <c r="B20" i="31"/>
  <c r="R22"/>
  <c r="J29" i="79"/>
  <c r="N3" s="1"/>
  <c r="O3" s="1"/>
  <c r="M3"/>
  <c r="B20" i="81"/>
  <c r="R22"/>
  <c r="K28" i="79" s="1"/>
  <c r="D52" i="80"/>
  <c r="C85"/>
  <c r="C64"/>
  <c r="C63" s="1"/>
  <c r="C67" s="1"/>
  <c r="C68" s="1"/>
  <c r="D54" s="1"/>
  <c r="D53"/>
  <c r="C78"/>
  <c r="C73" s="1"/>
  <c r="C93"/>
  <c r="C86" s="1"/>
  <c r="C72"/>
  <c r="C79" s="1"/>
  <c r="C80" s="1"/>
  <c r="E80" s="1"/>
  <c r="E81" s="1"/>
  <c r="D55"/>
  <c r="M53" s="1"/>
  <c r="B7" i="74"/>
  <c r="D7" s="1"/>
  <c r="B21" i="81" l="1"/>
  <c r="M49" i="80"/>
  <c r="L64" s="1"/>
  <c r="M64" s="1"/>
  <c r="H108"/>
  <c r="H118" i="9"/>
  <c r="K27" i="79"/>
  <c r="B21" i="31"/>
  <c r="C81" i="80"/>
  <c r="C95"/>
  <c r="C7" i="74"/>
  <c r="L66" i="80" l="1"/>
  <c r="M66" s="1"/>
  <c r="L68"/>
  <c r="M68" s="1"/>
  <c r="L67"/>
  <c r="M67" s="1"/>
  <c r="L63"/>
  <c r="M63" s="1"/>
  <c r="L65"/>
  <c r="M65" s="1"/>
  <c r="C96"/>
  <c r="E96" s="1"/>
  <c r="E97" s="1"/>
  <c r="J7" i="33"/>
  <c r="W7" s="1"/>
  <c r="F7"/>
  <c r="S7" s="1"/>
  <c r="H7"/>
  <c r="AB7" s="1"/>
  <c r="T48" s="1"/>
  <c r="G48" s="1"/>
  <c r="M69" i="80" l="1"/>
  <c r="N69" s="1"/>
  <c r="C97"/>
  <c r="D58" s="1"/>
  <c r="D56" s="1"/>
  <c r="M54" s="1"/>
  <c r="N57" s="1"/>
  <c r="P57" s="1"/>
  <c r="G52" i="33"/>
  <c r="H52" s="1"/>
  <c r="AA7"/>
  <c r="R48" s="1"/>
  <c r="U7"/>
  <c r="AC7"/>
  <c r="V48" s="1"/>
  <c r="I48" s="1"/>
  <c r="N58" i="80" l="1"/>
  <c r="N59"/>
  <c r="N60" s="1"/>
  <c r="I52" i="33"/>
  <c r="J52" s="1"/>
  <c r="R49"/>
  <c r="E48"/>
  <c r="G53"/>
  <c r="H53" s="1"/>
  <c r="N61" i="80" l="1"/>
  <c r="H112" s="1"/>
  <c r="H111"/>
  <c r="D126" s="1"/>
  <c r="D127" s="1"/>
  <c r="E53" i="33"/>
  <c r="F53" s="1"/>
  <c r="E52"/>
  <c r="F52" s="1"/>
  <c r="I53"/>
  <c r="J53" s="1"/>
  <c r="C48"/>
  <c r="C49"/>
  <c r="B2" s="1"/>
  <c r="B3" s="1"/>
  <c r="J7" i="39"/>
  <c r="AC7" s="1"/>
  <c r="V47" s="1"/>
  <c r="I47" s="1"/>
  <c r="F7"/>
  <c r="S7" s="1"/>
  <c r="H7"/>
  <c r="AB7" s="1"/>
  <c r="T47" s="1"/>
  <c r="G47" s="1"/>
  <c r="G52" l="1"/>
  <c r="H52" s="1"/>
  <c r="G51"/>
  <c r="H51" s="1"/>
  <c r="I51"/>
  <c r="J51" s="1"/>
  <c r="W7"/>
  <c r="U7"/>
  <c r="AA7"/>
  <c r="R47" s="1"/>
  <c r="R48" l="1"/>
  <c r="E47"/>
  <c r="C48" l="1"/>
  <c r="C47"/>
  <c r="E51"/>
  <c r="F51" s="1"/>
  <c r="E52"/>
  <c r="F52" s="1"/>
  <c r="I52"/>
  <c r="J52" s="1"/>
  <c r="B61" l="1"/>
  <c r="F61" s="1"/>
  <c r="B60"/>
  <c r="F60" s="1"/>
  <c r="B56"/>
  <c r="F56" s="1"/>
  <c r="B58"/>
  <c r="F58" s="1"/>
  <c r="B59"/>
  <c r="F59" s="1"/>
  <c r="B64"/>
  <c r="F64" s="1"/>
  <c r="B65"/>
  <c r="F65" s="1"/>
  <c r="B57"/>
  <c r="F57" s="1"/>
  <c r="B63"/>
  <c r="F63" s="1"/>
  <c r="B62"/>
  <c r="F62" s="1"/>
  <c r="F66" l="1"/>
  <c r="B2" s="1"/>
  <c r="B3" s="1"/>
  <c r="D35" i="9"/>
  <c r="C35" l="1"/>
  <c r="C34" l="1"/>
  <c r="D59" l="1"/>
  <c r="M55" s="1"/>
  <c r="I118" l="1"/>
  <c r="C105" l="1"/>
  <c r="I4" i="52"/>
  <c r="H102" i="9"/>
  <c r="D7" i="53" s="1"/>
  <c r="C104" i="9" l="1"/>
  <c r="D14" i="74"/>
  <c r="H101" i="9"/>
  <c r="H119"/>
  <c r="H5" i="52" s="1"/>
  <c r="H4"/>
  <c r="B21" i="72"/>
  <c r="M48" i="9" l="1"/>
  <c r="H107"/>
  <c r="D45"/>
  <c r="D5" i="53"/>
  <c r="E14" i="74"/>
  <c r="F14"/>
  <c r="B5"/>
  <c r="C5" l="1"/>
  <c r="D5"/>
  <c r="D53" i="9"/>
  <c r="D52"/>
  <c r="C85"/>
  <c r="D55"/>
  <c r="M53" s="1"/>
  <c r="C93"/>
  <c r="C86" s="1"/>
  <c r="J84" s="1"/>
  <c r="C78"/>
  <c r="C73" s="1"/>
  <c r="C72"/>
  <c r="C64"/>
  <c r="C63" s="1"/>
  <c r="C67" s="1"/>
  <c r="C68" s="1"/>
  <c r="D54" s="1"/>
  <c r="B20" i="72"/>
  <c r="D6" i="53"/>
  <c r="B22" i="72" s="1"/>
  <c r="M49" i="9"/>
  <c r="H108"/>
  <c r="D15" i="53" s="1"/>
  <c r="B31" i="72" s="1"/>
  <c r="D122" i="9"/>
  <c r="D13" i="53"/>
  <c r="C79" i="9" l="1"/>
  <c r="C80" s="1"/>
  <c r="E80" s="1"/>
  <c r="E81" s="1"/>
  <c r="B30" i="72"/>
  <c r="D14" i="53"/>
  <c r="B32" i="72" s="1"/>
  <c r="D123" i="9"/>
  <c r="D9" i="52" s="1"/>
  <c r="G14" i="74"/>
  <c r="B6" s="1"/>
  <c r="D8" i="52"/>
  <c r="L68" i="9"/>
  <c r="M68" s="1"/>
  <c r="L64"/>
  <c r="M64" s="1"/>
  <c r="L66"/>
  <c r="M66" s="1"/>
  <c r="L65"/>
  <c r="M65" s="1"/>
  <c r="L67"/>
  <c r="M67" s="1"/>
  <c r="L63"/>
  <c r="M63" s="1"/>
  <c r="J86"/>
  <c r="J85"/>
  <c r="C95"/>
  <c r="C96" s="1"/>
  <c r="E96" s="1"/>
  <c r="E97" s="1"/>
  <c r="C81" l="1"/>
  <c r="C97"/>
  <c r="D58" s="1"/>
  <c r="D56" s="1"/>
  <c r="M54" s="1"/>
  <c r="N57" s="1"/>
  <c r="P57" s="1"/>
  <c r="M69"/>
  <c r="N69" s="1"/>
  <c r="C6" i="74"/>
  <c r="D6"/>
  <c r="N59" i="9" l="1"/>
  <c r="N61" s="1"/>
  <c r="H112" s="1"/>
  <c r="D21" i="53" s="1"/>
  <c r="N58" i="9"/>
  <c r="H111"/>
  <c r="N60" l="1"/>
  <c r="B39" i="72"/>
  <c r="D126" i="9"/>
  <c r="D19" i="53"/>
  <c r="I14" i="74" l="1"/>
  <c r="B8" s="1"/>
  <c r="D12" i="52"/>
  <c r="D127" i="9"/>
  <c r="D13" i="52" s="1"/>
  <c r="D20" i="53"/>
  <c r="B38" i="72"/>
  <c r="B40" l="1"/>
  <c r="C8" i="74"/>
  <c r="D8"/>
  <c r="F118" i="9" l="1"/>
  <c r="F119" s="1"/>
  <c r="F5" i="52" s="1"/>
  <c r="B53" i="72" s="1"/>
  <c r="D118" i="9"/>
  <c r="F4" i="52" l="1"/>
  <c r="B51" i="72" s="1"/>
  <c r="G118" i="9"/>
  <c r="D4" i="52"/>
  <c r="B47" i="72" s="1"/>
  <c r="D119" i="9"/>
  <c r="D5" i="52" s="1"/>
  <c r="B49" i="72" s="1"/>
  <c r="E118" i="9" l="1"/>
  <c r="E4" i="52" s="1"/>
  <c r="B48" i="72" s="1"/>
  <c r="G4" i="52"/>
  <c r="B52" i="72" s="1"/>
  <c r="M5" i="79" l="1"/>
  <c r="M6" s="1"/>
  <c r="K5"/>
  <c r="K6" s="1"/>
  <c r="L5" l="1"/>
  <c r="L6" s="1"/>
  <c r="N5"/>
  <c r="G36" i="77" l="1"/>
  <c r="G39" s="1"/>
  <c r="N4" i="79" l="1"/>
  <c r="N6" s="1"/>
  <c r="P18"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<sst xmlns="http://schemas.openxmlformats.org/spreadsheetml/2006/main" count="9149" uniqueCount="3417">
  <si>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</si>
  <si>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</si>
  <si>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</si>
  <si>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</si>
  <si>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</si>
  <si>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</si>
  <si>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</si>
  <si>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</si>
  <si>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</si>
  <si>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</si>
  <si>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</si>
  <si>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</si>
  <si>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</si>
  <si>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</si>
  <si>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</si>
  <si>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</si>
  <si>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</si>
  <si>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</si>
  <si>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</si>
  <si>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</si>
  <si>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</si>
  <si>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</si>
  <si>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</si>
  <si>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</si>
  <si>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</si>
  <si>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</si>
  <si>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</si>
  <si>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</si>
  <si>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</si>
  <si>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</si>
  <si>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</si>
  <si>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</si>
  <si>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</si>
  <si>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</si>
  <si>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</si>
  <si>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</si>
  <si>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</si>
  <si>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</si>
  <si>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</si>
  <si>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</si>
  <si>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</si>
  <si>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</si>
  <si>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</si>
  <si>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</si>
  <si>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</si>
  <si>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</si>
  <si>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</si>
  <si>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</si>
  <si>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</si>
  <si>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</si>
  <si>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</si>
  <si>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</si>
  <si>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</si>
  <si>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</si>
  <si>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</si>
  <si>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</si>
  <si>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</si>
  <si>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</si>
  <si>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</si>
  <si>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</si>
  <si>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</si>
  <si>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</si>
  <si>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</si>
  <si>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</si>
  <si>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</si>
  <si>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</si>
  <si>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</si>
  <si>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</si>
  <si>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</si>
  <si>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</si>
  <si>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</si>
  <si>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</si>
  <si>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</si>
  <si>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</si>
  <si>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</si>
  <si>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</si>
  <si>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</si>
  <si>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</si>
  <si>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</si>
  <si>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</si>
  <si>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</si>
  <si>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</si>
  <si>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</si>
  <si>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</si>
  <si>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</si>
  <si>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</si>
  <si>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</si>
  <si>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</si>
  <si>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</si>
  <si>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</si>
  <si>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</si>
  <si>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</si>
  <si>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</si>
  <si>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</si>
  <si>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</si>
  <si>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</si>
  <si>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</si>
  <si>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</si>
  <si>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</si>
  <si>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</si>
  <si>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</si>
  <si>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</si>
  <si>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</si>
  <si>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</si>
  <si>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</si>
  <si>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</si>
  <si>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</si>
  <si>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</si>
  <si>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</si>
  <si>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</si>
  <si>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</si>
  <si>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</si>
  <si>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</si>
  <si>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</si>
  <si>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</si>
  <si>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</si>
  <si>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</si>
  <si>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</si>
  <si>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</si>
  <si>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</si>
  <si>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</si>
  <si>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</si>
  <si>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</si>
  <si>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</si>
  <si>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</si>
  <si>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</si>
  <si>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</si>
  <si>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</si>
  <si>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</si>
  <si>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</si>
  <si>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</si>
  <si>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</si>
  <si>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</si>
  <si>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</si>
  <si>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</si>
  <si>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</si>
  <si>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</si>
  <si>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</si>
  <si>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</si>
  <si>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</si>
  <si>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</si>
  <si>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</si>
  <si>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</si>
  <si>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</si>
  <si>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</si>
  <si>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</si>
  <si>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</si>
  <si>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</si>
  <si>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</si>
  <si>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</si>
  <si>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</si>
  <si>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</si>
  <si>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</si>
  <si>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</si>
  <si>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</si>
  <si>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</si>
  <si>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</si>
  <si>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</si>
  <si>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</si>
  <si>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</si>
  <si>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</si>
  <si>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</si>
  <si>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</si>
  <si>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</si>
  <si>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</si>
  <si>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</si>
  <si>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</si>
  <si>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</si>
  <si>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</si>
  <si>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</si>
  <si>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</si>
  <si>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</si>
  <si>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</si>
  <si>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</si>
  <si>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</si>
  <si>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</si>
  <si>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</si>
  <si>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</si>
  <si>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</si>
  <si>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</si>
  <si>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</si>
  <si>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</si>
  <si>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</si>
  <si>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</si>
  <si>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</si>
  <si>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</si>
  <si>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</si>
  <si>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</si>
  <si>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</si>
  <si>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</si>
  <si>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</si>
  <si>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</si>
  <si>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</si>
  <si>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</si>
  <si>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</si>
  <si>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</si>
  <si>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</si>
  <si>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</si>
  <si>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</si>
  <si>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</si>
  <si>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</si>
  <si>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</si>
  <si>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</si>
  <si>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</si>
  <si>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</si>
  <si>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</si>
  <si>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</si>
  <si>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</si>
  <si>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</si>
  <si>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</si>
  <si>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</si>
  <si>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</si>
  <si>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</si>
  <si>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</si>
  <si>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</si>
  <si>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</si>
  <si>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</si>
  <si>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</si>
  <si>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</si>
  <si>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</si>
  <si>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</si>
  <si>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</si>
  <si>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</si>
  <si>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</si>
  <si>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</si>
  <si>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</si>
  <si>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</si>
  <si>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</si>
  <si>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</si>
  <si>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</si>
  <si>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</si>
  <si>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</si>
  <si>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</si>
  <si>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</si>
  <si>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</si>
  <si>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</si>
  <si>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</si>
  <si>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</si>
  <si>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</si>
  <si>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</si>
  <si>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</si>
  <si>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</si>
  <si>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</si>
  <si>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</si>
  <si>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</si>
  <si>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</si>
  <si>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</si>
  <si>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</si>
  <si>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</si>
  <si>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</si>
  <si>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</si>
  <si>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</si>
  <si>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</si>
  <si>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</si>
  <si>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</si>
  <si>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</si>
  <si>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</si>
  <si>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</si>
  <si>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</si>
  <si>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</si>
  <si>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</si>
  <si>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</si>
  <si>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</si>
  <si>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</si>
  <si>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</si>
  <si>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</si>
  <si>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</si>
  <si>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</si>
  <si>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</si>
  <si>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</si>
  <si>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</si>
  <si>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</si>
  <si>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</si>
  <si>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</si>
  <si>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</si>
  <si>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</si>
  <si>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</si>
  <si>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</si>
  <si>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</si>
  <si>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</si>
  <si>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</si>
  <si>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</si>
  <si>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</si>
  <si>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</si>
  <si>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</si>
  <si>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</si>
  <si>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</si>
  <si>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</si>
  <si>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</si>
  <si>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</si>
  <si>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</si>
  <si>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</si>
  <si>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</si>
  <si>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</si>
  <si>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</si>
  <si>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</si>
  <si>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</si>
  <si>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</si>
  <si>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</si>
  <si>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</si>
  <si>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</si>
  <si>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</si>
  <si>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</si>
  <si>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</si>
  <si>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</si>
  <si>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</si>
  <si>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</si>
  <si>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</si>
  <si>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</si>
  <si>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</si>
  <si>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</si>
  <si>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</si>
  <si>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</si>
  <si>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</si>
  <si>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</si>
  <si>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</si>
  <si>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</si>
  <si>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</si>
  <si>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</si>
  <si>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</si>
  <si>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</si>
  <si>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</si>
  <si>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</si>
  <si>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</si>
  <si>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</si>
  <si>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</si>
  <si>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</si>
  <si>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</si>
  <si>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</si>
  <si>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</si>
  <si>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</si>
  <si>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</si>
  <si>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</si>
  <si>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</si>
  <si>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</si>
  <si>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</si>
  <si>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</si>
  <si>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</si>
  <si>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</si>
  <si>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</si>
  <si>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</si>
  <si>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</si>
  <si>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</si>
  <si>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</si>
  <si>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</si>
  <si>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</si>
  <si>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</si>
  <si>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</si>
  <si>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</si>
  <si>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</si>
  <si>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</si>
  <si>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</si>
  <si>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</si>
  <si>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</si>
  <si>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</si>
  <si>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</si>
  <si>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</si>
  <si>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</si>
  <si>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</si>
  <si>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</si>
  <si>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</si>
  <si>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</si>
  <si>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</si>
  <si>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</si>
  <si>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</si>
  <si>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</si>
  <si>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</si>
  <si>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</si>
  <si>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</si>
  <si>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</si>
  <si>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</si>
  <si>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</si>
  <si>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</si>
  <si>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</si>
  <si>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</si>
  <si>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</si>
  <si>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</si>
  <si>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</si>
  <si>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</si>
  <si>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</si>
  <si>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</si>
  <si>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</si>
  <si>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</si>
  <si>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</si>
  <si>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</si>
  <si>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</si>
  <si>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</si>
  <si>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</si>
  <si>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</si>
  <si>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</si>
  <si>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</si>
  <si>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</si>
  <si>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</si>
  <si>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</si>
  <si>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</si>
  <si>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</si>
  <si>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</si>
  <si>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</si>
  <si>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</si>
  <si>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</si>
  <si>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</si>
  <si>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</si>
  <si>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</si>
  <si>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</si>
  <si>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</si>
  <si>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</si>
  <si>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</si>
  <si>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</si>
  <si>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</si>
  <si>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</si>
  <si>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</si>
  <si>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</si>
  <si>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</si>
  <si>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</si>
  <si>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</si>
  <si>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</si>
  <si>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</si>
  <si>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</si>
  <si>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</si>
  <si>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</si>
  <si>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</si>
  <si>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</si>
  <si>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</si>
  <si>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</si>
  <si>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</si>
  <si>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</si>
  <si>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</si>
  <si>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</si>
  <si>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</si>
  <si>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</si>
  <si>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</si>
  <si>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</si>
  <si>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</si>
  <si>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</si>
  <si>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</si>
  <si>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</si>
  <si>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</si>
  <si>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</si>
  <si>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</si>
  <si>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</si>
  <si>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</si>
  <si>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</si>
  <si>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</si>
  <si>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</si>
  <si>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</si>
  <si>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</si>
  <si>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</si>
  <si>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</si>
  <si>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</si>
  <si>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</si>
  <si>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</si>
  <si>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</si>
  <si>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</si>
  <si>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</si>
  <si>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</si>
  <si>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</si>
  <si>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</si>
  <si>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</si>
  <si>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</si>
  <si>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</si>
  <si>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</si>
  <si>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</si>
  <si>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</si>
  <si>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</si>
  <si>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</si>
  <si>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</si>
  <si>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</si>
  <si>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</si>
  <si>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</si>
  <si>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</si>
  <si>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</si>
  <si>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</si>
  <si>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</si>
  <si>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</si>
  <si>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</si>
  <si>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</si>
  <si>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</si>
  <si>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</si>
  <si>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</si>
  <si>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</si>
  <si>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</si>
  <si>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</si>
  <si>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</si>
  <si>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</si>
  <si>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</si>
  <si>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</si>
  <si>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</si>
  <si>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</si>
  <si>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</si>
  <si>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</si>
  <si>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</si>
  <si>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</si>
  <si>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</si>
  <si>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</si>
  <si>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</si>
  <si>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</si>
  <si>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</si>
  <si>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</si>
  <si>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</si>
  <si>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</si>
  <si>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</si>
  <si>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</si>
  <si>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</si>
  <si>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</si>
  <si>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</si>
  <si>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</si>
  <si>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</si>
  <si>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</si>
  <si>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</si>
  <si>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</si>
  <si>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</si>
  <si>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</si>
  <si>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</si>
  <si>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</si>
  <si>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</si>
  <si>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</si>
  <si>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</si>
  <si>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</si>
  <si>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</si>
  <si>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</si>
  <si>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</si>
  <si>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</si>
  <si>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</si>
  <si>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</si>
  <si>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</si>
  <si>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</si>
  <si>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</si>
  <si>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</si>
  <si>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</si>
  <si>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</si>
  <si>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</si>
  <si>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</si>
  <si>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</si>
  <si>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</si>
  <si>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</si>
  <si>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</si>
  <si>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</si>
  <si>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</si>
  <si>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</si>
  <si>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</si>
  <si>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</si>
  <si>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</si>
  <si>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</si>
  <si>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</si>
  <si>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</si>
  <si>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</si>
  <si>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</si>
  <si>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</si>
  <si>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</si>
  <si>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</si>
  <si>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</si>
  <si>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</si>
  <si>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</si>
  <si>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</si>
  <si>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</si>
  <si>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</si>
  <si>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</si>
  <si>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</si>
  <si>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</si>
  <si>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</si>
  <si>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</si>
  <si>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</si>
  <si>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</si>
  <si>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</si>
  <si>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</si>
  <si>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</si>
  <si>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</si>
  <si>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</si>
  <si>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</si>
  <si>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</si>
  <si>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</si>
  <si>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</si>
  <si>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</si>
  <si>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</si>
  <si>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</si>
  <si>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</si>
  <si>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</si>
  <si>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</si>
  <si>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</si>
  <si>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</si>
  <si>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</si>
  <si>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</si>
  <si>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</si>
  <si>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</si>
  <si>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</si>
  <si>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</si>
  <si>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</si>
  <si>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</si>
  <si>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</si>
  <si>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</si>
  <si>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</si>
  <si>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</si>
  <si>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</si>
  <si>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</si>
  <si>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</si>
  <si>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</si>
  <si>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</si>
  <si>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</si>
  <si>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</si>
  <si>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</si>
  <si>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</si>
  <si>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</si>
  <si>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</si>
  <si>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</si>
  <si>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</si>
  <si>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</si>
  <si>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</si>
  <si>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</si>
  <si>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</si>
  <si>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</si>
  <si>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</si>
  <si>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</si>
  <si>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</si>
  <si>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</si>
  <si>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</si>
  <si>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</si>
  <si>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</si>
  <si>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</si>
  <si>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</si>
  <si>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</si>
  <si>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</si>
  <si>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</si>
  <si>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</si>
  <si>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</si>
  <si>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</si>
  <si>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</si>
  <si>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</si>
  <si>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</si>
  <si>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</si>
  <si>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</si>
  <si>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</si>
  <si>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</si>
  <si>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</si>
  <si>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</si>
  <si>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</si>
  <si>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</si>
  <si>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</si>
  <si>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</si>
  <si>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</si>
  <si>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</si>
  <si>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</si>
  <si>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</si>
  <si>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</si>
  <si>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</si>
  <si>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</si>
  <si>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</si>
  <si>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</si>
  <si>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</si>
  <si>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</si>
  <si>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</si>
  <si>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</si>
  <si>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</si>
  <si>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</si>
  <si>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</si>
  <si>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</si>
  <si>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</si>
  <si>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</si>
  <si>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</si>
  <si>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</si>
  <si>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</si>
  <si>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</si>
  <si>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</si>
  <si>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</si>
  <si>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</si>
  <si>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</si>
  <si>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</si>
  <si>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</si>
  <si>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</si>
  <si>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</si>
  <si>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</si>
  <si>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</si>
  <si>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</si>
  <si>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</si>
  <si>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</si>
  <si>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</si>
  <si>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</si>
  <si>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</si>
  <si>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</si>
  <si>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</si>
  <si>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</si>
  <si>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</si>
  <si>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</si>
  <si>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</si>
  <si>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</si>
  <si>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</si>
  <si>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</si>
  <si>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</si>
  <si>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</si>
  <si>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</si>
  <si>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</si>
  <si>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</si>
  <si>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</si>
  <si>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</si>
  <si>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</si>
  <si>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</si>
  <si>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</si>
  <si>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</si>
  <si>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</si>
  <si>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</si>
  <si>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</si>
  <si>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</si>
  <si>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</si>
  <si>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</si>
  <si>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</si>
  <si>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</si>
  <si>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</si>
  <si>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</si>
  <si>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</si>
  <si>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</si>
  <si>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</si>
  <si>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</si>
  <si>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</si>
  <si>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</si>
  <si>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</si>
  <si>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</si>
  <si>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</si>
  <si>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</si>
  <si>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</si>
  <si>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</si>
  <si>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</si>
  <si>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</si>
  <si>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</si>
  <si>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</si>
  <si>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</si>
  <si>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</si>
  <si>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</si>
  <si>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</si>
  <si>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</si>
  <si>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</si>
  <si>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</si>
  <si>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</si>
  <si>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</si>
  <si>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</si>
  <si>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</si>
  <si>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</si>
  <si>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</si>
  <si>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</si>
  <si>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</si>
  <si>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</si>
  <si>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</si>
  <si>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</si>
  <si>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</si>
  <si>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</si>
  <si>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</si>
  <si>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</si>
  <si>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</si>
  <si>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</si>
  <si>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</si>
  <si>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</si>
  <si>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</si>
  <si>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</si>
  <si>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</si>
  <si>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</si>
  <si>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</si>
  <si>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</si>
  <si>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</si>
  <si>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</si>
  <si>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</si>
  <si>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</si>
  <si>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</si>
  <si>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</si>
  <si>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</si>
  <si>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</si>
  <si>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</si>
  <si>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</si>
  <si>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</si>
  <si>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</si>
  <si>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</si>
  <si>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</si>
  <si>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</si>
  <si>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</si>
  <si>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</si>
  <si>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</si>
  <si>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</si>
  <si>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</si>
  <si>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</si>
  <si>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</si>
  <si>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</si>
  <si>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</si>
  <si>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</si>
  <si>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</si>
  <si>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</si>
  <si>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</si>
  <si>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</si>
  <si>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</si>
  <si>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</si>
  <si>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</si>
  <si>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</si>
  <si>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</si>
  <si>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</si>
  <si>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</si>
  <si>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</si>
  <si>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</si>
  <si>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</si>
  <si>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</si>
  <si>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</si>
  <si>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</si>
  <si>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</si>
  <si>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</si>
  <si>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</si>
  <si>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</si>
  <si>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</si>
  <si>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</si>
  <si>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</si>
  <si>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</si>
  <si>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</si>
  <si>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</si>
  <si>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</si>
  <si>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</si>
  <si>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</si>
  <si>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</si>
  <si>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</si>
  <si>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</si>
  <si>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</si>
  <si>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</si>
  <si>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</si>
  <si>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</si>
  <si>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</si>
  <si>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</si>
  <si>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</si>
  <si>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</si>
  <si>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</si>
  <si>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</si>
  <si>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</si>
  <si>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</si>
  <si>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</si>
  <si>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</si>
  <si>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</si>
  <si>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</si>
  <si>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</si>
  <si>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</si>
  <si>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</si>
  <si>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</si>
  <si>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</si>
  <si>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</si>
  <si>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</si>
  <si>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</si>
  <si>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</si>
  <si>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</si>
  <si>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</si>
  <si>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</si>
  <si>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</si>
  <si>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</si>
  <si>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</si>
  <si>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</si>
  <si>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</si>
  <si>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</si>
  <si>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</si>
  <si>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</si>
  <si>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</si>
  <si>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</si>
  <si>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</si>
  <si>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</si>
  <si>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</si>
  <si>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</si>
  <si>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</si>
  <si>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</si>
  <si>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</si>
  <si>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</si>
  <si>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</si>
  <si>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</si>
  <si>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</si>
  <si>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</si>
  <si>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</si>
  <si>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</si>
  <si>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</si>
  <si>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</si>
  <si>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</si>
  <si>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</si>
  <si>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</si>
  <si>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</si>
  <si>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</si>
  <si>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</si>
  <si>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</si>
  <si>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</si>
  <si>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</si>
  <si>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</si>
  <si>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</si>
  <si>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</si>
  <si>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</si>
  <si>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</si>
  <si>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</si>
  <si>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</si>
  <si>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</si>
  <si>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</si>
  <si>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</si>
  <si>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</si>
  <si>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</si>
  <si>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</si>
  <si>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</si>
  <si>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</si>
  <si>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</si>
  <si>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</si>
  <si>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</si>
  <si>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</si>
  <si>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</si>
  <si>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</si>
  <si>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</si>
  <si>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</si>
  <si>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</si>
  <si>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</si>
  <si>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</si>
  <si>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</si>
  <si>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</si>
  <si>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</si>
  <si>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</si>
  <si>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</si>
  <si>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</si>
  <si>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</si>
  <si>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</si>
  <si>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</si>
  <si>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</si>
  <si>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</si>
  <si>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</si>
  <si>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</si>
  <si>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</si>
  <si>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</si>
  <si>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</si>
  <si>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</si>
  <si>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</si>
  <si>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</si>
  <si>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</si>
  <si>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</si>
  <si>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</si>
  <si>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</si>
  <si>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</si>
  <si>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</si>
  <si>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</si>
  <si>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</si>
  <si>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</si>
  <si>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</si>
  <si>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</si>
  <si>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</si>
  <si>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</si>
  <si>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</si>
  <si>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</si>
  <si>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</si>
  <si>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</si>
  <si>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</si>
  <si>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</si>
  <si>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</si>
  <si>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</si>
  <si>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</si>
  <si>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</si>
  <si>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</si>
  <si>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</si>
  <si>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</si>
  <si>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</si>
  <si>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</si>
  <si>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</si>
  <si>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</si>
  <si>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</si>
  <si>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</si>
  <si>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</si>
  <si>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</si>
  <si>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</si>
  <si>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</si>
  <si>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</si>
  <si>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</si>
  <si>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</si>
  <si>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</si>
  <si>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</si>
  <si>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</si>
  <si>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</si>
  <si>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</si>
  <si>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</si>
  <si>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</si>
  <si>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</si>
  <si>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</si>
  <si>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</si>
  <si>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</si>
  <si>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</si>
  <si>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</si>
  <si>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</si>
  <si>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</si>
  <si>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</si>
  <si>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</si>
  <si>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</si>
  <si>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</si>
  <si>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</si>
  <si>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</si>
  <si>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</si>
  <si>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</si>
  <si>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</si>
  <si>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</si>
  <si>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</si>
  <si>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</si>
  <si>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</si>
  <si>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</si>
  <si>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</si>
  <si>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</si>
  <si>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</si>
  <si>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</si>
  <si>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</si>
  <si>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</si>
  <si>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</si>
  <si>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</si>
  <si>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</si>
  <si>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</si>
  <si>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</si>
  <si>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</si>
  <si>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</si>
  <si>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</si>
  <si>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</si>
  <si>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</si>
  <si>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</si>
  <si>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</si>
  <si>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</si>
  <si>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</si>
  <si>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</si>
  <si>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</si>
  <si>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</si>
  <si>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</si>
  <si>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</si>
  <si>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</si>
  <si>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</si>
  <si>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</si>
  <si>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</si>
  <si>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</si>
  <si>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</si>
  <si>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</si>
  <si>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</si>
  <si>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</si>
  <si>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</si>
  <si>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</si>
  <si>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</si>
  <si>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</si>
  <si>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</si>
  <si>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</si>
  <si>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</si>
  <si>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</si>
  <si>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</si>
  <si>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</si>
  <si>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</si>
  <si>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</si>
  <si>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</si>
  <si>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</si>
  <si>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</si>
  <si>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</si>
  <si>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</si>
  <si>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</si>
  <si>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</si>
  <si>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</si>
  <si>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</si>
  <si>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</si>
  <si>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</si>
  <si>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</si>
  <si>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</si>
  <si>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</si>
  <si>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</si>
  <si>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</si>
  <si>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</si>
  <si>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</si>
  <si>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</si>
  <si>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</si>
  <si>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</si>
  <si>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</si>
  <si>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</si>
  <si>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</si>
  <si>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</si>
  <si>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</si>
  <si>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</si>
  <si>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</si>
  <si>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</si>
  <si>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</si>
  <si>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</si>
  <si>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</si>
  <si>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</si>
  <si>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</si>
  <si>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</si>
  <si>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</si>
  <si>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</si>
  <si>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</si>
  <si>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</si>
  <si>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</si>
  <si>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</si>
  <si>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</si>
  <si>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</si>
  <si>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</si>
  <si>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</si>
  <si>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</si>
  <si>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</si>
  <si>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</si>
  <si>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</si>
  <si>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</si>
  <si>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</si>
  <si>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</si>
  <si>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</si>
  <si>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</si>
  <si>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</si>
  <si>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</si>
  <si>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</si>
  <si>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</si>
  <si>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</si>
  <si>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</si>
  <si>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</si>
  <si>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</si>
  <si>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</si>
  <si>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</si>
  <si>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</si>
  <si>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</si>
  <si>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</si>
  <si>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</si>
  <si>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</si>
  <si>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</si>
  <si>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</si>
  <si>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</si>
  <si>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</si>
  <si>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</si>
  <si>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</si>
  <si>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</si>
  <si>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</si>
  <si>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</si>
  <si>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</si>
  <si>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</si>
  <si>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</si>
  <si>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</si>
  <si>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</si>
  <si>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</si>
  <si>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</si>
  <si>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</si>
  <si>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</si>
  <si>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</si>
  <si>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</si>
  <si>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</si>
  <si>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</si>
  <si>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</si>
  <si>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</si>
  <si>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</si>
  <si>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</si>
  <si>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</si>
  <si>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</si>
  <si>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</si>
  <si>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</si>
  <si>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</si>
  <si>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</si>
  <si>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</si>
  <si>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</si>
  <si>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</si>
  <si>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</si>
  <si>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</si>
  <si>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</si>
  <si>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</si>
  <si>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</si>
  <si>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</si>
  <si>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</si>
  <si>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</si>
  <si>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</si>
  <si>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</si>
  <si>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</si>
  <si>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</si>
  <si>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</si>
  <si>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</si>
  <si>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</si>
  <si>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</si>
  <si>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</si>
  <si>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</si>
  <si>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</si>
  <si>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</si>
  <si>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</si>
  <si>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</si>
  <si>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</si>
  <si>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</si>
  <si>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</si>
  <si>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</si>
  <si>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</si>
  <si>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</si>
  <si>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</si>
  <si>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</si>
  <si>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</si>
  <si>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</si>
  <si>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</si>
  <si>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</si>
  <si>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</si>
  <si>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</si>
  <si>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</si>
  <si>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</si>
  <si>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</si>
  <si>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</si>
  <si>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</si>
  <si>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</si>
  <si>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</si>
  <si>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</si>
  <si>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</si>
  <si>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</si>
  <si>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</si>
  <si>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</si>
  <si>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</si>
  <si>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</si>
  <si>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</si>
  <si>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</si>
  <si>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</si>
  <si>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</si>
  <si>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</si>
  <si>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</si>
  <si>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</si>
  <si>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</si>
  <si>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</si>
  <si>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</si>
  <si>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</si>
  <si>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</si>
  <si>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</si>
  <si>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</si>
  <si>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</si>
  <si>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</si>
  <si>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</si>
  <si>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</si>
  <si>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</si>
  <si>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</si>
  <si>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</si>
  <si>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</si>
  <si>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</si>
  <si>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</si>
  <si>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</si>
  <si>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</si>
  <si>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</si>
  <si>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</si>
  <si>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</si>
  <si>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</si>
  <si>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</si>
  <si>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</si>
  <si>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</si>
  <si>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</si>
  <si>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</si>
  <si>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</si>
  <si>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</si>
  <si>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</si>
  <si>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</si>
  <si>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</si>
  <si>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</si>
  <si>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</si>
  <si>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</si>
  <si>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</si>
  <si>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</si>
  <si>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</si>
  <si>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</si>
  <si>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</si>
  <si>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</si>
  <si>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</si>
  <si>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</si>
  <si>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</si>
  <si>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</si>
  <si>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</si>
  <si>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</si>
  <si>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</si>
  <si>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</si>
  <si>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</si>
  <si>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</si>
  <si>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</si>
  <si>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</si>
  <si>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</si>
  <si>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</si>
  <si>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</si>
  <si>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</si>
  <si>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</si>
  <si>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</si>
  <si>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</si>
  <si>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</si>
  <si>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</si>
  <si>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</si>
  <si>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</si>
  <si>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</si>
  <si>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</si>
  <si>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</si>
  <si>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</si>
  <si>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</si>
  <si>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</si>
  <si>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</si>
  <si>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</si>
  <si>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</si>
  <si>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</si>
  <si>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</si>
  <si>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</si>
  <si>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</si>
  <si>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</si>
  <si>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</si>
  <si>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</si>
  <si>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</si>
  <si>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</si>
  <si>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</si>
  <si>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</si>
  <si>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</si>
  <si>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</si>
  <si>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</si>
  <si>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</si>
  <si>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</si>
  <si>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</si>
  <si>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</si>
  <si>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</si>
  <si>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</si>
  <si>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</si>
  <si>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</si>
  <si>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</si>
  <si>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</si>
  <si>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</si>
  <si>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</si>
  <si>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</si>
  <si>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</si>
  <si>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</si>
  <si>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</si>
  <si>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</si>
  <si>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</si>
  <si>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</si>
  <si>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</si>
  <si>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</si>
  <si>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</si>
  <si>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</si>
  <si>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</si>
  <si>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</si>
  <si>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</si>
  <si>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</si>
  <si>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</si>
  <si>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</si>
  <si>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</si>
  <si>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</si>
  <si>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</si>
  <si>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</si>
  <si>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</si>
  <si>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</si>
  <si>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</si>
  <si>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</si>
  <si>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</si>
  <si>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</si>
  <si>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</si>
  <si>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</si>
  <si>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</si>
  <si>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</si>
  <si>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</si>
  <si>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</si>
  <si>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</si>
  <si>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</si>
  <si>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</si>
  <si>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</si>
  <si>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</si>
  <si>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</si>
  <si>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</si>
  <si>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</si>
  <si>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</si>
  <si>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</si>
  <si>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</si>
  <si>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</si>
  <si>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</si>
  <si>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</si>
  <si>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</si>
  <si>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</si>
  <si>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</si>
  <si>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</si>
  <si>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</si>
  <si>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</si>
  <si>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</si>
  <si>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</si>
  <si>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</si>
  <si>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</si>
  <si>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</si>
  <si>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</si>
  <si>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</si>
  <si>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</si>
  <si>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</si>
  <si>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</si>
  <si>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</si>
  <si>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</si>
  <si>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</si>
  <si>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</si>
  <si>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</si>
  <si>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</si>
  <si>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</si>
  <si>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</si>
  <si>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</si>
  <si>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</si>
  <si>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</si>
  <si>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</si>
  <si>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</si>
  <si>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</si>
  <si>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</si>
  <si>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</si>
  <si>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</si>
  <si>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</si>
  <si>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</si>
  <si>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</si>
  <si>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</si>
  <si>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</si>
  <si>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</si>
  <si>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</si>
  <si>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</si>
  <si>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</si>
  <si>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</si>
  <si>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</si>
  <si>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</si>
  <si>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</si>
  <si>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</si>
  <si>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</si>
  <si>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</si>
  <si>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</si>
  <si>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</si>
  <si>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</si>
  <si>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</si>
  <si>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</si>
  <si>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</si>
  <si>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</si>
  <si>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</si>
  <si>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</si>
  <si>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</si>
  <si>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</si>
  <si>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</si>
  <si>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</si>
  <si>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</si>
  <si>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</si>
  <si>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</si>
  <si>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</si>
  <si>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</si>
  <si>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</si>
  <si>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</si>
  <si>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</si>
  <si>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</si>
  <si>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</si>
  <si>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</si>
  <si>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</si>
  <si>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</si>
  <si>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</si>
  <si>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</si>
  <si>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</si>
  <si>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</si>
  <si>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</si>
  <si>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</si>
  <si>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</si>
  <si>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</si>
  <si>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</si>
  <si>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</si>
  <si>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</si>
  <si>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</si>
  <si>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</si>
  <si>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</si>
  <si>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</si>
  <si>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</si>
  <si>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</si>
  <si>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</si>
  <si>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</si>
  <si>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</si>
  <si>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</si>
  <si>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</si>
  <si>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</si>
  <si>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</si>
  <si>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</si>
  <si>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</si>
  <si>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</si>
  <si>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</si>
  <si>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</si>
  <si>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</si>
  <si>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</si>
  <si>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</si>
  <si>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</si>
  <si>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</si>
  <si>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</si>
  <si>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</si>
  <si>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</si>
  <si>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</si>
  <si>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</si>
  <si>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</si>
  <si>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</si>
  <si>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</si>
  <si>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</si>
  <si>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</si>
  <si>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</si>
  <si>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</si>
  <si>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</si>
  <si>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</si>
  <si>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</si>
  <si>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</si>
  <si>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</si>
  <si>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</si>
  <si>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</si>
  <si>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</si>
  <si>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</si>
  <si>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</si>
  <si>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</si>
  <si>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</si>
  <si>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</si>
  <si>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</si>
  <si>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</si>
  <si>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</si>
  <si>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</si>
  <si>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</si>
  <si>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</si>
  <si>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</si>
  <si>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</si>
  <si>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</si>
  <si>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</si>
  <si>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</si>
  <si>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</si>
  <si>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</si>
  <si>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</si>
  <si>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</si>
  <si>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</si>
  <si>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</si>
  <si>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</si>
  <si>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</si>
  <si>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</si>
  <si>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</si>
  <si>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</si>
  <si>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</si>
  <si>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</si>
  <si>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</si>
  <si>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</si>
  <si>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</si>
  <si>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</si>
  <si>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</si>
  <si>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</si>
  <si>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</si>
  <si>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</si>
  <si>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</si>
  <si>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</si>
  <si>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</si>
  <si>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</si>
  <si>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</si>
  <si>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</si>
  <si>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</si>
  <si>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</si>
  <si>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</si>
  <si>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</si>
  <si>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</si>
  <si>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</si>
  <si>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</si>
  <si>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</si>
  <si>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</si>
  <si>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</si>
  <si>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</si>
  <si>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</si>
  <si>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</si>
  <si>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</si>
  <si>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</si>
  <si>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</si>
  <si>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</si>
  <si>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</si>
  <si>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</si>
  <si>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</si>
  <si>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</si>
  <si>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</si>
  <si>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</si>
  <si>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</si>
  <si>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</si>
  <si>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</si>
  <si>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</si>
  <si>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</si>
  <si>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</si>
  <si>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</si>
  <si>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</si>
  <si>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</si>
  <si>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</si>
  <si>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</si>
  <si>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</si>
  <si>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</si>
  <si>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</si>
  <si>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</si>
  <si>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</si>
  <si>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</si>
  <si>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</si>
  <si>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</si>
  <si>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</si>
  <si>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</si>
  <si>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</si>
  <si>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</si>
  <si>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</si>
  <si>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</si>
  <si>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</si>
  <si>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</si>
  <si>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</si>
  <si>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</si>
  <si>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</si>
  <si>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</si>
  <si>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</si>
  <si>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</si>
  <si>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</si>
  <si>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</si>
  <si>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</si>
  <si>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</si>
  <si>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</si>
  <si>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</si>
  <si>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</si>
  <si>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</si>
  <si>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</si>
  <si>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</si>
  <si>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</si>
  <si>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</si>
  <si>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</si>
  <si>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</si>
  <si>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</si>
  <si>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</si>
  <si>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</si>
  <si>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</si>
  <si>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</si>
  <si>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</si>
  <si>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</si>
  <si>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</si>
  <si>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</si>
  <si>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</si>
  <si>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</si>
  <si>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</si>
  <si>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</si>
  <si>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</si>
  <si>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</si>
  <si>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</si>
  <si>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</si>
  <si>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</si>
  <si>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</si>
  <si>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</si>
  <si>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</si>
  <si>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</si>
  <si>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</si>
  <si>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</si>
  <si>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</si>
  <si>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</si>
  <si>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</si>
  <si>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</si>
  <si>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</si>
  <si>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</si>
  <si>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</si>
  <si>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</si>
  <si>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</si>
  <si>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</si>
  <si>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</si>
  <si>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</si>
  <si>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</si>
  <si>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</si>
  <si>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</si>
  <si>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</si>
  <si>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</si>
  <si>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</si>
  <si>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</si>
  <si>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</si>
  <si>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</si>
  <si>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</si>
  <si>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</si>
  <si>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</si>
  <si>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</si>
  <si>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</si>
  <si>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</si>
  <si>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</si>
  <si>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</si>
  <si>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</si>
  <si>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</si>
  <si>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</si>
  <si>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</si>
  <si>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</si>
  <si>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</si>
  <si>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</si>
  <si>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</si>
  <si>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</si>
  <si>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</si>
  <si>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</si>
  <si>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</si>
  <si>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</si>
  <si>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</si>
  <si>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</si>
  <si>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</si>
  <si>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</si>
  <si>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</si>
  <si>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</si>
  <si>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</si>
  <si>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</si>
  <si>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</si>
  <si>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</si>
  <si>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</si>
  <si>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</si>
  <si>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</si>
  <si>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</si>
  <si>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</si>
  <si>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</si>
  <si>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</si>
  <si>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</si>
  <si>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</si>
  <si>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</si>
  <si>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</si>
  <si>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</si>
  <si>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</si>
  <si>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</si>
  <si>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</si>
  <si>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</si>
  <si>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</si>
  <si>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</si>
  <si>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</si>
  <si>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</si>
  <si>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</si>
  <si>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</si>
  <si>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</si>
  <si>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</si>
  <si>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</si>
  <si>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</si>
  <si>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</si>
  <si>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</si>
  <si>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</si>
  <si>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</si>
  <si>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</si>
  <si>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</si>
  <si>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</si>
  <si>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</si>
  <si>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</si>
  <si>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</si>
  <si>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</si>
  <si>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</si>
  <si>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</si>
  <si>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</si>
  <si>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</si>
  <si>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</si>
  <si>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</si>
  <si>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</si>
  <si>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</si>
  <si>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</si>
  <si>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</si>
  <si>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</si>
  <si>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</si>
  <si>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</si>
  <si>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</si>
  <si>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</si>
  <si>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</si>
  <si>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</si>
  <si>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</si>
  <si>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</si>
  <si>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</si>
  <si>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</si>
  <si>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</si>
  <si>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</si>
  <si>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</si>
  <si>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</si>
  <si>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</si>
  <si>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</si>
  <si>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</si>
  <si>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</si>
  <si>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</si>
  <si>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</si>
  <si>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</si>
  <si>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</si>
  <si>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</si>
  <si>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</si>
  <si>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</si>
  <si>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</si>
  <si>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</si>
  <si>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</si>
  <si>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</si>
  <si>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</si>
  <si>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</si>
  <si>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</si>
  <si>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</si>
  <si>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</si>
  <si>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</si>
  <si>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</si>
  <si>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</si>
  <si>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</si>
  <si>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</si>
  <si>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</si>
  <si>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</si>
  <si>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</si>
  <si>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</si>
  <si>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</si>
  <si>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</si>
  <si>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</si>
  <si>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</si>
  <si>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</si>
  <si>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</si>
  <si>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</si>
  <si>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</si>
  <si>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</si>
  <si>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</si>
  <si>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</si>
  <si>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</si>
  <si>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</si>
  <si>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</si>
  <si>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</si>
  <si>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</si>
  <si>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</si>
  <si>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</si>
  <si>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</si>
  <si>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</si>
  <si>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</si>
  <si>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</si>
  <si>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</si>
  <si>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</si>
  <si>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</si>
  <si>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</si>
  <si>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</si>
  <si>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</si>
  <si>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</si>
  <si>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</si>
  <si>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</si>
  <si>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</si>
  <si>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</si>
  <si>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</si>
  <si>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</si>
  <si>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</si>
  <si>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</si>
  <si>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</si>
  <si>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</si>
  <si>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</si>
  <si>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</si>
  <si>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</si>
  <si>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</si>
  <si>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</si>
  <si>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</si>
  <si>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</si>
  <si>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</si>
  <si>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</si>
  <si>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</si>
  <si>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</si>
  <si>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</si>
  <si>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</si>
  <si>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</si>
  <si>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</si>
  <si>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</si>
  <si>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</si>
  <si>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</si>
  <si>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</si>
  <si>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</si>
  <si>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</si>
  <si>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</si>
  <si>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</si>
  <si>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</si>
  <si>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</si>
  <si>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</si>
  <si>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</si>
  <si>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</si>
  <si>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</si>
  <si>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</si>
  <si>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</si>
  <si>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</si>
  <si>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</si>
  <si>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</si>
  <si>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</si>
  <si>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</si>
  <si>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</si>
  <si>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</si>
  <si>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</si>
  <si>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</si>
  <si>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</si>
  <si>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</si>
  <si>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</si>
  <si>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</si>
  <si>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</si>
  <si>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</si>
  <si>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</si>
  <si>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</si>
  <si>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</si>
  <si>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</si>
  <si>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</si>
  <si>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</si>
  <si>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</si>
  <si>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</si>
  <si>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</si>
  <si>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</si>
  <si>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</si>
  <si>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</si>
  <si>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</si>
  <si>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</si>
  <si>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</si>
  <si>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</si>
  <si>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</si>
  <si>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</si>
  <si>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</si>
  <si>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</si>
  <si>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</si>
  <si>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</si>
  <si>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</si>
  <si>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</si>
  <si>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</si>
  <si>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</si>
  <si>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</si>
  <si>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</si>
  <si>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</si>
  <si>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</si>
  <si>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</si>
  <si>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</si>
  <si>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</si>
  <si>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</si>
  <si>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</si>
  <si>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</si>
  <si>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</si>
  <si>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</si>
  <si>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</si>
  <si>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</si>
  <si>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</si>
  <si>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</si>
  <si>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</si>
  <si>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</si>
  <si>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</si>
  <si>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</si>
  <si>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</si>
  <si>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</si>
  <si>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</si>
  <si>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</si>
  <si>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</si>
  <si>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</si>
  <si>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</si>
  <si>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</si>
  <si>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</si>
  <si>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</si>
  <si>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</si>
  <si>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</si>
  <si>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</si>
  <si>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</si>
  <si>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</si>
  <si>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</si>
  <si>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</si>
  <si>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</si>
  <si>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</si>
  <si>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</si>
  <si>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</si>
  <si>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</si>
  <si>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</si>
  <si>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</si>
  <si>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</si>
  <si>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</si>
  <si>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</si>
  <si>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</si>
  <si>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</si>
  <si>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</si>
  <si>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</si>
  <si>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</si>
  <si>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</si>
  <si>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</si>
  <si>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</si>
  <si>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</si>
  <si>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</si>
  <si>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</si>
  <si>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</si>
  <si>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</si>
  <si>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</si>
  <si>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</si>
  <si>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</si>
  <si>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</si>
  <si>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</si>
  <si>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</si>
  <si>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</si>
  <si>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</si>
  <si>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</si>
  <si>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</si>
  <si>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</si>
  <si>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</si>
  <si>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</si>
  <si>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</si>
  <si>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</si>
  <si>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</si>
  <si>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</si>
  <si>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</si>
  <si>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</si>
  <si>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</si>
  <si>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</si>
  <si>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</si>
  <si>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</si>
  <si>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</si>
  <si>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</si>
  <si>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</si>
  <si>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</si>
  <si>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</si>
  <si>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</si>
  <si>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</si>
  <si>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</si>
  <si>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</si>
  <si>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</si>
  <si>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</si>
  <si>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</si>
  <si>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</si>
  <si>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</si>
  <si>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</si>
  <si>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</si>
  <si>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</si>
  <si>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</si>
  <si>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</si>
  <si>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</si>
  <si>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</si>
  <si>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</si>
  <si>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</si>
  <si>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</si>
  <si>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</si>
  <si>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</si>
  <si>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</si>
  <si>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</si>
  <si>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</si>
  <si>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</si>
  <si>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</si>
  <si>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</si>
  <si>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</si>
  <si>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</si>
  <si>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</si>
  <si>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</si>
  <si>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</si>
  <si>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</si>
  <si>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</si>
  <si>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</si>
  <si>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</si>
  <si>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</si>
  <si>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</si>
  <si>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</si>
  <si>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</si>
  <si>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</si>
  <si>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</si>
  <si>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</si>
  <si>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</si>
  <si>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</si>
  <si>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</si>
  <si>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</si>
  <si>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</si>
  <si>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</si>
  <si>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</si>
  <si>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</si>
  <si>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</si>
  <si>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</si>
  <si>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</si>
  <si>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</si>
  <si>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</si>
  <si>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</si>
  <si>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</si>
  <si>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</si>
  <si>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</si>
  <si>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</si>
  <si>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</si>
  <si>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</si>
  <si>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</si>
  <si>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</si>
  <si>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</si>
  <si>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</si>
  <si>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</si>
  <si>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</si>
  <si>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</si>
  <si>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</si>
  <si>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</si>
  <si>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</si>
  <si>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</si>
  <si>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</si>
  <si>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</si>
  <si>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</si>
  <si>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</si>
  <si>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</si>
  <si>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</si>
  <si>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</si>
  <si>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</si>
  <si>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</si>
  <si>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</si>
  <si>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</si>
  <si>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</si>
  <si>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</si>
  <si>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</si>
  <si>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</si>
  <si>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</si>
  <si>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</si>
  <si>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</si>
  <si>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</si>
  <si>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</si>
  <si>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</si>
  <si>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</si>
  <si>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</si>
  <si>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</si>
  <si>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</si>
  <si>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</si>
  <si>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</si>
  <si>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</si>
  <si>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</si>
  <si>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</si>
  <si>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</si>
  <si>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</si>
  <si>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</si>
  <si>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</si>
  <si>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</si>
  <si>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</si>
  <si>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</si>
  <si>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</si>
  <si>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</si>
  <si>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</si>
  <si>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</si>
  <si>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</si>
  <si>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</si>
  <si>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</si>
  <si>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</si>
  <si>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</si>
  <si>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</si>
  <si>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</si>
  <si>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</si>
  <si>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</si>
  <si>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</si>
  <si>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</si>
  <si>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</si>
  <si>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</si>
  <si>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</si>
  <si>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</si>
  <si>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</si>
  <si>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</si>
  <si>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</si>
  <si>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</si>
  <si>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</si>
  <si>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</si>
  <si>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</si>
  <si>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</si>
  <si>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</si>
  <si>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</si>
  <si>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</si>
  <si>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</si>
  <si>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</si>
  <si>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</si>
  <si>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</si>
  <si>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</si>
  <si>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</si>
  <si>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</si>
  <si>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</si>
  <si>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</si>
  <si>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</si>
  <si>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</si>
  <si>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</si>
  <si>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</si>
  <si>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</si>
  <si>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</si>
  <si>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</si>
  <si>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</si>
  <si>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</si>
  <si>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</si>
  <si>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</si>
  <si>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</si>
  <si>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</si>
  <si>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</si>
  <si>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</si>
  <si>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</si>
  <si>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</si>
  <si>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</si>
  <si>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</si>
  <si>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</si>
  <si>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</si>
  <si>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</si>
  <si>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</si>
  <si>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</si>
  <si>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</si>
  <si>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</si>
  <si>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</si>
  <si>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</si>
  <si>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</si>
  <si>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</si>
  <si>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</si>
  <si>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</si>
  <si>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</si>
  <si>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</si>
  <si>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</si>
  <si>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</si>
  <si>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</si>
  <si>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</si>
  <si>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</si>
  <si>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</si>
  <si>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</si>
  <si>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</si>
  <si>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</si>
  <si>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</si>
  <si>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</si>
  <si>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</si>
  <si>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</si>
  <si>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</si>
  <si>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</si>
  <si>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</si>
  <si>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</si>
  <si>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</si>
  <si>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</si>
  <si>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</si>
  <si>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</si>
  <si>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</si>
  <si>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</si>
  <si>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</si>
  <si>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</si>
  <si>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</si>
  <si>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</si>
  <si>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</si>
  <si>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</si>
  <si>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</si>
  <si>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</si>
  <si>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</si>
  <si>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</si>
  <si>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</si>
  <si>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</si>
  <si>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</si>
  <si>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</si>
  <si>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</si>
  <si>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</si>
  <si>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</si>
  <si>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</si>
  <si>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</si>
  <si>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</si>
  <si>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</si>
  <si>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</si>
  <si>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</si>
  <si>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</si>
  <si>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</si>
  <si>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</si>
  <si>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</si>
  <si>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</si>
  <si>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</si>
  <si>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</si>
  <si>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</si>
  <si>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</si>
  <si>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</si>
  <si>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</si>
  <si>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</si>
  <si>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</si>
  <si>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</si>
  <si>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</si>
  <si>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</si>
  <si>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</si>
  <si>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</si>
  <si>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</si>
  <si>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</si>
  <si>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</si>
  <si>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</si>
  <si>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</si>
  <si>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</si>
  <si>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</si>
  <si>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</si>
  <si>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</si>
  <si>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</si>
  <si>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</si>
  <si>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</si>
  <si>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</si>
  <si>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</si>
  <si>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</si>
  <si>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</si>
  <si>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</si>
  <si>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</si>
  <si>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</si>
  <si>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</si>
  <si>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</si>
  <si>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</si>
  <si>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</si>
  <si>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</si>
  <si>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</si>
  <si>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</si>
  <si>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</si>
  <si>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</si>
  <si>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</si>
  <si>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</si>
  <si>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</si>
  <si>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</si>
  <si>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</si>
  <si>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</si>
  <si>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</si>
  <si>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</si>
  <si>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</si>
  <si>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</si>
  <si>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</si>
  <si>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</si>
  <si>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</si>
  <si>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</si>
  <si>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</si>
  <si>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</si>
  <si>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</si>
  <si>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</si>
  <si>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</si>
  <si>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</si>
  <si>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</si>
  <si>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</si>
  <si>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</si>
  <si>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</si>
  <si>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</si>
  <si>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</si>
  <si>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</si>
  <si>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</si>
  <si>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</si>
  <si>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</si>
  <si>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</si>
  <si>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</si>
  <si>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</si>
  <si>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</si>
  <si>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</si>
  <si>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</si>
  <si>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</si>
  <si>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</si>
  <si>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</si>
  <si>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</si>
  <si>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</si>
  <si>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</si>
  <si>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</si>
  <si>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</si>
  <si>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</si>
  <si>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</si>
  <si>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</si>
  <si>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</si>
  <si>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</si>
  <si>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</si>
  <si>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</si>
  <si>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</si>
  <si>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</si>
  <si>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</si>
  <si>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</si>
  <si>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</si>
  <si>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</si>
  <si>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</si>
  <si>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</si>
  <si>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</si>
  <si>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</si>
  <si>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</si>
  <si>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</si>
  <si>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</si>
  <si>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</si>
  <si>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</si>
  <si>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</si>
  <si>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</si>
  <si>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</si>
  <si>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</si>
  <si>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</si>
  <si>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</si>
  <si>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</si>
  <si>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</si>
  <si>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</si>
  <si>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</si>
  <si>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</si>
  <si>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</si>
  <si>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</si>
  <si>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</si>
  <si>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</si>
  <si>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</si>
  <si>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</si>
  <si>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</si>
  <si>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</si>
  <si>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</si>
  <si>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</si>
  <si>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</si>
  <si>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</si>
  <si>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</si>
  <si>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</si>
  <si>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</si>
  <si>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</si>
  <si>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</si>
  <si>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</si>
  <si>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</si>
  <si>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</si>
  <si>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</si>
  <si>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</si>
  <si>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</si>
  <si>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</si>
  <si>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</si>
  <si>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</si>
  <si>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</si>
  <si>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</si>
  <si>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</si>
  <si>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</si>
  <si>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</si>
  <si>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</si>
  <si>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</si>
  <si>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</si>
  <si>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</si>
  <si>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</si>
  <si>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</si>
  <si>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</si>
  <si>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</si>
  <si>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</si>
  <si>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</si>
  <si>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</si>
  <si>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</si>
  <si>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</si>
  <si>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</si>
  <si>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</si>
  <si>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</si>
  <si>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</si>
  <si>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</si>
  <si>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</si>
  <si>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</si>
  <si>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</si>
  <si>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</si>
  <si>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</si>
  <si>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</si>
  <si>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</si>
  <si>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</si>
  <si>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</si>
  <si>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</si>
  <si>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</si>
  <si>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</si>
  <si>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</si>
  <si>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</si>
  <si>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</si>
  <si>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</si>
  <si>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</si>
  <si>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</si>
  <si>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</si>
  <si>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</si>
  <si>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</si>
  <si>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</si>
  <si>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</si>
  <si>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</si>
  <si>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</si>
  <si>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</si>
  <si>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</si>
  <si>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</si>
  <si>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</si>
  <si>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</si>
  <si>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</si>
  <si>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</si>
  <si>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</si>
  <si>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</si>
  <si>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</si>
  <si>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</si>
  <si>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</si>
  <si>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</si>
  <si>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</si>
  <si>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</si>
  <si>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</si>
  <si>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</si>
  <si>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</si>
  <si>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</si>
  <si>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</si>
  <si>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</si>
  <si>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</si>
  <si>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</si>
  <si>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</si>
  <si>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</si>
  <si>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</si>
  <si>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</si>
  <si>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</si>
  <si>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</si>
  <si>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</si>
  <si>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</si>
  <si>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</si>
  <si>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</si>
  <si>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</si>
  <si>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</si>
  <si>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</si>
  <si>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</si>
  <si>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</si>
  <si>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</si>
  <si>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</si>
  <si>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</si>
  <si>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</si>
  <si>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</si>
  <si>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</si>
  <si>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</si>
  <si>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</si>
  <si>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</si>
  <si>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</si>
  <si>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</si>
  <si>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</si>
  <si>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</si>
  <si>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</si>
  <si>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</si>
  <si>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</si>
  <si>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</si>
  <si>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</si>
  <si>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</si>
  <si>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</si>
  <si>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</si>
  <si>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</si>
  <si>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</si>
  <si>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</si>
  <si>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</si>
  <si>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</si>
  <si>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</si>
  <si>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</si>
  <si>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</si>
  <si>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</si>
  <si>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</si>
  <si>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</si>
  <si>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</si>
  <si>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</si>
  <si>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</si>
  <si>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</si>
  <si>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</si>
  <si>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</si>
  <si>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</si>
  <si>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</si>
  <si>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</si>
  <si>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</si>
  <si>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</si>
  <si>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</si>
  <si>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</si>
  <si>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</si>
  <si>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</si>
  <si>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</si>
  <si>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</si>
  <si>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</si>
  <si>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</si>
  <si>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</si>
  <si>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</si>
  <si>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</si>
  <si>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</si>
  <si>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</si>
  <si>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</si>
  <si>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</si>
  <si>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</si>
  <si>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</si>
  <si>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</si>
  <si>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</si>
  <si>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</si>
  <si>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</si>
  <si>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</si>
  <si>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</si>
  <si>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</si>
  <si>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</si>
  <si>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</si>
  <si>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</si>
  <si>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</si>
  <si>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</si>
  <si>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</si>
  <si>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</si>
  <si>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</si>
  <si>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</si>
  <si>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</si>
  <si>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</si>
  <si>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</si>
  <si>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</si>
  <si>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</si>
  <si>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</si>
  <si>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</si>
  <si>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</si>
  <si>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</si>
  <si>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</si>
  <si>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</si>
  <si>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</si>
  <si>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</si>
  <si>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</si>
  <si>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</si>
  <si>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</si>
  <si>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</si>
  <si>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</si>
  <si>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</si>
  <si>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</si>
  <si>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</si>
  <si>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</si>
  <si>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</si>
  <si>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</si>
  <si>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</si>
  <si>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</si>
  <si>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</si>
  <si>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</si>
  <si>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</si>
  <si>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</si>
  <si>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</si>
  <si>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</si>
  <si>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</si>
  <si>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</si>
  <si>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</si>
  <si>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</si>
  <si>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</si>
  <si>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</si>
  <si>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</si>
  <si>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</si>
  <si>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</si>
  <si>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</si>
  <si>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</si>
  <si>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</si>
  <si>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</si>
  <si>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</si>
  <si>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</si>
  <si>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</si>
  <si>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</si>
  <si>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</si>
  <si>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</si>
  <si>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</si>
  <si>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</si>
  <si>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</si>
  <si>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</si>
  <si>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</si>
  <si>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</si>
  <si>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</si>
  <si>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</si>
  <si>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</si>
  <si>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</si>
  <si>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</si>
  <si>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</si>
  <si>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</si>
  <si>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</si>
  <si>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</si>
  <si>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</si>
  <si>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</si>
  <si>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</si>
  <si>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</si>
  <si>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</si>
  <si>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</si>
  <si>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</si>
  <si>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</si>
  <si>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</si>
  <si>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</si>
  <si>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</si>
  <si>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</si>
  <si>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</si>
  <si>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</si>
  <si>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</si>
  <si>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</si>
  <si>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</si>
  <si>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</si>
  <si>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</si>
  <si>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</si>
  <si>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</si>
  <si>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</si>
  <si>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</si>
  <si>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</si>
  <si>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</si>
  <si>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</si>
  <si>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</si>
  <si>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</si>
  <si>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</si>
  <si>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</si>
  <si>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</si>
  <si>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</si>
  <si>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</si>
  <si>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</si>
  <si>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</si>
  <si>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</si>
  <si>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</si>
  <si>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</si>
  <si>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</si>
  <si>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</si>
  <si>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</si>
  <si>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</si>
  <si>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</si>
  <si>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</si>
  <si>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</si>
  <si>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</si>
  <si>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</si>
  <si>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</si>
  <si>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</si>
  <si>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</si>
  <si>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</si>
  <si>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</si>
  <si>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</si>
  <si>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</si>
  <si>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</si>
  <si>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</si>
  <si>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</si>
  <si>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</si>
  <si>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</si>
  <si>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</si>
  <si>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</si>
  <si>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</si>
  <si>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</si>
  <si>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</si>
  <si>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</si>
  <si>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</si>
  <si>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</si>
  <si>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</si>
  <si>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</si>
  <si>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</si>
  <si>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</si>
  <si>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</si>
  <si>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</si>
  <si>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</si>
  <si>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</si>
  <si>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</si>
  <si>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</si>
  <si>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</si>
  <si>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</si>
  <si>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</si>
  <si>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</si>
  <si>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</si>
  <si>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</si>
  <si>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</si>
  <si>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</si>
  <si>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</si>
  <si>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</si>
  <si>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</si>
  <si>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</si>
  <si>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</si>
  <si>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</si>
  <si>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</si>
  <si>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</si>
  <si>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</si>
  <si>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</si>
  <si>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</si>
  <si>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</si>
  <si>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</si>
  <si>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</si>
  <si>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</si>
  <si>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</si>
  <si>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</si>
  <si>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</si>
  <si>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</si>
  <si>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</si>
  <si>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</si>
  <si>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</si>
  <si>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</si>
  <si>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</si>
  <si>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</si>
  <si>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</si>
  <si>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</si>
  <si>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</si>
  <si>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</si>
  <si>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</si>
  <si>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</si>
  <si>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</si>
  <si>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</si>
  <si>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</si>
  <si>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</si>
  <si>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</si>
  <si>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</si>
  <si>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</si>
  <si>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</si>
  <si>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</si>
  <si>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</si>
  <si>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</si>
  <si>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</si>
  <si>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</si>
  <si>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</si>
  <si>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</si>
  <si>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</si>
  <si>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</si>
  <si>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</si>
  <si>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</si>
  <si>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</si>
  <si>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</si>
  <si>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</si>
  <si>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</si>
  <si>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</si>
  <si>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</si>
  <si>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</si>
  <si>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</si>
  <si>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</si>
  <si>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</si>
  <si>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</si>
  <si>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</si>
  <si>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</si>
  <si>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</si>
  <si>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</si>
  <si>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</si>
  <si>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</si>
  <si>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</si>
  <si>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</si>
  <si>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</si>
  <si>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</si>
  <si>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</si>
  <si>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</si>
  <si>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</si>
  <si>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</si>
  <si>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</si>
  <si>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</si>
  <si>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</si>
  <si>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</si>
  <si>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</si>
  <si>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</si>
  <si>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</si>
  <si>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</si>
  <si>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</si>
  <si>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</si>
  <si>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</si>
  <si>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</si>
  <si>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</si>
  <si>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</si>
  <si>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</si>
  <si>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</si>
  <si>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</si>
  <si>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</si>
  <si>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</si>
  <si>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</si>
  <si>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</si>
  <si>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</si>
  <si>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</si>
  <si>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</si>
  <si>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</si>
  <si>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</si>
  <si>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</si>
  <si>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</si>
  <si>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</si>
  <si>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</si>
  <si>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</si>
  <si>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</si>
  <si>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</si>
  <si>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</si>
  <si>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</si>
  <si>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</si>
  <si>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</si>
  <si>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</si>
  <si>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</si>
  <si>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</si>
  <si>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</si>
  <si>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</si>
  <si>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</si>
  <si>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</si>
  <si>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</si>
  <si>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</si>
  <si>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</si>
  <si>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</si>
  <si>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</si>
  <si>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</si>
  <si>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</si>
  <si>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</si>
  <si>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</si>
  <si>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</si>
  <si>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</si>
  <si>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</si>
  <si>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</si>
  <si>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</si>
  <si>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</si>
  <si>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</si>
  <si>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</si>
  <si>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</si>
  <si>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</si>
  <si>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</si>
  <si>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</si>
  <si>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</si>
  <si>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</si>
  <si>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</si>
  <si>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</si>
  <si>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</si>
  <si>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</si>
  <si>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</si>
  <si>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</si>
  <si>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</si>
  <si>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</si>
  <si>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</si>
  <si>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</si>
  <si>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</si>
  <si>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</si>
  <si>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</si>
  <si>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</si>
  <si>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</si>
  <si>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</si>
  <si>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</si>
  <si>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</si>
  <si>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</si>
  <si>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</si>
  <si>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</si>
  <si>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</si>
  <si>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</si>
  <si>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</si>
  <si>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</si>
  <si>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</si>
  <si>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</si>
  <si>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</si>
  <si>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</si>
  <si>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</si>
  <si>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</si>
  <si>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</si>
  <si>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</si>
  <si>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</si>
  <si>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</si>
  <si>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</si>
  <si>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</si>
  <si>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</si>
  <si>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</si>
  <si>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</si>
  <si>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</si>
  <si>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</si>
  <si>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</si>
  <si>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</si>
  <si>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</si>
  <si>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</si>
  <si>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</si>
  <si>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</si>
  <si>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</si>
  <si>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</si>
  <si>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</si>
  <si>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</si>
  <si>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</si>
  <si>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</si>
  <si>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</si>
  <si>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</si>
  <si>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</si>
  <si>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</si>
  <si>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</si>
  <si>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</si>
  <si>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</si>
  <si>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</si>
  <si>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</si>
  <si>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</si>
  <si>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</si>
  <si>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</si>
  <si>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</si>
  <si>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</si>
  <si>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</si>
  <si>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</si>
  <si>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</si>
  <si>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</si>
  <si>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</si>
  <si>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</si>
  <si>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</si>
  <si>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</si>
  <si>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</si>
  <si>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</si>
  <si>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</si>
  <si>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</si>
  <si>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</si>
  <si>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</si>
  <si>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</si>
  <si>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</si>
  <si>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</si>
  <si>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</si>
  <si>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</si>
  <si>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</si>
  <si>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</si>
  <si>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</si>
  <si>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</si>
  <si>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</si>
  <si>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</si>
  <si>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</si>
  <si>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</si>
  <si>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</si>
  <si>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</si>
  <si>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</si>
  <si>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</si>
  <si>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</si>
  <si>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</si>
  <si>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</si>
  <si>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</si>
  <si>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</si>
  <si>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</si>
  <si>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</si>
  <si>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</si>
  <si>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</si>
  <si>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</si>
  <si>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</si>
  <si>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</si>
  <si>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</si>
  <si>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</si>
  <si>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</si>
  <si>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</si>
  <si>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</si>
  <si>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</si>
  <si>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</si>
  <si>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</si>
  <si>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</si>
  <si>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</si>
  <si>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</si>
  <si>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</si>
  <si>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</si>
  <si>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</si>
  <si>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</si>
  <si>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</si>
  <si>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</si>
  <si>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</si>
  <si>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</si>
  <si>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</si>
  <si>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</si>
  <si>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</si>
  <si>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</si>
  <si>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</si>
  <si>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</si>
  <si>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</si>
  <si>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</si>
  <si>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</si>
  <si>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</si>
  <si>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</si>
  <si>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</si>
  <si>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</si>
  <si>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</si>
  <si>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</si>
  <si>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</si>
  <si>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</si>
  <si>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</si>
  <si>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</si>
  <si>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</si>
  <si>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</si>
  <si>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</si>
  <si>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</si>
  <si>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</si>
  <si>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</si>
  <si>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</si>
  <si>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</si>
  <si>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</si>
  <si>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</si>
  <si>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</si>
  <si>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</si>
  <si>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</si>
  <si>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</si>
  <si>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</si>
  <si>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</si>
  <si>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</si>
  <si>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</si>
  <si>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</si>
  <si>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</si>
  <si>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</si>
  <si>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</si>
  <si>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</si>
  <si>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</si>
  <si>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</si>
  <si>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</si>
  <si>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</si>
  <si>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</si>
  <si>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</si>
  <si>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</si>
  <si>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</si>
  <si>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</si>
  <si>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</si>
  <si>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</si>
  <si>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</si>
  <si>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</si>
  <si>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</si>
  <si>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</si>
  <si>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</si>
  <si>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</si>
  <si>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</si>
  <si>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</si>
  <si>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</si>
  <si>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</si>
  <si>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</si>
  <si>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</si>
  <si>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</si>
  <si>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</si>
  <si>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</si>
  <si>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</si>
  <si>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</si>
  <si>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</si>
  <si>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</si>
  <si>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</si>
  <si>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</si>
  <si>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</si>
  <si>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</si>
  <si>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</si>
  <si>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</si>
  <si>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</si>
  <si>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</si>
  <si>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</si>
  <si>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</si>
  <si>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</si>
  <si>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</si>
  <si>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</si>
  <si>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</si>
  <si>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</si>
  <si>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</si>
  <si>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</si>
  <si>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</si>
  <si>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</si>
  <si>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</si>
  <si>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</si>
  <si>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</si>
  <si>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</si>
  <si>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</si>
  <si>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</si>
  <si>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</si>
  <si>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</si>
  <si>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</si>
  <si>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</si>
  <si>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</si>
  <si>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</si>
  <si>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</si>
  <si>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</si>
  <si>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</si>
  <si>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</si>
  <si>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</si>
  <si>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</si>
  <si>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</si>
  <si>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</si>
  <si>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</si>
  <si>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</si>
  <si>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</si>
  <si>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</si>
  <si>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</si>
  <si>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</si>
  <si>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</si>
  <si>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</si>
  <si>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</si>
  <si>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</si>
  <si>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</si>
  <si>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</si>
  <si>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</si>
  <si>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</si>
  <si>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</si>
  <si>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</si>
  <si>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</si>
  <si>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</si>
  <si>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</si>
  <si>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</si>
  <si>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</si>
  <si>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</si>
  <si>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</si>
  <si>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</si>
  <si>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</si>
  <si>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</si>
  <si>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</si>
  <si>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</si>
  <si>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</si>
  <si>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</si>
  <si>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</si>
  <si>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</si>
  <si>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</si>
  <si>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</si>
  <si>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</si>
  <si>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</si>
  <si>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</si>
  <si>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</si>
  <si>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2017-1-0739</t>
    <phoneticPr fontId="6" type="noConversion"/>
  </si>
  <si>
    <t>梁津</t>
  </si>
  <si>
    <t>郑燚</t>
  </si>
  <si>
    <t>王萌</t>
  </si>
  <si>
    <t>西安御润房地产开发有限公司</t>
    <phoneticPr fontId="6" type="noConversion"/>
  </si>
  <si>
    <t>中诚信托有限责任公司</t>
    <phoneticPr fontId="6" type="noConversion"/>
  </si>
  <si>
    <t>抵押</t>
  </si>
  <si>
    <t>房地产抵押价值</t>
  </si>
  <si>
    <t>其他：</t>
  </si>
  <si>
    <t>西安市</t>
    <phoneticPr fontId="6" type="noConversion"/>
  </si>
  <si>
    <t>西安市未央区三桥街办昆明路立交以西</t>
    <phoneticPr fontId="6" type="noConversion"/>
  </si>
  <si>
    <t>企业</t>
  </si>
  <si>
    <t>西安御润房地产开发有限公司</t>
    <phoneticPr fontId="6" type="noConversion"/>
  </si>
  <si>
    <t>住宅、商业、地下车库</t>
    <phoneticPr fontId="6" type="noConversion"/>
  </si>
  <si>
    <t>住宅64.08年，商业34.23年，地下车库44.07年</t>
    <phoneticPr fontId="6" type="noConversion"/>
  </si>
  <si>
    <t>《西安市房屋权属分户表》、《抵押物清单》</t>
    <phoneticPr fontId="6" type="noConversion"/>
  </si>
  <si>
    <t>居住项目</t>
  </si>
  <si>
    <t>含保障性住房</t>
  </si>
  <si>
    <t>限价房</t>
    <phoneticPr fontId="6" type="noConversion"/>
  </si>
  <si>
    <t>现房</t>
  </si>
  <si>
    <t>住宅</t>
    <phoneticPr fontId="3" type="noConversion"/>
  </si>
  <si>
    <t>地下车库</t>
    <phoneticPr fontId="3" type="noConversion"/>
  </si>
  <si>
    <t>地上</t>
  </si>
  <si>
    <t>平层住宅</t>
  </si>
  <si>
    <t>地下</t>
  </si>
  <si>
    <t>车库</t>
  </si>
  <si>
    <t>面积</t>
    <phoneticPr fontId="205" type="noConversion"/>
  </si>
  <si>
    <t>人防建筑面积</t>
    <phoneticPr fontId="205" type="noConversion"/>
  </si>
  <si>
    <t>DK1-1#、3#</t>
  </si>
  <si>
    <t>DK1-2#、4#</t>
    <phoneticPr fontId="205" type="noConversion"/>
  </si>
  <si>
    <t>DK1-地下车库实测</t>
    <phoneticPr fontId="205" type="noConversion"/>
  </si>
  <si>
    <t>DK2-1、4#楼</t>
    <phoneticPr fontId="205" type="noConversion"/>
  </si>
  <si>
    <t>DK2-幼儿园实测报告</t>
    <phoneticPr fontId="205" type="noConversion"/>
  </si>
  <si>
    <t>DK3-1#</t>
    <phoneticPr fontId="205" type="noConversion"/>
  </si>
  <si>
    <t>DK3-2#</t>
    <phoneticPr fontId="205" type="noConversion"/>
  </si>
  <si>
    <t>DK3-3#</t>
    <phoneticPr fontId="205" type="noConversion"/>
  </si>
  <si>
    <t>DK3-4#</t>
    <phoneticPr fontId="205" type="noConversion"/>
  </si>
  <si>
    <t>DK3-6#</t>
    <phoneticPr fontId="205" type="noConversion"/>
  </si>
  <si>
    <t>DK3-7#</t>
    <phoneticPr fontId="205" type="noConversion"/>
  </si>
  <si>
    <t>DK3-8#</t>
    <phoneticPr fontId="205" type="noConversion"/>
  </si>
  <si>
    <t>DK3-9#</t>
    <phoneticPr fontId="205" type="noConversion"/>
  </si>
  <si>
    <t>DK3-11#</t>
    <phoneticPr fontId="205" type="noConversion"/>
  </si>
  <si>
    <t>DK3-12#</t>
    <phoneticPr fontId="205" type="noConversion"/>
  </si>
  <si>
    <t>DK3-13#</t>
    <phoneticPr fontId="205" type="noConversion"/>
  </si>
  <si>
    <t>DK3-14#</t>
    <phoneticPr fontId="205" type="noConversion"/>
  </si>
  <si>
    <t>DK3-15#</t>
    <phoneticPr fontId="205" type="noConversion"/>
  </si>
  <si>
    <t>DK3地下车库实测</t>
    <phoneticPr fontId="205" type="noConversion"/>
  </si>
  <si>
    <t>住宅</t>
    <phoneticPr fontId="205" type="noConversion"/>
  </si>
  <si>
    <t>商业</t>
    <phoneticPr fontId="205" type="noConversion"/>
  </si>
  <si>
    <t>可收益规划总建筑面积</t>
    <phoneticPr fontId="205" type="noConversion"/>
  </si>
  <si>
    <t>土地面积</t>
    <phoneticPr fontId="205" type="noConversion"/>
  </si>
  <si>
    <t>总</t>
    <phoneticPr fontId="205" type="noConversion"/>
  </si>
  <si>
    <t>本次</t>
    <phoneticPr fontId="205" type="noConversion"/>
  </si>
  <si>
    <t>项目名称</t>
  </si>
  <si>
    <t>规划建筑面积</t>
  </si>
  <si>
    <t>分摊土地面积</t>
  </si>
  <si>
    <t>西安市未央区三桥街办昆明路立交以西昆明时光项目</t>
    <phoneticPr fontId="205" type="noConversion"/>
  </si>
  <si>
    <t>/</t>
  </si>
  <si>
    <t>地上住宅</t>
    <phoneticPr fontId="7" type="noConversion"/>
  </si>
  <si>
    <t>地上住宅DK1-1-10703</t>
    <phoneticPr fontId="7" type="noConversion"/>
  </si>
  <si>
    <t>地下车库</t>
    <phoneticPr fontId="7" type="noConversion"/>
  </si>
  <si>
    <r>
      <rPr>
        <sz val="11"/>
        <color indexed="8"/>
        <rFont val="宋体"/>
        <family val="3"/>
        <charset val="134"/>
      </rPr>
      <t>地下车库</t>
    </r>
    <r>
      <rPr>
        <sz val="11"/>
        <color indexed="8"/>
        <rFont val="Arial"/>
        <family val="2"/>
      </rPr>
      <t>1F101</t>
    </r>
    <phoneticPr fontId="7" type="noConversion"/>
  </si>
  <si>
    <t>估价方法</t>
  </si>
  <si>
    <t>西安市财政局关于调整城镇土地使用税等级范围和单位税额标准的通告</t>
    <phoneticPr fontId="3" type="noConversion"/>
  </si>
  <si>
    <t>收益法-车位</t>
  </si>
  <si>
    <t>地上住宅DK1-1-10703</t>
  </si>
  <si>
    <t>押一</t>
  </si>
  <si>
    <t>钢混</t>
  </si>
  <si>
    <t>比较法</t>
  </si>
  <si>
    <t>住宅</t>
    <phoneticPr fontId="34" type="noConversion"/>
  </si>
  <si>
    <t>比较法-住宅</t>
  </si>
  <si>
    <t>楼号</t>
    <phoneticPr fontId="265" type="noConversion"/>
  </si>
  <si>
    <t>用途</t>
    <phoneticPr fontId="265" type="noConversion"/>
  </si>
  <si>
    <t>房号</t>
  </si>
  <si>
    <t>面积</t>
  </si>
  <si>
    <t>DK1-1</t>
    <phoneticPr fontId="265" type="noConversion"/>
  </si>
  <si>
    <t>住宅</t>
    <phoneticPr fontId="265" type="noConversion"/>
  </si>
  <si>
    <t>DK1-1-10703</t>
    <phoneticPr fontId="265" type="noConversion"/>
  </si>
  <si>
    <t>DK1-1-10906</t>
  </si>
  <si>
    <t>DK1-1-11005</t>
  </si>
  <si>
    <t>DK1-1-11503</t>
  </si>
  <si>
    <t>DK1-1-11702</t>
  </si>
  <si>
    <t>DK1-1-11902</t>
  </si>
  <si>
    <t>DK1-1-11906</t>
  </si>
  <si>
    <t>DK1-1-12101</t>
  </si>
  <si>
    <t>DK1-1-12305</t>
  </si>
  <si>
    <t>DK1-1-12405</t>
  </si>
  <si>
    <t>DK1-1-12605</t>
  </si>
  <si>
    <t>DK1-1-12704</t>
  </si>
  <si>
    <t>DK1-1-12806</t>
  </si>
  <si>
    <t>DK1-1-13206</t>
  </si>
  <si>
    <t>DK1-1-13302</t>
  </si>
  <si>
    <t>DK1-1-13303</t>
    <phoneticPr fontId="265" type="noConversion"/>
  </si>
  <si>
    <t>DK1-2</t>
    <phoneticPr fontId="265" type="noConversion"/>
  </si>
  <si>
    <t>DK1-2-10304</t>
  </si>
  <si>
    <t>DK1-2-11805</t>
    <phoneticPr fontId="265" type="noConversion"/>
  </si>
  <si>
    <t>序号</t>
    <phoneticPr fontId="265" type="noConversion"/>
  </si>
  <si>
    <t>备案号</t>
    <phoneticPr fontId="3" type="noConversion"/>
  </si>
  <si>
    <t>面积</t>
    <phoneticPr fontId="3" type="noConversion"/>
  </si>
  <si>
    <t>地下车库</t>
    <phoneticPr fontId="265" type="noConversion"/>
  </si>
  <si>
    <r>
      <t>1</t>
    </r>
    <r>
      <rPr>
        <sz val="11"/>
        <rFont val="宋体"/>
        <family val="3"/>
        <charset val="134"/>
      </rPr>
      <t>F101</t>
    </r>
    <phoneticPr fontId="3" type="noConversion"/>
  </si>
  <si>
    <r>
      <t>1</t>
    </r>
    <r>
      <rPr>
        <sz val="11"/>
        <rFont val="宋体"/>
        <family val="3"/>
        <charset val="134"/>
      </rPr>
      <t>F103</t>
    </r>
    <r>
      <rPr>
        <sz val="12"/>
        <rFont val="宋体"/>
        <family val="3"/>
        <charset val="134"/>
      </rPr>
      <t/>
    </r>
  </si>
  <si>
    <r>
      <t>1</t>
    </r>
    <r>
      <rPr>
        <sz val="11"/>
        <rFont val="宋体"/>
        <family val="3"/>
        <charset val="134"/>
      </rPr>
      <t>F104</t>
    </r>
    <r>
      <rPr>
        <sz val="12"/>
        <rFont val="宋体"/>
        <family val="3"/>
        <charset val="134"/>
      </rPr>
      <t/>
    </r>
  </si>
  <si>
    <r>
      <t>1</t>
    </r>
    <r>
      <rPr>
        <sz val="11"/>
        <rFont val="宋体"/>
        <family val="3"/>
        <charset val="134"/>
      </rPr>
      <t>F105</t>
    </r>
    <r>
      <rPr>
        <sz val="12"/>
        <rFont val="宋体"/>
        <family val="3"/>
        <charset val="134"/>
      </rPr>
      <t/>
    </r>
  </si>
  <si>
    <r>
      <t>1</t>
    </r>
    <r>
      <rPr>
        <sz val="11"/>
        <rFont val="宋体"/>
        <family val="3"/>
        <charset val="134"/>
      </rPr>
      <t>F106</t>
    </r>
    <r>
      <rPr>
        <sz val="12"/>
        <rFont val="宋体"/>
        <family val="3"/>
        <charset val="134"/>
      </rPr>
      <t/>
    </r>
  </si>
  <si>
    <r>
      <t>1</t>
    </r>
    <r>
      <rPr>
        <sz val="11"/>
        <rFont val="宋体"/>
        <family val="3"/>
        <charset val="134"/>
      </rPr>
      <t>F107</t>
    </r>
    <r>
      <rPr>
        <sz val="12"/>
        <rFont val="宋体"/>
        <family val="3"/>
        <charset val="134"/>
      </rPr>
      <t/>
    </r>
  </si>
  <si>
    <r>
      <t>1</t>
    </r>
    <r>
      <rPr>
        <sz val="11"/>
        <rFont val="宋体"/>
        <family val="3"/>
        <charset val="134"/>
      </rPr>
      <t>F108</t>
    </r>
    <r>
      <rPr>
        <sz val="12"/>
        <rFont val="宋体"/>
        <family val="3"/>
        <charset val="134"/>
      </rPr>
      <t/>
    </r>
  </si>
  <si>
    <r>
      <t>1</t>
    </r>
    <r>
      <rPr>
        <sz val="11"/>
        <rFont val="宋体"/>
        <family val="3"/>
        <charset val="134"/>
      </rPr>
      <t>F109</t>
    </r>
    <r>
      <rPr>
        <sz val="12"/>
        <rFont val="宋体"/>
        <family val="3"/>
        <charset val="134"/>
      </rPr>
      <t/>
    </r>
  </si>
  <si>
    <r>
      <t>1</t>
    </r>
    <r>
      <rPr>
        <sz val="11"/>
        <rFont val="宋体"/>
        <family val="3"/>
        <charset val="134"/>
      </rPr>
      <t>F110</t>
    </r>
    <r>
      <rPr>
        <sz val="12"/>
        <rFont val="宋体"/>
        <family val="3"/>
        <charset val="134"/>
      </rPr>
      <t/>
    </r>
  </si>
  <si>
    <r>
      <t>1</t>
    </r>
    <r>
      <rPr>
        <sz val="11"/>
        <rFont val="宋体"/>
        <family val="3"/>
        <charset val="134"/>
      </rPr>
      <t>F111</t>
    </r>
    <r>
      <rPr>
        <sz val="12"/>
        <rFont val="宋体"/>
        <family val="3"/>
        <charset val="134"/>
      </rPr>
      <t/>
    </r>
  </si>
  <si>
    <r>
      <t>1</t>
    </r>
    <r>
      <rPr>
        <sz val="11"/>
        <rFont val="宋体"/>
        <family val="3"/>
        <charset val="134"/>
      </rPr>
      <t>F112</t>
    </r>
    <r>
      <rPr>
        <sz val="12"/>
        <rFont val="宋体"/>
        <family val="3"/>
        <charset val="134"/>
      </rPr>
      <t/>
    </r>
  </si>
  <si>
    <r>
      <t>1</t>
    </r>
    <r>
      <rPr>
        <sz val="11"/>
        <rFont val="宋体"/>
        <family val="3"/>
        <charset val="134"/>
      </rPr>
      <t>F114</t>
    </r>
    <r>
      <rPr>
        <sz val="12"/>
        <rFont val="宋体"/>
        <family val="3"/>
        <charset val="134"/>
      </rPr>
      <t/>
    </r>
  </si>
  <si>
    <r>
      <t>1</t>
    </r>
    <r>
      <rPr>
        <sz val="11"/>
        <rFont val="宋体"/>
        <family val="3"/>
        <charset val="134"/>
      </rPr>
      <t>F115</t>
    </r>
    <r>
      <rPr>
        <sz val="12"/>
        <rFont val="宋体"/>
        <family val="3"/>
        <charset val="134"/>
      </rPr>
      <t/>
    </r>
  </si>
  <si>
    <r>
      <t>1</t>
    </r>
    <r>
      <rPr>
        <sz val="11"/>
        <rFont val="宋体"/>
        <family val="3"/>
        <charset val="134"/>
      </rPr>
      <t>F116</t>
    </r>
    <r>
      <rPr>
        <sz val="12"/>
        <rFont val="宋体"/>
        <family val="3"/>
        <charset val="134"/>
      </rPr>
      <t/>
    </r>
  </si>
  <si>
    <r>
      <t>1</t>
    </r>
    <r>
      <rPr>
        <sz val="11"/>
        <rFont val="宋体"/>
        <family val="3"/>
        <charset val="134"/>
      </rPr>
      <t>F118</t>
    </r>
    <r>
      <rPr>
        <sz val="12"/>
        <rFont val="宋体"/>
        <family val="3"/>
        <charset val="134"/>
      </rPr>
      <t/>
    </r>
  </si>
  <si>
    <r>
      <t>1</t>
    </r>
    <r>
      <rPr>
        <sz val="11"/>
        <rFont val="宋体"/>
        <family val="3"/>
        <charset val="134"/>
      </rPr>
      <t>F120</t>
    </r>
    <r>
      <rPr>
        <sz val="12"/>
        <rFont val="宋体"/>
        <family val="3"/>
        <charset val="134"/>
      </rPr>
      <t/>
    </r>
  </si>
  <si>
    <r>
      <t>1</t>
    </r>
    <r>
      <rPr>
        <sz val="11"/>
        <rFont val="宋体"/>
        <family val="3"/>
        <charset val="134"/>
      </rPr>
      <t>F121</t>
    </r>
    <r>
      <rPr>
        <sz val="12"/>
        <rFont val="宋体"/>
        <family val="3"/>
        <charset val="134"/>
      </rPr>
      <t/>
    </r>
  </si>
  <si>
    <r>
      <t>1</t>
    </r>
    <r>
      <rPr>
        <sz val="11"/>
        <rFont val="宋体"/>
        <family val="3"/>
        <charset val="134"/>
      </rPr>
      <t>F124</t>
    </r>
    <r>
      <rPr>
        <sz val="12"/>
        <rFont val="宋体"/>
        <family val="3"/>
        <charset val="134"/>
      </rPr>
      <t/>
    </r>
  </si>
  <si>
    <r>
      <t>1</t>
    </r>
    <r>
      <rPr>
        <sz val="11"/>
        <rFont val="宋体"/>
        <family val="3"/>
        <charset val="134"/>
      </rPr>
      <t>F126</t>
    </r>
    <r>
      <rPr>
        <sz val="12"/>
        <rFont val="宋体"/>
        <family val="3"/>
        <charset val="134"/>
      </rPr>
      <t/>
    </r>
  </si>
  <si>
    <r>
      <t>1</t>
    </r>
    <r>
      <rPr>
        <sz val="11"/>
        <rFont val="宋体"/>
        <family val="3"/>
        <charset val="134"/>
      </rPr>
      <t>F127</t>
    </r>
    <r>
      <rPr>
        <sz val="12"/>
        <rFont val="宋体"/>
        <family val="3"/>
        <charset val="134"/>
      </rPr>
      <t/>
    </r>
  </si>
  <si>
    <r>
      <t>1</t>
    </r>
    <r>
      <rPr>
        <sz val="11"/>
        <rFont val="宋体"/>
        <family val="3"/>
        <charset val="134"/>
      </rPr>
      <t>F128</t>
    </r>
    <r>
      <rPr>
        <sz val="12"/>
        <rFont val="宋体"/>
        <family val="3"/>
        <charset val="134"/>
      </rPr>
      <t/>
    </r>
  </si>
  <si>
    <r>
      <t>1</t>
    </r>
    <r>
      <rPr>
        <sz val="11"/>
        <rFont val="宋体"/>
        <family val="3"/>
        <charset val="134"/>
      </rPr>
      <t>F129</t>
    </r>
    <r>
      <rPr>
        <sz val="12"/>
        <rFont val="宋体"/>
        <family val="3"/>
        <charset val="134"/>
      </rPr>
      <t/>
    </r>
  </si>
  <si>
    <r>
      <t>1</t>
    </r>
    <r>
      <rPr>
        <sz val="11"/>
        <rFont val="宋体"/>
        <family val="3"/>
        <charset val="134"/>
      </rPr>
      <t>F131</t>
    </r>
    <r>
      <rPr>
        <sz val="12"/>
        <rFont val="宋体"/>
        <family val="3"/>
        <charset val="134"/>
      </rPr>
      <t/>
    </r>
  </si>
  <si>
    <r>
      <t>1</t>
    </r>
    <r>
      <rPr>
        <sz val="11"/>
        <rFont val="宋体"/>
        <family val="3"/>
        <charset val="134"/>
      </rPr>
      <t>F132</t>
    </r>
    <r>
      <rPr>
        <sz val="12"/>
        <rFont val="宋体"/>
        <family val="3"/>
        <charset val="134"/>
      </rPr>
      <t/>
    </r>
  </si>
  <si>
    <r>
      <t>1</t>
    </r>
    <r>
      <rPr>
        <sz val="11"/>
        <rFont val="宋体"/>
        <family val="3"/>
        <charset val="134"/>
      </rPr>
      <t>F134</t>
    </r>
    <r>
      <rPr>
        <sz val="12"/>
        <rFont val="宋体"/>
        <family val="3"/>
        <charset val="134"/>
      </rPr>
      <t/>
    </r>
  </si>
  <si>
    <r>
      <t>1</t>
    </r>
    <r>
      <rPr>
        <sz val="11"/>
        <rFont val="宋体"/>
        <family val="3"/>
        <charset val="134"/>
      </rPr>
      <t>F135</t>
    </r>
    <r>
      <rPr>
        <sz val="12"/>
        <rFont val="宋体"/>
        <family val="3"/>
        <charset val="134"/>
      </rPr>
      <t/>
    </r>
  </si>
  <si>
    <r>
      <t>1</t>
    </r>
    <r>
      <rPr>
        <sz val="11"/>
        <rFont val="宋体"/>
        <family val="3"/>
        <charset val="134"/>
      </rPr>
      <t>F136</t>
    </r>
    <r>
      <rPr>
        <sz val="12"/>
        <rFont val="宋体"/>
        <family val="3"/>
        <charset val="134"/>
      </rPr>
      <t/>
    </r>
  </si>
  <si>
    <r>
      <t>1</t>
    </r>
    <r>
      <rPr>
        <sz val="11"/>
        <rFont val="宋体"/>
        <family val="3"/>
        <charset val="134"/>
      </rPr>
      <t>F137</t>
    </r>
    <r>
      <rPr>
        <sz val="12"/>
        <rFont val="宋体"/>
        <family val="3"/>
        <charset val="134"/>
      </rPr>
      <t/>
    </r>
  </si>
  <si>
    <r>
      <t>1</t>
    </r>
    <r>
      <rPr>
        <sz val="11"/>
        <rFont val="宋体"/>
        <family val="3"/>
        <charset val="134"/>
      </rPr>
      <t>F138</t>
    </r>
    <r>
      <rPr>
        <sz val="12"/>
        <rFont val="宋体"/>
        <family val="3"/>
        <charset val="134"/>
      </rPr>
      <t/>
    </r>
  </si>
  <si>
    <r>
      <t>1</t>
    </r>
    <r>
      <rPr>
        <sz val="11"/>
        <rFont val="宋体"/>
        <family val="3"/>
        <charset val="134"/>
      </rPr>
      <t>F139</t>
    </r>
    <r>
      <rPr>
        <sz val="12"/>
        <rFont val="宋体"/>
        <family val="3"/>
        <charset val="134"/>
      </rPr>
      <t/>
    </r>
  </si>
  <si>
    <r>
      <t>1</t>
    </r>
    <r>
      <rPr>
        <sz val="11"/>
        <rFont val="宋体"/>
        <family val="3"/>
        <charset val="134"/>
      </rPr>
      <t>F140</t>
    </r>
    <r>
      <rPr>
        <sz val="12"/>
        <rFont val="宋体"/>
        <family val="3"/>
        <charset val="134"/>
      </rPr>
      <t/>
    </r>
  </si>
  <si>
    <r>
      <t>1</t>
    </r>
    <r>
      <rPr>
        <sz val="11"/>
        <rFont val="宋体"/>
        <family val="3"/>
        <charset val="134"/>
      </rPr>
      <t>F141</t>
    </r>
    <r>
      <rPr>
        <sz val="12"/>
        <rFont val="宋体"/>
        <family val="3"/>
        <charset val="134"/>
      </rPr>
      <t/>
    </r>
  </si>
  <si>
    <r>
      <t>1</t>
    </r>
    <r>
      <rPr>
        <sz val="11"/>
        <rFont val="宋体"/>
        <family val="3"/>
        <charset val="134"/>
      </rPr>
      <t>F142</t>
    </r>
    <r>
      <rPr>
        <sz val="12"/>
        <rFont val="宋体"/>
        <family val="3"/>
        <charset val="134"/>
      </rPr>
      <t/>
    </r>
  </si>
  <si>
    <r>
      <t>1</t>
    </r>
    <r>
      <rPr>
        <sz val="11"/>
        <rFont val="宋体"/>
        <family val="3"/>
        <charset val="134"/>
      </rPr>
      <t>F143</t>
    </r>
    <r>
      <rPr>
        <sz val="12"/>
        <rFont val="宋体"/>
        <family val="3"/>
        <charset val="134"/>
      </rPr>
      <t/>
    </r>
  </si>
  <si>
    <r>
      <t>1</t>
    </r>
    <r>
      <rPr>
        <sz val="11"/>
        <rFont val="宋体"/>
        <family val="3"/>
        <charset val="134"/>
      </rPr>
      <t>F144</t>
    </r>
    <r>
      <rPr>
        <sz val="12"/>
        <rFont val="宋体"/>
        <family val="3"/>
        <charset val="134"/>
      </rPr>
      <t/>
    </r>
  </si>
  <si>
    <r>
      <t>1</t>
    </r>
    <r>
      <rPr>
        <sz val="11"/>
        <rFont val="宋体"/>
        <family val="3"/>
        <charset val="134"/>
      </rPr>
      <t>F145</t>
    </r>
    <r>
      <rPr>
        <sz val="12"/>
        <rFont val="宋体"/>
        <family val="3"/>
        <charset val="134"/>
      </rPr>
      <t/>
    </r>
  </si>
  <si>
    <r>
      <t>1</t>
    </r>
    <r>
      <rPr>
        <sz val="11"/>
        <rFont val="宋体"/>
        <family val="3"/>
        <charset val="134"/>
      </rPr>
      <t>F146</t>
    </r>
    <r>
      <rPr>
        <sz val="12"/>
        <rFont val="宋体"/>
        <family val="3"/>
        <charset val="134"/>
      </rPr>
      <t/>
    </r>
  </si>
  <si>
    <r>
      <t>1</t>
    </r>
    <r>
      <rPr>
        <sz val="11"/>
        <rFont val="宋体"/>
        <family val="3"/>
        <charset val="134"/>
      </rPr>
      <t>F147</t>
    </r>
    <r>
      <rPr>
        <sz val="12"/>
        <rFont val="宋体"/>
        <family val="3"/>
        <charset val="134"/>
      </rPr>
      <t/>
    </r>
  </si>
  <si>
    <r>
      <t>1</t>
    </r>
    <r>
      <rPr>
        <sz val="11"/>
        <rFont val="宋体"/>
        <family val="3"/>
        <charset val="134"/>
      </rPr>
      <t>F148</t>
    </r>
    <r>
      <rPr>
        <sz val="12"/>
        <rFont val="宋体"/>
        <family val="3"/>
        <charset val="134"/>
      </rPr>
      <t/>
    </r>
  </si>
  <si>
    <r>
      <t>1</t>
    </r>
    <r>
      <rPr>
        <sz val="11"/>
        <rFont val="宋体"/>
        <family val="3"/>
        <charset val="134"/>
      </rPr>
      <t>F150</t>
    </r>
    <r>
      <rPr>
        <sz val="12"/>
        <rFont val="宋体"/>
        <family val="3"/>
        <charset val="134"/>
      </rPr>
      <t/>
    </r>
  </si>
  <si>
    <r>
      <t>1</t>
    </r>
    <r>
      <rPr>
        <sz val="11"/>
        <rFont val="宋体"/>
        <family val="3"/>
        <charset val="134"/>
      </rPr>
      <t>F151</t>
    </r>
    <r>
      <rPr>
        <sz val="12"/>
        <rFont val="宋体"/>
        <family val="3"/>
        <charset val="134"/>
      </rPr>
      <t/>
    </r>
  </si>
  <si>
    <r>
      <t>1</t>
    </r>
    <r>
      <rPr>
        <sz val="11"/>
        <rFont val="宋体"/>
        <family val="3"/>
        <charset val="134"/>
      </rPr>
      <t>F152</t>
    </r>
    <r>
      <rPr>
        <sz val="12"/>
        <rFont val="宋体"/>
        <family val="3"/>
        <charset val="134"/>
      </rPr>
      <t/>
    </r>
  </si>
  <si>
    <r>
      <t>1</t>
    </r>
    <r>
      <rPr>
        <sz val="11"/>
        <rFont val="宋体"/>
        <family val="3"/>
        <charset val="134"/>
      </rPr>
      <t>F153</t>
    </r>
    <r>
      <rPr>
        <sz val="12"/>
        <rFont val="宋体"/>
        <family val="3"/>
        <charset val="134"/>
      </rPr>
      <t/>
    </r>
  </si>
  <si>
    <r>
      <t>1</t>
    </r>
    <r>
      <rPr>
        <sz val="11"/>
        <rFont val="宋体"/>
        <family val="3"/>
        <charset val="134"/>
      </rPr>
      <t>F154</t>
    </r>
    <r>
      <rPr>
        <sz val="12"/>
        <rFont val="宋体"/>
        <family val="3"/>
        <charset val="134"/>
      </rPr>
      <t/>
    </r>
  </si>
  <si>
    <r>
      <t>1</t>
    </r>
    <r>
      <rPr>
        <sz val="11"/>
        <rFont val="宋体"/>
        <family val="3"/>
        <charset val="134"/>
      </rPr>
      <t>F155</t>
    </r>
    <r>
      <rPr>
        <sz val="12"/>
        <rFont val="宋体"/>
        <family val="3"/>
        <charset val="134"/>
      </rPr>
      <t/>
    </r>
  </si>
  <si>
    <r>
      <t>1</t>
    </r>
    <r>
      <rPr>
        <sz val="11"/>
        <rFont val="宋体"/>
        <family val="3"/>
        <charset val="134"/>
      </rPr>
      <t>F156</t>
    </r>
    <r>
      <rPr>
        <sz val="12"/>
        <rFont val="宋体"/>
        <family val="3"/>
        <charset val="134"/>
      </rPr>
      <t/>
    </r>
  </si>
  <si>
    <r>
      <t>1</t>
    </r>
    <r>
      <rPr>
        <sz val="11"/>
        <rFont val="宋体"/>
        <family val="3"/>
        <charset val="134"/>
      </rPr>
      <t>F157</t>
    </r>
    <r>
      <rPr>
        <sz val="12"/>
        <rFont val="宋体"/>
        <family val="3"/>
        <charset val="134"/>
      </rPr>
      <t/>
    </r>
  </si>
  <si>
    <r>
      <t>1</t>
    </r>
    <r>
      <rPr>
        <sz val="11"/>
        <rFont val="宋体"/>
        <family val="3"/>
        <charset val="134"/>
      </rPr>
      <t>F158</t>
    </r>
    <r>
      <rPr>
        <sz val="12"/>
        <rFont val="宋体"/>
        <family val="3"/>
        <charset val="134"/>
      </rPr>
      <t/>
    </r>
  </si>
  <si>
    <r>
      <t>1</t>
    </r>
    <r>
      <rPr>
        <sz val="11"/>
        <rFont val="宋体"/>
        <family val="3"/>
        <charset val="134"/>
      </rPr>
      <t>F159</t>
    </r>
    <r>
      <rPr>
        <sz val="12"/>
        <rFont val="宋体"/>
        <family val="3"/>
        <charset val="134"/>
      </rPr>
      <t/>
    </r>
  </si>
  <si>
    <r>
      <t>1</t>
    </r>
    <r>
      <rPr>
        <sz val="11"/>
        <rFont val="宋体"/>
        <family val="3"/>
        <charset val="134"/>
      </rPr>
      <t>F160</t>
    </r>
    <r>
      <rPr>
        <sz val="12"/>
        <rFont val="宋体"/>
        <family val="3"/>
        <charset val="134"/>
      </rPr>
      <t/>
    </r>
  </si>
  <si>
    <r>
      <t>1</t>
    </r>
    <r>
      <rPr>
        <sz val="11"/>
        <rFont val="宋体"/>
        <family val="3"/>
        <charset val="134"/>
      </rPr>
      <t>F161</t>
    </r>
    <r>
      <rPr>
        <sz val="12"/>
        <rFont val="宋体"/>
        <family val="3"/>
        <charset val="134"/>
      </rPr>
      <t/>
    </r>
  </si>
  <si>
    <r>
      <t>1</t>
    </r>
    <r>
      <rPr>
        <sz val="11"/>
        <rFont val="宋体"/>
        <family val="3"/>
        <charset val="134"/>
      </rPr>
      <t>F162</t>
    </r>
    <r>
      <rPr>
        <sz val="12"/>
        <rFont val="宋体"/>
        <family val="3"/>
        <charset val="134"/>
      </rPr>
      <t/>
    </r>
  </si>
  <si>
    <r>
      <t>1</t>
    </r>
    <r>
      <rPr>
        <sz val="11"/>
        <rFont val="宋体"/>
        <family val="3"/>
        <charset val="134"/>
      </rPr>
      <t>F163</t>
    </r>
    <r>
      <rPr>
        <sz val="12"/>
        <rFont val="宋体"/>
        <family val="3"/>
        <charset val="134"/>
      </rPr>
      <t/>
    </r>
  </si>
  <si>
    <r>
      <t>1</t>
    </r>
    <r>
      <rPr>
        <sz val="11"/>
        <rFont val="宋体"/>
        <family val="3"/>
        <charset val="134"/>
      </rPr>
      <t>F164</t>
    </r>
    <r>
      <rPr>
        <sz val="12"/>
        <rFont val="宋体"/>
        <family val="3"/>
        <charset val="134"/>
      </rPr>
      <t/>
    </r>
  </si>
  <si>
    <r>
      <t>1</t>
    </r>
    <r>
      <rPr>
        <sz val="11"/>
        <rFont val="宋体"/>
        <family val="3"/>
        <charset val="134"/>
      </rPr>
      <t>F165</t>
    </r>
    <r>
      <rPr>
        <sz val="12"/>
        <rFont val="宋体"/>
        <family val="3"/>
        <charset val="134"/>
      </rPr>
      <t/>
    </r>
  </si>
  <si>
    <r>
      <t>1</t>
    </r>
    <r>
      <rPr>
        <sz val="11"/>
        <rFont val="宋体"/>
        <family val="3"/>
        <charset val="134"/>
      </rPr>
      <t>F166</t>
    </r>
    <r>
      <rPr>
        <sz val="12"/>
        <rFont val="宋体"/>
        <family val="3"/>
        <charset val="134"/>
      </rPr>
      <t/>
    </r>
  </si>
  <si>
    <r>
      <t>1</t>
    </r>
    <r>
      <rPr>
        <sz val="11"/>
        <rFont val="宋体"/>
        <family val="3"/>
        <charset val="134"/>
      </rPr>
      <t>F167</t>
    </r>
    <r>
      <rPr>
        <sz val="12"/>
        <rFont val="宋体"/>
        <family val="3"/>
        <charset val="134"/>
      </rPr>
      <t/>
    </r>
  </si>
  <si>
    <r>
      <t>1</t>
    </r>
    <r>
      <rPr>
        <sz val="11"/>
        <rFont val="宋体"/>
        <family val="3"/>
        <charset val="134"/>
      </rPr>
      <t>F168</t>
    </r>
    <r>
      <rPr>
        <sz val="12"/>
        <rFont val="宋体"/>
        <family val="3"/>
        <charset val="134"/>
      </rPr>
      <t/>
    </r>
  </si>
  <si>
    <r>
      <t>1</t>
    </r>
    <r>
      <rPr>
        <sz val="11"/>
        <rFont val="宋体"/>
        <family val="3"/>
        <charset val="134"/>
      </rPr>
      <t>F169</t>
    </r>
    <r>
      <rPr>
        <sz val="12"/>
        <rFont val="宋体"/>
        <family val="3"/>
        <charset val="134"/>
      </rPr>
      <t/>
    </r>
  </si>
  <si>
    <r>
      <t>1</t>
    </r>
    <r>
      <rPr>
        <sz val="11"/>
        <rFont val="宋体"/>
        <family val="3"/>
        <charset val="134"/>
      </rPr>
      <t>F170</t>
    </r>
    <r>
      <rPr>
        <sz val="12"/>
        <rFont val="宋体"/>
        <family val="3"/>
        <charset val="134"/>
      </rPr>
      <t/>
    </r>
  </si>
  <si>
    <r>
      <t>1</t>
    </r>
    <r>
      <rPr>
        <sz val="11"/>
        <rFont val="宋体"/>
        <family val="3"/>
        <charset val="134"/>
      </rPr>
      <t>F171</t>
    </r>
    <r>
      <rPr>
        <sz val="12"/>
        <rFont val="宋体"/>
        <family val="3"/>
        <charset val="134"/>
      </rPr>
      <t/>
    </r>
  </si>
  <si>
    <r>
      <t>1</t>
    </r>
    <r>
      <rPr>
        <sz val="11"/>
        <rFont val="宋体"/>
        <family val="3"/>
        <charset val="134"/>
      </rPr>
      <t>F172</t>
    </r>
    <r>
      <rPr>
        <sz val="12"/>
        <rFont val="宋体"/>
        <family val="3"/>
        <charset val="134"/>
      </rPr>
      <t/>
    </r>
  </si>
  <si>
    <r>
      <t>1</t>
    </r>
    <r>
      <rPr>
        <sz val="11"/>
        <rFont val="宋体"/>
        <family val="3"/>
        <charset val="134"/>
      </rPr>
      <t>F173</t>
    </r>
    <r>
      <rPr>
        <sz val="12"/>
        <rFont val="宋体"/>
        <family val="3"/>
        <charset val="134"/>
      </rPr>
      <t/>
    </r>
  </si>
  <si>
    <t>地下车库</t>
    <phoneticPr fontId="265" type="noConversion"/>
  </si>
  <si>
    <r>
      <t>1</t>
    </r>
    <r>
      <rPr>
        <sz val="11"/>
        <rFont val="宋体"/>
        <family val="3"/>
        <charset val="134"/>
      </rPr>
      <t>F174</t>
    </r>
    <r>
      <rPr>
        <sz val="12"/>
        <rFont val="宋体"/>
        <family val="3"/>
        <charset val="134"/>
      </rPr>
      <t/>
    </r>
  </si>
  <si>
    <r>
      <t>1</t>
    </r>
    <r>
      <rPr>
        <sz val="11"/>
        <rFont val="宋体"/>
        <family val="3"/>
        <charset val="134"/>
      </rPr>
      <t>F175</t>
    </r>
    <r>
      <rPr>
        <sz val="12"/>
        <rFont val="宋体"/>
        <family val="3"/>
        <charset val="134"/>
      </rPr>
      <t/>
    </r>
  </si>
  <si>
    <r>
      <t>1</t>
    </r>
    <r>
      <rPr>
        <sz val="11"/>
        <rFont val="宋体"/>
        <family val="3"/>
        <charset val="134"/>
      </rPr>
      <t>F176</t>
    </r>
    <r>
      <rPr>
        <sz val="12"/>
        <rFont val="宋体"/>
        <family val="3"/>
        <charset val="134"/>
      </rPr>
      <t/>
    </r>
  </si>
  <si>
    <r>
      <t>1</t>
    </r>
    <r>
      <rPr>
        <sz val="11"/>
        <rFont val="宋体"/>
        <family val="3"/>
        <charset val="134"/>
      </rPr>
      <t>F177</t>
    </r>
    <r>
      <rPr>
        <sz val="12"/>
        <rFont val="宋体"/>
        <family val="3"/>
        <charset val="134"/>
      </rPr>
      <t/>
    </r>
  </si>
  <si>
    <r>
      <t>1</t>
    </r>
    <r>
      <rPr>
        <sz val="11"/>
        <rFont val="宋体"/>
        <family val="3"/>
        <charset val="134"/>
      </rPr>
      <t>F180</t>
    </r>
    <r>
      <rPr>
        <sz val="12"/>
        <rFont val="宋体"/>
        <family val="3"/>
        <charset val="134"/>
      </rPr>
      <t/>
    </r>
  </si>
  <si>
    <r>
      <t>1</t>
    </r>
    <r>
      <rPr>
        <sz val="11"/>
        <rFont val="宋体"/>
        <family val="3"/>
        <charset val="134"/>
      </rPr>
      <t>F181</t>
    </r>
    <r>
      <rPr>
        <sz val="12"/>
        <rFont val="宋体"/>
        <family val="3"/>
        <charset val="134"/>
      </rPr>
      <t/>
    </r>
  </si>
  <si>
    <r>
      <t>1</t>
    </r>
    <r>
      <rPr>
        <sz val="11"/>
        <rFont val="宋体"/>
        <family val="3"/>
        <charset val="134"/>
      </rPr>
      <t>F182</t>
    </r>
    <r>
      <rPr>
        <sz val="12"/>
        <rFont val="宋体"/>
        <family val="3"/>
        <charset val="134"/>
      </rPr>
      <t/>
    </r>
  </si>
  <si>
    <r>
      <t>1</t>
    </r>
    <r>
      <rPr>
        <sz val="11"/>
        <rFont val="宋体"/>
        <family val="3"/>
        <charset val="134"/>
      </rPr>
      <t>F183</t>
    </r>
    <r>
      <rPr>
        <sz val="12"/>
        <rFont val="宋体"/>
        <family val="3"/>
        <charset val="134"/>
      </rPr>
      <t/>
    </r>
  </si>
  <si>
    <r>
      <t>1</t>
    </r>
    <r>
      <rPr>
        <sz val="11"/>
        <rFont val="宋体"/>
        <family val="3"/>
        <charset val="134"/>
      </rPr>
      <t>F184</t>
    </r>
    <r>
      <rPr>
        <sz val="12"/>
        <rFont val="宋体"/>
        <family val="3"/>
        <charset val="134"/>
      </rPr>
      <t/>
    </r>
  </si>
  <si>
    <r>
      <t>1</t>
    </r>
    <r>
      <rPr>
        <sz val="11"/>
        <rFont val="宋体"/>
        <family val="3"/>
        <charset val="134"/>
      </rPr>
      <t>F185</t>
    </r>
    <r>
      <rPr>
        <sz val="12"/>
        <rFont val="宋体"/>
        <family val="3"/>
        <charset val="134"/>
      </rPr>
      <t/>
    </r>
  </si>
  <si>
    <r>
      <t>1</t>
    </r>
    <r>
      <rPr>
        <sz val="11"/>
        <rFont val="宋体"/>
        <family val="3"/>
        <charset val="134"/>
      </rPr>
      <t>F186</t>
    </r>
    <r>
      <rPr>
        <sz val="12"/>
        <rFont val="宋体"/>
        <family val="3"/>
        <charset val="134"/>
      </rPr>
      <t/>
    </r>
  </si>
  <si>
    <r>
      <t>1</t>
    </r>
    <r>
      <rPr>
        <sz val="11"/>
        <rFont val="宋体"/>
        <family val="3"/>
        <charset val="134"/>
      </rPr>
      <t>F187</t>
    </r>
    <r>
      <rPr>
        <sz val="12"/>
        <rFont val="宋体"/>
        <family val="3"/>
        <charset val="134"/>
      </rPr>
      <t/>
    </r>
  </si>
  <si>
    <r>
      <t>1</t>
    </r>
    <r>
      <rPr>
        <sz val="11"/>
        <rFont val="宋体"/>
        <family val="3"/>
        <charset val="134"/>
      </rPr>
      <t>F188</t>
    </r>
    <r>
      <rPr>
        <sz val="12"/>
        <rFont val="宋体"/>
        <family val="3"/>
        <charset val="134"/>
      </rPr>
      <t/>
    </r>
  </si>
  <si>
    <r>
      <t>1</t>
    </r>
    <r>
      <rPr>
        <sz val="11"/>
        <rFont val="宋体"/>
        <family val="3"/>
        <charset val="134"/>
      </rPr>
      <t>F189</t>
    </r>
    <r>
      <rPr>
        <sz val="12"/>
        <rFont val="宋体"/>
        <family val="3"/>
        <charset val="134"/>
      </rPr>
      <t/>
    </r>
  </si>
  <si>
    <r>
      <t>1</t>
    </r>
    <r>
      <rPr>
        <sz val="11"/>
        <rFont val="宋体"/>
        <family val="3"/>
        <charset val="134"/>
      </rPr>
      <t>F190</t>
    </r>
    <r>
      <rPr>
        <sz val="12"/>
        <rFont val="宋体"/>
        <family val="3"/>
        <charset val="134"/>
      </rPr>
      <t/>
    </r>
  </si>
  <si>
    <r>
      <t>1</t>
    </r>
    <r>
      <rPr>
        <sz val="11"/>
        <rFont val="宋体"/>
        <family val="3"/>
        <charset val="134"/>
      </rPr>
      <t>F191</t>
    </r>
    <r>
      <rPr>
        <sz val="12"/>
        <rFont val="宋体"/>
        <family val="3"/>
        <charset val="134"/>
      </rPr>
      <t/>
    </r>
  </si>
  <si>
    <t>合计</t>
    <phoneticPr fontId="265" type="noConversion"/>
  </si>
  <si>
    <t>昆明时光</t>
    <phoneticPr fontId="3" type="noConversion"/>
  </si>
  <si>
    <t>巨威·大秦郡</t>
    <phoneticPr fontId="3" type="noConversion"/>
  </si>
  <si>
    <t>昆明湖畔</t>
    <phoneticPr fontId="3" type="noConversion"/>
  </si>
  <si>
    <t>和平春天</t>
    <phoneticPr fontId="3" type="noConversion"/>
  </si>
  <si>
    <t>西安市大庆路西阿房一路东段</t>
    <phoneticPr fontId="3" type="noConversion"/>
  </si>
  <si>
    <t>西安市昆明路与西三环交汇处东北角</t>
    <phoneticPr fontId="3" type="noConversion"/>
  </si>
  <si>
    <t>西安市三桥街道红光路和平村</t>
    <phoneticPr fontId="3" type="noConversion"/>
  </si>
  <si>
    <t>地下车库</t>
    <phoneticPr fontId="46" type="noConversion"/>
  </si>
  <si>
    <t>40-50（含）</t>
  </si>
  <si>
    <t>较好</t>
  </si>
  <si>
    <t>一般</t>
  </si>
  <si>
    <t>七通</t>
  </si>
  <si>
    <t>地下车库1F101</t>
  </si>
  <si>
    <t>住宅</t>
    <phoneticPr fontId="46" type="noConversion"/>
  </si>
  <si>
    <t>专业</t>
  </si>
  <si>
    <t>专业</t>
    <phoneticPr fontId="46" type="noConversion"/>
  </si>
  <si>
    <t>平面</t>
  </si>
  <si>
    <t>平面</t>
    <phoneticPr fontId="46" type="noConversion"/>
  </si>
  <si>
    <t>立体</t>
    <phoneticPr fontId="46" type="noConversion"/>
  </si>
  <si>
    <t>是</t>
    <phoneticPr fontId="46" type="noConversion"/>
  </si>
  <si>
    <t>否</t>
    <phoneticPr fontId="46" type="noConversion"/>
  </si>
  <si>
    <t>比较法-车位</t>
  </si>
  <si>
    <t>类型</t>
    <phoneticPr fontId="205" type="noConversion"/>
  </si>
  <si>
    <t>面积</t>
    <phoneticPr fontId="205" type="noConversion"/>
  </si>
  <si>
    <t>总价</t>
    <phoneticPr fontId="205" type="noConversion"/>
  </si>
  <si>
    <t>单价</t>
    <phoneticPr fontId="205" type="noConversion"/>
  </si>
  <si>
    <t>住宅</t>
    <phoneticPr fontId="205" type="noConversion"/>
  </si>
  <si>
    <t>地下车库</t>
    <phoneticPr fontId="205" type="noConversion"/>
  </si>
  <si>
    <t>合计</t>
    <phoneticPr fontId="205" type="noConversion"/>
  </si>
  <si>
    <t>收益法-住宅</t>
  </si>
  <si>
    <t>收益法-住宅</t>
    <phoneticPr fontId="17" type="noConversion"/>
  </si>
  <si>
    <t>《国有土地使用证》[西未国用（2012出）第063、065号]、《抵押物清单》</t>
    <phoneticPr fontId="6" type="noConversion"/>
  </si>
  <si>
    <t>地块位置</t>
    <phoneticPr fontId="205" type="noConversion"/>
  </si>
  <si>
    <r>
      <t>D</t>
    </r>
    <r>
      <rPr>
        <sz val="11"/>
        <color theme="1"/>
        <rFont val="宋体"/>
        <family val="3"/>
        <charset val="134"/>
        <scheme val="minor"/>
      </rPr>
      <t>K1</t>
    </r>
    <phoneticPr fontId="205" type="noConversion"/>
  </si>
  <si>
    <r>
      <t>D</t>
    </r>
    <r>
      <rPr>
        <sz val="11"/>
        <color theme="1"/>
        <rFont val="宋体"/>
        <family val="3"/>
        <charset val="134"/>
        <scheme val="minor"/>
      </rPr>
      <t>K2</t>
    </r>
    <phoneticPr fontId="205" type="noConversion"/>
  </si>
  <si>
    <r>
      <t>D</t>
    </r>
    <r>
      <rPr>
        <sz val="11"/>
        <color theme="1"/>
        <rFont val="宋体"/>
        <family val="3"/>
        <charset val="134"/>
        <scheme val="minor"/>
      </rPr>
      <t>K3</t>
    </r>
    <phoneticPr fontId="205" type="noConversion"/>
  </si>
  <si>
    <t>住宅</t>
    <phoneticPr fontId="205" type="noConversion"/>
  </si>
  <si>
    <t>商业</t>
    <phoneticPr fontId="205" type="noConversion"/>
  </si>
  <si>
    <t>地下车库</t>
    <phoneticPr fontId="205" type="noConversion"/>
  </si>
  <si>
    <t>合计</t>
    <phoneticPr fontId="205" type="noConversion"/>
  </si>
  <si>
    <t>价值及面积统计</t>
    <phoneticPr fontId="205" type="noConversion"/>
  </si>
  <si>
    <t>价值</t>
    <phoneticPr fontId="205" type="noConversion"/>
  </si>
  <si>
    <t>面积</t>
    <phoneticPr fontId="205" type="noConversion"/>
  </si>
  <si>
    <t>单价</t>
    <phoneticPr fontId="205" type="noConversion"/>
  </si>
  <si>
    <t>出让金+开发费</t>
  </si>
  <si>
    <t>成本比率</t>
  </si>
  <si>
    <t>项 目 名 称</t>
  </si>
  <si>
    <t>西安市西安市未央区三桥街办昆明路立交以西房地产（中国国际科技会展中心）出让国有建设用地使用权及在建建筑物房地产</t>
  </si>
  <si>
    <t>估价师知悉的法定优先受偿款</t>
  </si>
  <si>
    <t>肆拾伍万元整</t>
  </si>
  <si>
    <t>分摊土地面积</t>
    <phoneticPr fontId="205" type="noConversion"/>
  </si>
  <si>
    <t>元整</t>
    <phoneticPr fontId="205" type="noConversion"/>
  </si>
  <si>
    <t>零元整</t>
    <phoneticPr fontId="205" type="noConversion"/>
  </si>
  <si>
    <t>抵押净值</t>
    <phoneticPr fontId="205" type="noConversion"/>
  </si>
  <si>
    <t>单位：平方米、万元、元/平方米（币种：人民币）</t>
    <phoneticPr fontId="205" type="noConversion"/>
  </si>
  <si>
    <t>单价</t>
    <phoneticPr fontId="8" type="noConversion"/>
  </si>
  <si>
    <t>总价</t>
    <phoneticPr fontId="8" type="noConversion"/>
  </si>
  <si>
    <t>自定义</t>
  </si>
  <si>
    <t>收益法-住宅 (2)</t>
  </si>
  <si>
    <t>收益法-住宅 (2)</t>
    <phoneticPr fontId="17" type="noConversion"/>
  </si>
  <si>
    <t>收益法-车位1</t>
    <phoneticPr fontId="17" type="noConversion"/>
  </si>
  <si>
    <t xml:space="preserve">               估价对象项目及结果</t>
  </si>
  <si>
    <t>西安市未央区三桥街办昆明路立交以西昆明时光项目WY5-63-403地块部分住宅用房房地产</t>
  </si>
  <si>
    <t>西安市未央区三桥街办昆明路立交以西昆明时光项目WY5-63-403地块部分地下车库用房房地产</t>
  </si>
  <si>
    <t>估价对象总计</t>
  </si>
  <si>
    <r>
      <t>1.</t>
    </r>
    <r>
      <rPr>
        <sz val="12"/>
        <color rgb="FF000000"/>
        <rFont val="楷体_GB2312"/>
        <family val="3"/>
        <charset val="134"/>
      </rPr>
      <t>房地产价值</t>
    </r>
  </si>
  <si>
    <r>
      <t>2.</t>
    </r>
    <r>
      <rPr>
        <sz val="12"/>
        <color rgb="FF000000"/>
        <rFont val="楷体_GB2312"/>
        <family val="3"/>
        <charset val="134"/>
      </rPr>
      <t>估价师知悉的法定优先受偿款</t>
    </r>
  </si>
  <si>
    <r>
      <t>（</t>
    </r>
    <r>
      <rPr>
        <sz val="12"/>
        <color rgb="FF000000"/>
        <rFont val="Arial"/>
        <family val="2"/>
      </rPr>
      <t>1</t>
    </r>
    <r>
      <rPr>
        <sz val="12"/>
        <color rgb="FF000000"/>
        <rFont val="楷体_GB2312"/>
        <family val="3"/>
        <charset val="134"/>
      </rPr>
      <t>）已抵押担保的债权数额</t>
    </r>
  </si>
  <si>
    <r>
      <t>（</t>
    </r>
    <r>
      <rPr>
        <sz val="12"/>
        <color rgb="FF000000"/>
        <rFont val="Arial"/>
        <family val="2"/>
      </rPr>
      <t>2</t>
    </r>
    <r>
      <rPr>
        <sz val="12"/>
        <color rgb="FF000000"/>
        <rFont val="楷体_GB2312"/>
        <family val="3"/>
        <charset val="134"/>
      </rPr>
      <t>）拖欠的建设工程价款</t>
    </r>
  </si>
  <si>
    <r>
      <t>（</t>
    </r>
    <r>
      <rPr>
        <sz val="12"/>
        <color rgb="FF000000"/>
        <rFont val="Arial"/>
        <family val="2"/>
      </rPr>
      <t>3</t>
    </r>
    <r>
      <rPr>
        <sz val="12"/>
        <color rgb="FF000000"/>
        <rFont val="楷体_GB2312"/>
        <family val="3"/>
        <charset val="134"/>
      </rPr>
      <t>）其他法定优先受偿款</t>
    </r>
  </si>
  <si>
    <r>
      <t>3.</t>
    </r>
    <r>
      <rPr>
        <sz val="12"/>
        <color rgb="FF000000"/>
        <rFont val="楷体_GB2312"/>
        <family val="3"/>
        <charset val="134"/>
      </rPr>
      <t>房地产抵押价值</t>
    </r>
  </si>
  <si>
    <t xml:space="preserve">             估价方法及结果估价对象及结果</t>
  </si>
  <si>
    <t>收益法</t>
  </si>
  <si>
    <t>汇总评估价值</t>
  </si>
  <si>
    <t>万元整</t>
    <phoneticPr fontId="205" type="noConversion"/>
  </si>
  <si>
    <t>零万元整</t>
    <phoneticPr fontId="205" type="noConversion"/>
  </si>
  <si>
    <r>
      <t>4</t>
    </r>
    <r>
      <rPr>
        <sz val="11"/>
        <color theme="1"/>
        <rFont val="宋体"/>
        <family val="3"/>
        <charset val="134"/>
        <scheme val="minor"/>
      </rPr>
      <t>.</t>
    </r>
    <r>
      <rPr>
        <sz val="11"/>
        <color theme="1"/>
        <rFont val="宋体"/>
        <family val="3"/>
        <charset val="134"/>
        <scheme val="minor"/>
      </rPr>
      <t>扣除土地增值税后的抵押价值</t>
    </r>
    <phoneticPr fontId="205" type="noConversion"/>
  </si>
  <si>
    <t>序号</t>
    <phoneticPr fontId="205" type="noConversion"/>
  </si>
  <si>
    <t>用途</t>
    <phoneticPr fontId="205" type="noConversion"/>
  </si>
  <si>
    <t>房号</t>
    <phoneticPr fontId="205" type="noConversion"/>
  </si>
  <si>
    <t>住宅</t>
    <phoneticPr fontId="205" type="noConversion"/>
  </si>
  <si>
    <t>建筑面积</t>
    <phoneticPr fontId="205" type="noConversion"/>
  </si>
  <si>
    <t>分摊土地面积</t>
    <phoneticPr fontId="205" type="noConversion"/>
  </si>
  <si>
    <t>合计</t>
    <phoneticPr fontId="205" type="noConversion"/>
  </si>
  <si>
    <t>建筑面积（平方米）</t>
  </si>
  <si>
    <t>分摊土地面积（平方米）</t>
  </si>
  <si>
    <t>DK1-1-10703</t>
  </si>
  <si>
    <t>DK1-1-13303</t>
  </si>
  <si>
    <t>DK1-2-11805</t>
  </si>
  <si>
    <t>1F101</t>
  </si>
  <si>
    <t>1F103</t>
  </si>
  <si>
    <t>1F104</t>
  </si>
  <si>
    <t>1F105</t>
  </si>
  <si>
    <t>1F106</t>
  </si>
  <si>
    <t>1F107</t>
  </si>
  <si>
    <t>1F108</t>
  </si>
  <si>
    <t>1F109</t>
  </si>
  <si>
    <t>1F110</t>
  </si>
  <si>
    <t>1F111</t>
  </si>
  <si>
    <t>1F112</t>
  </si>
  <si>
    <t>1F114</t>
  </si>
  <si>
    <t>1F115</t>
  </si>
  <si>
    <t>1F116</t>
  </si>
  <si>
    <t>1F118</t>
  </si>
  <si>
    <t>1F120</t>
  </si>
  <si>
    <t>1F121</t>
  </si>
  <si>
    <t>1F124</t>
  </si>
  <si>
    <t>1F126</t>
  </si>
  <si>
    <t>1F127</t>
  </si>
  <si>
    <t>1F128</t>
  </si>
  <si>
    <t>1F129</t>
  </si>
  <si>
    <t>1F131</t>
  </si>
  <si>
    <t>1F132</t>
  </si>
  <si>
    <t>1F134</t>
  </si>
  <si>
    <t>1F135</t>
  </si>
  <si>
    <t>1F136</t>
  </si>
  <si>
    <t>1F137</t>
  </si>
  <si>
    <t>1F138</t>
  </si>
  <si>
    <t>1F139</t>
  </si>
  <si>
    <t>1F140</t>
  </si>
  <si>
    <t>1F141</t>
  </si>
  <si>
    <t>1F142</t>
  </si>
  <si>
    <t>1F143</t>
  </si>
  <si>
    <t>1F144</t>
  </si>
  <si>
    <t>1F145</t>
  </si>
  <si>
    <t>1F146</t>
  </si>
  <si>
    <t>1F147</t>
  </si>
  <si>
    <t>1F148</t>
  </si>
  <si>
    <t>1F150</t>
  </si>
  <si>
    <t>1F151</t>
  </si>
  <si>
    <t>1F152</t>
  </si>
  <si>
    <t>1F153</t>
  </si>
  <si>
    <t>1F154</t>
  </si>
  <si>
    <t>1F155</t>
  </si>
  <si>
    <t>1F156</t>
  </si>
  <si>
    <t>1F157</t>
  </si>
  <si>
    <t>1F158</t>
  </si>
  <si>
    <t>1F159</t>
  </si>
  <si>
    <t>1F160</t>
  </si>
  <si>
    <t>1F161</t>
  </si>
  <si>
    <t>1F162</t>
  </si>
  <si>
    <t>1F163</t>
  </si>
  <si>
    <t>1F164</t>
  </si>
  <si>
    <t>1F165</t>
  </si>
  <si>
    <t>1F166</t>
  </si>
  <si>
    <t>1F167</t>
  </si>
  <si>
    <t>1F168</t>
  </si>
  <si>
    <t>1F169</t>
  </si>
  <si>
    <t>1F170</t>
  </si>
  <si>
    <t>1F171</t>
  </si>
  <si>
    <t>1F172</t>
  </si>
  <si>
    <t>1F173</t>
  </si>
  <si>
    <t>1F174</t>
  </si>
  <si>
    <t>1F175</t>
  </si>
  <si>
    <t>1F176</t>
  </si>
  <si>
    <t>1F177</t>
  </si>
  <si>
    <t>1F180</t>
  </si>
  <si>
    <t>1F181</t>
  </si>
  <si>
    <t>1F182</t>
  </si>
  <si>
    <t>1F183</t>
  </si>
  <si>
    <t>1F184</t>
  </si>
  <si>
    <t>1F185</t>
  </si>
  <si>
    <t>1F186</t>
  </si>
  <si>
    <t>1F187</t>
  </si>
  <si>
    <t>1F188</t>
  </si>
  <si>
    <t>1F189</t>
  </si>
  <si>
    <t>1F190</t>
  </si>
  <si>
    <t>1F191</t>
  </si>
  <si>
    <t>小计</t>
    <phoneticPr fontId="205" type="noConversion"/>
  </si>
  <si>
    <t>合计</t>
    <phoneticPr fontId="205" type="noConversion"/>
  </si>
  <si>
    <t>/</t>
    <phoneticPr fontId="205" type="noConversion"/>
  </si>
  <si>
    <t>/</t>
    <phoneticPr fontId="205" type="noConversion"/>
  </si>
</sst>
</file>

<file path=xl/styles.xml><?xml version="1.0" encoding="utf-8"?>
<styleSheet xmlns="http://schemas.openxmlformats.org/spreadsheetml/2006/main">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b/>
      <sz val="11"/>
      <name val="宋体"/>
      <family val="3"/>
      <charset val="134"/>
      <scheme val="minor"/>
    </font>
    <font>
      <sz val="10.5"/>
      <color rgb="FF000000"/>
      <name val="楷体_GB2312"/>
      <family val="3"/>
      <charset val="134"/>
    </font>
    <font>
      <sz val="10.5"/>
      <color rgb="FF000000"/>
      <name val="Arial"/>
      <family val="2"/>
    </font>
    <font>
      <sz val="9"/>
      <name val="宋体"/>
      <family val="2"/>
      <charset val="134"/>
      <scheme val="minor"/>
    </font>
    <font>
      <sz val="10.5"/>
      <color theme="1"/>
      <name val="楷体_GB2312"/>
      <family val="3"/>
      <charset val="134"/>
    </font>
    <font>
      <sz val="12"/>
      <color rgb="FFE36C0A"/>
      <name val="楷体_GB2312"/>
      <family val="3"/>
      <charset val="134"/>
    </font>
    <font>
      <sz val="12"/>
      <color rgb="FFE36C0A"/>
      <name val="Arial"/>
      <family val="2"/>
    </font>
    <font>
      <i/>
      <sz val="12"/>
      <color rgb="FF548DD4"/>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
      <patternFill patternType="solid">
        <fgColor theme="8" tint="0.79998168889431442"/>
        <bgColor indexed="64"/>
      </patternFill>
    </fill>
  </fills>
  <borders count="17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
        <color indexed="64"/>
      </left>
      <right style="medium">
        <color indexed="64"/>
      </right>
      <top style="double">
        <color indexed="64"/>
      </top>
      <bottom/>
      <diagonal/>
    </border>
    <border>
      <left/>
      <right style="medium">
        <color indexed="64"/>
      </right>
      <top style="double">
        <color indexed="64"/>
      </top>
      <bottom style="medium">
        <color indexed="64"/>
      </bottom>
      <diagonal/>
    </border>
    <border>
      <left style="medium">
        <color indexed="64"/>
      </left>
      <right/>
      <top style="double">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diagonalDown="1">
      <left style="medium">
        <color indexed="64"/>
      </left>
      <right/>
      <top style="double">
        <color indexed="64"/>
      </top>
      <bottom style="medium">
        <color indexed="64"/>
      </bottom>
      <diagonal style="thin">
        <color indexed="64"/>
      </diagonal>
    </border>
    <border diagonalDown="1">
      <left/>
      <right style="medium">
        <color rgb="FF000000"/>
      </right>
      <top style="double">
        <color indexed="64"/>
      </top>
      <bottom style="medium">
        <color indexed="64"/>
      </bottom>
      <diagonal style="thin">
        <color indexed="64"/>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diagonalDown="1">
      <left style="medium">
        <color indexed="64"/>
      </left>
      <right/>
      <top style="double">
        <color indexed="64"/>
      </top>
      <bottom/>
      <diagonal style="thin">
        <color indexed="64"/>
      </diagonal>
    </border>
    <border diagonalDown="1">
      <left/>
      <right style="medium">
        <color rgb="FF000000"/>
      </right>
      <top style="double">
        <color indexed="64"/>
      </top>
      <bottom/>
      <diagonal style="thin">
        <color indexed="64"/>
      </diagonal>
    </border>
    <border diagonalDown="1">
      <left style="medium">
        <color indexed="64"/>
      </left>
      <right/>
      <top/>
      <bottom style="medium">
        <color rgb="FF000000"/>
      </bottom>
      <diagonal style="thin">
        <color indexed="64"/>
      </diagonal>
    </border>
    <border diagonalDown="1">
      <left/>
      <right style="medium">
        <color rgb="FF000000"/>
      </right>
      <top/>
      <bottom style="medium">
        <color rgb="FF000000"/>
      </bottom>
      <diagonal style="thin">
        <color indexed="64"/>
      </diagonal>
    </border>
    <border>
      <left style="medium">
        <color indexed="64"/>
      </left>
      <right style="medium">
        <color indexed="64"/>
      </right>
      <top/>
      <bottom style="double">
        <color indexed="64"/>
      </bottom>
      <diagonal/>
    </border>
    <border>
      <left style="medium">
        <color rgb="FF000000"/>
      </left>
      <right/>
      <top style="double">
        <color indexed="64"/>
      </top>
      <bottom style="medium">
        <color indexed="64"/>
      </bottom>
      <diagonal/>
    </border>
  </borders>
  <cellStyleXfs count="14">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xf numFmtId="0" fontId="130" fillId="0" borderId="0">
      <alignment vertical="center"/>
    </xf>
  </cellStyleXfs>
  <cellXfs count="3869">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49" fontId="177" fillId="0" borderId="4"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11" fillId="6" borderId="10"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0" fontId="71" fillId="6" borderId="48"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248" fillId="6" borderId="1" xfId="0" applyFont="1" applyFill="1" applyBorder="1" applyAlignment="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130" fillId="0" borderId="0" xfId="0" applyFont="1">
      <alignment vertical="center"/>
    </xf>
    <xf numFmtId="0" fontId="156" fillId="5" borderId="0" xfId="0" applyFont="1" applyFill="1">
      <alignment vertical="center"/>
    </xf>
    <xf numFmtId="0" fontId="262" fillId="16" borderId="0" xfId="0" applyFont="1" applyFill="1">
      <alignment vertical="center"/>
    </xf>
    <xf numFmtId="0" fontId="263" fillId="0" borderId="82" xfId="0" applyFont="1" applyBorder="1" applyAlignment="1">
      <alignment horizontal="center" vertical="center" wrapText="1"/>
    </xf>
    <xf numFmtId="0" fontId="263" fillId="0" borderId="65" xfId="0" applyFont="1" applyBorder="1" applyAlignment="1">
      <alignment horizontal="center" vertical="center" wrapText="1"/>
    </xf>
    <xf numFmtId="0" fontId="263" fillId="0" borderId="43" xfId="0" applyFont="1" applyBorder="1" applyAlignment="1">
      <alignment horizontal="center" vertical="center" wrapText="1"/>
    </xf>
    <xf numFmtId="0" fontId="264" fillId="0" borderId="43" xfId="0" applyFont="1" applyBorder="1" applyAlignment="1">
      <alignment horizontal="center" vertical="center" wrapText="1"/>
    </xf>
    <xf numFmtId="0" fontId="263" fillId="0" borderId="81" xfId="0" applyFont="1" applyBorder="1" applyAlignment="1">
      <alignment horizontal="center" vertical="center" wrapText="1"/>
    </xf>
    <xf numFmtId="0" fontId="129" fillId="0" borderId="1" xfId="0" applyFont="1" applyBorder="1" applyAlignment="1">
      <alignment horizontal="center" vertical="center"/>
    </xf>
    <xf numFmtId="0" fontId="0" fillId="0" borderId="1" xfId="0" applyBorder="1">
      <alignment vertical="center"/>
    </xf>
    <xf numFmtId="0" fontId="129" fillId="7" borderId="1" xfId="0" applyFont="1" applyFill="1" applyBorder="1" applyAlignment="1">
      <alignment horizontal="center" vertical="center"/>
    </xf>
    <xf numFmtId="0" fontId="129" fillId="0" borderId="1" xfId="0" applyFont="1" applyFill="1" applyBorder="1" applyAlignment="1">
      <alignment horizontal="center" vertical="center" wrapText="1"/>
    </xf>
    <xf numFmtId="176" fontId="0" fillId="0" borderId="0" xfId="0" applyNumberFormat="1">
      <alignment vertical="center"/>
    </xf>
    <xf numFmtId="0" fontId="0" fillId="0" borderId="1" xfId="0" applyBorder="1" applyAlignment="1">
      <alignment horizontal="center" vertical="center"/>
    </xf>
    <xf numFmtId="0" fontId="129" fillId="0" borderId="1" xfId="0" applyFont="1" applyFill="1" applyBorder="1" applyAlignment="1">
      <alignment horizontal="center" vertical="center"/>
    </xf>
    <xf numFmtId="179" fontId="129" fillId="0" borderId="1" xfId="0" applyNumberFormat="1" applyFont="1" applyFill="1" applyBorder="1" applyAlignment="1">
      <alignment horizontal="center" vertical="center" wrapText="1"/>
    </xf>
    <xf numFmtId="0" fontId="194" fillId="0" borderId="1" xfId="13" applyFont="1" applyFill="1" applyBorder="1" applyAlignment="1">
      <alignment horizontal="center" vertical="center"/>
    </xf>
    <xf numFmtId="0" fontId="129" fillId="17" borderId="1" xfId="0" applyFont="1" applyFill="1" applyBorder="1" applyAlignment="1">
      <alignment horizontal="center" vertical="center"/>
    </xf>
    <xf numFmtId="0" fontId="194" fillId="17" borderId="1" xfId="13" applyFont="1" applyFill="1" applyBorder="1" applyAlignment="1">
      <alignment horizontal="center" vertical="center"/>
    </xf>
    <xf numFmtId="179" fontId="129" fillId="0" borderId="1" xfId="0" applyNumberFormat="1" applyFont="1" applyFill="1" applyBorder="1" applyAlignment="1">
      <alignment horizontal="center"/>
    </xf>
    <xf numFmtId="179" fontId="129" fillId="17" borderId="1" xfId="0" applyNumberFormat="1" applyFont="1" applyFill="1" applyBorder="1" applyAlignment="1">
      <alignment horizontal="center"/>
    </xf>
    <xf numFmtId="0" fontId="0" fillId="0" borderId="0" xfId="0" applyAlignment="1">
      <alignment horizontal="center" vertical="center"/>
    </xf>
    <xf numFmtId="0" fontId="194" fillId="0" borderId="51" xfId="0" applyNumberFormat="1" applyFont="1" applyFill="1" applyBorder="1" applyAlignment="1" applyProtection="1">
      <alignment horizontal="center" vertical="center" wrapText="1"/>
      <protection locked="0"/>
    </xf>
    <xf numFmtId="0" fontId="129" fillId="0" borderId="9" xfId="0" applyNumberFormat="1" applyFont="1" applyFill="1" applyBorder="1" applyAlignment="1" applyProtection="1">
      <alignment horizontal="center" vertical="center" wrapText="1"/>
      <protection locked="0"/>
    </xf>
    <xf numFmtId="0" fontId="194" fillId="0" borderId="44" xfId="0" applyNumberFormat="1" applyFont="1" applyFill="1" applyBorder="1" applyAlignment="1" applyProtection="1">
      <alignment horizontal="center" vertical="center" wrapText="1"/>
      <protection locked="0"/>
    </xf>
    <xf numFmtId="0" fontId="130" fillId="0" borderId="1" xfId="0" applyFont="1" applyBorder="1">
      <alignment vertical="center"/>
    </xf>
    <xf numFmtId="0" fontId="130" fillId="0" borderId="35" xfId="0" applyFont="1" applyBorder="1" applyAlignment="1">
      <alignment vertical="center"/>
    </xf>
    <xf numFmtId="0" fontId="0" fillId="0" borderId="35" xfId="0" applyBorder="1" applyAlignment="1">
      <alignment vertical="center"/>
    </xf>
    <xf numFmtId="176" fontId="0" fillId="0" borderId="1" xfId="0" applyNumberFormat="1" applyBorder="1">
      <alignment vertical="center"/>
    </xf>
    <xf numFmtId="0" fontId="130" fillId="0" borderId="3" xfId="0" applyFont="1" applyBorder="1">
      <alignment vertical="center"/>
    </xf>
    <xf numFmtId="177" fontId="134" fillId="7" borderId="0" xfId="0" applyNumberFormat="1" applyFont="1" applyFill="1" applyProtection="1">
      <alignment vertical="center"/>
      <protection locked="0"/>
    </xf>
    <xf numFmtId="0" fontId="136" fillId="0" borderId="43" xfId="0" applyFont="1" applyBorder="1" applyAlignment="1">
      <alignment horizontal="center" vertical="center" wrapText="1"/>
    </xf>
    <xf numFmtId="0" fontId="136" fillId="0" borderId="81" xfId="0" applyFont="1" applyBorder="1" applyAlignment="1">
      <alignment horizontal="center" vertical="center" wrapText="1"/>
    </xf>
    <xf numFmtId="0" fontId="189" fillId="0" borderId="43" xfId="0" applyFont="1" applyBorder="1" applyAlignment="1">
      <alignment horizontal="center" vertical="center" wrapText="1"/>
    </xf>
    <xf numFmtId="176" fontId="129" fillId="5" borderId="1" xfId="0" applyNumberFormat="1" applyFont="1" applyFill="1" applyBorder="1" applyAlignment="1">
      <alignment horizontal="center" vertical="center"/>
    </xf>
    <xf numFmtId="0" fontId="11" fillId="9" borderId="0" xfId="0" applyFont="1" applyFill="1" applyProtection="1">
      <alignment vertical="center"/>
      <protection locked="0"/>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177" fontId="25" fillId="16" borderId="5" xfId="1" applyNumberFormat="1" applyFont="1" applyFill="1" applyBorder="1" applyAlignment="1" applyProtection="1">
      <alignment vertical="center"/>
      <protection locked="0"/>
    </xf>
    <xf numFmtId="0" fontId="83" fillId="16" borderId="24" xfId="0" applyFont="1" applyFill="1" applyBorder="1" applyAlignment="1" applyProtection="1">
      <alignment horizontal="center" vertical="center"/>
      <protection locked="0"/>
    </xf>
    <xf numFmtId="177" fontId="71" fillId="16" borderId="1" xfId="1" applyNumberFormat="1" applyFont="1" applyFill="1" applyBorder="1" applyAlignment="1" applyProtection="1">
      <alignment horizontal="center" vertical="center"/>
      <protection locked="0"/>
    </xf>
    <xf numFmtId="10" fontId="71" fillId="16" borderId="1" xfId="1" applyNumberFormat="1" applyFont="1" applyFill="1" applyBorder="1" applyAlignment="1" applyProtection="1">
      <alignment horizontal="center" vertical="center"/>
      <protection locked="0"/>
    </xf>
    <xf numFmtId="0" fontId="68" fillId="16" borderId="24" xfId="0" applyFont="1" applyFill="1" applyBorder="1" applyAlignment="1" applyProtection="1">
      <alignment horizontal="center" vertical="center"/>
      <protection locked="0"/>
    </xf>
    <xf numFmtId="181" fontId="113" fillId="16" borderId="61" xfId="0" applyNumberFormat="1" applyFont="1" applyFill="1" applyBorder="1" applyAlignment="1" applyProtection="1">
      <alignment horizontal="center" vertical="center"/>
      <protection locked="0"/>
    </xf>
    <xf numFmtId="186" fontId="82" fillId="16" borderId="13" xfId="0" applyNumberFormat="1" applyFont="1" applyFill="1" applyBorder="1" applyAlignment="1" applyProtection="1">
      <alignment horizontal="right" vertical="center"/>
    </xf>
    <xf numFmtId="0" fontId="85" fillId="16" borderId="1" xfId="0" applyNumberFormat="1" applyFont="1" applyFill="1" applyBorder="1" applyAlignment="1" applyProtection="1">
      <alignment horizontal="center" vertical="center"/>
      <protection locked="0"/>
    </xf>
    <xf numFmtId="0" fontId="82" fillId="14" borderId="2" xfId="0" applyFont="1" applyFill="1" applyBorder="1" applyAlignment="1" applyProtection="1">
      <alignment horizontal="right" vertical="center"/>
    </xf>
    <xf numFmtId="0" fontId="83" fillId="14" borderId="0" xfId="0" applyFont="1" applyFill="1" applyBorder="1" applyAlignment="1" applyProtection="1">
      <alignment vertical="center"/>
      <protection locked="0"/>
    </xf>
    <xf numFmtId="0" fontId="69" fillId="14" borderId="32" xfId="0" applyFont="1" applyFill="1" applyBorder="1" applyAlignment="1" applyProtection="1">
      <alignment horizontal="right" vertical="center"/>
    </xf>
    <xf numFmtId="0" fontId="149" fillId="0" borderId="155" xfId="0" applyFont="1" applyBorder="1" applyAlignment="1">
      <alignment horizontal="justify" vertical="center" wrapText="1"/>
    </xf>
    <xf numFmtId="0" fontId="149" fillId="0" borderId="155" xfId="0" applyFont="1" applyBorder="1" applyAlignment="1">
      <alignment horizontal="justify" vertical="center"/>
    </xf>
    <xf numFmtId="0" fontId="149" fillId="0" borderId="43" xfId="0" applyFont="1" applyBorder="1" applyAlignment="1">
      <alignment horizontal="justify" vertical="center" wrapText="1"/>
    </xf>
    <xf numFmtId="0" fontId="248" fillId="0" borderId="43" xfId="0" applyFont="1" applyBorder="1">
      <alignment vertical="center"/>
    </xf>
    <xf numFmtId="0" fontId="267" fillId="0" borderId="43" xfId="0" applyFont="1" applyBorder="1" applyAlignment="1">
      <alignment horizontal="justify" vertical="center" wrapText="1"/>
    </xf>
    <xf numFmtId="0" fontId="149" fillId="0" borderId="43" xfId="0" applyFont="1" applyBorder="1" applyAlignment="1">
      <alignment horizontal="justify" vertical="center"/>
    </xf>
    <xf numFmtId="0" fontId="269" fillId="0" borderId="43" xfId="0" applyFont="1" applyBorder="1" applyAlignment="1">
      <alignment horizontal="justify" vertical="center" wrapText="1"/>
    </xf>
    <xf numFmtId="0" fontId="149" fillId="0" borderId="81" xfId="0" applyFont="1" applyBorder="1" applyAlignment="1">
      <alignment horizontal="justify" vertical="center"/>
    </xf>
    <xf numFmtId="0" fontId="268" fillId="0" borderId="43" xfId="0" applyFont="1" applyBorder="1" applyAlignment="1">
      <alignment horizontal="justify" vertical="center" wrapText="1"/>
    </xf>
    <xf numFmtId="0" fontId="267" fillId="0" borderId="43" xfId="0" applyFont="1" applyBorder="1" applyAlignment="1">
      <alignment horizontal="center" vertical="center" wrapText="1"/>
    </xf>
    <xf numFmtId="0" fontId="149" fillId="0" borderId="43" xfId="0" applyFont="1" applyBorder="1" applyAlignment="1">
      <alignment horizontal="center" vertical="center" wrapText="1"/>
    </xf>
    <xf numFmtId="0" fontId="149" fillId="0" borderId="92" xfId="0" applyFont="1" applyBorder="1" applyAlignment="1">
      <alignment horizontal="center" vertical="center" wrapText="1"/>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52" fillId="0" borderId="5"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49" fontId="252" fillId="0" borderId="11" xfId="0" applyNumberFormat="1"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0" fontId="263" fillId="0" borderId="27" xfId="0" applyFont="1" applyBorder="1" applyAlignment="1">
      <alignment horizontal="center" vertical="center" wrapText="1"/>
    </xf>
    <xf numFmtId="0" fontId="263" fillId="0" borderId="80" xfId="0" applyFont="1" applyBorder="1" applyAlignment="1">
      <alignment horizontal="center" vertical="center" wrapText="1"/>
    </xf>
    <xf numFmtId="0" fontId="263" fillId="0" borderId="81" xfId="0" applyFont="1" applyBorder="1" applyAlignment="1">
      <alignment horizontal="center" vertical="center" wrapText="1"/>
    </xf>
    <xf numFmtId="0" fontId="264" fillId="0" borderId="27" xfId="0" applyFont="1" applyBorder="1" applyAlignment="1">
      <alignment horizontal="center" vertical="center" wrapText="1"/>
    </xf>
    <xf numFmtId="0" fontId="264" fillId="0" borderId="80" xfId="0" applyFont="1" applyBorder="1" applyAlignment="1">
      <alignment horizontal="center" vertical="center" wrapText="1"/>
    </xf>
    <xf numFmtId="0" fontId="264" fillId="0" borderId="81" xfId="0" applyFont="1" applyBorder="1" applyAlignment="1">
      <alignment horizontal="center" vertical="center" wrapText="1"/>
    </xf>
    <xf numFmtId="0" fontId="149" fillId="0" borderId="160" xfId="0" applyFont="1" applyBorder="1" applyAlignment="1">
      <alignment horizontal="justify" vertical="center"/>
    </xf>
    <xf numFmtId="0" fontId="149" fillId="0" borderId="161" xfId="0" applyFont="1" applyBorder="1" applyAlignment="1">
      <alignment horizontal="justify" vertical="center"/>
    </xf>
    <xf numFmtId="0" fontId="148" fillId="0" borderId="27" xfId="0" applyFont="1" applyBorder="1" applyAlignment="1">
      <alignment horizontal="justify" vertical="center"/>
    </xf>
    <xf numFmtId="0" fontId="148" fillId="0" borderId="80" xfId="0" applyFont="1" applyBorder="1" applyAlignment="1">
      <alignment horizontal="justify" vertical="center"/>
    </xf>
    <xf numFmtId="0" fontId="148" fillId="0" borderId="162" xfId="0" applyFont="1" applyBorder="1" applyAlignment="1">
      <alignment horizontal="justify" vertical="center"/>
    </xf>
    <xf numFmtId="0" fontId="267" fillId="0" borderId="169" xfId="0" applyFont="1" applyBorder="1" applyAlignment="1">
      <alignment horizontal="center" vertical="center" wrapText="1"/>
    </xf>
    <xf numFmtId="0" fontId="267" fillId="0" borderId="155" xfId="0" applyFont="1" applyBorder="1" applyAlignment="1">
      <alignment horizontal="center" vertical="center" wrapText="1"/>
    </xf>
    <xf numFmtId="0" fontId="267" fillId="0" borderId="154" xfId="0" applyFont="1" applyBorder="1" applyAlignment="1">
      <alignment horizontal="center" vertical="center" wrapText="1"/>
    </xf>
    <xf numFmtId="0" fontId="267" fillId="0" borderId="81" xfId="0" applyFont="1" applyBorder="1" applyAlignment="1">
      <alignment horizontal="center" vertical="center" wrapText="1"/>
    </xf>
    <xf numFmtId="0" fontId="149" fillId="0" borderId="163" xfId="0" applyFont="1" applyBorder="1" applyAlignment="1">
      <alignment horizontal="center" vertical="center" wrapText="1"/>
    </xf>
    <xf numFmtId="0" fontId="149" fillId="0" borderId="81" xfId="0" applyFont="1" applyBorder="1" applyAlignment="1">
      <alignment horizontal="center" vertical="center" wrapText="1"/>
    </xf>
    <xf numFmtId="0" fontId="149" fillId="0" borderId="27" xfId="0" applyFont="1" applyBorder="1" applyAlignment="1">
      <alignment horizontal="center" vertical="center" wrapText="1"/>
    </xf>
    <xf numFmtId="0" fontId="148" fillId="0" borderId="163" xfId="0" applyFont="1" applyBorder="1" applyAlignment="1">
      <alignment horizontal="justify" vertical="center"/>
    </xf>
    <xf numFmtId="0" fontId="267" fillId="0" borderId="63" xfId="0" applyFont="1" applyBorder="1" applyAlignment="1">
      <alignment horizontal="center" vertical="center" wrapText="1"/>
    </xf>
    <xf numFmtId="0" fontId="267" fillId="0" borderId="64" xfId="0" applyFont="1" applyBorder="1" applyAlignment="1">
      <alignment horizontal="center" vertical="center" wrapText="1"/>
    </xf>
    <xf numFmtId="0" fontId="267" fillId="0" borderId="65" xfId="0" applyFont="1" applyBorder="1" applyAlignment="1">
      <alignment horizontal="center" vertical="center" wrapText="1"/>
    </xf>
    <xf numFmtId="0" fontId="149" fillId="0" borderId="168" xfId="0" applyFont="1" applyBorder="1" applyAlignment="1">
      <alignment horizontal="center" vertical="center" wrapText="1"/>
    </xf>
    <xf numFmtId="0" fontId="130" fillId="0" borderId="1" xfId="0" applyFont="1" applyBorder="1" applyAlignment="1">
      <alignment horizontal="center" vertical="center"/>
    </xf>
    <xf numFmtId="0" fontId="269" fillId="0" borderId="63" xfId="0" applyFont="1" applyBorder="1" applyAlignment="1">
      <alignment horizontal="center" vertical="center" wrapText="1"/>
    </xf>
    <xf numFmtId="0" fontId="269" fillId="0" borderId="64" xfId="0" applyFont="1" applyBorder="1" applyAlignment="1">
      <alignment horizontal="center" vertical="center" wrapText="1"/>
    </xf>
    <xf numFmtId="0" fontId="269" fillId="0" borderId="65" xfId="0" applyFont="1" applyBorder="1" applyAlignment="1">
      <alignment horizontal="center" vertical="center" wrapText="1"/>
    </xf>
    <xf numFmtId="0" fontId="149" fillId="0" borderId="164" xfId="0" applyFont="1" applyBorder="1" applyAlignment="1">
      <alignment vertical="center" wrapText="1"/>
    </xf>
    <xf numFmtId="0" fontId="149" fillId="0" borderId="165" xfId="0" applyFont="1" applyBorder="1" applyAlignment="1">
      <alignment vertical="center" wrapText="1"/>
    </xf>
    <xf numFmtId="0" fontId="149" fillId="0" borderId="166" xfId="0" applyFont="1" applyBorder="1" applyAlignment="1">
      <alignment vertical="center" wrapText="1"/>
    </xf>
    <xf numFmtId="0" fontId="149" fillId="0" borderId="167" xfId="0" applyFont="1" applyBorder="1" applyAlignment="1">
      <alignment vertical="center" wrapText="1"/>
    </xf>
    <xf numFmtId="0" fontId="0" fillId="0" borderId="1" xfId="0" applyBorder="1" applyAlignment="1">
      <alignment horizontal="center" vertical="center"/>
    </xf>
    <xf numFmtId="0" fontId="130" fillId="0" borderId="13" xfId="0" applyFont="1" applyBorder="1" applyAlignment="1">
      <alignment horizontal="center" vertical="center" wrapText="1"/>
    </xf>
    <xf numFmtId="0" fontId="0" fillId="0" borderId="15" xfId="0" applyBorder="1" applyAlignment="1">
      <alignment horizontal="center" vertical="center" wrapText="1"/>
    </xf>
    <xf numFmtId="0" fontId="0" fillId="0" borderId="2" xfId="0" applyBorder="1" applyAlignment="1">
      <alignment horizontal="center" vertical="center" wrapText="1"/>
    </xf>
    <xf numFmtId="0" fontId="136" fillId="0" borderId="157" xfId="0" applyFont="1" applyBorder="1" applyAlignment="1">
      <alignment horizontal="center" vertical="center" wrapText="1"/>
    </xf>
    <xf numFmtId="0" fontId="136" fillId="0" borderId="158" xfId="0" applyFont="1" applyBorder="1" applyAlignment="1">
      <alignment horizontal="center" vertical="center" wrapText="1"/>
    </xf>
    <xf numFmtId="0" fontId="136" fillId="0" borderId="159" xfId="0" applyFont="1" applyBorder="1" applyAlignment="1">
      <alignment horizontal="center" vertical="center" wrapText="1"/>
    </xf>
    <xf numFmtId="0" fontId="266" fillId="0" borderId="83" xfId="0" applyFont="1" applyBorder="1" applyAlignment="1">
      <alignment vertical="center" wrapText="1"/>
    </xf>
    <xf numFmtId="0" fontId="146" fillId="0" borderId="63" xfId="0" applyFont="1" applyBorder="1" applyAlignment="1">
      <alignment horizontal="center" vertical="center" wrapText="1"/>
    </xf>
    <xf numFmtId="0" fontId="146" fillId="0" borderId="64" xfId="0" applyFont="1" applyBorder="1" applyAlignment="1">
      <alignment horizontal="center" vertical="center" wrapText="1"/>
    </xf>
    <xf numFmtId="0" fontId="146" fillId="0" borderId="65" xfId="0" applyFont="1" applyBorder="1" applyAlignment="1">
      <alignment horizontal="center" vertical="center" wrapText="1"/>
    </xf>
    <xf numFmtId="0" fontId="188" fillId="0" borderId="63" xfId="0" applyFont="1" applyBorder="1" applyAlignment="1">
      <alignment horizontal="center" vertical="center" wrapText="1"/>
    </xf>
    <xf numFmtId="0" fontId="188" fillId="0" borderId="65" xfId="0" applyFont="1" applyBorder="1" applyAlignment="1">
      <alignment horizontal="center" vertical="center" wrapText="1"/>
    </xf>
    <xf numFmtId="0" fontId="136" fillId="0" borderId="63" xfId="0" applyFont="1" applyBorder="1" applyAlignment="1">
      <alignment horizontal="center" vertical="center" wrapText="1"/>
    </xf>
    <xf numFmtId="0" fontId="136" fillId="0" borderId="64" xfId="0" applyFont="1" applyBorder="1" applyAlignment="1">
      <alignment horizontal="center" vertical="center" wrapText="1"/>
    </xf>
    <xf numFmtId="0" fontId="136" fillId="0" borderId="65" xfId="0" applyFont="1" applyBorder="1" applyAlignment="1">
      <alignment horizontal="center" vertical="center" wrapText="1"/>
    </xf>
    <xf numFmtId="0" fontId="136" fillId="0" borderId="154" xfId="0" applyFont="1" applyBorder="1" applyAlignment="1">
      <alignment horizontal="center" vertical="center" wrapText="1"/>
    </xf>
    <xf numFmtId="0" fontId="136" fillId="0" borderId="81" xfId="0" applyFont="1" applyBorder="1" applyAlignment="1">
      <alignment horizontal="center" vertical="center" wrapText="1"/>
    </xf>
    <xf numFmtId="0" fontId="136" fillId="0" borderId="156" xfId="0" applyFont="1" applyBorder="1" applyAlignment="1">
      <alignment horizontal="center" vertical="center" wrapText="1"/>
    </xf>
    <xf numFmtId="0" fontId="136" fillId="0" borderId="155" xfId="0" applyFont="1" applyBorder="1" applyAlignment="1">
      <alignment horizontal="center" vertical="center" wrapText="1"/>
    </xf>
    <xf numFmtId="0" fontId="263" fillId="0" borderId="1" xfId="0" applyFont="1" applyBorder="1" applyAlignment="1">
      <alignment horizontal="center" vertical="center"/>
    </xf>
    <xf numFmtId="0" fontId="264" fillId="0" borderId="1" xfId="0" applyFont="1" applyBorder="1" applyAlignment="1">
      <alignment horizontal="center" vertical="center"/>
    </xf>
    <xf numFmtId="0" fontId="264" fillId="0" borderId="1" xfId="0" applyFont="1" applyFill="1" applyBorder="1" applyAlignment="1">
      <alignment horizontal="center" vertical="center"/>
    </xf>
    <xf numFmtId="0" fontId="263" fillId="0" borderId="1" xfId="0" applyFont="1" applyFill="1" applyBorder="1" applyAlignment="1">
      <alignment horizontal="center" vertical="center"/>
    </xf>
  </cellXfs>
  <cellStyles count="14">
    <cellStyle name="常规" xfId="0" builtinId="0"/>
    <cellStyle name="常规 12 2 2 2"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29">
    <dxf>
      <fill>
        <patternFill patternType="solid">
          <fgColor indexed="64"/>
          <bgColor rgb="FF7030A0"/>
        </patternFill>
      </fill>
    </dxf>
    <dxf>
      <fill>
        <patternFill patternType="solid">
          <fgColor indexed="64"/>
          <bgColor rgb="FF7030A0"/>
        </patternFill>
      </fill>
    </dxf>
    <dxf>
      <fill>
        <patternFill>
          <bgColor rgb="FF92D050"/>
        </patternFill>
      </fill>
    </dxf>
    <dxf>
      <fill>
        <patternFill>
          <bgColor rgb="FFFFC000"/>
        </patternFill>
      </fill>
    </dxf>
    <dxf>
      <fill>
        <patternFill>
          <bgColor rgb="FF7030A0"/>
        </patternFill>
      </fill>
    </dxf>
    <dxf>
      <fill>
        <patternFill>
          <bgColor rgb="FF7030A0"/>
        </patternFill>
      </fill>
    </dxf>
    <dxf>
      <fill>
        <patternFill patternType="solid">
          <fgColor indexed="64"/>
          <bgColor rgb="FF7030A0"/>
        </patternFill>
      </fill>
    </dxf>
    <dxf>
      <fill>
        <patternFill patternType="solid">
          <fgColor indexed="64"/>
          <bgColor rgb="FF7030A0"/>
        </patternFill>
      </fill>
    </dxf>
    <dxf>
      <fill>
        <patternFill>
          <bgColor rgb="FF92D050"/>
        </patternFill>
      </fill>
    </dxf>
    <dxf>
      <fill>
        <patternFill>
          <bgColor rgb="FFFFC000"/>
        </patternFill>
      </fill>
    </dxf>
    <dxf>
      <fill>
        <patternFill>
          <bgColor rgb="FF7030A0"/>
        </patternFill>
      </fill>
    </dxf>
    <dxf>
      <fill>
        <patternFill>
          <bgColor rgb="FF7030A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5199;&#23433;&#26118;&#26126;&#26102;&#20809;&#27979;&#31639;&#65288;2017-8-28DK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5199;&#23433;&#26118;&#26126;&#26102;&#20809;&#27979;&#31639;&#65288;2017-8-29DK3&#29616;&#25151;&#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9579;&#33804;&#25991;&#20214;/2017&#24180;/&#35199;&#23433;&#31435;&#20016;&#39033;&#30446;/&#26118;&#26126;&#26102;&#20809;/&#32456;&#31295;/&#35199;&#23433;&#26118;&#26126;&#26102;&#20809;&#27979;&#31639;&#65288;&#25970;&#27979;&#31639;.0814&#65289;&#65288;&#23828;&#6528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土地比较法-住宅、综合"/>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row r="10">
          <cell r="F10" t="str">
            <v>西安市未央区三桥街办昆明路立交以西</v>
          </cell>
        </row>
      </sheetData>
      <sheetData sheetId="11">
        <row r="3">
          <cell r="A3">
            <v>6057.71</v>
          </cell>
        </row>
        <row r="13">
          <cell r="I13">
            <v>14525.75</v>
          </cell>
          <cell r="K13">
            <v>41.9</v>
          </cell>
          <cell r="M13">
            <v>5530.01</v>
          </cell>
        </row>
      </sheetData>
      <sheetData sheetId="12"/>
      <sheetData sheetId="13"/>
      <sheetData sheetId="14"/>
      <sheetData sheetId="15"/>
      <sheetData sheetId="16"/>
      <sheetData sheetId="17">
        <row r="19">
          <cell r="G19">
            <v>7704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比较法-住宅"/>
      <sheetName val="收益法-住宅"/>
      <sheetName val="收益法（汇总）"/>
      <sheetName val="酒店收入计算"/>
      <sheetName val="比较法-办公"/>
      <sheetName val="比较法-工业"/>
      <sheetName val="典型户型修正-住宅"/>
      <sheetName val="面积及价值汇总"/>
      <sheetName val="结果表-商业"/>
      <sheetName val="比较法-商业 (2)"/>
      <sheetName val="比较法-商业"/>
      <sheetName val="收益法-商业"/>
      <sheetName val="典型户型修正-商业"/>
      <sheetName val="结果表-车位"/>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收益法-车位"/>
      <sheetName val="典型户型修正-车位"/>
      <sheetName val="分摊土地面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3">
          <cell r="I13">
            <v>2889.74</v>
          </cell>
        </row>
        <row r="14">
          <cell r="K14">
            <v>824.4</v>
          </cell>
        </row>
        <row r="15">
          <cell r="M15">
            <v>11708.62</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39">
          <cell r="M39">
            <v>1328</v>
          </cell>
        </row>
        <row r="40">
          <cell r="M40">
            <v>2384</v>
          </cell>
        </row>
        <row r="41">
          <cell r="M41">
            <v>4899</v>
          </cell>
        </row>
        <row r="42">
          <cell r="M42">
            <v>8611</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土地比较法-住宅、综合"/>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3">
          <cell r="I13">
            <v>36949.25</v>
          </cell>
          <cell r="K13">
            <v>866.3</v>
          </cell>
          <cell r="M13">
            <v>19870.05</v>
          </cell>
        </row>
      </sheetData>
      <sheetData sheetId="12"/>
      <sheetData sheetId="13"/>
      <sheetData sheetId="14"/>
      <sheetData sheetId="15"/>
      <sheetData sheetId="16"/>
      <sheetData sheetId="17">
        <row r="19">
          <cell r="G19">
            <v>24912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9.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1" sqref="B1:B1048576"/>
    </sheetView>
  </sheetViews>
  <sheetFormatPr defaultRowHeight="14.25"/>
  <cols>
    <col min="1" max="1" width="35.625" style="3050" customWidth="1"/>
    <col min="2" max="2" width="81" style="3067" customWidth="1"/>
    <col min="3" max="16384" width="9" style="3065"/>
  </cols>
  <sheetData>
    <row r="1" spans="1:2" s="3053" customFormat="1" ht="16.5" thickBot="1">
      <c r="A1" s="3052" t="s">
        <v>2804</v>
      </c>
      <c r="B1" s="3051" t="s">
        <v>2893</v>
      </c>
    </row>
    <row r="2" spans="1:2" s="3056" customFormat="1" ht="15" thickTop="1">
      <c r="A2" s="3054" t="s">
        <v>2805</v>
      </c>
      <c r="B2" s="3055" t="str">
        <f>'预评函-封皮'!B37:I37</f>
        <v>西安市西安市未央区三桥街办昆明路立交以西房地产抵押价值预评估</v>
      </c>
    </row>
    <row r="3" spans="1:2" s="3059" customFormat="1">
      <c r="A3" s="3057" t="s">
        <v>2806</v>
      </c>
      <c r="B3" s="3058" t="str">
        <f>'预评函-封皮'!B40</f>
        <v>西安御润房地产开发有限公司</v>
      </c>
    </row>
    <row r="4" spans="1:2" s="3059" customFormat="1">
      <c r="A4" s="3057" t="s">
        <v>2807</v>
      </c>
      <c r="B4" s="3058" t="str">
        <f ca="1">'预评函-封皮'!B46</f>
        <v>梁津（注册号：1119970066)、郑燚（注册号：1120070131)</v>
      </c>
    </row>
    <row r="5" spans="1:2" s="3053" customFormat="1" ht="15" thickBot="1">
      <c r="A5" s="3060" t="s">
        <v>2808</v>
      </c>
      <c r="B5" s="3061" t="str">
        <f>'预评函-封皮'!B49</f>
        <v>康正预评字2017-1-0739号</v>
      </c>
    </row>
    <row r="6" spans="1:2" s="3056" customFormat="1" ht="15" thickTop="1">
      <c r="A6" s="3054" t="s">
        <v>2809</v>
      </c>
      <c r="B6" s="3055" t="str">
        <f>'预评函-1'!A4</f>
        <v>受贵公司委托，我公司对西安市西安市未央区三桥街办昆明路立交以西房地产抵押价值进行了预评估。</v>
      </c>
    </row>
    <row r="7" spans="1:2" s="3059" customFormat="1">
      <c r="A7" s="3057" t="s">
        <v>2849</v>
      </c>
      <c r="B7" s="3058" t="str">
        <f>'预评函-1'!A7</f>
        <v>估价对象为西安市西安市未央区三桥街办昆明路立交以西房地产，为西安御润房地产开发有限公司所有。根据《国有土地使用证》[西未国用（2012出）第063、065号]、《抵押物清单》，估价对象（分摊）出让国有建设用地使用权面积为1218.83平方米，建筑面积为4043.7平方米。</v>
      </c>
    </row>
    <row r="8" spans="1:2" s="3059" customFormat="1">
      <c r="A8" s="3057" t="s">
        <v>2850</v>
      </c>
      <c r="B8" s="3058" t="str">
        <f>'预评函-1'!A8</f>
        <v>估价对象简述。项目推广名，项目类型（用途），估价对象分布，各用途面积明细情况：XX用途建筑面积XX平方米，XX用途建筑面积XX平方米，……。复杂面积清单需设‘附表’列示：抵押物清单详见附表</v>
      </c>
    </row>
    <row r="9" spans="1:2" s="3059" customFormat="1">
      <c r="A9" s="3057" t="s">
        <v>2851</v>
      </c>
      <c r="B9" s="3058" t="str">
        <f>'预评函-1'!A10</f>
        <v>估价对象为西安市西安市未央区三桥街办昆明路立交以西房地产,属西安御润房地产开发有限公司开发建设的居住项目，该项目尚在开发建设中。根据《国有土地使用证》[西未国用（2012出）第063、065号]、《抵押物清单》，估价对象（分摊）出让国有建设用地使用权面积为1218.83平方米，规划建筑面积为4043.7平方米。</v>
      </c>
    </row>
    <row r="10" spans="1:2" s="3059" customFormat="1">
      <c r="A10" s="3057" t="s">
        <v>2852</v>
      </c>
      <c r="B10" s="30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59" customFormat="1">
      <c r="A11" s="3057" t="s">
        <v>2810</v>
      </c>
      <c r="B11" s="3058" t="str">
        <f>'预评函-1'!A13</f>
        <v>为估价委托人在向中诚信托有限责任公司办理贷款手续过程中，确定房地产抵押贷款额度提供参考依据而评估房地产抵押价值。</v>
      </c>
    </row>
    <row r="12" spans="1:2" s="3059" customFormat="1">
      <c r="A12" s="3057" t="s">
        <v>2811</v>
      </c>
      <c r="B12" s="3058" t="str">
        <f>'预评函-1'!A15</f>
        <v>2017年8月11日（评估专业人员实地查勘之日）</v>
      </c>
    </row>
    <row r="13" spans="1:2" s="3059" customFormat="1">
      <c r="A13" s="3057" t="s">
        <v>2812</v>
      </c>
      <c r="B13" s="3058" t="str">
        <f>'预评函-1'!A18</f>
        <v>本次估价的“房地产价值”是指在正常市场情况下，在价值时点2017年8月11日，估价对象规划用途为住宅、商业、地下车库，土地取得方式为出让，出让国有建设用地使用权剩余土地使用年限为住宅64.08年，商业34.23年，地下车库44.07年，假定未设立法定优先受偿款下的房地产市场价值。</v>
      </c>
    </row>
    <row r="14" spans="1:2" s="3059" customFormat="1">
      <c r="A14" s="3057" t="s">
        <v>2813</v>
      </c>
      <c r="B14" s="3058" t="str">
        <f>'预评函-1'!A19</f>
        <v>其中，“出让国有建设用地使用权价值”是指估价对象用途为住宅、商业、地下车库，实际开发程度为宗地红线外“七通”（即、、、、、、）、红线内场地平整条件下，剩余土地使用年限为住宅64.08年，商业34.23年，地下车库44.07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59" customFormat="1">
      <c r="A15" s="3057" t="s">
        <v>2814</v>
      </c>
      <c r="B15" s="3058" t="str">
        <f>'预评函-1'!A20</f>
        <v>本次估价的“房地产抵押价值”是指估价对象在价值时点的“房地产价值”扣减估价师于价值时点所知悉的法定优先受偿款后的余额。</v>
      </c>
    </row>
    <row r="16" spans="1:2" s="3059" customFormat="1">
      <c r="A16" s="3057" t="s">
        <v>2815</v>
      </c>
      <c r="B16" s="30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59" customFormat="1">
      <c r="A17" s="3057" t="s">
        <v>2816</v>
      </c>
      <c r="B17" s="305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3" customFormat="1" ht="15" thickBot="1">
      <c r="A18" s="3060" t="s">
        <v>2817</v>
      </c>
      <c r="B18" s="3061" t="str">
        <f>'预评函-1'!A24</f>
        <v>本次评估采用的主估价方法为比较法和收益法。</v>
      </c>
    </row>
    <row r="19" spans="1:2" s="3056" customFormat="1" ht="15" thickTop="1">
      <c r="A19" s="3054" t="s">
        <v>2818</v>
      </c>
      <c r="B19" s="3055"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59" customFormat="1">
      <c r="A20" s="3057" t="s">
        <v>2819</v>
      </c>
      <c r="B20" s="3058">
        <f ca="1">'预评函-2'!D5</f>
        <v>1587</v>
      </c>
    </row>
    <row r="21" spans="1:2" s="3059" customFormat="1">
      <c r="A21" s="3057" t="s">
        <v>2820</v>
      </c>
      <c r="B21" s="3058">
        <f ca="1">'预评函-2'!D7</f>
        <v>3925</v>
      </c>
    </row>
    <row r="22" spans="1:2" s="3059" customFormat="1">
      <c r="A22" s="3057" t="s">
        <v>2821</v>
      </c>
      <c r="B22" s="3058" t="str">
        <f ca="1">'预评函-2'!D6</f>
        <v>壹仟伍佰捌拾柒万元整</v>
      </c>
    </row>
    <row r="23" spans="1:2" s="3059" customFormat="1">
      <c r="A23" s="3057" t="s">
        <v>2881</v>
      </c>
      <c r="B23" s="3058" t="str">
        <f>'预评函-2'!B8</f>
        <v>2.估价师知悉的法定优先受偿款</v>
      </c>
    </row>
    <row r="24" spans="1:2" s="3059" customFormat="1">
      <c r="A24" s="3057" t="s">
        <v>2887</v>
      </c>
      <c r="B24" s="3058">
        <f>'预评函-2'!D8</f>
        <v>0</v>
      </c>
    </row>
    <row r="25" spans="1:2" s="3059" customFormat="1">
      <c r="A25" s="3057" t="s">
        <v>2822</v>
      </c>
      <c r="B25" s="3058" t="str">
        <f>'预评函-2'!D9</f>
        <v>元整</v>
      </c>
    </row>
    <row r="26" spans="1:2" s="3059" customFormat="1">
      <c r="A26" s="3057" t="s">
        <v>2823</v>
      </c>
      <c r="B26" s="3058">
        <f>'预评函-2'!D10</f>
        <v>0</v>
      </c>
    </row>
    <row r="27" spans="1:2" s="3059" customFormat="1">
      <c r="A27" s="3057" t="s">
        <v>2824</v>
      </c>
      <c r="B27" s="3058">
        <f>'预评函-2'!D11</f>
        <v>0</v>
      </c>
    </row>
    <row r="28" spans="1:2" s="3059" customFormat="1">
      <c r="A28" s="3057" t="s">
        <v>2825</v>
      </c>
      <c r="B28" s="3058">
        <f>'预评函-2'!D12</f>
        <v>0</v>
      </c>
    </row>
    <row r="29" spans="1:2" s="3059" customFormat="1">
      <c r="A29" s="3057" t="s">
        <v>2885</v>
      </c>
      <c r="B29" s="3058" t="str">
        <f>'预评函-2'!B13</f>
        <v>3.房地产抵押价值</v>
      </c>
    </row>
    <row r="30" spans="1:2" s="3059" customFormat="1">
      <c r="A30" s="3057" t="s">
        <v>2886</v>
      </c>
      <c r="B30" s="3058">
        <f ca="1">'预评函-2'!D13</f>
        <v>1587</v>
      </c>
    </row>
    <row r="31" spans="1:2" s="3059" customFormat="1">
      <c r="A31" s="3057" t="s">
        <v>2860</v>
      </c>
      <c r="B31" s="3058">
        <f ca="1">'预评函-2'!D15</f>
        <v>3925</v>
      </c>
    </row>
    <row r="32" spans="1:2" s="3059" customFormat="1">
      <c r="A32" s="3057" t="s">
        <v>2826</v>
      </c>
      <c r="B32" s="3058" t="str">
        <f ca="1">'预评函-2'!D14</f>
        <v>壹仟伍佰捌拾柒万元整</v>
      </c>
    </row>
    <row r="33" spans="1:2" s="3059" customFormat="1">
      <c r="A33" s="3057" t="s">
        <v>2862</v>
      </c>
      <c r="B33" s="3058" t="str">
        <f>'预评函-2'!B16</f>
        <v>——</v>
      </c>
    </row>
    <row r="34" spans="1:2" s="3059" customFormat="1">
      <c r="A34" s="3057" t="s">
        <v>2888</v>
      </c>
      <c r="B34" s="3058" t="str">
        <f>'预评函-2'!D16</f>
        <v>——</v>
      </c>
    </row>
    <row r="35" spans="1:2" s="3059" customFormat="1">
      <c r="A35" s="3057" t="s">
        <v>2861</v>
      </c>
      <c r="B35" s="3058" t="str">
        <f>'预评函-2'!D18</f>
        <v>——</v>
      </c>
    </row>
    <row r="36" spans="1:2" s="3059" customFormat="1">
      <c r="A36" s="3057" t="s">
        <v>2827</v>
      </c>
      <c r="B36" s="3058" t="e">
        <f>'预评函-2'!D17</f>
        <v>#VALUE!</v>
      </c>
    </row>
    <row r="37" spans="1:2" s="3059" customFormat="1">
      <c r="A37" s="3057" t="s">
        <v>2863</v>
      </c>
      <c r="B37" s="3058" t="str">
        <f>'预评函-2'!B19</f>
        <v>4.抵押净值</v>
      </c>
    </row>
    <row r="38" spans="1:2" s="3059" customFormat="1">
      <c r="A38" s="3057" t="s">
        <v>2889</v>
      </c>
      <c r="B38" s="3058">
        <f ca="1">'预评函-2'!D19</f>
        <v>1586</v>
      </c>
    </row>
    <row r="39" spans="1:2" s="3059" customFormat="1">
      <c r="A39" s="3057" t="s">
        <v>2828</v>
      </c>
      <c r="B39" s="3058">
        <f ca="1">'预评函-2'!D21</f>
        <v>3922</v>
      </c>
    </row>
    <row r="40" spans="1:2" s="3059" customFormat="1">
      <c r="A40" s="3057" t="s">
        <v>2829</v>
      </c>
      <c r="B40" s="3058" t="str">
        <f ca="1">'预评函-2'!D20</f>
        <v>壹仟伍佰捌拾陆万元整</v>
      </c>
    </row>
    <row r="41" spans="1:2" s="3059" customFormat="1">
      <c r="A41" s="3057" t="s">
        <v>2884</v>
      </c>
      <c r="B41" s="3058" t="str">
        <f>'预评函-3'!A4</f>
        <v>西安市西安市未央区三桥街办昆明路立交以西房地产</v>
      </c>
    </row>
    <row r="42" spans="1:2" s="3059" customFormat="1">
      <c r="A42" s="3057" t="s">
        <v>2882</v>
      </c>
      <c r="B42" s="3058" t="str">
        <f>'预评函-3'!B2</f>
        <v>建筑面积</v>
      </c>
    </row>
    <row r="43" spans="1:2" s="3059" customFormat="1">
      <c r="A43" s="3057" t="s">
        <v>2883</v>
      </c>
      <c r="B43" s="3058">
        <f>'预评函-3'!B4</f>
        <v>4043.7000000000003</v>
      </c>
    </row>
    <row r="44" spans="1:2" s="3059" customFormat="1">
      <c r="A44" s="3057" t="s">
        <v>2859</v>
      </c>
      <c r="B44" s="3058" t="str">
        <f>'预评函-3'!C2</f>
        <v>(分摊)土地面积</v>
      </c>
    </row>
    <row r="45" spans="1:2" s="3059" customFormat="1">
      <c r="A45" s="3057" t="s">
        <v>2830</v>
      </c>
      <c r="B45" s="3058">
        <f>'预评函-3'!C4</f>
        <v>1218.83</v>
      </c>
    </row>
    <row r="46" spans="1:2" s="3059" customFormat="1">
      <c r="A46" s="3057" t="s">
        <v>2857</v>
      </c>
      <c r="B46" s="3058" t="str">
        <f>'预评函-3'!D2</f>
        <v>出让国有建设用地使用权价值</v>
      </c>
    </row>
    <row r="47" spans="1:2" s="3059" customFormat="1">
      <c r="A47" s="3057" t="s">
        <v>2831</v>
      </c>
      <c r="B47" s="3058" t="e">
        <f ca="1">'预评函-3'!D4</f>
        <v>#REF!</v>
      </c>
    </row>
    <row r="48" spans="1:2" s="3059" customFormat="1">
      <c r="A48" s="3057" t="s">
        <v>2832</v>
      </c>
      <c r="B48" s="3058" t="e">
        <f ca="1">'预评函-3'!E4</f>
        <v>#REF!</v>
      </c>
    </row>
    <row r="49" spans="1:2" s="3059" customFormat="1">
      <c r="A49" s="3057" t="s">
        <v>2833</v>
      </c>
      <c r="B49" s="3058" t="e">
        <f ca="1">'预评函-3'!D5</f>
        <v>#REF!</v>
      </c>
    </row>
    <row r="50" spans="1:2" s="3059" customFormat="1">
      <c r="A50" s="3057" t="s">
        <v>2858</v>
      </c>
      <c r="B50" s="3058" t="str">
        <f>'预评函-3'!F2</f>
        <v>在建建筑物价值</v>
      </c>
    </row>
    <row r="51" spans="1:2" s="3059" customFormat="1">
      <c r="A51" s="3057" t="s">
        <v>2834</v>
      </c>
      <c r="B51" s="3058" t="e">
        <f ca="1">'预评函-3'!F4</f>
        <v>#REF!</v>
      </c>
    </row>
    <row r="52" spans="1:2" s="3059" customFormat="1">
      <c r="A52" s="3057" t="s">
        <v>2835</v>
      </c>
      <c r="B52" s="3058" t="e">
        <f ca="1">'预评函-3'!G4</f>
        <v>#REF!</v>
      </c>
    </row>
    <row r="53" spans="1:2" s="3059" customFormat="1">
      <c r="A53" s="3057" t="s">
        <v>2864</v>
      </c>
      <c r="B53" s="3058" t="e">
        <f ca="1">'预评函-3'!F5</f>
        <v>#REF!</v>
      </c>
    </row>
    <row r="54" spans="1:2" s="3059" customFormat="1">
      <c r="A54" s="3057" t="s">
        <v>2891</v>
      </c>
      <c r="B54" s="3058" t="str">
        <f>'预评函-3'!A8</f>
        <v>房地产抵押价值</v>
      </c>
    </row>
    <row r="55" spans="1:2" s="3059" customFormat="1">
      <c r="A55" s="3057" t="s">
        <v>2865</v>
      </c>
      <c r="B55" s="3058" t="str">
        <f>'预评函-3'!A10</f>
        <v/>
      </c>
    </row>
    <row r="56" spans="1:2" s="3059" customFormat="1">
      <c r="A56" s="3057" t="s">
        <v>2866</v>
      </c>
      <c r="B56" s="3058" t="str">
        <f>'预评函-3'!A12</f>
        <v>抵押净值</v>
      </c>
    </row>
    <row r="57" spans="1:2" s="3053" customFormat="1" ht="15" thickBot="1">
      <c r="A57" s="3060" t="s">
        <v>2892</v>
      </c>
      <c r="B57" s="3061" t="str">
        <f>'预评函-3'!A6</f>
        <v>估价师知悉的法定优先受偿款</v>
      </c>
    </row>
    <row r="58" spans="1:2" s="3056" customFormat="1" ht="15" thickTop="1">
      <c r="A58" s="3054" t="s">
        <v>2836</v>
      </c>
      <c r="B58" s="3055" t="str">
        <f>'预评函-4'!A12</f>
        <v>2.本《评估意见函》仅供金融机构进行内部审核使用，不做其他目的之用。</v>
      </c>
    </row>
    <row r="59" spans="1:2" s="3059" customFormat="1">
      <c r="A59" s="3057" t="s">
        <v>2837</v>
      </c>
      <c r="B59" s="3058" t="str">
        <f>'预评函-4'!A13</f>
        <v>3.抵押双方在办理抵押登记手续时，应使用本公司出具的正式《房地产评估报告》，特提醒报告使用者注意。</v>
      </c>
    </row>
    <row r="60" spans="1:2" s="3059" customFormat="1">
      <c r="A60" s="3057" t="s">
        <v>2838</v>
      </c>
      <c r="B60" s="3058" t="str">
        <f>'预评函-4'!A14</f>
        <v>4.本次评估估价师所知悉的法定优先受偿款情况说明如下：</v>
      </c>
    </row>
    <row r="61" spans="1:2" s="3059" customFormat="1">
      <c r="A61" s="3057" t="s">
        <v>2839</v>
      </c>
      <c r="B61" s="3058" t="str">
        <f>'预评函-4'!A15</f>
        <v>（1）根据估价对象《房屋所有权证》——、《国有土地使用权》复印件，截至价值时点，估价对象抵押权未见登记。</v>
      </c>
    </row>
    <row r="62" spans="1:2" s="3059" customFormat="1">
      <c r="A62" s="3057" t="s">
        <v>2840</v>
      </c>
      <c r="B62" s="3058" t="str">
        <f>'预评函-4'!A16</f>
        <v>（2）根据《工程款支付情况说明》，截至价值时点，估价对象不存在应付未付工程款项。（只要没有施工方盖章的，均“设定”进行表述）</v>
      </c>
    </row>
    <row r="63" spans="1:2" s="3059" customFormat="1">
      <c r="A63" s="3057" t="s">
        <v>2841</v>
      </c>
      <c r="B63" s="30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59" customFormat="1">
      <c r="A64" s="3057" t="s">
        <v>2853</v>
      </c>
      <c r="B64" s="3058" t="str">
        <f>'预评函-4'!A18</f>
        <v>故，本次评估不存在估价师知悉的法定优先受偿款</v>
      </c>
    </row>
    <row r="65" spans="1:2" s="3059" customFormat="1">
      <c r="A65" s="3057" t="s">
        <v>2842</v>
      </c>
      <c r="B65" s="30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59" customFormat="1">
      <c r="A66" s="3057" t="s">
        <v>2843</v>
      </c>
      <c r="B66" s="3058" t="str">
        <f>'预评函-4'!A20</f>
        <v>——</v>
      </c>
    </row>
    <row r="67" spans="1:2" s="3059" customFormat="1">
      <c r="A67" s="3057" t="s">
        <v>2854</v>
      </c>
      <c r="B67" s="3058" t="str">
        <f>'预评函-4'!A21</f>
        <v>——</v>
      </c>
    </row>
    <row r="68" spans="1:2" s="3059" customFormat="1">
      <c r="A68" s="3057" t="s">
        <v>2855</v>
      </c>
      <c r="B68" s="3058" t="str">
        <f>'预评函-4'!A22</f>
        <v>8.其他需特殊说明事项：无（注意调整序号）</v>
      </c>
    </row>
    <row r="69" spans="1:2" s="3053" customFormat="1" ht="15" thickBot="1">
      <c r="A69" s="3060" t="s">
        <v>2844</v>
      </c>
      <c r="B69" s="3062">
        <f>'预评函-4'!C31</f>
        <v>42551</v>
      </c>
    </row>
    <row r="70" spans="1:2" ht="15" thickTop="1">
      <c r="A70" s="3063" t="s">
        <v>2845</v>
      </c>
      <c r="B70" s="3064" t="str">
        <f>'预评函-4'!A4</f>
        <v>梁津</v>
      </c>
    </row>
    <row r="71" spans="1:2">
      <c r="A71" s="3057" t="s">
        <v>2846</v>
      </c>
      <c r="B71" s="3058">
        <f ca="1">'预评函-4'!B4</f>
        <v>1119970066</v>
      </c>
    </row>
    <row r="72" spans="1:2">
      <c r="A72" s="3057" t="s">
        <v>2847</v>
      </c>
      <c r="B72" s="3066" t="str">
        <f>'预评函-4'!A5</f>
        <v>郑燚</v>
      </c>
    </row>
    <row r="73" spans="1:2" s="3053" customFormat="1" ht="15" thickBot="1">
      <c r="A73" s="3060" t="s">
        <v>2848</v>
      </c>
      <c r="B73" s="3061">
        <f ca="1">'预评函-4'!B5</f>
        <v>1120070131</v>
      </c>
    </row>
    <row r="74" spans="1:2" ht="15" thickTop="1">
      <c r="A74" s="3050" t="s">
        <v>2909</v>
      </c>
      <c r="B74" s="3067"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activeCell="AA18" sqref="AA18"/>
    </sheetView>
  </sheetViews>
  <sheetFormatPr defaultRowHeight="14.25"/>
  <cols>
    <col min="1" max="1" width="13.5" style="1158" customWidth="1"/>
    <col min="2" max="2" width="23.25" style="1157"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7" customWidth="1"/>
    <col min="25" max="16384" width="9" style="1157"/>
  </cols>
  <sheetData>
    <row r="1" spans="1:23" s="1156" customFormat="1" ht="27">
      <c r="A1" s="1131" t="s">
        <v>532</v>
      </c>
      <c r="B1" s="289" t="s">
        <v>257</v>
      </c>
      <c r="C1" s="1765" t="s">
        <v>1881</v>
      </c>
      <c r="D1" s="290" t="s">
        <v>258</v>
      </c>
      <c r="E1" s="290" t="s">
        <v>259</v>
      </c>
      <c r="F1" s="290" t="s">
        <v>260</v>
      </c>
      <c r="G1" s="290" t="s">
        <v>261</v>
      </c>
      <c r="H1" s="290" t="s">
        <v>262</v>
      </c>
      <c r="I1" s="290" t="s">
        <v>263</v>
      </c>
      <c r="J1" s="290" t="s">
        <v>264</v>
      </c>
      <c r="K1" s="290" t="s">
        <v>265</v>
      </c>
      <c r="L1" s="290" t="s">
        <v>266</v>
      </c>
      <c r="M1" s="290" t="s">
        <v>267</v>
      </c>
      <c r="N1" s="290" t="s">
        <v>268</v>
      </c>
      <c r="O1" s="290" t="s">
        <v>269</v>
      </c>
      <c r="P1" s="11" t="s">
        <v>1853</v>
      </c>
      <c r="Q1" s="11" t="s">
        <v>2650</v>
      </c>
      <c r="R1" s="1483" t="s">
        <v>2640</v>
      </c>
      <c r="S1" s="290" t="s">
        <v>270</v>
      </c>
      <c r="T1" s="291" t="s">
        <v>271</v>
      </c>
      <c r="U1" s="290" t="s">
        <v>272</v>
      </c>
      <c r="V1" s="290" t="s">
        <v>273</v>
      </c>
      <c r="W1" s="1483" t="s">
        <v>1856</v>
      </c>
    </row>
    <row r="2" spans="1:23">
      <c r="A2" s="2794" t="s">
        <v>114</v>
      </c>
      <c r="B2" s="2794" t="s">
        <v>579</v>
      </c>
      <c r="C2" s="1766" t="s">
        <v>1882</v>
      </c>
      <c r="D2" s="292" t="s">
        <v>231</v>
      </c>
      <c r="E2" s="292" t="s">
        <v>274</v>
      </c>
      <c r="F2" s="292" t="s">
        <v>275</v>
      </c>
      <c r="G2" s="292">
        <v>40</v>
      </c>
      <c r="H2" s="292" t="s">
        <v>276</v>
      </c>
      <c r="I2" s="292" t="s">
        <v>277</v>
      </c>
      <c r="J2" s="292" t="s">
        <v>278</v>
      </c>
      <c r="K2" s="292" t="s">
        <v>232</v>
      </c>
      <c r="L2" s="292" t="s">
        <v>232</v>
      </c>
      <c r="M2" s="292" t="s">
        <v>232</v>
      </c>
      <c r="N2" s="292" t="s">
        <v>232</v>
      </c>
      <c r="O2" s="292" t="s">
        <v>232</v>
      </c>
      <c r="P2" s="292" t="s">
        <v>232</v>
      </c>
      <c r="Q2" s="292" t="s">
        <v>232</v>
      </c>
      <c r="R2" s="2760" t="s">
        <v>2644</v>
      </c>
      <c r="S2" s="292" t="s">
        <v>232</v>
      </c>
      <c r="T2" s="292" t="s">
        <v>233</v>
      </c>
      <c r="U2" s="292" t="s">
        <v>232</v>
      </c>
      <c r="V2" s="292" t="s">
        <v>234</v>
      </c>
      <c r="W2" s="292" t="s">
        <v>232</v>
      </c>
    </row>
    <row r="3" spans="1:23">
      <c r="A3" s="2794" t="s">
        <v>578</v>
      </c>
      <c r="B3" s="2795" t="s">
        <v>2686</v>
      </c>
      <c r="C3" s="1767" t="s">
        <v>1883</v>
      </c>
      <c r="D3" s="292" t="s">
        <v>235</v>
      </c>
      <c r="E3" s="292" t="s">
        <v>51</v>
      </c>
      <c r="F3" s="292" t="s">
        <v>236</v>
      </c>
      <c r="G3" s="292">
        <v>50</v>
      </c>
      <c r="H3" s="292" t="s">
        <v>237</v>
      </c>
      <c r="I3" s="292" t="s">
        <v>238</v>
      </c>
      <c r="J3" s="292" t="s">
        <v>239</v>
      </c>
      <c r="K3" s="292" t="s">
        <v>240</v>
      </c>
      <c r="L3" s="292" t="s">
        <v>240</v>
      </c>
      <c r="M3" s="292" t="s">
        <v>240</v>
      </c>
      <c r="N3" s="292" t="s">
        <v>240</v>
      </c>
      <c r="O3" s="292" t="s">
        <v>240</v>
      </c>
      <c r="P3" s="292" t="s">
        <v>240</v>
      </c>
      <c r="Q3" s="292" t="s">
        <v>240</v>
      </c>
      <c r="R3" s="2760" t="s">
        <v>2642</v>
      </c>
      <c r="S3" s="292" t="s">
        <v>240</v>
      </c>
      <c r="T3" s="292" t="s">
        <v>241</v>
      </c>
      <c r="U3" s="292" t="s">
        <v>240</v>
      </c>
      <c r="V3" s="292" t="s">
        <v>242</v>
      </c>
      <c r="W3" s="292" t="s">
        <v>240</v>
      </c>
    </row>
    <row r="4" spans="1:23">
      <c r="A4" s="2794" t="s">
        <v>580</v>
      </c>
      <c r="B4" s="2794" t="s">
        <v>581</v>
      </c>
      <c r="C4" s="1766" t="s">
        <v>1884</v>
      </c>
      <c r="D4" s="292" t="s">
        <v>2052</v>
      </c>
      <c r="E4" s="292" t="s">
        <v>279</v>
      </c>
      <c r="F4" s="292" t="s">
        <v>280</v>
      </c>
      <c r="G4" s="292">
        <v>70</v>
      </c>
      <c r="H4" s="292" t="s">
        <v>281</v>
      </c>
      <c r="I4" s="292" t="s">
        <v>282</v>
      </c>
      <c r="K4" s="292" t="s">
        <v>243</v>
      </c>
      <c r="L4" s="292" t="s">
        <v>243</v>
      </c>
      <c r="M4" s="292" t="s">
        <v>243</v>
      </c>
      <c r="N4" s="292" t="s">
        <v>243</v>
      </c>
      <c r="O4" s="292" t="s">
        <v>243</v>
      </c>
      <c r="P4" s="292" t="s">
        <v>243</v>
      </c>
      <c r="Q4" s="292" t="s">
        <v>243</v>
      </c>
      <c r="R4" s="2760" t="s">
        <v>2645</v>
      </c>
      <c r="S4" s="292" t="s">
        <v>243</v>
      </c>
      <c r="T4" s="292" t="s">
        <v>244</v>
      </c>
      <c r="U4" s="292" t="s">
        <v>243</v>
      </c>
      <c r="W4" s="292" t="s">
        <v>243</v>
      </c>
    </row>
    <row r="5" spans="1:23">
      <c r="A5" s="2794" t="s">
        <v>582</v>
      </c>
      <c r="B5" s="2794" t="s">
        <v>583</v>
      </c>
      <c r="C5" s="1766" t="s">
        <v>1885</v>
      </c>
      <c r="F5" s="292" t="s">
        <v>245</v>
      </c>
      <c r="H5" s="292" t="s">
        <v>246</v>
      </c>
      <c r="I5" s="292" t="s">
        <v>247</v>
      </c>
      <c r="K5" s="292" t="s">
        <v>248</v>
      </c>
      <c r="L5" s="292" t="s">
        <v>248</v>
      </c>
      <c r="M5" s="292" t="s">
        <v>248</v>
      </c>
      <c r="N5" s="292" t="s">
        <v>248</v>
      </c>
      <c r="O5" s="292" t="s">
        <v>248</v>
      </c>
      <c r="P5" s="292" t="s">
        <v>248</v>
      </c>
      <c r="Q5" s="292" t="s">
        <v>248</v>
      </c>
      <c r="R5" s="2760" t="s">
        <v>2646</v>
      </c>
      <c r="S5" s="292" t="s">
        <v>248</v>
      </c>
      <c r="T5" s="292" t="s">
        <v>249</v>
      </c>
      <c r="U5" s="292" t="s">
        <v>248</v>
      </c>
      <c r="W5" s="292" t="s">
        <v>248</v>
      </c>
    </row>
    <row r="6" spans="1:23">
      <c r="A6" s="2794" t="s">
        <v>584</v>
      </c>
      <c r="B6" s="2795" t="s">
        <v>2687</v>
      </c>
      <c r="C6" s="1768" t="s">
        <v>163</v>
      </c>
      <c r="F6" s="292" t="s">
        <v>250</v>
      </c>
      <c r="H6" s="292" t="s">
        <v>251</v>
      </c>
      <c r="I6" s="292" t="s">
        <v>252</v>
      </c>
      <c r="K6" s="292" t="s">
        <v>253</v>
      </c>
      <c r="L6" s="292" t="s">
        <v>253</v>
      </c>
      <c r="M6" s="292" t="s">
        <v>253</v>
      </c>
      <c r="N6" s="292" t="s">
        <v>253</v>
      </c>
      <c r="O6" s="292" t="s">
        <v>253</v>
      </c>
      <c r="P6" s="292" t="s">
        <v>253</v>
      </c>
      <c r="Q6" s="292" t="s">
        <v>253</v>
      </c>
      <c r="R6" s="2760" t="s">
        <v>2647</v>
      </c>
      <c r="S6" s="292" t="s">
        <v>253</v>
      </c>
      <c r="T6" s="292"/>
      <c r="U6" s="292" t="s">
        <v>253</v>
      </c>
      <c r="W6" s="292" t="s">
        <v>253</v>
      </c>
    </row>
    <row r="7" spans="1:23">
      <c r="A7" s="2794" t="s">
        <v>586</v>
      </c>
      <c r="B7" s="2795" t="s">
        <v>2688</v>
      </c>
      <c r="C7" s="1766" t="s">
        <v>164</v>
      </c>
      <c r="F7" s="292" t="s">
        <v>254</v>
      </c>
      <c r="H7" s="292" t="s">
        <v>255</v>
      </c>
      <c r="I7" s="292" t="s">
        <v>256</v>
      </c>
    </row>
    <row r="8" spans="1:23">
      <c r="A8" s="2794" t="s">
        <v>588</v>
      </c>
      <c r="B8" s="2794" t="s">
        <v>585</v>
      </c>
      <c r="C8" s="1766" t="s">
        <v>1886</v>
      </c>
      <c r="F8" s="292" t="s">
        <v>283</v>
      </c>
      <c r="H8" s="292"/>
      <c r="I8" s="292" t="s">
        <v>284</v>
      </c>
    </row>
    <row r="9" spans="1:23">
      <c r="A9" s="2794" t="s">
        <v>590</v>
      </c>
      <c r="B9" s="2794" t="s">
        <v>587</v>
      </c>
      <c r="C9" s="1766" t="s">
        <v>1887</v>
      </c>
      <c r="F9" s="292" t="s">
        <v>285</v>
      </c>
      <c r="H9" s="292"/>
    </row>
    <row r="10" spans="1:23">
      <c r="A10" s="2794" t="s">
        <v>592</v>
      </c>
      <c r="B10" s="2794" t="s">
        <v>589</v>
      </c>
      <c r="C10" s="1766" t="s">
        <v>1888</v>
      </c>
      <c r="F10" s="292" t="s">
        <v>51</v>
      </c>
    </row>
    <row r="11" spans="1:23">
      <c r="A11" s="2794" t="s">
        <v>594</v>
      </c>
      <c r="B11" s="2794" t="s">
        <v>591</v>
      </c>
      <c r="C11" s="1766" t="s">
        <v>1889</v>
      </c>
    </row>
    <row r="12" spans="1:23">
      <c r="A12" s="2794" t="s">
        <v>596</v>
      </c>
      <c r="B12" s="2794" t="s">
        <v>593</v>
      </c>
      <c r="C12" s="1766" t="s">
        <v>1890</v>
      </c>
    </row>
    <row r="13" spans="1:23">
      <c r="A13" s="2794" t="s">
        <v>598</v>
      </c>
      <c r="B13" s="2794" t="s">
        <v>595</v>
      </c>
      <c r="C13" s="1766" t="s">
        <v>1891</v>
      </c>
    </row>
    <row r="14" spans="1:23">
      <c r="A14" s="2794" t="s">
        <v>600</v>
      </c>
      <c r="B14" s="2794" t="s">
        <v>597</v>
      </c>
      <c r="C14" s="292" t="s">
        <v>51</v>
      </c>
    </row>
    <row r="15" spans="1:23">
      <c r="A15" s="2794" t="s">
        <v>601</v>
      </c>
      <c r="B15" s="2794" t="s">
        <v>599</v>
      </c>
      <c r="C15" s="1769"/>
    </row>
    <row r="16" spans="1:23">
      <c r="A16" s="2794" t="s">
        <v>602</v>
      </c>
      <c r="B16" s="2794" t="s">
        <v>1872</v>
      </c>
      <c r="C16" s="1769"/>
    </row>
    <row r="17" spans="1:3">
      <c r="A17" s="2794" t="s">
        <v>603</v>
      </c>
      <c r="B17" s="2794" t="s">
        <v>3305</v>
      </c>
      <c r="C17" s="1769"/>
    </row>
    <row r="18" spans="1:3">
      <c r="A18" s="2794" t="s">
        <v>604</v>
      </c>
      <c r="B18" s="2794" t="s">
        <v>3275</v>
      </c>
      <c r="C18" s="1769"/>
    </row>
    <row r="19" spans="1:3">
      <c r="A19" s="2794" t="s">
        <v>605</v>
      </c>
      <c r="B19" s="2794" t="s">
        <v>3304</v>
      </c>
      <c r="C19" s="1769"/>
    </row>
    <row r="20" spans="1:3">
      <c r="A20" s="2794" t="s">
        <v>606</v>
      </c>
      <c r="B20" s="2794" t="s">
        <v>1873</v>
      </c>
      <c r="C20" s="1769"/>
    </row>
    <row r="21" spans="1:3">
      <c r="A21" s="2794" t="s">
        <v>607</v>
      </c>
      <c r="B21" s="2794" t="s">
        <v>1873</v>
      </c>
      <c r="C21" s="1769"/>
    </row>
    <row r="22" spans="1:3">
      <c r="A22" s="2794" t="s">
        <v>608</v>
      </c>
      <c r="B22" s="2794" t="s">
        <v>1873</v>
      </c>
      <c r="C22" s="1769"/>
    </row>
    <row r="23" spans="1:3">
      <c r="A23" s="2794" t="s">
        <v>609</v>
      </c>
      <c r="B23" s="2794" t="s">
        <v>1873</v>
      </c>
      <c r="C23" s="1769"/>
    </row>
    <row r="24" spans="1:3">
      <c r="A24" s="2794" t="s">
        <v>610</v>
      </c>
      <c r="B24" s="2794" t="s">
        <v>1873</v>
      </c>
      <c r="C24" s="1769"/>
    </row>
    <row r="25" spans="1:3">
      <c r="A25" s="2794" t="s">
        <v>611</v>
      </c>
      <c r="B25" s="2794" t="s">
        <v>1873</v>
      </c>
      <c r="C25" s="1769"/>
    </row>
    <row r="26" spans="1:3">
      <c r="A26" s="2794" t="s">
        <v>612</v>
      </c>
      <c r="B26" s="2794" t="s">
        <v>1873</v>
      </c>
      <c r="C26" s="1769"/>
    </row>
    <row r="27" spans="1:3">
      <c r="A27" s="2794" t="s">
        <v>1873</v>
      </c>
      <c r="B27" s="2794" t="s">
        <v>1873</v>
      </c>
      <c r="C27" s="1769"/>
    </row>
    <row r="28" spans="1:3">
      <c r="A28" s="2794" t="s">
        <v>1873</v>
      </c>
      <c r="B28" s="2794" t="s">
        <v>1873</v>
      </c>
      <c r="C28" s="1769"/>
    </row>
    <row r="29" spans="1:3">
      <c r="A29" s="2794" t="s">
        <v>1873</v>
      </c>
      <c r="B29" s="2794" t="s">
        <v>1873</v>
      </c>
      <c r="C29" s="1769"/>
    </row>
    <row r="30" spans="1:3">
      <c r="A30" s="2794" t="s">
        <v>1873</v>
      </c>
      <c r="B30" s="2794" t="s">
        <v>1873</v>
      </c>
      <c r="C30" s="1769"/>
    </row>
    <row r="31" spans="1:3">
      <c r="A31" s="2794" t="s">
        <v>1873</v>
      </c>
      <c r="B31" s="2794" t="s">
        <v>1873</v>
      </c>
      <c r="C31" s="1769"/>
    </row>
    <row r="32" spans="1:3">
      <c r="A32" s="2794" t="s">
        <v>1873</v>
      </c>
      <c r="B32" s="2794" t="s">
        <v>1873</v>
      </c>
      <c r="C32" s="1769"/>
    </row>
    <row r="33" spans="1:3">
      <c r="A33" s="2794" t="s">
        <v>1873</v>
      </c>
      <c r="B33" s="2794" t="s">
        <v>1873</v>
      </c>
      <c r="C33" s="1769"/>
    </row>
    <row r="34" spans="1:3">
      <c r="A34" s="2794" t="s">
        <v>1873</v>
      </c>
      <c r="B34" s="2794" t="s">
        <v>1873</v>
      </c>
      <c r="C34" s="1769"/>
    </row>
    <row r="35" spans="1:3">
      <c r="A35" s="2794" t="s">
        <v>1873</v>
      </c>
      <c r="B35" s="2794" t="s">
        <v>1873</v>
      </c>
      <c r="C35" s="1769"/>
    </row>
    <row r="36" spans="1:3">
      <c r="A36" s="2794" t="s">
        <v>1873</v>
      </c>
      <c r="B36" s="2794" t="s">
        <v>1873</v>
      </c>
      <c r="C36" s="1769"/>
    </row>
    <row r="37" spans="1:3">
      <c r="A37" s="2794" t="s">
        <v>1873</v>
      </c>
      <c r="B37" s="2794" t="s">
        <v>1873</v>
      </c>
      <c r="C37" s="1769"/>
    </row>
    <row r="38" spans="1:3">
      <c r="A38" s="2794" t="s">
        <v>1873</v>
      </c>
      <c r="B38" s="2794" t="s">
        <v>1873</v>
      </c>
      <c r="C38" s="1769"/>
    </row>
    <row r="39" spans="1:3">
      <c r="A39" s="2794" t="s">
        <v>1873</v>
      </c>
      <c r="B39" s="2794" t="s">
        <v>1873</v>
      </c>
      <c r="C39" s="1769"/>
    </row>
    <row r="40" spans="1:3">
      <c r="A40" s="2794" t="s">
        <v>1873</v>
      </c>
      <c r="B40" s="2794" t="s">
        <v>1873</v>
      </c>
      <c r="C40" s="1769"/>
    </row>
    <row r="41" spans="1:3">
      <c r="A41" s="2794" t="s">
        <v>1873</v>
      </c>
      <c r="B41" s="2794" t="s">
        <v>1873</v>
      </c>
      <c r="C41" s="1769"/>
    </row>
    <row r="42" spans="1:3">
      <c r="A42" s="2794" t="s">
        <v>1873</v>
      </c>
      <c r="B42" s="2794" t="s">
        <v>1873</v>
      </c>
      <c r="C42" s="1769"/>
    </row>
    <row r="43" spans="1:3">
      <c r="A43" s="2794" t="s">
        <v>1873</v>
      </c>
      <c r="B43" s="2794" t="s">
        <v>1873</v>
      </c>
      <c r="C43" s="1769"/>
    </row>
    <row r="44" spans="1:3">
      <c r="A44" s="2794" t="s">
        <v>1873</v>
      </c>
      <c r="B44" s="2794" t="s">
        <v>1873</v>
      </c>
      <c r="C44" s="1769"/>
    </row>
    <row r="45" spans="1:3">
      <c r="A45" s="2794" t="s">
        <v>1873</v>
      </c>
      <c r="B45" s="2794" t="s">
        <v>1873</v>
      </c>
      <c r="C45" s="1769"/>
    </row>
    <row r="46" spans="1:3">
      <c r="A46" s="2794" t="s">
        <v>1873</v>
      </c>
      <c r="B46" s="2794" t="s">
        <v>1873</v>
      </c>
      <c r="C46" s="1769"/>
    </row>
    <row r="47" spans="1:3">
      <c r="A47" s="2794" t="s">
        <v>1873</v>
      </c>
      <c r="B47" s="2794" t="s">
        <v>1873</v>
      </c>
      <c r="C47" s="1769"/>
    </row>
    <row r="48" spans="1:3">
      <c r="A48" s="2794" t="s">
        <v>1873</v>
      </c>
      <c r="B48" s="2794" t="s">
        <v>1873</v>
      </c>
      <c r="C48" s="1769"/>
    </row>
    <row r="49" spans="1:4">
      <c r="A49" s="2794" t="s">
        <v>1873</v>
      </c>
      <c r="B49" s="2794" t="s">
        <v>1873</v>
      </c>
      <c r="C49" s="1769"/>
    </row>
    <row r="50" spans="1:4">
      <c r="A50" s="2794" t="s">
        <v>1873</v>
      </c>
      <c r="B50" s="2794" t="s">
        <v>1873</v>
      </c>
      <c r="C50" s="1769"/>
    </row>
    <row r="51" spans="1:4">
      <c r="A51" s="1949" t="s">
        <v>2019</v>
      </c>
      <c r="B51" s="2091" t="str">
        <f>"为估价委托人在向"&amp;项目基本情况!B6&amp;"办理贷款手续过程中，确定房地产抵押贷款额度提供参考依据而评估房地产抵押价值。"</f>
        <v>为估价委托人在向中诚信托有限责任公司办理贷款手续过程中，确定房地产抵押贷款额度提供参考依据而评估房地产抵押价值。</v>
      </c>
      <c r="C51" s="11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西安御润房地产开发有限公司拟使用西安市西安市未央区三桥街办昆明路立交以西房地产作为抵押担保物，向中诚信托有限责任公司办理贷款手续。中诚信托有限责任公司特委托北京康正宏基房地产评估有限公司对上述抵押物进行评估。本次评估为确定房地产抵押贷款额度提供参考依据而评估房地产抵押价值。</v>
      </c>
      <c r="D51" s="2091" t="s">
        <v>2872</v>
      </c>
    </row>
    <row r="52" spans="1:4">
      <c r="A52" s="1949" t="s">
        <v>2022</v>
      </c>
      <c r="B52" s="1949" t="s">
        <v>2023</v>
      </c>
      <c r="C52" s="1161" t="s">
        <v>2024</v>
      </c>
      <c r="D52" s="1161" t="s">
        <v>2025</v>
      </c>
    </row>
    <row r="53" spans="1:4">
      <c r="A53" s="3480" t="s">
        <v>2026</v>
      </c>
      <c r="B53" s="2091" t="s">
        <v>2027</v>
      </c>
      <c r="C53" s="11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11日，估价对象规划用途为住宅、商业、地下车库土地取得方式为出让，出让国有建设用地使用权剩余土地使用年限为XX年(多用途剩余年限尾数不同时，可只体现小数点后一位)，假定未设立法定优先受偿款下的房地产市场价值。</v>
      </c>
    </row>
    <row r="54" spans="1:4">
      <c r="A54" s="3480"/>
      <c r="B54" s="2091" t="s">
        <v>2028</v>
      </c>
      <c r="C54" s="1161" t="s">
        <v>2869</v>
      </c>
    </row>
    <row r="55" spans="1:4">
      <c r="A55" s="3480"/>
      <c r="B55" s="2091" t="s">
        <v>2029</v>
      </c>
      <c r="C55" s="1161" t="s">
        <v>2870</v>
      </c>
    </row>
    <row r="56" spans="1:4">
      <c r="A56" s="3480"/>
      <c r="B56" s="2091" t="s">
        <v>2030</v>
      </c>
      <c r="C56" s="1161" t="s">
        <v>2880</v>
      </c>
    </row>
    <row r="57" spans="1:4">
      <c r="A57" s="3480"/>
      <c r="B57" s="2091" t="s">
        <v>2031</v>
      </c>
      <c r="C57" s="1161" t="s">
        <v>2871</v>
      </c>
    </row>
    <row r="58" spans="1:4">
      <c r="A58" s="1160"/>
      <c r="B58" s="1161"/>
      <c r="C58" s="1161"/>
    </row>
    <row r="59" spans="1:4">
      <c r="A59" s="1160"/>
      <c r="B59" s="1161"/>
      <c r="C59" s="1161"/>
    </row>
    <row r="60" spans="1:4">
      <c r="A60" s="1160"/>
      <c r="B60" s="1161"/>
      <c r="C60" s="1161"/>
    </row>
    <row r="61" spans="1:4">
      <c r="A61" s="1160"/>
      <c r="B61" s="1161"/>
      <c r="C61" s="1161"/>
    </row>
    <row r="62" spans="1:4">
      <c r="A62" s="1160"/>
      <c r="B62" s="1161"/>
      <c r="C62" s="1161"/>
    </row>
    <row r="63" spans="1:4">
      <c r="A63" s="1160"/>
      <c r="B63" s="1161"/>
      <c r="C63" s="1161"/>
    </row>
    <row r="64" spans="1:4">
      <c r="A64" s="1160"/>
      <c r="B64" s="1161"/>
      <c r="C64" s="1161"/>
    </row>
    <row r="65" spans="1:3">
      <c r="A65" s="1160"/>
      <c r="B65" s="1161"/>
      <c r="C65" s="1161"/>
    </row>
    <row r="66" spans="1:3">
      <c r="A66" s="1160"/>
      <c r="B66" s="1161"/>
      <c r="C66" s="1161"/>
    </row>
    <row r="67" spans="1:3">
      <c r="A67" s="1160"/>
      <c r="B67" s="1161"/>
      <c r="C67" s="1161"/>
    </row>
    <row r="68" spans="1:3">
      <c r="A68" s="1160"/>
      <c r="B68" s="1161"/>
      <c r="C68" s="1161"/>
    </row>
    <row r="69" spans="1:3">
      <c r="A69" s="1160"/>
      <c r="B69" s="1161"/>
      <c r="C69" s="1161"/>
    </row>
    <row r="70" spans="1:3">
      <c r="A70" s="1160"/>
      <c r="B70" s="1161"/>
      <c r="C70" s="1161"/>
    </row>
    <row r="71" spans="1:3">
      <c r="A71" s="1160"/>
      <c r="B71" s="1161"/>
      <c r="C71" s="1161"/>
    </row>
    <row r="72" spans="1:3">
      <c r="A72" s="1160"/>
      <c r="B72" s="1161"/>
      <c r="C72" s="1161"/>
    </row>
    <row r="73" spans="1:3">
      <c r="A73" s="1160"/>
      <c r="B73" s="1161"/>
      <c r="C73" s="1161"/>
    </row>
    <row r="74" spans="1:3">
      <c r="A74" s="1160"/>
      <c r="B74" s="1161"/>
      <c r="C74" s="1161"/>
    </row>
    <row r="75" spans="1:3">
      <c r="A75" s="1160"/>
      <c r="B75" s="1161"/>
      <c r="C75" s="1161"/>
    </row>
    <row r="76" spans="1:3">
      <c r="A76" s="1160"/>
      <c r="B76" s="1161"/>
      <c r="C76" s="1161"/>
    </row>
    <row r="77" spans="1:3">
      <c r="A77" s="1160"/>
      <c r="B77" s="1161"/>
      <c r="C77" s="1161"/>
    </row>
    <row r="78" spans="1:3">
      <c r="A78" s="1160"/>
      <c r="B78" s="1161"/>
      <c r="C78" s="1161"/>
    </row>
    <row r="79" spans="1:3">
      <c r="A79" s="1160"/>
      <c r="B79" s="1161"/>
      <c r="C79" s="1161"/>
    </row>
    <row r="80" spans="1:3">
      <c r="A80" s="1160"/>
      <c r="B80" s="1161"/>
      <c r="C80" s="1161"/>
    </row>
    <row r="81" spans="1:3">
      <c r="A81" s="1160"/>
      <c r="B81" s="1161"/>
      <c r="C81" s="1161"/>
    </row>
    <row r="82" spans="1:3">
      <c r="A82" s="1160"/>
      <c r="B82" s="1161"/>
      <c r="C82" s="1161"/>
    </row>
    <row r="83" spans="1:3">
      <c r="A83" s="1160"/>
      <c r="B83" s="1161"/>
      <c r="C83" s="1161"/>
    </row>
    <row r="84" spans="1:3">
      <c r="A84" s="1160"/>
      <c r="B84" s="1161"/>
      <c r="C84" s="1161"/>
    </row>
    <row r="85" spans="1:3">
      <c r="A85" s="1160"/>
      <c r="B85" s="1161"/>
      <c r="C85" s="1161"/>
    </row>
    <row r="86" spans="1:3">
      <c r="A86" s="1160"/>
      <c r="B86" s="1161"/>
      <c r="C86" s="1161"/>
    </row>
    <row r="87" spans="1:3">
      <c r="A87" s="1160"/>
      <c r="B87" s="1161"/>
      <c r="C87" s="1161"/>
    </row>
    <row r="88" spans="1:3">
      <c r="A88" s="1160"/>
      <c r="B88" s="1161"/>
      <c r="C88" s="1161"/>
    </row>
    <row r="89" spans="1:3">
      <c r="A89" s="1160"/>
      <c r="B89" s="1161"/>
      <c r="C89" s="1161"/>
    </row>
    <row r="90" spans="1:3">
      <c r="A90" s="1160"/>
      <c r="B90" s="1161"/>
      <c r="C90" s="1161"/>
    </row>
    <row r="91" spans="1:3">
      <c r="A91" s="1160"/>
      <c r="B91" s="1161"/>
      <c r="C91" s="1161"/>
    </row>
    <row r="92" spans="1:3">
      <c r="A92" s="1160"/>
      <c r="B92" s="1161"/>
      <c r="C92" s="1161"/>
    </row>
    <row r="93" spans="1:3">
      <c r="A93" s="1160"/>
      <c r="B93" s="1161"/>
      <c r="C93" s="1161"/>
    </row>
    <row r="94" spans="1:3">
      <c r="A94" s="1160"/>
      <c r="B94" s="1161"/>
      <c r="C94" s="1161"/>
    </row>
    <row r="95" spans="1:3">
      <c r="A95" s="1160"/>
      <c r="B95" s="1161"/>
      <c r="C95" s="1161"/>
    </row>
    <row r="96" spans="1:3">
      <c r="A96" s="1160"/>
      <c r="B96" s="1161"/>
      <c r="C96" s="1161"/>
    </row>
    <row r="97" spans="1:3">
      <c r="A97" s="1160"/>
      <c r="B97" s="1161"/>
      <c r="C97" s="1161"/>
    </row>
    <row r="98" spans="1:3">
      <c r="A98" s="1160"/>
      <c r="B98" s="1161"/>
      <c r="C98" s="1161"/>
    </row>
    <row r="99" spans="1:3">
      <c r="A99" s="1160"/>
      <c r="B99" s="1161"/>
      <c r="C99" s="1161"/>
    </row>
    <row r="100" spans="1:3">
      <c r="A100" s="1160"/>
      <c r="B100" s="1161"/>
      <c r="C100" s="1161"/>
    </row>
    <row r="101" spans="1:3">
      <c r="A101" s="1160"/>
      <c r="B101" s="1161"/>
      <c r="C101" s="1161"/>
    </row>
    <row r="102" spans="1:3">
      <c r="A102" s="1160"/>
      <c r="B102" s="1161"/>
      <c r="C102" s="1161"/>
    </row>
    <row r="103" spans="1:3">
      <c r="A103" s="1160"/>
      <c r="B103" s="1161"/>
      <c r="C103" s="1161"/>
    </row>
    <row r="104" spans="1:3">
      <c r="A104" s="1160"/>
      <c r="B104" s="1161"/>
      <c r="C104" s="1161"/>
    </row>
    <row r="105" spans="1:3">
      <c r="A105" s="1160"/>
      <c r="B105" s="1161"/>
      <c r="C105" s="1161"/>
    </row>
    <row r="106" spans="1:3">
      <c r="A106" s="1160"/>
      <c r="B106" s="1161"/>
      <c r="C106" s="1161"/>
    </row>
    <row r="107" spans="1:3">
      <c r="A107" s="1160"/>
      <c r="B107" s="1161"/>
      <c r="C107" s="1161"/>
    </row>
    <row r="108" spans="1:3">
      <c r="A108" s="1160"/>
      <c r="B108" s="1161"/>
      <c r="C108" s="1161"/>
    </row>
    <row r="109" spans="1:3">
      <c r="A109" s="1160"/>
      <c r="B109" s="1161"/>
      <c r="C109" s="1161"/>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zoomScale="90" zoomScaleSheetLayoutView="90" workbookViewId="0">
      <selection activeCell="B1" sqref="B1:I1"/>
    </sheetView>
  </sheetViews>
  <sheetFormatPr defaultColWidth="10" defaultRowHeight="18" customHeight="1"/>
  <cols>
    <col min="1" max="1" width="14.875" style="1202" customWidth="1"/>
    <col min="2" max="2" width="10" style="1202" customWidth="1"/>
    <col min="3" max="3" width="11.5" style="1202" customWidth="1"/>
    <col min="4" max="6" width="10" style="1202" customWidth="1"/>
    <col min="7" max="7" width="10.75" style="1202" customWidth="1"/>
    <col min="8" max="8" width="10" style="1202" customWidth="1"/>
    <col min="9" max="9" width="11.125" style="1162" customWidth="1"/>
    <col min="10" max="10" width="10" style="1202" customWidth="1"/>
    <col min="11" max="11" width="10" style="2103" customWidth="1"/>
    <col min="12" max="13" width="10" style="2003" customWidth="1"/>
    <col min="14" max="14" width="10" style="1202" customWidth="1"/>
    <col min="15" max="15" width="10" style="1162" customWidth="1"/>
    <col min="16" max="17" width="10" style="1202"/>
    <col min="18" max="18" width="10" style="1202" customWidth="1"/>
    <col min="19" max="16384" width="10" style="1202"/>
  </cols>
  <sheetData>
    <row r="1" spans="1:19" ht="38.25" customHeight="1" thickBot="1">
      <c r="A1" s="1941" t="s">
        <v>2132</v>
      </c>
      <c r="B1" s="3481" t="str">
        <f>IF(B10="北京市","北京市",C10)&amp;F10&amp;IF(结果表!G1="在建","出让国有建设用地使用权及在建建筑物",IF(结果表!G1="土地","出让国有建设用地使用权",))&amp;B9&amp;"预评估"</f>
        <v>西安市西安市未央区三桥街办昆明路立交以西房地产抵押价值预评估</v>
      </c>
      <c r="C1" s="3482"/>
      <c r="D1" s="3482"/>
      <c r="E1" s="3482"/>
      <c r="F1" s="3482"/>
      <c r="G1" s="3482"/>
      <c r="H1" s="3482"/>
      <c r="I1" s="3483"/>
      <c r="J1" s="1992"/>
      <c r="K1" s="2098"/>
      <c r="L1" s="1993"/>
      <c r="M1" s="1993"/>
      <c r="N1" s="1196"/>
      <c r="O1" s="11"/>
      <c r="P1" s="1196"/>
      <c r="Q1" s="1196"/>
      <c r="R1" s="1196"/>
      <c r="S1" s="1195" t="str">
        <f>IF(B10="北京市","北京市",C10)&amp;F10&amp;IF(结果表!G1="在建","出让国有建设用地使用权及在建建筑物房地产抵押价值",IF(结果表!G1="土地","出让国有建设用地使用权抵押价值",B9))</f>
        <v>西安市西安市未央区三桥街办昆明路立交以西房地产抵押价值</v>
      </c>
    </row>
    <row r="2" spans="1:19" ht="18" customHeight="1">
      <c r="A2" s="1992" t="s">
        <v>2133</v>
      </c>
      <c r="B2" s="1940" t="s">
        <v>3064</v>
      </c>
      <c r="C2" s="1994"/>
      <c r="D2" s="1992"/>
      <c r="E2" s="1995"/>
      <c r="F2" s="1995"/>
      <c r="G2" s="1992"/>
      <c r="H2" s="1992"/>
      <c r="I2" s="1992"/>
      <c r="J2" s="1992"/>
      <c r="K2" s="2098"/>
      <c r="L2" s="1993"/>
      <c r="M2" s="1993"/>
      <c r="N2" s="1196"/>
      <c r="O2" s="11"/>
      <c r="P2" s="1196"/>
      <c r="Q2" s="1196"/>
      <c r="R2" s="1196"/>
      <c r="S2" s="1195" t="str">
        <f>IF(B10="北京市","北京市",C10)&amp;F10&amp;IF(结果表!G1="在建","出让国有建设用地使用权及在建建筑物房地产",IF(结果表!G1="土地","出让国有建设用地使用权","房地产"))</f>
        <v>西安市西安市未央区三桥街办昆明路立交以西房地产</v>
      </c>
    </row>
    <row r="3" spans="1:19" ht="18" customHeight="1">
      <c r="A3" s="1938" t="s">
        <v>2012</v>
      </c>
      <c r="B3" s="3229">
        <v>42958</v>
      </c>
      <c r="C3" s="1921" t="s">
        <v>2013</v>
      </c>
      <c r="D3" s="3229">
        <v>42958</v>
      </c>
      <c r="E3" s="1992"/>
      <c r="F3" s="1992"/>
      <c r="G3" s="1992"/>
      <c r="H3" s="1992"/>
      <c r="I3" s="1992"/>
      <c r="J3" s="1992"/>
      <c r="K3" s="2098"/>
      <c r="L3" s="1993"/>
      <c r="M3" s="1993"/>
      <c r="N3" s="1196"/>
      <c r="O3" s="11"/>
      <c r="P3" s="1196"/>
      <c r="Q3" s="1196"/>
      <c r="R3" s="1196"/>
      <c r="S3" s="1195"/>
    </row>
    <row r="4" spans="1:19" ht="18" customHeight="1" thickBot="1">
      <c r="A4" s="1922" t="s">
        <v>2014</v>
      </c>
      <c r="B4" s="1923" t="s">
        <v>3065</v>
      </c>
      <c r="C4" s="1924">
        <f ca="1">SUMIF(注册房地产估价师,B4,估价师及机构信息!B3:B24)</f>
        <v>1119970066</v>
      </c>
      <c r="D4" s="1923" t="s">
        <v>3066</v>
      </c>
      <c r="E4" s="1925">
        <f ca="1">SUMIF(注册房地产估价师,D4,估价师及机构信息!B3:B24)</f>
        <v>1120070131</v>
      </c>
      <c r="F4" s="1923" t="s">
        <v>3067</v>
      </c>
      <c r="G4" s="1951">
        <f ca="1">SUMIF(注册房地产估价师,F4,估价师及机构信息!B3:B24)</f>
        <v>1120130048</v>
      </c>
      <c r="H4" s="1923" t="s">
        <v>530</v>
      </c>
      <c r="I4" s="2883">
        <f>SUMIF(注册房地产估价师,H4,估价师及机构信息!B3:B24)</f>
        <v>0</v>
      </c>
      <c r="J4" s="1997"/>
      <c r="K4" s="2099" t="str">
        <f ca="1">CONCATENATE(B4,"（注册号：",C4,")、",D4,"（注册号：",E4,")")</f>
        <v>梁津（注册号：1119970066)、郑燚（注册号：1120070131)</v>
      </c>
      <c r="L4" s="1993"/>
      <c r="M4" s="1993"/>
      <c r="N4" s="1196"/>
      <c r="O4" s="11"/>
      <c r="P4" s="1196"/>
      <c r="Q4" s="1196"/>
      <c r="R4" s="1196"/>
      <c r="S4" s="1195"/>
    </row>
    <row r="5" spans="1:19" ht="18" customHeight="1" thickTop="1">
      <c r="A5" s="1926" t="s">
        <v>2097</v>
      </c>
      <c r="B5" s="3284" t="s">
        <v>3076</v>
      </c>
      <c r="C5" s="2036"/>
      <c r="D5" s="1998"/>
      <c r="E5" s="1997"/>
      <c r="F5" s="1997"/>
      <c r="G5" s="1997"/>
      <c r="H5" s="1997"/>
      <c r="I5" s="1997"/>
      <c r="J5" s="1997"/>
      <c r="K5" s="2099" t="str">
        <f ca="1">IF(F4="——","",IF(H4="——",F4&amp;"（注册号："&amp;G4&amp;")",CONCATENATE(F4,"（注册号：",G4,")、",H4,"（注册号：",I4,")")))</f>
        <v>王萌（注册号：1120130048)</v>
      </c>
      <c r="L5" s="1993"/>
      <c r="M5" s="1993"/>
      <c r="N5" s="1196"/>
      <c r="O5" s="11"/>
      <c r="P5" s="1196"/>
      <c r="Q5" s="1196"/>
      <c r="R5" s="1196"/>
    </row>
    <row r="6" spans="1:19" ht="18" customHeight="1">
      <c r="A6" s="1927" t="s">
        <v>2098</v>
      </c>
      <c r="B6" s="2037" t="s">
        <v>3069</v>
      </c>
      <c r="C6" s="2038"/>
      <c r="D6" s="1999"/>
      <c r="E6" s="1995"/>
      <c r="F6" s="1997"/>
      <c r="G6" s="1997"/>
      <c r="H6" s="1997"/>
      <c r="I6" s="1997"/>
      <c r="J6" s="1997"/>
      <c r="K6" s="2104" t="str">
        <f>IF(COUNTIF(B6,"*上海银行*"),"上海银行","")</f>
        <v/>
      </c>
      <c r="L6" s="1993"/>
      <c r="M6" s="1993"/>
      <c r="N6" s="1196"/>
      <c r="O6" s="11"/>
      <c r="P6" s="1196"/>
      <c r="Q6" s="1196"/>
      <c r="R6" s="1196"/>
    </row>
    <row r="7" spans="1:19" ht="18" customHeight="1">
      <c r="A7" s="1927" t="s">
        <v>2875</v>
      </c>
      <c r="B7" s="3285" t="s">
        <v>3068</v>
      </c>
      <c r="C7" s="2038"/>
      <c r="D7" s="1999"/>
      <c r="E7" s="1995"/>
      <c r="F7" s="1997"/>
      <c r="G7" s="1997"/>
      <c r="H7" s="1997"/>
      <c r="I7" s="1997"/>
      <c r="J7" s="1997"/>
      <c r="K7" s="2100"/>
      <c r="L7" s="1993"/>
      <c r="M7" s="1993"/>
      <c r="N7" s="1196"/>
      <c r="O7" s="11"/>
      <c r="P7" s="1196"/>
      <c r="Q7" s="1196"/>
      <c r="R7" s="1196"/>
    </row>
    <row r="8" spans="1:19" ht="18" customHeight="1">
      <c r="A8" s="1927" t="s">
        <v>1960</v>
      </c>
      <c r="B8" s="2031" t="s">
        <v>3070</v>
      </c>
      <c r="C8" s="2000"/>
      <c r="D8" s="3484" t="s">
        <v>2021</v>
      </c>
      <c r="E8" s="2032" t="s">
        <v>3071</v>
      </c>
      <c r="F8" s="2033"/>
      <c r="G8" s="1992"/>
      <c r="H8" s="1992"/>
      <c r="I8" s="1992"/>
      <c r="J8" s="1997"/>
      <c r="K8" s="2099"/>
      <c r="L8" s="1993"/>
      <c r="M8" s="1993"/>
      <c r="N8" s="1196"/>
      <c r="O8" s="11"/>
      <c r="P8" s="1196"/>
      <c r="Q8" s="1196"/>
      <c r="R8" s="1196"/>
    </row>
    <row r="9" spans="1:19" ht="18" customHeight="1" thickBot="1">
      <c r="A9" s="1951" t="s">
        <v>1961</v>
      </c>
      <c r="B9" s="1952" t="s">
        <v>3071</v>
      </c>
      <c r="C9" s="2001"/>
      <c r="D9" s="3485"/>
      <c r="E9" s="1952" t="s">
        <v>2876</v>
      </c>
      <c r="F9" s="2886"/>
      <c r="G9" s="1996"/>
      <c r="H9" s="1996"/>
      <c r="I9" s="1996"/>
      <c r="J9" s="1997"/>
      <c r="K9" s="2100"/>
      <c r="L9" s="1993"/>
      <c r="M9" s="1993"/>
      <c r="N9" s="1196"/>
      <c r="O9" s="11"/>
      <c r="P9" s="1196"/>
      <c r="Q9" s="1196"/>
      <c r="R9" s="1196"/>
    </row>
    <row r="10" spans="1:19" ht="18" customHeight="1" thickTop="1">
      <c r="A10" s="2006" t="s">
        <v>2069</v>
      </c>
      <c r="B10" s="2052" t="s">
        <v>3072</v>
      </c>
      <c r="C10" s="2034" t="s">
        <v>3073</v>
      </c>
      <c r="D10" s="1998"/>
      <c r="E10" s="1937" t="s">
        <v>1962</v>
      </c>
      <c r="F10" s="3354" t="s">
        <v>3074</v>
      </c>
      <c r="G10" s="2884"/>
      <c r="H10" s="2885"/>
      <c r="I10" s="1998"/>
      <c r="J10" s="1997"/>
      <c r="K10" s="2100"/>
      <c r="L10" s="1993"/>
      <c r="M10" s="1993"/>
      <c r="N10" s="1196"/>
      <c r="O10" s="11"/>
      <c r="P10" s="1196"/>
      <c r="Q10" s="1196"/>
      <c r="R10" s="1196"/>
    </row>
    <row r="11" spans="1:19" ht="18" customHeight="1">
      <c r="A11" s="1955" t="s">
        <v>2070</v>
      </c>
      <c r="B11" s="2051" t="s">
        <v>3075</v>
      </c>
      <c r="C11" s="2035" t="s">
        <v>3068</v>
      </c>
      <c r="D11" s="2002"/>
      <c r="E11" s="1997"/>
      <c r="F11" s="1997"/>
      <c r="G11" s="1997"/>
      <c r="H11" s="1997"/>
      <c r="I11" s="1997"/>
      <c r="J11" s="1997"/>
      <c r="K11" s="2100"/>
      <c r="L11" s="1993"/>
      <c r="M11" s="1993"/>
      <c r="N11" s="1196"/>
      <c r="O11" s="11"/>
      <c r="P11" s="1196"/>
      <c r="Q11" s="1196"/>
      <c r="R11" s="1196"/>
    </row>
    <row r="12" spans="1:19" ht="18" customHeight="1">
      <c r="A12" s="2050" t="s">
        <v>2096</v>
      </c>
      <c r="B12" s="2051" t="s">
        <v>2032</v>
      </c>
      <c r="C12" s="2009" t="s">
        <v>2100</v>
      </c>
      <c r="D12" s="2021" t="s">
        <v>1954</v>
      </c>
      <c r="E12" s="2021" t="s">
        <v>2712</v>
      </c>
      <c r="F12" s="2021" t="s">
        <v>2713</v>
      </c>
      <c r="G12" s="2021" t="s">
        <v>2714</v>
      </c>
      <c r="H12" s="2021" t="s">
        <v>2715</v>
      </c>
      <c r="I12" s="2021" t="s">
        <v>2716</v>
      </c>
      <c r="J12" s="1997"/>
      <c r="K12" s="2100"/>
      <c r="L12" s="1993"/>
      <c r="M12" s="1993"/>
      <c r="N12" s="1196"/>
      <c r="O12" s="11"/>
      <c r="P12" s="1196"/>
      <c r="Q12" s="1196"/>
      <c r="R12" s="1196"/>
    </row>
    <row r="13" spans="1:19" ht="18" customHeight="1">
      <c r="A13" s="2005"/>
      <c r="B13" s="2080"/>
      <c r="C13" s="2081" t="s">
        <v>2099</v>
      </c>
      <c r="D13" s="3228">
        <v>66349</v>
      </c>
      <c r="E13" s="3228">
        <v>55452</v>
      </c>
      <c r="F13" s="3228"/>
      <c r="G13" s="3228">
        <v>59044</v>
      </c>
      <c r="H13" s="3228"/>
      <c r="I13" s="2046"/>
      <c r="J13" s="1997"/>
      <c r="K13" s="2100"/>
      <c r="L13" s="1993"/>
      <c r="M13" s="1993"/>
      <c r="N13" s="1196"/>
      <c r="O13" s="11"/>
      <c r="P13" s="1196"/>
      <c r="Q13" s="1196"/>
      <c r="R13" s="1196"/>
    </row>
    <row r="14" spans="1:19" ht="18" customHeight="1">
      <c r="A14" s="2005"/>
      <c r="B14" s="2080"/>
      <c r="C14" s="2081" t="s">
        <v>2101</v>
      </c>
      <c r="D14" s="2049"/>
      <c r="E14" s="2049"/>
      <c r="F14" s="2049"/>
      <c r="G14" s="2049"/>
      <c r="H14" s="2049"/>
      <c r="I14" s="2049"/>
      <c r="J14" s="1997"/>
      <c r="K14" s="2101"/>
      <c r="L14" s="1993"/>
      <c r="M14" s="1993"/>
      <c r="N14" s="1196"/>
      <c r="O14" s="11"/>
      <c r="P14" s="1196"/>
      <c r="Q14" s="1196"/>
      <c r="R14" s="1196"/>
    </row>
    <row r="15" spans="1:19" ht="18" customHeight="1">
      <c r="A15" s="2006"/>
      <c r="B15" s="2082"/>
      <c r="C15" s="2081" t="s">
        <v>2102</v>
      </c>
      <c r="D15" s="2048">
        <f>IF(B12="出让",IF(D13="","",ROUNDDOWN(MIN((D13-$D$3)/365,D14),2)),D14)</f>
        <v>64.08</v>
      </c>
      <c r="E15" s="2048">
        <f>IF(B12="出让",IF(E13="","",ROUNDDOWN(MIN((E13-$D$3)/365,E14),2)),E14)</f>
        <v>34.229999999999997</v>
      </c>
      <c r="F15" s="2048" t="str">
        <f>IF(B12="出让",IF(F13="","",ROUNDDOWN(MIN((F13-$D$3)/365,F14),2)),F14)</f>
        <v/>
      </c>
      <c r="G15" s="2048">
        <f>IF(B12="出让",IF(G13="","",ROUNDDOWN(MIN((G13-$D$3)/365,G14),2)),G14)</f>
        <v>44.07</v>
      </c>
      <c r="H15" s="2048" t="str">
        <f>IF(B12="出让",IF(H13="","",ROUNDDOWN(MIN((H13-$D$3)/365,H14),2)),H14)</f>
        <v/>
      </c>
      <c r="I15" s="2048" t="str">
        <f>IF(B12="出让",IF(I13="","",ROUNDDOWN(MIN((I13-$D$3)/365,I14),2)),I14)</f>
        <v/>
      </c>
      <c r="J15" s="1997"/>
      <c r="K15" s="2102"/>
      <c r="L15" s="1230"/>
      <c r="M15" s="1230"/>
      <c r="N15" s="2017"/>
      <c r="O15" s="1230"/>
      <c r="P15" s="2017"/>
      <c r="Q15" s="1196"/>
      <c r="R15" s="1196"/>
    </row>
    <row r="16" spans="1:19" ht="30.75" customHeight="1">
      <c r="A16" s="1937" t="s">
        <v>2103</v>
      </c>
      <c r="B16" s="3491" t="s">
        <v>3077</v>
      </c>
      <c r="C16" s="3492"/>
      <c r="D16" s="3493"/>
      <c r="E16" s="1953" t="s">
        <v>2033</v>
      </c>
      <c r="F16" s="3494" t="s">
        <v>3078</v>
      </c>
      <c r="G16" s="3495"/>
      <c r="H16" s="3495"/>
      <c r="I16" s="3496"/>
      <c r="J16" s="1196"/>
      <c r="K16" s="2102"/>
      <c r="L16" s="1230"/>
      <c r="M16" s="1230"/>
      <c r="N16" s="2017"/>
      <c r="O16" s="1230"/>
      <c r="P16" s="2017"/>
      <c r="Q16" s="1196"/>
      <c r="R16" s="1196"/>
    </row>
    <row r="17" spans="1:22" ht="18" customHeight="1">
      <c r="A17" s="2004" t="s">
        <v>1963</v>
      </c>
      <c r="B17" s="1938" t="s">
        <v>1964</v>
      </c>
      <c r="C17" s="2083">
        <f>'数据-汇总表'!E3</f>
        <v>4043.7000000000003</v>
      </c>
      <c r="D17" s="1939" t="s">
        <v>1965</v>
      </c>
      <c r="E17" s="3497" t="s">
        <v>3079</v>
      </c>
      <c r="F17" s="3498"/>
      <c r="G17" s="3498"/>
      <c r="H17" s="3498"/>
      <c r="I17" s="3499"/>
      <c r="J17" s="1196"/>
      <c r="K17" s="2693"/>
      <c r="L17" s="1230"/>
      <c r="M17" s="1230"/>
      <c r="N17" s="2017"/>
      <c r="O17" s="1230"/>
      <c r="P17" s="2017"/>
      <c r="Q17" s="1196"/>
      <c r="R17" s="1196"/>
      <c r="S17" s="1196"/>
      <c r="T17" s="1196"/>
      <c r="U17" s="1196"/>
      <c r="V17" s="1196"/>
    </row>
    <row r="18" spans="1:22" ht="36" customHeight="1" thickBot="1">
      <c r="A18" s="2892" t="s">
        <v>2708</v>
      </c>
      <c r="B18" s="1922" t="s">
        <v>1966</v>
      </c>
      <c r="C18" s="2893">
        <f>'数据-汇总表'!D3</f>
        <v>1218.83</v>
      </c>
      <c r="D18" s="2894" t="s">
        <v>1965</v>
      </c>
      <c r="E18" s="3500" t="s">
        <v>3276</v>
      </c>
      <c r="F18" s="3501"/>
      <c r="G18" s="3501"/>
      <c r="H18" s="3501"/>
      <c r="I18" s="3502"/>
      <c r="J18" s="1196"/>
      <c r="K18" s="2693"/>
      <c r="L18" s="1230"/>
      <c r="M18" s="1230"/>
      <c r="N18" s="2017"/>
      <c r="O18" s="1230"/>
      <c r="P18" s="2017"/>
      <c r="Q18" s="1196"/>
      <c r="R18" s="1196"/>
      <c r="S18" s="1196"/>
      <c r="T18" s="1196"/>
      <c r="U18" s="1196"/>
      <c r="V18" s="1196"/>
    </row>
    <row r="19" spans="1:22" ht="37.5" customHeight="1" thickTop="1" thickBot="1">
      <c r="A19" s="2891" t="s">
        <v>2050</v>
      </c>
      <c r="B19" s="2057" t="s">
        <v>2051</v>
      </c>
      <c r="C19" s="2058" t="s">
        <v>41</v>
      </c>
      <c r="D19" s="2040" t="s">
        <v>2054</v>
      </c>
      <c r="E19" s="2039" t="s">
        <v>41</v>
      </c>
      <c r="F19" s="2041" t="str">
        <f>IF(AND(C19="是",E19="否"),"是否提供他项权证或相关说明","")</f>
        <v/>
      </c>
      <c r="G19" s="2042"/>
      <c r="H19" s="1997"/>
      <c r="I19" s="1997"/>
      <c r="J19" s="1997"/>
      <c r="K19" s="2100"/>
      <c r="L19" s="1993"/>
      <c r="M19" s="1993"/>
      <c r="N19" s="2017"/>
      <c r="O19" s="1230"/>
      <c r="P19" s="2017"/>
      <c r="Q19" s="1196"/>
      <c r="R19" s="1196"/>
      <c r="S19" s="1196"/>
      <c r="T19" s="1196"/>
      <c r="U19" s="1196"/>
      <c r="V19" s="1196"/>
    </row>
    <row r="20" spans="1:22" ht="18" customHeight="1">
      <c r="A20" s="2059" t="s">
        <v>2055</v>
      </c>
      <c r="B20" s="3487" t="s">
        <v>2056</v>
      </c>
      <c r="C20" s="3488"/>
      <c r="D20" s="3489" t="s">
        <v>2057</v>
      </c>
      <c r="E20" s="3490"/>
      <c r="F20" s="2065" t="s">
        <v>2058</v>
      </c>
      <c r="G20" s="1997"/>
      <c r="H20" s="1997"/>
      <c r="I20" s="1997"/>
      <c r="J20" s="1997"/>
      <c r="K20" s="3486" t="s">
        <v>2053</v>
      </c>
      <c r="L20" s="2607" t="str">
        <f>"根据估价对象"&amp;IF(B22="——",B21&amp;C21,B21&amp;C21&amp;"、"&amp;B22&amp;C22)&amp;"，"&amp;IF(C19="是","截至价值时点，估价对象已设定抵押。","截至价值时点，估价对象抵押权未见登记。")</f>
        <v>根据估价对象《房屋所有权证》——、《国有土地使用权》复印件，截至价值时点，估价对象抵押权未见登记。</v>
      </c>
      <c r="M20" s="1993"/>
      <c r="N20" s="2017"/>
      <c r="O20" s="1230"/>
      <c r="P20" s="2017"/>
      <c r="Q20" s="1196"/>
      <c r="R20" s="1196"/>
      <c r="S20" s="1196"/>
      <c r="T20" s="1196"/>
      <c r="U20" s="1196"/>
      <c r="V20" s="1196"/>
    </row>
    <row r="21" spans="1:22" ht="24.75" customHeight="1">
      <c r="A21" s="2059"/>
      <c r="B21" s="2060" t="s">
        <v>2059</v>
      </c>
      <c r="C21" s="2029" t="s">
        <v>530</v>
      </c>
      <c r="D21" s="1986" t="s">
        <v>2062</v>
      </c>
      <c r="E21" s="2030" t="s">
        <v>530</v>
      </c>
      <c r="F21" s="1975"/>
      <c r="G21" s="1997"/>
      <c r="H21" s="1997"/>
      <c r="I21" s="1997"/>
      <c r="J21" s="1997"/>
      <c r="K21" s="3486"/>
      <c r="L21" s="260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3"/>
      <c r="N21" s="2017"/>
      <c r="O21" s="1230"/>
      <c r="P21" s="2017"/>
      <c r="Q21" s="1196"/>
      <c r="R21" s="1196"/>
      <c r="S21" s="1196"/>
      <c r="T21" s="1196"/>
      <c r="U21" s="1196"/>
      <c r="V21" s="1196"/>
    </row>
    <row r="22" spans="1:22" ht="24.75" customHeight="1" thickBot="1">
      <c r="A22" s="2059"/>
      <c r="B22" s="2061" t="s">
        <v>2060</v>
      </c>
      <c r="C22" s="2029" t="s">
        <v>2061</v>
      </c>
      <c r="D22" s="1992"/>
      <c r="E22" s="1992"/>
      <c r="F22" s="2066"/>
      <c r="G22" s="1997"/>
      <c r="H22" s="1997"/>
      <c r="I22" s="1997"/>
      <c r="J22" s="1997"/>
      <c r="K22" s="3486"/>
      <c r="L22" s="260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3"/>
      <c r="N22" s="2017"/>
      <c r="O22" s="1230"/>
      <c r="P22" s="2017"/>
      <c r="Q22" s="1196"/>
      <c r="R22" s="1196"/>
      <c r="S22" s="1196"/>
      <c r="T22" s="1196"/>
      <c r="U22" s="1196"/>
      <c r="V22" s="1196"/>
    </row>
    <row r="23" spans="1:22" ht="18" customHeight="1">
      <c r="A23" s="1974" t="s">
        <v>2063</v>
      </c>
      <c r="B23" s="2062" t="s">
        <v>2064</v>
      </c>
      <c r="C23" s="2063"/>
      <c r="D23" s="1976" t="s">
        <v>2064</v>
      </c>
      <c r="E23" s="1984"/>
      <c r="F23" s="2066"/>
      <c r="G23" s="1997"/>
      <c r="H23" s="1997"/>
      <c r="I23" s="1997"/>
      <c r="J23" s="1997"/>
      <c r="K23" s="226"/>
      <c r="L23" s="2607"/>
      <c r="M23" s="1993"/>
      <c r="N23" s="2017"/>
      <c r="O23" s="1230"/>
      <c r="P23" s="2017"/>
      <c r="Q23" s="1196"/>
      <c r="R23" s="1196"/>
      <c r="S23" s="1196"/>
      <c r="T23" s="1196"/>
      <c r="U23" s="1196"/>
      <c r="V23" s="1196"/>
    </row>
    <row r="24" spans="1:22" ht="18" customHeight="1">
      <c r="A24" s="1977"/>
      <c r="B24" s="2062" t="s">
        <v>2065</v>
      </c>
      <c r="C24" s="2064"/>
      <c r="D24" s="1974" t="s">
        <v>2065</v>
      </c>
      <c r="E24" s="1985"/>
      <c r="F24" s="2066"/>
      <c r="G24" s="1997"/>
      <c r="H24" s="1997"/>
      <c r="I24" s="1997"/>
      <c r="J24" s="1997"/>
      <c r="K24" s="226"/>
      <c r="L24" s="2607"/>
      <c r="M24" s="1993"/>
      <c r="N24" s="2017"/>
      <c r="O24" s="1230"/>
      <c r="P24" s="2017"/>
      <c r="Q24" s="1196"/>
      <c r="R24" s="1196"/>
      <c r="S24" s="1196"/>
      <c r="T24" s="1196"/>
      <c r="U24" s="1196"/>
      <c r="V24" s="1196"/>
    </row>
    <row r="25" spans="1:22" ht="18" customHeight="1">
      <c r="A25" s="1977"/>
      <c r="B25" s="2062" t="s">
        <v>2066</v>
      </c>
      <c r="C25" s="2064"/>
      <c r="D25" s="1974" t="s">
        <v>2066</v>
      </c>
      <c r="E25" s="1985"/>
      <c r="F25" s="2066"/>
      <c r="G25" s="1997"/>
      <c r="H25" s="1997"/>
      <c r="I25" s="1997"/>
      <c r="J25" s="1997"/>
      <c r="K25" s="2100"/>
      <c r="L25" s="1993"/>
      <c r="M25" s="1993"/>
      <c r="N25" s="2017"/>
      <c r="O25" s="1230"/>
      <c r="P25" s="2017"/>
      <c r="Q25" s="1196"/>
      <c r="R25" s="1196"/>
      <c r="S25" s="1196"/>
      <c r="T25" s="1196"/>
      <c r="U25" s="1196"/>
      <c r="V25" s="1196"/>
    </row>
    <row r="26" spans="1:22" ht="18" customHeight="1" thickBot="1">
      <c r="A26" s="2054"/>
      <c r="B26" s="2067" t="s">
        <v>2067</v>
      </c>
      <c r="C26" s="2068"/>
      <c r="D26" s="2056" t="s">
        <v>2067</v>
      </c>
      <c r="E26" s="2055"/>
      <c r="F26" s="2069"/>
      <c r="G26" s="1996"/>
      <c r="H26" s="1996"/>
      <c r="I26" s="1996"/>
      <c r="J26" s="1997"/>
      <c r="K26" s="2100"/>
      <c r="L26" s="1993"/>
      <c r="M26" s="1993"/>
      <c r="N26" s="2017"/>
      <c r="O26" s="1230"/>
      <c r="P26" s="2017"/>
      <c r="Q26" s="1196"/>
      <c r="R26" s="1196"/>
      <c r="S26" s="1196"/>
      <c r="T26" s="1196"/>
      <c r="U26" s="1196"/>
      <c r="V26" s="1196"/>
    </row>
    <row r="27" spans="1:22" ht="18" customHeight="1" thickTop="1">
      <c r="A27" s="3504" t="s">
        <v>2071</v>
      </c>
      <c r="B27" s="2006" t="s">
        <v>2072</v>
      </c>
      <c r="C27" s="1928" t="s">
        <v>3080</v>
      </c>
      <c r="D27" s="1929"/>
      <c r="E27" s="1997"/>
      <c r="F27" s="1997"/>
      <c r="G27" s="1997"/>
      <c r="H27" s="1997"/>
      <c r="I27" s="1997"/>
      <c r="J27" s="1196"/>
      <c r="K27" s="2102"/>
      <c r="L27" s="1230"/>
      <c r="M27" s="1230"/>
      <c r="N27" s="2017"/>
      <c r="O27" s="1230"/>
      <c r="P27" s="2017"/>
      <c r="Q27" s="1196"/>
      <c r="R27" s="1196"/>
      <c r="S27" s="1196"/>
      <c r="T27" s="1196"/>
      <c r="U27" s="1196"/>
      <c r="V27" s="1196"/>
    </row>
    <row r="28" spans="1:22" ht="18" customHeight="1">
      <c r="A28" s="3504"/>
      <c r="B28" s="1938" t="s">
        <v>2073</v>
      </c>
      <c r="C28" s="1930" t="s">
        <v>150</v>
      </c>
      <c r="D28" s="1931"/>
      <c r="E28" s="1997"/>
      <c r="F28" s="1997"/>
      <c r="G28" s="1997"/>
      <c r="H28" s="1997"/>
      <c r="I28" s="1997"/>
      <c r="J28" s="1196"/>
      <c r="K28" s="2106"/>
      <c r="L28" s="1993"/>
      <c r="M28" s="1993"/>
      <c r="N28" s="1196"/>
      <c r="O28" s="11"/>
      <c r="P28" s="1196"/>
      <c r="Q28" s="1196"/>
      <c r="R28" s="1196"/>
      <c r="S28" s="1196"/>
      <c r="T28" s="1196"/>
      <c r="U28" s="1196"/>
      <c r="V28" s="1196"/>
    </row>
    <row r="29" spans="1:22" ht="18" customHeight="1">
      <c r="A29" s="3504"/>
      <c r="B29" s="1938" t="s">
        <v>2074</v>
      </c>
      <c r="C29" s="1932" t="s">
        <v>3081</v>
      </c>
      <c r="D29" s="1933"/>
      <c r="E29" s="1997"/>
      <c r="F29" s="1997"/>
      <c r="G29" s="1997"/>
      <c r="H29" s="1997"/>
      <c r="I29" s="1997"/>
      <c r="J29" s="1196"/>
      <c r="K29" s="2106"/>
      <c r="L29" s="1993"/>
      <c r="M29" s="1993"/>
      <c r="N29" s="1196"/>
      <c r="O29" s="11"/>
      <c r="P29" s="1196"/>
      <c r="Q29" s="1196"/>
      <c r="R29" s="1196"/>
      <c r="S29" s="1196"/>
      <c r="T29" s="1196"/>
      <c r="U29" s="1196"/>
      <c r="V29" s="1196"/>
    </row>
    <row r="30" spans="1:22" ht="18" customHeight="1">
      <c r="A30" s="3505"/>
      <c r="B30" s="1938" t="s">
        <v>2075</v>
      </c>
      <c r="C30" s="3506" t="s">
        <v>3082</v>
      </c>
      <c r="D30" s="3507"/>
      <c r="E30" s="1997"/>
      <c r="F30" s="1997"/>
      <c r="G30" s="1997"/>
      <c r="H30" s="1997"/>
      <c r="I30" s="1997"/>
      <c r="J30" s="1196"/>
      <c r="K30" s="2106"/>
      <c r="L30" s="1993"/>
      <c r="M30" s="1993"/>
      <c r="N30" s="1196"/>
      <c r="O30" s="11"/>
      <c r="P30" s="1196"/>
      <c r="Q30" s="1196"/>
      <c r="R30" s="1196"/>
      <c r="S30" s="1196"/>
      <c r="T30" s="1196"/>
      <c r="U30" s="1196"/>
      <c r="V30" s="1196"/>
    </row>
    <row r="31" spans="1:22" ht="18" customHeight="1">
      <c r="A31" s="3508" t="s">
        <v>2076</v>
      </c>
      <c r="B31" s="1934" t="s">
        <v>3083</v>
      </c>
      <c r="C31" s="1935" t="str">
        <f>IF(B31="现房","成新及维护状况正常否",IF(B31="在建","工程状态是否正常",IF(B31="土地","是否闲置","-")))</f>
        <v>成新及维护状况正常否</v>
      </c>
      <c r="D31" s="2007"/>
      <c r="E31" s="1936"/>
      <c r="F31" s="1997"/>
      <c r="G31" s="1997"/>
      <c r="H31" s="1997"/>
      <c r="I31" s="1997"/>
      <c r="J31" s="1997"/>
      <c r="K31" s="2104"/>
      <c r="L31" s="1993"/>
      <c r="M31" s="1993"/>
      <c r="N31" s="1196"/>
      <c r="O31" s="11"/>
      <c r="P31" s="1196"/>
      <c r="Q31" s="1196"/>
      <c r="R31" s="1196"/>
      <c r="S31" s="1196"/>
      <c r="T31" s="1196"/>
      <c r="U31" s="1196"/>
      <c r="V31" s="1196"/>
    </row>
    <row r="32" spans="1:22" ht="18" customHeight="1">
      <c r="A32" s="3509"/>
      <c r="B32" s="1934" t="s">
        <v>3083</v>
      </c>
      <c r="C32" s="1935" t="str">
        <f>IF(B32="现房","成新及维护状况是否正常",IF(B32="在建","工程状态是否正常",IF(B32="土地","是否闲置","-")))</f>
        <v>成新及维护状况是否正常</v>
      </c>
      <c r="D32" s="2007"/>
      <c r="E32" s="1936"/>
      <c r="F32" s="1997"/>
      <c r="G32" s="1997"/>
      <c r="H32" s="1997"/>
      <c r="I32" s="1997"/>
      <c r="J32" s="1997"/>
      <c r="K32" s="2100"/>
      <c r="L32" s="1993"/>
      <c r="M32" s="1993"/>
      <c r="N32" s="1196"/>
      <c r="O32" s="11"/>
      <c r="P32" s="1196"/>
      <c r="Q32" s="1196"/>
      <c r="R32" s="1196"/>
      <c r="S32" s="1196"/>
      <c r="T32" s="1196"/>
      <c r="U32" s="1196"/>
      <c r="V32" s="1196"/>
    </row>
    <row r="33" spans="1:22" ht="18" customHeight="1">
      <c r="A33" s="3509"/>
      <c r="B33" s="1954" t="s">
        <v>3083</v>
      </c>
      <c r="C33" s="1955" t="str">
        <f>IF(B33="现房","成新及维护状况是否正常",IF(B33="在建","工程状态是否正常",IF(B33="土地","是否闲置","-")))</f>
        <v>成新及维护状况是否正常</v>
      </c>
      <c r="D33" s="2008"/>
      <c r="E33" s="1956"/>
      <c r="F33" s="1997"/>
      <c r="G33" s="1997"/>
      <c r="H33" s="1997"/>
      <c r="I33" s="1997"/>
      <c r="J33" s="1997"/>
      <c r="K33" s="2100"/>
      <c r="L33" s="1993"/>
      <c r="M33" s="1993"/>
      <c r="N33" s="1196"/>
      <c r="O33" s="11"/>
      <c r="P33" s="1196"/>
      <c r="Q33" s="1196"/>
      <c r="R33" s="1196"/>
      <c r="S33" s="1196"/>
      <c r="T33" s="1196"/>
      <c r="U33" s="1196"/>
      <c r="V33" s="1196"/>
    </row>
    <row r="34" spans="1:22" ht="18" customHeight="1">
      <c r="A34" s="1938" t="s">
        <v>2034</v>
      </c>
      <c r="B34" s="1957"/>
      <c r="C34" s="1957"/>
      <c r="D34" s="1957"/>
      <c r="E34" s="1957"/>
      <c r="F34" s="1957"/>
      <c r="G34" s="1957"/>
      <c r="H34" s="1957"/>
      <c r="I34" s="1997"/>
      <c r="J34" s="1997"/>
      <c r="K34" s="2881">
        <f>COUNTIF(B34:H34,"——")</f>
        <v>0</v>
      </c>
      <c r="L34" s="2009" t="s">
        <v>2105</v>
      </c>
      <c r="M34" s="2009" t="s">
        <v>2106</v>
      </c>
      <c r="N34" s="2009" t="s">
        <v>2107</v>
      </c>
      <c r="O34" s="2009" t="s">
        <v>2108</v>
      </c>
      <c r="P34" s="2009" t="s">
        <v>2109</v>
      </c>
      <c r="Q34" s="2009" t="s">
        <v>2110</v>
      </c>
      <c r="R34" s="2009" t="s">
        <v>2111</v>
      </c>
      <c r="S34" s="3503" t="s">
        <v>2112</v>
      </c>
      <c r="T34" s="2010" t="str">
        <f>NUMBERSTRING(7-K34,1)&amp;"通"</f>
        <v>七通</v>
      </c>
      <c r="U34" s="1196"/>
      <c r="V34" s="1196"/>
    </row>
    <row r="35" spans="1:22" ht="18" customHeight="1">
      <c r="A35" s="2011"/>
      <c r="B35" s="3510" t="s">
        <v>1879</v>
      </c>
      <c r="C35" s="3510"/>
      <c r="D35" s="3510"/>
      <c r="E35" s="3510"/>
      <c r="F35" s="2012" t="str">
        <f>C10</f>
        <v>西安市</v>
      </c>
      <c r="G35" s="1997"/>
      <c r="H35" s="1997"/>
      <c r="I35" s="1997"/>
      <c r="J35" s="1997"/>
      <c r="K35" s="2009"/>
      <c r="L35" s="2009">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503"/>
      <c r="T35" s="23" t="str">
        <f>IF(T34="一通",L35,IF(T34="二通",M35,IF(T34="三通",N35,IF(T34="四通",O35,IF(T34="五通",P35,IF(T34="六通",Q35,R35))))))</f>
        <v>、、、、、、</v>
      </c>
      <c r="U35" s="1196"/>
      <c r="V35" s="1196"/>
    </row>
    <row r="36" spans="1:22" ht="18" customHeight="1">
      <c r="A36" s="2013"/>
      <c r="B36" s="2012" t="s">
        <v>1959</v>
      </c>
      <c r="C36" s="2012" t="s">
        <v>1955</v>
      </c>
      <c r="D36" s="2012" t="s">
        <v>1954</v>
      </c>
      <c r="E36" s="2012" t="s">
        <v>1956</v>
      </c>
      <c r="F36" s="2014"/>
      <c r="G36" s="1997"/>
      <c r="H36" s="1997"/>
      <c r="I36" s="1997"/>
      <c r="J36" s="1997"/>
      <c r="K36" s="2100"/>
      <c r="L36" s="1993"/>
      <c r="M36" s="1993"/>
      <c r="N36" s="1196"/>
      <c r="O36" s="11"/>
      <c r="P36" s="1196"/>
      <c r="Q36" s="1196"/>
      <c r="R36" s="1196"/>
      <c r="S36" s="1196"/>
      <c r="T36" s="1196"/>
      <c r="U36" s="1196"/>
      <c r="V36" s="1196"/>
    </row>
    <row r="37" spans="1:22" ht="18" customHeight="1">
      <c r="A37" s="2015" t="s">
        <v>1878</v>
      </c>
      <c r="B37" s="2016"/>
      <c r="C37" s="2016"/>
      <c r="D37" s="2016"/>
      <c r="E37" s="2016"/>
      <c r="F37" s="2014"/>
      <c r="G37" s="1997"/>
      <c r="H37" s="1997"/>
      <c r="I37" s="1997"/>
      <c r="J37" s="1997"/>
      <c r="K37" s="2100"/>
      <c r="L37" s="1993"/>
      <c r="M37" s="1993"/>
      <c r="N37" s="1196"/>
      <c r="O37" s="11"/>
      <c r="P37" s="1196"/>
      <c r="Q37" s="1196"/>
      <c r="R37" s="1196"/>
      <c r="S37" s="1196"/>
      <c r="T37" s="1196"/>
      <c r="U37" s="1196"/>
      <c r="V37" s="1196"/>
    </row>
    <row r="38" spans="1:22" ht="18" customHeight="1" thickBot="1">
      <c r="A38" s="2043" t="s">
        <v>1880</v>
      </c>
      <c r="B38" s="2044"/>
      <c r="C38" s="2044"/>
      <c r="D38" s="2044"/>
      <c r="E38" s="2044"/>
      <c r="F38" s="2045"/>
      <c r="G38" s="1996"/>
      <c r="H38" s="1996"/>
      <c r="I38" s="1996"/>
      <c r="J38" s="1997"/>
      <c r="K38" s="2100"/>
      <c r="L38" s="1993"/>
      <c r="M38" s="1993"/>
      <c r="N38" s="1196"/>
      <c r="O38" s="11"/>
      <c r="P38" s="1196"/>
      <c r="Q38" s="1196"/>
      <c r="R38" s="1196"/>
      <c r="S38" s="1196"/>
      <c r="T38" s="1196"/>
      <c r="U38" s="1196"/>
      <c r="V38" s="1196"/>
    </row>
    <row r="39" spans="1:22" s="3307" customFormat="1" ht="18" customHeight="1" thickTop="1" thickBot="1">
      <c r="A39" s="3308" t="s">
        <v>3031</v>
      </c>
      <c r="B39" s="3304"/>
      <c r="C39" s="3304"/>
      <c r="D39" s="3304"/>
      <c r="E39" s="3304"/>
      <c r="F39" s="3304"/>
      <c r="G39" s="3304"/>
      <c r="H39" s="3304"/>
      <c r="I39" s="3304"/>
      <c r="J39" s="3304"/>
      <c r="K39" s="3305"/>
      <c r="L39" s="3304"/>
      <c r="M39" s="3304"/>
      <c r="N39" s="3304"/>
      <c r="O39" s="3306"/>
      <c r="P39" s="3304"/>
      <c r="Q39" s="3304"/>
      <c r="R39" s="3304"/>
      <c r="S39" s="3304"/>
      <c r="T39" s="3304"/>
      <c r="U39" s="3304"/>
      <c r="V39" s="3304"/>
    </row>
    <row r="40" spans="1:22" ht="18" customHeight="1">
      <c r="A40" s="1196"/>
      <c r="B40" s="1196"/>
      <c r="C40" s="1196"/>
      <c r="D40" s="1196"/>
      <c r="E40" s="1196"/>
      <c r="F40" s="1196"/>
      <c r="G40" s="1196"/>
      <c r="H40" s="1196"/>
      <c r="I40" s="1217"/>
      <c r="J40" s="2017"/>
      <c r="K40" s="2105"/>
      <c r="L40" s="1230"/>
      <c r="M40" s="1230"/>
      <c r="N40" s="2017"/>
      <c r="O40" s="1230"/>
      <c r="P40" s="1196"/>
      <c r="Q40" s="1196"/>
      <c r="R40" s="1196"/>
      <c r="S40" s="1196"/>
      <c r="T40" s="1196"/>
      <c r="U40" s="1196"/>
      <c r="V40" s="1196"/>
    </row>
    <row r="41" spans="1:22" ht="18" customHeight="1">
      <c r="A41" s="2018" t="s">
        <v>2077</v>
      </c>
      <c r="B41" s="2019"/>
      <c r="C41" s="2020"/>
      <c r="D41" s="1196"/>
      <c r="E41" s="1196"/>
      <c r="F41" s="1196"/>
      <c r="G41" s="1196"/>
      <c r="H41" s="1196"/>
      <c r="I41" s="11"/>
      <c r="J41" s="1196"/>
      <c r="K41" s="2106"/>
      <c r="L41" s="1993"/>
      <c r="M41" s="1993"/>
      <c r="N41" s="1196"/>
      <c r="O41" s="11"/>
      <c r="P41" s="1196"/>
      <c r="Q41" s="1196"/>
      <c r="R41" s="1196"/>
      <c r="S41" s="1196"/>
      <c r="T41" s="1196"/>
      <c r="U41" s="1196"/>
      <c r="V41" s="1196"/>
    </row>
    <row r="42" spans="1:22" ht="18" customHeight="1">
      <c r="A42" s="2009" t="s">
        <v>2078</v>
      </c>
      <c r="B42" s="1983" t="s">
        <v>2079</v>
      </c>
      <c r="C42" s="1983" t="s">
        <v>2080</v>
      </c>
      <c r="D42" s="1983" t="s">
        <v>2081</v>
      </c>
      <c r="E42" s="1983" t="s">
        <v>2082</v>
      </c>
      <c r="F42" s="1983" t="s">
        <v>2083</v>
      </c>
      <c r="G42" s="1983" t="s">
        <v>2084</v>
      </c>
      <c r="H42" s="1983" t="s">
        <v>2085</v>
      </c>
      <c r="I42" s="1983" t="s">
        <v>2086</v>
      </c>
      <c r="J42" s="2096" t="s">
        <v>2087</v>
      </c>
      <c r="K42" s="2021" t="s">
        <v>2088</v>
      </c>
      <c r="L42" s="2021" t="s">
        <v>2089</v>
      </c>
      <c r="M42" s="2021" t="s">
        <v>2090</v>
      </c>
      <c r="N42" s="1983" t="s">
        <v>2091</v>
      </c>
      <c r="O42" s="1983" t="s">
        <v>2092</v>
      </c>
      <c r="P42" s="1983" t="s">
        <v>2093</v>
      </c>
      <c r="Q42" s="2009" t="s">
        <v>2094</v>
      </c>
      <c r="R42" s="2009" t="s">
        <v>2095</v>
      </c>
      <c r="S42" s="1196"/>
      <c r="T42" s="1196"/>
      <c r="U42" s="1196"/>
      <c r="V42" s="1196"/>
    </row>
    <row r="43" spans="1:22" s="2237" customFormat="1" ht="18" customHeight="1">
      <c r="A43" s="1416"/>
      <c r="B43" s="216"/>
      <c r="C43" s="216"/>
      <c r="D43" s="216"/>
      <c r="E43" s="216"/>
      <c r="F43" s="216"/>
      <c r="G43" s="216"/>
      <c r="H43" s="2"/>
      <c r="I43" s="2"/>
      <c r="J43" s="9"/>
      <c r="K43" s="4"/>
      <c r="L43" s="4"/>
      <c r="M43" s="2"/>
      <c r="N43" s="216"/>
      <c r="O43" s="2"/>
      <c r="P43" s="216"/>
      <c r="Q43" s="216"/>
      <c r="R43" s="216"/>
      <c r="S43" s="3238"/>
      <c r="T43" s="3238"/>
      <c r="U43" s="3238"/>
      <c r="V43" s="3238"/>
    </row>
    <row r="44" spans="1:22" s="2237" customFormat="1" ht="18" customHeight="1">
      <c r="A44" s="1416"/>
      <c r="B44" s="1416"/>
      <c r="C44" s="216"/>
      <c r="D44" s="216"/>
      <c r="E44" s="216"/>
      <c r="F44" s="216"/>
      <c r="G44" s="216"/>
      <c r="H44" s="2"/>
      <c r="I44" s="2"/>
      <c r="J44" s="9"/>
      <c r="K44" s="4"/>
      <c r="L44" s="4"/>
      <c r="M44" s="2"/>
      <c r="N44" s="216"/>
      <c r="O44" s="2"/>
      <c r="P44" s="216"/>
      <c r="Q44" s="216"/>
      <c r="R44" s="216"/>
      <c r="S44" s="3238"/>
      <c r="T44" s="3238"/>
      <c r="U44" s="3238"/>
      <c r="V44" s="3238"/>
    </row>
    <row r="45" spans="1:22" s="2237" customFormat="1" ht="18" customHeight="1">
      <c r="A45" s="1416"/>
      <c r="B45" s="1416"/>
      <c r="C45" s="216"/>
      <c r="D45" s="216"/>
      <c r="E45" s="216"/>
      <c r="F45" s="216"/>
      <c r="G45" s="216"/>
      <c r="H45" s="2"/>
      <c r="I45" s="2"/>
      <c r="J45" s="9"/>
      <c r="K45" s="4"/>
      <c r="L45" s="4"/>
      <c r="M45" s="2"/>
      <c r="N45" s="216"/>
      <c r="O45" s="2"/>
      <c r="P45" s="216"/>
      <c r="Q45" s="216"/>
      <c r="R45" s="216"/>
      <c r="S45" s="3238"/>
      <c r="T45" s="3238"/>
      <c r="U45" s="3238"/>
      <c r="V45" s="3238"/>
    </row>
    <row r="46" spans="1:22" s="2237" customFormat="1" ht="18" customHeight="1">
      <c r="A46" s="1416"/>
      <c r="B46" s="1416"/>
      <c r="C46" s="216"/>
      <c r="D46" s="216"/>
      <c r="E46" s="216"/>
      <c r="F46" s="216"/>
      <c r="G46" s="216"/>
      <c r="H46" s="2"/>
      <c r="I46" s="2"/>
      <c r="J46" s="9"/>
      <c r="K46" s="4"/>
      <c r="L46" s="4"/>
      <c r="M46" s="2"/>
      <c r="N46" s="216"/>
      <c r="O46" s="2"/>
      <c r="P46" s="216"/>
      <c r="Q46" s="216"/>
      <c r="R46" s="216"/>
      <c r="S46" s="3238"/>
      <c r="T46" s="3238"/>
      <c r="U46" s="3238"/>
      <c r="V46" s="3238"/>
    </row>
    <row r="47" spans="1:22" s="2237" customFormat="1" ht="18" customHeight="1">
      <c r="A47" s="1416"/>
      <c r="B47" s="1416"/>
      <c r="C47" s="216"/>
      <c r="D47" s="216"/>
      <c r="E47" s="216"/>
      <c r="F47" s="216"/>
      <c r="G47" s="216"/>
      <c r="H47" s="2"/>
      <c r="I47" s="2"/>
      <c r="J47" s="9"/>
      <c r="K47" s="4"/>
      <c r="L47" s="4"/>
      <c r="M47" s="2"/>
      <c r="N47" s="216"/>
      <c r="O47" s="2"/>
      <c r="P47" s="216"/>
      <c r="Q47" s="216"/>
      <c r="R47" s="216"/>
      <c r="S47" s="3238"/>
      <c r="T47" s="3238"/>
      <c r="U47" s="3238"/>
      <c r="V47" s="3238"/>
    </row>
    <row r="48" spans="1:22" s="2237" customFormat="1" ht="18" customHeight="1">
      <c r="A48" s="1416"/>
      <c r="B48" s="1416"/>
      <c r="C48" s="216"/>
      <c r="D48" s="216"/>
      <c r="E48" s="216"/>
      <c r="F48" s="216"/>
      <c r="G48" s="216"/>
      <c r="H48" s="2"/>
      <c r="I48" s="2"/>
      <c r="J48" s="9"/>
      <c r="K48" s="4"/>
      <c r="L48" s="4"/>
      <c r="M48" s="2"/>
      <c r="N48" s="216"/>
      <c r="O48" s="2"/>
      <c r="P48" s="216"/>
      <c r="Q48" s="216"/>
      <c r="R48" s="216"/>
      <c r="S48" s="3238"/>
      <c r="T48" s="3238"/>
      <c r="U48" s="3238"/>
      <c r="V48" s="3238"/>
    </row>
    <row r="49" spans="1:22" s="2237" customFormat="1" ht="18" customHeight="1">
      <c r="A49" s="1416"/>
      <c r="B49" s="1416"/>
      <c r="C49" s="216"/>
      <c r="D49" s="216"/>
      <c r="E49" s="216"/>
      <c r="F49" s="216"/>
      <c r="G49" s="216"/>
      <c r="H49" s="2"/>
      <c r="I49" s="2"/>
      <c r="J49" s="9"/>
      <c r="K49" s="4"/>
      <c r="L49" s="4"/>
      <c r="M49" s="2"/>
      <c r="N49" s="216"/>
      <c r="O49" s="2"/>
      <c r="P49" s="216"/>
      <c r="Q49" s="216"/>
      <c r="R49" s="216"/>
      <c r="S49" s="3238"/>
      <c r="T49" s="3238"/>
      <c r="U49" s="3238"/>
      <c r="V49" s="3238"/>
    </row>
    <row r="50" spans="1:22" s="2237" customFormat="1" ht="18" customHeight="1">
      <c r="A50" s="1416"/>
      <c r="B50" s="1416"/>
      <c r="C50" s="216"/>
      <c r="D50" s="216"/>
      <c r="E50" s="216"/>
      <c r="F50" s="216"/>
      <c r="G50" s="216"/>
      <c r="H50" s="2"/>
      <c r="I50" s="2"/>
      <c r="J50" s="9"/>
      <c r="K50" s="4"/>
      <c r="L50" s="4"/>
      <c r="M50" s="2"/>
      <c r="N50" s="216"/>
      <c r="O50" s="2"/>
      <c r="P50" s="216"/>
      <c r="Q50" s="216"/>
      <c r="R50" s="216"/>
      <c r="S50" s="3238"/>
      <c r="T50" s="3238"/>
      <c r="U50" s="3238"/>
      <c r="V50" s="3238"/>
    </row>
    <row r="51" spans="1:22" s="2237" customFormat="1" ht="18" customHeight="1">
      <c r="A51" s="1416"/>
      <c r="B51" s="1416"/>
      <c r="C51" s="216"/>
      <c r="D51" s="216"/>
      <c r="E51" s="216"/>
      <c r="F51" s="216"/>
      <c r="G51" s="216"/>
      <c r="H51" s="2"/>
      <c r="I51" s="2"/>
      <c r="J51" s="9"/>
      <c r="K51" s="4"/>
      <c r="L51" s="4"/>
      <c r="M51" s="2"/>
      <c r="N51" s="216"/>
      <c r="O51" s="2"/>
      <c r="P51" s="216"/>
      <c r="Q51" s="216"/>
      <c r="R51" s="216"/>
    </row>
    <row r="52" spans="1:22" s="2237" customFormat="1" ht="18" customHeight="1">
      <c r="A52" s="2022"/>
      <c r="B52" s="2022"/>
      <c r="C52" s="2022"/>
      <c r="D52" s="2022"/>
      <c r="E52" s="2022"/>
      <c r="F52" s="2"/>
      <c r="G52" s="2022"/>
      <c r="H52" s="2022"/>
      <c r="I52" s="2022"/>
      <c r="J52" s="2097"/>
      <c r="K52" s="4"/>
      <c r="L52" s="4"/>
      <c r="M52" s="4"/>
      <c r="N52" s="2022"/>
      <c r="O52" s="2022"/>
      <c r="P52" s="2022"/>
      <c r="Q52" s="2022"/>
      <c r="R52" s="2022"/>
    </row>
    <row r="53" spans="1:22" s="2237" customFormat="1" ht="18" customHeight="1">
      <c r="A53" s="2022"/>
      <c r="B53" s="2022"/>
      <c r="C53" s="2022"/>
      <c r="D53" s="2022"/>
      <c r="E53" s="2022"/>
      <c r="F53" s="2"/>
      <c r="G53" s="2022"/>
      <c r="H53" s="2022"/>
      <c r="I53" s="2022"/>
      <c r="J53" s="2097"/>
      <c r="K53" s="4"/>
      <c r="L53" s="4"/>
      <c r="M53" s="4"/>
      <c r="N53" s="2022"/>
      <c r="O53" s="2022"/>
      <c r="P53" s="2022"/>
      <c r="Q53" s="2022"/>
      <c r="R53" s="2022"/>
    </row>
    <row r="54" spans="1:22" s="2237" customFormat="1" ht="18" customHeight="1">
      <c r="A54" s="2022"/>
      <c r="B54" s="2022"/>
      <c r="C54" s="2022"/>
      <c r="D54" s="2022"/>
      <c r="E54" s="2022"/>
      <c r="F54" s="2"/>
      <c r="G54" s="2022"/>
      <c r="H54" s="2022"/>
      <c r="I54" s="2022"/>
      <c r="J54" s="2097"/>
      <c r="K54" s="4"/>
      <c r="L54" s="4"/>
      <c r="M54" s="4"/>
      <c r="N54" s="2022"/>
      <c r="O54" s="2022"/>
      <c r="P54" s="2022"/>
      <c r="Q54" s="2022"/>
      <c r="R54" s="2022"/>
    </row>
    <row r="55" spans="1:22" s="2237" customFormat="1" ht="18" customHeight="1">
      <c r="A55" s="2022"/>
      <c r="B55" s="2022"/>
      <c r="C55" s="2022"/>
      <c r="D55" s="2022"/>
      <c r="E55" s="2022"/>
      <c r="F55" s="2"/>
      <c r="G55" s="2022"/>
      <c r="H55" s="2022"/>
      <c r="I55" s="2022"/>
      <c r="J55" s="2097"/>
      <c r="K55" s="4"/>
      <c r="L55" s="4"/>
      <c r="M55" s="4"/>
      <c r="N55" s="2022"/>
      <c r="O55" s="2022"/>
      <c r="P55" s="2022"/>
      <c r="Q55" s="2022"/>
      <c r="R55" s="2022"/>
    </row>
    <row r="56" spans="1:22" s="2237" customFormat="1" ht="18" customHeight="1">
      <c r="A56" s="2022"/>
      <c r="B56" s="2022"/>
      <c r="C56" s="2022"/>
      <c r="D56" s="2022"/>
      <c r="E56" s="2022"/>
      <c r="F56" s="2"/>
      <c r="G56" s="2022"/>
      <c r="H56" s="2022"/>
      <c r="I56" s="2022"/>
      <c r="J56" s="2097"/>
      <c r="K56" s="4"/>
      <c r="L56" s="4"/>
      <c r="M56" s="4"/>
      <c r="N56" s="2022"/>
      <c r="O56" s="2022"/>
      <c r="P56" s="2022"/>
      <c r="Q56" s="2022"/>
      <c r="R56" s="2022"/>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tabSelected="1"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3.5"/>
  <cols>
    <col min="1" max="1" width="10.625" style="1162" customWidth="1"/>
    <col min="2" max="2" width="11" style="1162" customWidth="1"/>
    <col min="3" max="3" width="10.375" style="1162" customWidth="1"/>
    <col min="4" max="4" width="9.125" style="1162" customWidth="1"/>
    <col min="5" max="6" width="10" style="1175" customWidth="1"/>
    <col min="7" max="8" width="10" style="1162" customWidth="1"/>
    <col min="9" max="9" width="10.625" style="1162" customWidth="1"/>
    <col min="10" max="10" width="9.5" style="1162" customWidth="1"/>
    <col min="11" max="11" width="11" style="1162" customWidth="1"/>
    <col min="12" max="12" width="9.5" style="1162" customWidth="1"/>
    <col min="13" max="14" width="9.5" style="1162" hidden="1" customWidth="1"/>
    <col min="15" max="15" width="9.875" style="1162" hidden="1" customWidth="1"/>
    <col min="16" max="16" width="9.75" style="1162" hidden="1" customWidth="1"/>
    <col min="17" max="17" width="9.375" style="1162" hidden="1" customWidth="1"/>
    <col min="18" max="18" width="9.25" style="1162" hidden="1" customWidth="1"/>
    <col min="19" max="19" width="10.875" style="1162" hidden="1" customWidth="1"/>
    <col min="20" max="21" width="10.75" style="1162" hidden="1" customWidth="1"/>
    <col min="22" max="22" width="10.875" style="1162" hidden="1" customWidth="1"/>
    <col min="23" max="27" width="10.75" style="1162" hidden="1" customWidth="1"/>
    <col min="28" max="28" width="10.875" style="1162" hidden="1" customWidth="1"/>
    <col min="29" max="29" width="11" style="1162" bestFit="1" customWidth="1"/>
    <col min="30" max="30" width="10" style="1162" hidden="1" customWidth="1"/>
    <col min="31" max="31" width="9.75" style="1162" hidden="1" customWidth="1"/>
    <col min="32" max="46" width="9.5" style="1162" hidden="1" customWidth="1"/>
    <col min="47" max="47" width="18.125" style="1162" hidden="1" customWidth="1"/>
    <col min="48" max="50" width="9.75" style="1162" customWidth="1"/>
    <col min="51" max="55" width="10.5" style="1162" bestFit="1" customWidth="1"/>
    <col min="56" max="56" width="9.5" style="1162" bestFit="1" customWidth="1"/>
    <col min="57" max="63" width="9.125" style="1162" bestFit="1" customWidth="1"/>
    <col min="64" max="64" width="9.5" style="1162" bestFit="1" customWidth="1"/>
    <col min="65" max="65" width="9.125" style="1162" bestFit="1" customWidth="1"/>
    <col min="66" max="66" width="9.5" style="1162" bestFit="1" customWidth="1"/>
    <col min="67" max="69" width="9.125" style="1162" bestFit="1" customWidth="1"/>
    <col min="70" max="70" width="9.5" style="1162" bestFit="1" customWidth="1"/>
    <col min="71" max="71" width="9" style="1162" customWidth="1"/>
    <col min="72" max="72" width="9.125" style="1162" bestFit="1" customWidth="1"/>
    <col min="73" max="16384" width="8.875" style="1162"/>
  </cols>
  <sheetData>
    <row r="1" spans="1:72" ht="20.25">
      <c r="A1" s="10" t="s">
        <v>613</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614</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4" customFormat="1" ht="24">
      <c r="A2" s="82" t="s">
        <v>615</v>
      </c>
      <c r="B2" s="82" t="s">
        <v>616</v>
      </c>
      <c r="C2" s="82" t="s">
        <v>617</v>
      </c>
      <c r="D2" s="1163"/>
      <c r="E2" s="241"/>
      <c r="F2" s="229"/>
      <c r="G2" s="1163"/>
      <c r="H2" s="1163"/>
      <c r="I2" s="1163"/>
      <c r="J2" s="1163"/>
      <c r="K2" s="1163"/>
      <c r="L2" s="1163"/>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1163"/>
      <c r="AO2" s="1163"/>
      <c r="AP2" s="1163"/>
      <c r="AQ2" s="1163"/>
      <c r="AR2" s="1163"/>
      <c r="AS2" s="1163"/>
      <c r="AT2" s="1163"/>
      <c r="AU2" s="1163"/>
      <c r="AV2" s="1163"/>
      <c r="AW2" s="1163"/>
      <c r="AX2" s="1163"/>
      <c r="AY2" s="2516" t="s">
        <v>2413</v>
      </c>
      <c r="AZ2" s="2517" t="s">
        <v>2414</v>
      </c>
      <c r="BA2" s="2518" t="s">
        <v>2415</v>
      </c>
      <c r="BB2" s="1163"/>
      <c r="BC2" s="1163"/>
      <c r="BD2" s="1163"/>
      <c r="BE2" s="1163"/>
      <c r="BF2" s="1163"/>
      <c r="BG2" s="1163"/>
      <c r="BH2" s="1163"/>
      <c r="BI2" s="1163"/>
      <c r="BJ2" s="1163"/>
      <c r="BK2" s="1163"/>
      <c r="BL2" s="1163"/>
      <c r="BM2" s="1163"/>
      <c r="BN2" s="1163"/>
      <c r="BO2" s="1163"/>
      <c r="BP2" s="1163"/>
      <c r="BQ2" s="1163"/>
      <c r="BR2" s="1163"/>
      <c r="BS2" s="1163"/>
      <c r="BT2" s="1163"/>
    </row>
    <row r="3" spans="1:72" s="1164" customFormat="1" ht="12.75">
      <c r="A3" s="301">
        <f>分摊土地面积!F29</f>
        <v>1218.83</v>
      </c>
      <c r="B3" s="302">
        <f>IF(C3="否",G5-AT5,G5)</f>
        <v>4043.7000000000003</v>
      </c>
      <c r="C3" s="219" t="s">
        <v>41</v>
      </c>
      <c r="D3" s="1163"/>
      <c r="E3" s="1163"/>
      <c r="F3" s="1163"/>
      <c r="G3" s="1163"/>
      <c r="H3" s="1163"/>
      <c r="I3" s="1163"/>
      <c r="J3" s="1163"/>
      <c r="K3" s="1163"/>
      <c r="L3" s="1163"/>
      <c r="M3" s="1163"/>
      <c r="N3" s="1163"/>
      <c r="O3" s="1163"/>
      <c r="P3" s="1163"/>
      <c r="Q3" s="1163"/>
      <c r="R3" s="1163"/>
      <c r="S3" s="1163"/>
      <c r="T3" s="1163"/>
      <c r="U3" s="1163"/>
      <c r="V3" s="1163"/>
      <c r="W3" s="1163"/>
      <c r="X3" s="1163"/>
      <c r="Y3" s="1163"/>
      <c r="Z3" s="1163"/>
      <c r="AA3" s="1163"/>
      <c r="AB3" s="1163"/>
      <c r="AC3" s="1163"/>
      <c r="AD3" s="1163"/>
      <c r="AE3" s="1163"/>
      <c r="AF3" s="1163"/>
      <c r="AG3" s="1163"/>
      <c r="AH3" s="1163"/>
      <c r="AI3" s="1163"/>
      <c r="AJ3" s="1163"/>
      <c r="AK3" s="1163"/>
      <c r="AL3" s="1163"/>
      <c r="AM3" s="1163"/>
      <c r="AN3" s="1163"/>
      <c r="AO3" s="1163"/>
      <c r="AP3" s="1163"/>
      <c r="AQ3" s="1163"/>
      <c r="AR3" s="1163"/>
      <c r="AS3" s="1163"/>
      <c r="AT3" s="1163"/>
      <c r="AU3" s="1163"/>
      <c r="AV3" s="1163"/>
      <c r="AW3" s="1163"/>
      <c r="AX3" s="1163"/>
      <c r="AY3" s="2519"/>
      <c r="AZ3" s="2520"/>
      <c r="BA3" s="2521"/>
      <c r="BB3" s="1163"/>
      <c r="BC3" s="1163"/>
      <c r="BD3" s="1163"/>
      <c r="BE3" s="1163"/>
      <c r="BF3" s="1163"/>
      <c r="BG3" s="1163"/>
      <c r="BH3" s="1163"/>
      <c r="BI3" s="1163"/>
      <c r="BJ3" s="1163"/>
      <c r="BK3" s="1163"/>
      <c r="BL3" s="1163"/>
      <c r="BM3" s="1163"/>
      <c r="BN3" s="1163"/>
      <c r="BO3" s="1163"/>
      <c r="BP3" s="1163"/>
      <c r="BQ3" s="1163"/>
      <c r="BR3" s="1163"/>
      <c r="BS3" s="1163"/>
      <c r="BT3" s="1163"/>
    </row>
    <row r="4" spans="1:72" s="1169" customFormat="1" ht="12.75" thickBot="1">
      <c r="A4" s="1166"/>
      <c r="B4" s="1167"/>
      <c r="C4" s="1168"/>
      <c r="D4" s="1163"/>
      <c r="E4" s="1163"/>
      <c r="F4" s="1163"/>
      <c r="G4" s="1163"/>
      <c r="H4" s="1163"/>
      <c r="I4" s="1163"/>
      <c r="J4" s="1163"/>
      <c r="K4" s="1163"/>
      <c r="L4" s="1163"/>
      <c r="M4" s="1163"/>
      <c r="N4" s="1163"/>
      <c r="O4" s="1163"/>
      <c r="P4" s="1163"/>
      <c r="Q4" s="1163"/>
      <c r="R4" s="1163"/>
      <c r="S4" s="1163"/>
      <c r="T4" s="1163"/>
      <c r="U4" s="1163"/>
      <c r="V4" s="1163"/>
      <c r="W4" s="1163"/>
      <c r="X4" s="1163"/>
      <c r="Y4" s="1163"/>
      <c r="Z4" s="1163"/>
      <c r="AA4" s="1163"/>
      <c r="AB4" s="1163"/>
      <c r="AC4" s="1163"/>
      <c r="AD4" s="1163"/>
      <c r="AE4" s="1163"/>
      <c r="AF4" s="1163"/>
      <c r="AG4" s="1163"/>
      <c r="AH4" s="1163"/>
      <c r="AI4" s="1163"/>
      <c r="AJ4" s="1163"/>
      <c r="AK4" s="1163"/>
      <c r="AL4" s="1163"/>
      <c r="AM4" s="1163"/>
      <c r="AN4" s="1163"/>
      <c r="AO4" s="1163"/>
      <c r="AP4" s="1163"/>
      <c r="AQ4" s="1163"/>
      <c r="AR4" s="1163"/>
      <c r="AS4" s="1163"/>
      <c r="AT4" s="1163"/>
      <c r="AU4" s="1163"/>
      <c r="AV4" s="1163"/>
      <c r="AW4" s="1163"/>
      <c r="AX4" s="1163"/>
      <c r="AY4" s="1163"/>
      <c r="AZ4" s="1163"/>
      <c r="BA4" s="1165"/>
      <c r="BB4" s="1163"/>
      <c r="BC4" s="1163"/>
      <c r="BD4" s="1163"/>
      <c r="BE4" s="1163"/>
      <c r="BF4" s="1163"/>
      <c r="BG4" s="1163"/>
      <c r="BH4" s="1163"/>
      <c r="BI4" s="1163"/>
      <c r="BJ4" s="1163"/>
      <c r="BK4" s="1163"/>
      <c r="BL4" s="1163"/>
      <c r="BM4" s="1163"/>
      <c r="BN4" s="1163"/>
      <c r="BO4" s="1163"/>
      <c r="BP4" s="1163"/>
      <c r="BQ4" s="1163"/>
      <c r="BR4" s="1163"/>
      <c r="BS4" s="1163"/>
      <c r="BT4" s="1163"/>
    </row>
    <row r="5" spans="1:72" s="1164" customFormat="1" ht="12.75">
      <c r="A5" s="83" t="s">
        <v>618</v>
      </c>
      <c r="B5" s="220"/>
      <c r="C5" s="220"/>
      <c r="D5" s="218"/>
      <c r="E5" s="305" t="s">
        <v>23</v>
      </c>
      <c r="F5" s="305">
        <f>SUM(F13:F587)</f>
        <v>0</v>
      </c>
      <c r="G5" s="305">
        <f>SUM(G13:G587)</f>
        <v>4043.7000000000003</v>
      </c>
      <c r="H5" s="305">
        <f t="shared" ref="H5:AT5" si="0">SUM(H13:H656)</f>
        <v>4043.7000000000003</v>
      </c>
      <c r="I5" s="305">
        <f t="shared" si="0"/>
        <v>1653.4</v>
      </c>
      <c r="J5" s="305">
        <f t="shared" si="0"/>
        <v>0</v>
      </c>
      <c r="K5" s="305">
        <f t="shared" si="0"/>
        <v>2390.3000000000002</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618</v>
      </c>
      <c r="AW5" s="220"/>
      <c r="AX5" s="220"/>
      <c r="AY5" s="306" t="s">
        <v>29</v>
      </c>
      <c r="AZ5" s="307">
        <f t="shared" ref="AZ5:BT5" si="1">SUM(AZ13:AZ656)</f>
        <v>4043.7000000000003</v>
      </c>
      <c r="BA5" s="307">
        <f t="shared" si="1"/>
        <v>4043.7000000000003</v>
      </c>
      <c r="BB5" s="307">
        <f t="shared" si="1"/>
        <v>1653.4</v>
      </c>
      <c r="BC5" s="307">
        <f t="shared" si="1"/>
        <v>2390.3000000000002</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0" customFormat="1" ht="12.75">
      <c r="A6" s="83" t="s">
        <v>619</v>
      </c>
      <c r="B6" s="223"/>
      <c r="C6" s="223"/>
      <c r="D6" s="224"/>
      <c r="E6" s="305">
        <f>H6+AC6+AT6</f>
        <v>1218.83</v>
      </c>
      <c r="F6" s="305" t="s">
        <v>23</v>
      </c>
      <c r="G6" s="305" t="s">
        <v>25</v>
      </c>
      <c r="H6" s="309">
        <f>SUMIF(I$12:AB$12,"总值",I6:AB6)</f>
        <v>1218.83</v>
      </c>
      <c r="I6" s="305">
        <f t="shared" ref="I6:AB6" si="2">ROUND($A$3*I5/$B$3,2)</f>
        <v>498.36</v>
      </c>
      <c r="J6" s="305">
        <f t="shared" si="2"/>
        <v>0</v>
      </c>
      <c r="K6" s="305">
        <f t="shared" si="2"/>
        <v>720.47</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619</v>
      </c>
      <c r="AW6" s="223"/>
      <c r="AX6" s="223"/>
      <c r="AY6" s="310">
        <f>IF(AY3&gt;0,AY3,ROUND($A$3*AZ5/$B$3,2))</f>
        <v>1218.83</v>
      </c>
      <c r="AZ6" s="305" t="s">
        <v>29</v>
      </c>
      <c r="BA6" s="305">
        <f>ROUND($AY$6*BA5/$AZ$5,2)</f>
        <v>1218.83</v>
      </c>
      <c r="BB6" s="305">
        <f>ROUND($AY$6*BB5/$AZ$5,2)</f>
        <v>498.36</v>
      </c>
      <c r="BC6" s="305">
        <f t="shared" ref="BC6:BH6" si="4">ROUND($AY$6*BC5/$AZ$5,2)</f>
        <v>720.47</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4" customFormat="1" ht="24">
      <c r="A7" s="226" t="s">
        <v>620</v>
      </c>
      <c r="B7" s="226" t="s">
        <v>621</v>
      </c>
      <c r="C7" s="226" t="s">
        <v>622</v>
      </c>
      <c r="D7" s="226" t="s">
        <v>623</v>
      </c>
      <c r="E7" s="226" t="s">
        <v>619</v>
      </c>
      <c r="F7" s="226" t="s">
        <v>624</v>
      </c>
      <c r="G7" s="227" t="s">
        <v>625</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626</v>
      </c>
      <c r="AV7" s="78" t="s">
        <v>620</v>
      </c>
      <c r="AW7" s="229" t="s">
        <v>621</v>
      </c>
      <c r="AX7" s="78" t="s">
        <v>622</v>
      </c>
      <c r="AY7" s="220" t="s">
        <v>627</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1" customFormat="1" ht="24">
      <c r="A8" s="232"/>
      <c r="B8" s="232"/>
      <c r="C8" s="232"/>
      <c r="D8" s="232"/>
      <c r="E8" s="232"/>
      <c r="F8" s="232"/>
      <c r="G8" s="233" t="s">
        <v>628</v>
      </c>
      <c r="H8" s="234" t="s">
        <v>629</v>
      </c>
      <c r="I8" s="235"/>
      <c r="J8" s="236"/>
      <c r="K8" s="236"/>
      <c r="L8" s="236"/>
      <c r="M8" s="236"/>
      <c r="N8" s="236"/>
      <c r="O8" s="236"/>
      <c r="P8" s="236"/>
      <c r="Q8" s="236"/>
      <c r="R8" s="236"/>
      <c r="S8" s="236"/>
      <c r="T8" s="236"/>
      <c r="U8" s="236"/>
      <c r="V8" s="237"/>
      <c r="W8" s="236"/>
      <c r="X8" s="236"/>
      <c r="Y8" s="236"/>
      <c r="Z8" s="236"/>
      <c r="AA8" s="237"/>
      <c r="AB8" s="238"/>
      <c r="AC8" s="245" t="s">
        <v>630</v>
      </c>
      <c r="AD8" s="239"/>
      <c r="AE8" s="230"/>
      <c r="AF8" s="236"/>
      <c r="AG8" s="236"/>
      <c r="AH8" s="236"/>
      <c r="AI8" s="236"/>
      <c r="AJ8" s="236"/>
      <c r="AK8" s="236"/>
      <c r="AL8" s="236"/>
      <c r="AM8" s="236"/>
      <c r="AN8" s="236"/>
      <c r="AO8" s="236"/>
      <c r="AP8" s="236"/>
      <c r="AQ8" s="236"/>
      <c r="AR8" s="236"/>
      <c r="AS8" s="236"/>
      <c r="AT8" s="240" t="s">
        <v>531</v>
      </c>
      <c r="AU8" s="232" t="s">
        <v>631</v>
      </c>
      <c r="AV8" s="240"/>
      <c r="AW8" s="241"/>
      <c r="AX8" s="240"/>
      <c r="AY8" s="229" t="s">
        <v>632</v>
      </c>
      <c r="AZ8" s="222" t="s">
        <v>633</v>
      </c>
      <c r="BA8" s="236"/>
      <c r="BB8" s="236"/>
      <c r="BC8" s="236"/>
      <c r="BD8" s="236"/>
      <c r="BE8" s="236"/>
      <c r="BF8" s="236"/>
      <c r="BG8" s="236"/>
      <c r="BH8" s="236"/>
      <c r="BI8" s="236"/>
      <c r="BJ8" s="236"/>
      <c r="BK8" s="236"/>
      <c r="BL8" s="236"/>
      <c r="BM8" s="236"/>
      <c r="BN8" s="236"/>
      <c r="BO8" s="236"/>
      <c r="BP8" s="236"/>
      <c r="BQ8" s="236"/>
      <c r="BR8" s="236"/>
      <c r="BS8" s="236"/>
      <c r="BT8" s="242"/>
    </row>
    <row r="9" spans="1:72" s="1171" customFormat="1" ht="12">
      <c r="A9" s="232"/>
      <c r="B9" s="232"/>
      <c r="C9" s="232"/>
      <c r="D9" s="232"/>
      <c r="E9" s="232"/>
      <c r="F9" s="232"/>
      <c r="G9" s="240"/>
      <c r="H9" s="243" t="s">
        <v>634</v>
      </c>
      <c r="I9" s="244" t="s">
        <v>3086</v>
      </c>
      <c r="J9" s="245"/>
      <c r="K9" s="244" t="s">
        <v>3088</v>
      </c>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2"/>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1" customFormat="1" ht="12">
      <c r="A10" s="232"/>
      <c r="B10" s="232"/>
      <c r="C10" s="232"/>
      <c r="D10" s="232"/>
      <c r="E10" s="232"/>
      <c r="F10" s="232"/>
      <c r="G10" s="240"/>
      <c r="H10" s="79"/>
      <c r="I10" s="244" t="s">
        <v>40</v>
      </c>
      <c r="J10" s="245"/>
      <c r="K10" s="252" t="s">
        <v>3089</v>
      </c>
      <c r="L10" s="245"/>
      <c r="M10" s="252"/>
      <c r="N10" s="245"/>
      <c r="O10" s="252"/>
      <c r="P10" s="245"/>
      <c r="Q10" s="252"/>
      <c r="R10" s="245"/>
      <c r="S10" s="252"/>
      <c r="T10" s="245"/>
      <c r="U10" s="252"/>
      <c r="V10" s="245"/>
      <c r="W10" s="252"/>
      <c r="X10" s="245"/>
      <c r="Y10" s="252"/>
      <c r="Z10" s="245"/>
      <c r="AA10" s="252"/>
      <c r="AB10" s="245"/>
      <c r="AC10" s="240"/>
      <c r="AD10" s="83" t="s">
        <v>31</v>
      </c>
      <c r="AE10" s="2489"/>
      <c r="AF10" s="83" t="s">
        <v>31</v>
      </c>
      <c r="AG10" s="2489"/>
      <c r="AH10" s="83" t="s">
        <v>32</v>
      </c>
      <c r="AI10" s="2489"/>
      <c r="AJ10" s="83" t="s">
        <v>32</v>
      </c>
      <c r="AK10" s="2489"/>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地下</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1" customFormat="1" ht="12.75">
      <c r="A11" s="232"/>
      <c r="B11" s="232"/>
      <c r="C11" s="232"/>
      <c r="D11" s="232"/>
      <c r="E11" s="232"/>
      <c r="F11" s="232"/>
      <c r="G11" s="240"/>
      <c r="H11" s="253"/>
      <c r="I11" s="258" t="s">
        <v>3087</v>
      </c>
      <c r="J11" s="259"/>
      <c r="K11" s="258" t="s">
        <v>3089</v>
      </c>
      <c r="L11" s="259"/>
      <c r="M11" s="258"/>
      <c r="N11" s="259"/>
      <c r="O11" s="258"/>
      <c r="P11" s="259"/>
      <c r="Q11" s="258"/>
      <c r="R11" s="259"/>
      <c r="S11" s="258"/>
      <c r="T11" s="259"/>
      <c r="U11" s="258"/>
      <c r="V11" s="259"/>
      <c r="W11" s="258"/>
      <c r="X11" s="259"/>
      <c r="Y11" s="258"/>
      <c r="Z11" s="259"/>
      <c r="AA11" s="258"/>
      <c r="AB11" s="259"/>
      <c r="AC11" s="240"/>
      <c r="AD11" s="2509" t="s">
        <v>2402</v>
      </c>
      <c r="AE11" s="2488"/>
      <c r="AF11" s="2509" t="s">
        <v>2402</v>
      </c>
      <c r="AG11" s="2488"/>
      <c r="AH11" s="2509" t="s">
        <v>2403</v>
      </c>
      <c r="AI11" s="2510"/>
      <c r="AJ11" s="2509" t="s">
        <v>2403</v>
      </c>
      <c r="AK11" s="260"/>
      <c r="AL11" s="222"/>
      <c r="AM11" s="260"/>
      <c r="AN11" s="222"/>
      <c r="AO11" s="260"/>
      <c r="AP11" s="222"/>
      <c r="AQ11" s="260"/>
      <c r="AR11" s="222"/>
      <c r="AS11" s="260"/>
      <c r="AT11" s="241"/>
      <c r="AU11" s="232"/>
      <c r="AV11" s="240"/>
      <c r="AW11" s="241"/>
      <c r="AX11" s="240"/>
      <c r="AY11" s="79"/>
      <c r="AZ11" s="79"/>
      <c r="BA11" s="79"/>
      <c r="BB11" s="238" t="str">
        <f>I10</f>
        <v>住宅</v>
      </c>
      <c r="BC11" s="238" t="str">
        <f>K10</f>
        <v>车库</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4" customFormat="1" ht="12">
      <c r="A12" s="262"/>
      <c r="B12" s="262"/>
      <c r="C12" s="262"/>
      <c r="D12" s="262"/>
      <c r="E12" s="262"/>
      <c r="F12" s="262"/>
      <c r="G12" s="81"/>
      <c r="H12" s="263"/>
      <c r="I12" s="218" t="s">
        <v>635</v>
      </c>
      <c r="J12" s="82" t="s">
        <v>636</v>
      </c>
      <c r="K12" s="82" t="s">
        <v>635</v>
      </c>
      <c r="L12" s="82" t="s">
        <v>636</v>
      </c>
      <c r="M12" s="82" t="s">
        <v>635</v>
      </c>
      <c r="N12" s="82" t="s">
        <v>636</v>
      </c>
      <c r="O12" s="82" t="s">
        <v>635</v>
      </c>
      <c r="P12" s="82" t="s">
        <v>636</v>
      </c>
      <c r="Q12" s="82" t="s">
        <v>635</v>
      </c>
      <c r="R12" s="82" t="s">
        <v>636</v>
      </c>
      <c r="S12" s="82" t="s">
        <v>635</v>
      </c>
      <c r="T12" s="82" t="s">
        <v>636</v>
      </c>
      <c r="U12" s="82" t="s">
        <v>635</v>
      </c>
      <c r="V12" s="221" t="s">
        <v>636</v>
      </c>
      <c r="W12" s="82" t="s">
        <v>635</v>
      </c>
      <c r="X12" s="82" t="s">
        <v>636</v>
      </c>
      <c r="Y12" s="82" t="s">
        <v>635</v>
      </c>
      <c r="Z12" s="82" t="s">
        <v>636</v>
      </c>
      <c r="AA12" s="82" t="s">
        <v>635</v>
      </c>
      <c r="AB12" s="82" t="s">
        <v>636</v>
      </c>
      <c r="AC12" s="264"/>
      <c r="AD12" s="218" t="s">
        <v>635</v>
      </c>
      <c r="AE12" s="82" t="s">
        <v>636</v>
      </c>
      <c r="AF12" s="82" t="s">
        <v>635</v>
      </c>
      <c r="AG12" s="82" t="s">
        <v>636</v>
      </c>
      <c r="AH12" s="82" t="s">
        <v>635</v>
      </c>
      <c r="AI12" s="82" t="s">
        <v>636</v>
      </c>
      <c r="AJ12" s="82" t="s">
        <v>635</v>
      </c>
      <c r="AK12" s="82" t="s">
        <v>636</v>
      </c>
      <c r="AL12" s="82" t="s">
        <v>635</v>
      </c>
      <c r="AM12" s="82" t="s">
        <v>636</v>
      </c>
      <c r="AN12" s="82" t="s">
        <v>635</v>
      </c>
      <c r="AO12" s="82" t="s">
        <v>636</v>
      </c>
      <c r="AP12" s="82" t="s">
        <v>635</v>
      </c>
      <c r="AQ12" s="82" t="s">
        <v>636</v>
      </c>
      <c r="AR12" s="81" t="s">
        <v>635</v>
      </c>
      <c r="AS12" s="262" t="s">
        <v>636</v>
      </c>
      <c r="AT12" s="265"/>
      <c r="AU12" s="262"/>
      <c r="AV12" s="80"/>
      <c r="AW12" s="229"/>
      <c r="AX12" s="80"/>
      <c r="AY12" s="266"/>
      <c r="AZ12" s="79"/>
      <c r="BA12" s="253"/>
      <c r="BB12" s="77" t="str">
        <f>I11</f>
        <v>平层住宅</v>
      </c>
      <c r="BC12" s="267" t="str">
        <f>K11</f>
        <v>车库</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4" customFormat="1" ht="12.75">
      <c r="A13" s="216"/>
      <c r="B13" s="216"/>
      <c r="C13" s="216" t="s">
        <v>3084</v>
      </c>
      <c r="D13" s="217" t="s">
        <v>3053</v>
      </c>
      <c r="E13" s="305">
        <f>IF($C$3="是",ROUND($A$3*G13/$B$3,2),ROUND($A$3*(G13-AT13)/$B$3,2))</f>
        <v>498.36</v>
      </c>
      <c r="F13" s="321"/>
      <c r="G13" s="322">
        <f>H13+AC13+AT13</f>
        <v>1653.4</v>
      </c>
      <c r="H13" s="309">
        <f>SUMIF(I$12:AB$12,"总值",I13:AB13)</f>
        <v>1653.4</v>
      </c>
      <c r="I13" s="1417">
        <v>1653.4</v>
      </c>
      <c r="J13" s="1417"/>
      <c r="K13" s="1417"/>
      <c r="L13" s="1417"/>
      <c r="M13" s="1417"/>
      <c r="N13" s="1417"/>
      <c r="O13" s="1417"/>
      <c r="P13" s="1417"/>
      <c r="Q13" s="1417"/>
      <c r="R13" s="1417"/>
      <c r="S13" s="1417"/>
      <c r="T13" s="1417"/>
      <c r="U13" s="1417"/>
      <c r="V13" s="1417"/>
      <c r="W13" s="1417"/>
      <c r="X13" s="1417"/>
      <c r="Y13" s="1417"/>
      <c r="Z13" s="1417"/>
      <c r="AA13" s="1417"/>
      <c r="AB13" s="1417"/>
      <c r="AC13" s="305">
        <f>SUMIF(AD$12:AS$12,"总值",AD13:AS13)</f>
        <v>0</v>
      </c>
      <c r="AD13" s="1418"/>
      <c r="AE13" s="1418"/>
      <c r="AF13" s="1418"/>
      <c r="AG13" s="1418"/>
      <c r="AH13" s="1418"/>
      <c r="AI13" s="1418"/>
      <c r="AJ13" s="1418"/>
      <c r="AK13" s="1418"/>
      <c r="AL13" s="1418"/>
      <c r="AM13" s="1418"/>
      <c r="AN13" s="1418"/>
      <c r="AO13" s="1418"/>
      <c r="AP13" s="1418"/>
      <c r="AQ13" s="1418"/>
      <c r="AR13" s="1418"/>
      <c r="AS13" s="1418"/>
      <c r="AT13" s="1419"/>
      <c r="AU13" s="215"/>
      <c r="AV13" s="82">
        <f t="shared" ref="AV13:AX17" si="6">A13</f>
        <v>0</v>
      </c>
      <c r="AW13" s="82">
        <f t="shared" si="6"/>
        <v>0</v>
      </c>
      <c r="AX13" s="82" t="str">
        <f t="shared" si="6"/>
        <v>住宅</v>
      </c>
      <c r="AY13" s="304">
        <f>ROUND($AY$6*AZ13/$AZ$5,2)</f>
        <v>498.36</v>
      </c>
      <c r="AZ13" s="305">
        <f>BA13+BL13</f>
        <v>1653.4</v>
      </c>
      <c r="BA13" s="305">
        <f>SUM(BB13:BK13)</f>
        <v>1653.4</v>
      </c>
      <c r="BB13" s="305">
        <f>IF($D13="是",I13-J13,0)</f>
        <v>1653.4</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4" customFormat="1" ht="12.75">
      <c r="A14" s="216"/>
      <c r="B14" s="216"/>
      <c r="C14" s="1416" t="s">
        <v>3085</v>
      </c>
      <c r="D14" s="217" t="s">
        <v>3053</v>
      </c>
      <c r="E14" s="305">
        <f>IF($C$3="是",ROUND($A$3*G14/$B$3,2),ROUND($A$3*(G14-AT14)/$B$3,2))</f>
        <v>720.47</v>
      </c>
      <c r="F14" s="321"/>
      <c r="G14" s="322">
        <f>H14+AC14+AT14</f>
        <v>2390.3000000000002</v>
      </c>
      <c r="H14" s="309">
        <f>SUMIF(I$12:AB$12,"总值",I14:AB14)</f>
        <v>2390.3000000000002</v>
      </c>
      <c r="I14" s="1417"/>
      <c r="J14" s="1417"/>
      <c r="K14" s="1417">
        <v>2390.3000000000002</v>
      </c>
      <c r="L14" s="1417"/>
      <c r="M14" s="1417"/>
      <c r="N14" s="1417"/>
      <c r="O14" s="1417"/>
      <c r="P14" s="1417"/>
      <c r="Q14" s="1417"/>
      <c r="R14" s="1417"/>
      <c r="S14" s="1417"/>
      <c r="T14" s="1417"/>
      <c r="U14" s="1417"/>
      <c r="V14" s="1417"/>
      <c r="W14" s="1417"/>
      <c r="X14" s="1417"/>
      <c r="Y14" s="1417"/>
      <c r="Z14" s="1417"/>
      <c r="AA14" s="1417"/>
      <c r="AB14" s="1417"/>
      <c r="AC14" s="305">
        <f>SUMIF(AD$12:AS$12,"总值",AD14:AS14)</f>
        <v>0</v>
      </c>
      <c r="AD14" s="1418"/>
      <c r="AE14" s="1418"/>
      <c r="AF14" s="1418"/>
      <c r="AG14" s="1418"/>
      <c r="AH14" s="1418"/>
      <c r="AI14" s="1418"/>
      <c r="AJ14" s="1418"/>
      <c r="AK14" s="1418"/>
      <c r="AL14" s="1418"/>
      <c r="AM14" s="1418"/>
      <c r="AN14" s="1418"/>
      <c r="AO14" s="1418"/>
      <c r="AP14" s="1418"/>
      <c r="AQ14" s="1418"/>
      <c r="AR14" s="1418"/>
      <c r="AS14" s="1418"/>
      <c r="AT14" s="1419"/>
      <c r="AU14" s="215"/>
      <c r="AV14" s="82">
        <f t="shared" si="6"/>
        <v>0</v>
      </c>
      <c r="AW14" s="82">
        <f t="shared" si="6"/>
        <v>0</v>
      </c>
      <c r="AX14" s="82" t="str">
        <f t="shared" si="6"/>
        <v>地下车库</v>
      </c>
      <c r="AY14" s="304">
        <f>ROUND($AY$6*AZ14/$AZ$5,2)</f>
        <v>720.47</v>
      </c>
      <c r="AZ14" s="305">
        <f>BA14+BL14</f>
        <v>2390.3000000000002</v>
      </c>
      <c r="BA14" s="305">
        <f>SUM(BB14:BK14)</f>
        <v>2390.3000000000002</v>
      </c>
      <c r="BB14" s="305">
        <f>IF($D14="是",I14-J14,0)</f>
        <v>0</v>
      </c>
      <c r="BC14" s="305">
        <f>IF($D14="是",K14-L14,0)</f>
        <v>2390.3000000000002</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4" customFormat="1" ht="12.75">
      <c r="A15" s="216"/>
      <c r="B15" s="216"/>
      <c r="C15" s="1416"/>
      <c r="D15" s="217"/>
      <c r="E15" s="305">
        <f>IF($C$3="是",ROUND($A$3*G15/$B$3,2),ROUND($A$3*(G15-AT15)/$B$3,2))</f>
        <v>0</v>
      </c>
      <c r="F15" s="321"/>
      <c r="G15" s="322">
        <f>H15+AC15+AT15</f>
        <v>0</v>
      </c>
      <c r="H15" s="309">
        <f>SUMIF(I$12:AB$12,"总值",I15:AB15)</f>
        <v>0</v>
      </c>
      <c r="I15" s="1417"/>
      <c r="J15" s="1417"/>
      <c r="K15" s="1417"/>
      <c r="L15" s="1417"/>
      <c r="M15" s="1417"/>
      <c r="N15" s="1417"/>
      <c r="O15" s="1417"/>
      <c r="P15" s="1417"/>
      <c r="Q15" s="1417"/>
      <c r="R15" s="1417"/>
      <c r="S15" s="1417"/>
      <c r="T15" s="1417"/>
      <c r="U15" s="1417"/>
      <c r="V15" s="1417"/>
      <c r="W15" s="1417"/>
      <c r="X15" s="1417"/>
      <c r="Y15" s="1417"/>
      <c r="Z15" s="1417"/>
      <c r="AA15" s="1417"/>
      <c r="AB15" s="1417"/>
      <c r="AC15" s="305">
        <f>SUMIF(AD$12:AS$12,"总值",AD15:AS15)</f>
        <v>0</v>
      </c>
      <c r="AD15" s="1418"/>
      <c r="AE15" s="1418"/>
      <c r="AF15" s="1418"/>
      <c r="AG15" s="1418"/>
      <c r="AH15" s="1418"/>
      <c r="AI15" s="1418"/>
      <c r="AJ15" s="1418"/>
      <c r="AK15" s="1418"/>
      <c r="AL15" s="1418"/>
      <c r="AM15" s="1418"/>
      <c r="AN15" s="1418"/>
      <c r="AO15" s="1418"/>
      <c r="AP15" s="1418"/>
      <c r="AQ15" s="1418"/>
      <c r="AR15" s="1418"/>
      <c r="AS15" s="1418"/>
      <c r="AT15" s="1419"/>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4" customFormat="1" ht="12.75">
      <c r="A16" s="216"/>
      <c r="B16" s="216"/>
      <c r="C16" s="1416"/>
      <c r="D16" s="217"/>
      <c r="E16" s="305">
        <f>IF($C$3="是",ROUND($A$3*G16/$B$3,2),ROUND($A$3*(G16-AT16)/$B$3,2))</f>
        <v>0</v>
      </c>
      <c r="F16" s="321"/>
      <c r="G16" s="322">
        <f>H16+AC16+AT16</f>
        <v>0</v>
      </c>
      <c r="H16" s="309">
        <f>SUMIF(I$12:AB$12,"总值",I16:AB16)</f>
        <v>0</v>
      </c>
      <c r="I16" s="1417"/>
      <c r="J16" s="1417"/>
      <c r="K16" s="1417"/>
      <c r="L16" s="1417"/>
      <c r="M16" s="1417"/>
      <c r="N16" s="1417"/>
      <c r="O16" s="1417"/>
      <c r="P16" s="1417"/>
      <c r="Q16" s="1417"/>
      <c r="R16" s="1417"/>
      <c r="S16" s="1417"/>
      <c r="T16" s="1417"/>
      <c r="U16" s="1417"/>
      <c r="V16" s="1417"/>
      <c r="W16" s="1417"/>
      <c r="X16" s="1417"/>
      <c r="Y16" s="1417"/>
      <c r="Z16" s="1417"/>
      <c r="AA16" s="1417"/>
      <c r="AB16" s="1417"/>
      <c r="AC16" s="305">
        <f>SUMIF(AD$12:AS$12,"总值",AD16:AS16)</f>
        <v>0</v>
      </c>
      <c r="AD16" s="1418"/>
      <c r="AE16" s="1418"/>
      <c r="AF16" s="1418"/>
      <c r="AG16" s="1418"/>
      <c r="AH16" s="1418"/>
      <c r="AI16" s="1418"/>
      <c r="AJ16" s="1418"/>
      <c r="AK16" s="1418"/>
      <c r="AL16" s="1418"/>
      <c r="AM16" s="1418"/>
      <c r="AN16" s="1418"/>
      <c r="AO16" s="1418"/>
      <c r="AP16" s="1418"/>
      <c r="AQ16" s="1418"/>
      <c r="AR16" s="1418"/>
      <c r="AS16" s="1418"/>
      <c r="AT16" s="1419"/>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4" customFormat="1" ht="12.75">
      <c r="A17" s="216"/>
      <c r="B17" s="216"/>
      <c r="C17" s="1416"/>
      <c r="D17" s="217"/>
      <c r="E17" s="305">
        <f>IF($C$3="是",ROUND($A$3*G17/$B$3,2),ROUND($A$3*(G17-AT17)/$B$3,2))</f>
        <v>0</v>
      </c>
      <c r="F17" s="321"/>
      <c r="G17" s="322">
        <f>H17+AC17+AT17</f>
        <v>0</v>
      </c>
      <c r="H17" s="309">
        <f>SUMIF(I$12:AB$12,"总值",I17:AB17)</f>
        <v>0</v>
      </c>
      <c r="I17" s="1417"/>
      <c r="J17" s="1417"/>
      <c r="K17" s="1417"/>
      <c r="L17" s="1417"/>
      <c r="M17" s="1417"/>
      <c r="N17" s="1417"/>
      <c r="O17" s="1417"/>
      <c r="P17" s="1417"/>
      <c r="Q17" s="1417"/>
      <c r="R17" s="1417"/>
      <c r="S17" s="1417"/>
      <c r="T17" s="1417"/>
      <c r="U17" s="1417"/>
      <c r="V17" s="1417"/>
      <c r="W17" s="1417"/>
      <c r="X17" s="1417"/>
      <c r="Y17" s="1417"/>
      <c r="Z17" s="1417"/>
      <c r="AA17" s="1417"/>
      <c r="AB17" s="1417"/>
      <c r="AC17" s="305">
        <f>SUMIF(AD$12:AS$12,"总值",AD17:AS17)</f>
        <v>0</v>
      </c>
      <c r="AD17" s="1418"/>
      <c r="AE17" s="1418"/>
      <c r="AF17" s="1418"/>
      <c r="AG17" s="1418"/>
      <c r="AH17" s="1418"/>
      <c r="AI17" s="1418"/>
      <c r="AJ17" s="1418"/>
      <c r="AK17" s="1418"/>
      <c r="AL17" s="1418"/>
      <c r="AM17" s="1418"/>
      <c r="AN17" s="1418"/>
      <c r="AO17" s="1418"/>
      <c r="AP17" s="1418"/>
      <c r="AQ17" s="1418"/>
      <c r="AR17" s="1418"/>
      <c r="AS17" s="1418"/>
      <c r="AT17" s="1419"/>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3"/>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08">
        <f t="shared" ref="AV18:AV112" si="11">A18</f>
        <v>0</v>
      </c>
      <c r="AW18" s="2208">
        <f t="shared" ref="AW18:AW112" si="12">B18</f>
        <v>0</v>
      </c>
      <c r="AX18" s="2208">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3"/>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08">
        <f t="shared" si="11"/>
        <v>0</v>
      </c>
      <c r="AW19" s="2208">
        <f t="shared" si="12"/>
        <v>0</v>
      </c>
      <c r="AX19" s="2208">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3"/>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08">
        <f t="shared" si="11"/>
        <v>0</v>
      </c>
      <c r="AW20" s="2208">
        <f t="shared" si="12"/>
        <v>0</v>
      </c>
      <c r="AX20" s="2208">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3"/>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08">
        <f t="shared" si="11"/>
        <v>0</v>
      </c>
      <c r="AW21" s="2208">
        <f t="shared" si="12"/>
        <v>0</v>
      </c>
      <c r="AX21" s="2208">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3"/>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08">
        <f t="shared" si="11"/>
        <v>0</v>
      </c>
      <c r="AW22" s="2208">
        <f t="shared" si="12"/>
        <v>0</v>
      </c>
      <c r="AX22" s="2208">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3"/>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08">
        <f t="shared" si="11"/>
        <v>0</v>
      </c>
      <c r="AW23" s="2208">
        <f t="shared" si="12"/>
        <v>0</v>
      </c>
      <c r="AX23" s="2208">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3"/>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08">
        <f t="shared" si="11"/>
        <v>0</v>
      </c>
      <c r="AW24" s="2208">
        <f t="shared" si="12"/>
        <v>0</v>
      </c>
      <c r="AX24" s="2208">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3"/>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08">
        <f t="shared" si="11"/>
        <v>0</v>
      </c>
      <c r="AW25" s="2208">
        <f t="shared" si="12"/>
        <v>0</v>
      </c>
      <c r="AX25" s="2208">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3"/>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08">
        <f t="shared" si="11"/>
        <v>0</v>
      </c>
      <c r="AW26" s="2208">
        <f t="shared" si="12"/>
        <v>0</v>
      </c>
      <c r="AX26" s="2208">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3"/>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08">
        <f t="shared" si="11"/>
        <v>0</v>
      </c>
      <c r="AW27" s="2208">
        <f t="shared" si="12"/>
        <v>0</v>
      </c>
      <c r="AX27" s="2208">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3"/>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08">
        <f t="shared" si="11"/>
        <v>0</v>
      </c>
      <c r="AW28" s="2208">
        <f t="shared" si="12"/>
        <v>0</v>
      </c>
      <c r="AX28" s="2208">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3"/>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08">
        <f t="shared" si="11"/>
        <v>0</v>
      </c>
      <c r="AW29" s="2208">
        <f t="shared" si="12"/>
        <v>0</v>
      </c>
      <c r="AX29" s="2208">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3"/>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08">
        <f t="shared" si="11"/>
        <v>0</v>
      </c>
      <c r="AW30" s="2208">
        <f t="shared" si="12"/>
        <v>0</v>
      </c>
      <c r="AX30" s="2208">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3"/>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08">
        <f t="shared" si="11"/>
        <v>0</v>
      </c>
      <c r="AW31" s="2208">
        <f t="shared" si="12"/>
        <v>0</v>
      </c>
      <c r="AX31" s="2208">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3"/>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08">
        <f t="shared" si="11"/>
        <v>0</v>
      </c>
      <c r="AW32" s="2208">
        <f t="shared" si="12"/>
        <v>0</v>
      </c>
      <c r="AX32" s="2208">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3"/>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08">
        <f t="shared" si="11"/>
        <v>0</v>
      </c>
      <c r="AW33" s="2208">
        <f t="shared" si="12"/>
        <v>0</v>
      </c>
      <c r="AX33" s="2208">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3"/>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08">
        <f t="shared" si="11"/>
        <v>0</v>
      </c>
      <c r="AW34" s="2208">
        <f t="shared" si="12"/>
        <v>0</v>
      </c>
      <c r="AX34" s="2208">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3"/>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08">
        <f t="shared" si="11"/>
        <v>0</v>
      </c>
      <c r="AW35" s="2208">
        <f t="shared" si="12"/>
        <v>0</v>
      </c>
      <c r="AX35" s="2208">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3"/>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08">
        <f t="shared" si="11"/>
        <v>0</v>
      </c>
      <c r="AW36" s="2208">
        <f t="shared" si="12"/>
        <v>0</v>
      </c>
      <c r="AX36" s="2208">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3"/>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08">
        <f t="shared" si="11"/>
        <v>0</v>
      </c>
      <c r="AW37" s="2208">
        <f t="shared" si="12"/>
        <v>0</v>
      </c>
      <c r="AX37" s="2208">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3"/>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08">
        <f t="shared" si="11"/>
        <v>0</v>
      </c>
      <c r="AW38" s="2208">
        <f t="shared" si="12"/>
        <v>0</v>
      </c>
      <c r="AX38" s="2208">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3"/>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08">
        <f t="shared" si="11"/>
        <v>0</v>
      </c>
      <c r="AW39" s="2208">
        <f t="shared" si="12"/>
        <v>0</v>
      </c>
      <c r="AX39" s="2208">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3"/>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08">
        <f t="shared" si="11"/>
        <v>0</v>
      </c>
      <c r="AW40" s="2208">
        <f t="shared" si="12"/>
        <v>0</v>
      </c>
      <c r="AX40" s="2208">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3"/>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08">
        <f t="shared" si="11"/>
        <v>0</v>
      </c>
      <c r="AW41" s="2208">
        <f t="shared" si="12"/>
        <v>0</v>
      </c>
      <c r="AX41" s="2208">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3"/>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08">
        <f t="shared" si="11"/>
        <v>0</v>
      </c>
      <c r="AW42" s="2208">
        <f t="shared" si="12"/>
        <v>0</v>
      </c>
      <c r="AX42" s="2208">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3"/>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08">
        <f t="shared" si="11"/>
        <v>0</v>
      </c>
      <c r="AW43" s="2208">
        <f t="shared" si="12"/>
        <v>0</v>
      </c>
      <c r="AX43" s="2208">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3"/>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08">
        <f t="shared" si="11"/>
        <v>0</v>
      </c>
      <c r="AW44" s="2208">
        <f t="shared" si="12"/>
        <v>0</v>
      </c>
      <c r="AX44" s="2208">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3"/>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08">
        <f t="shared" si="11"/>
        <v>0</v>
      </c>
      <c r="AW45" s="2208">
        <f t="shared" si="12"/>
        <v>0</v>
      </c>
      <c r="AX45" s="2208">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3"/>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08">
        <f t="shared" si="11"/>
        <v>0</v>
      </c>
      <c r="AW46" s="2208">
        <f t="shared" si="12"/>
        <v>0</v>
      </c>
      <c r="AX46" s="2208">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3"/>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08">
        <f t="shared" si="11"/>
        <v>0</v>
      </c>
      <c r="AW47" s="2208">
        <f t="shared" si="12"/>
        <v>0</v>
      </c>
      <c r="AX47" s="2208">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3"/>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08">
        <f t="shared" si="11"/>
        <v>0</v>
      </c>
      <c r="AW48" s="2208">
        <f t="shared" si="12"/>
        <v>0</v>
      </c>
      <c r="AX48" s="2208">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3"/>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08">
        <f t="shared" si="11"/>
        <v>0</v>
      </c>
      <c r="AW49" s="2208">
        <f t="shared" si="12"/>
        <v>0</v>
      </c>
      <c r="AX49" s="2208">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3"/>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08">
        <f t="shared" si="11"/>
        <v>0</v>
      </c>
      <c r="AW50" s="2208">
        <f t="shared" si="12"/>
        <v>0</v>
      </c>
      <c r="AX50" s="2208">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3"/>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08">
        <f t="shared" si="11"/>
        <v>0</v>
      </c>
      <c r="AW51" s="2208">
        <f t="shared" si="12"/>
        <v>0</v>
      </c>
      <c r="AX51" s="2208">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3"/>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08">
        <f t="shared" si="11"/>
        <v>0</v>
      </c>
      <c r="AW52" s="2208">
        <f t="shared" si="12"/>
        <v>0</v>
      </c>
      <c r="AX52" s="2208">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3"/>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08">
        <f t="shared" si="11"/>
        <v>0</v>
      </c>
      <c r="AW53" s="2208">
        <f t="shared" si="12"/>
        <v>0</v>
      </c>
      <c r="AX53" s="2208">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3"/>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08">
        <f t="shared" si="11"/>
        <v>0</v>
      </c>
      <c r="AW54" s="2208">
        <f t="shared" si="12"/>
        <v>0</v>
      </c>
      <c r="AX54" s="2208">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3"/>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08">
        <f t="shared" si="11"/>
        <v>0</v>
      </c>
      <c r="AW55" s="2208">
        <f t="shared" si="12"/>
        <v>0</v>
      </c>
      <c r="AX55" s="2208">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3"/>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08">
        <f t="shared" si="11"/>
        <v>0</v>
      </c>
      <c r="AW56" s="2208">
        <f t="shared" si="12"/>
        <v>0</v>
      </c>
      <c r="AX56" s="2208">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3"/>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08">
        <f t="shared" si="11"/>
        <v>0</v>
      </c>
      <c r="AW57" s="2208">
        <f t="shared" si="12"/>
        <v>0</v>
      </c>
      <c r="AX57" s="2208">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3"/>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08">
        <f t="shared" si="11"/>
        <v>0</v>
      </c>
      <c r="AW58" s="2208">
        <f t="shared" si="12"/>
        <v>0</v>
      </c>
      <c r="AX58" s="2208">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3"/>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08">
        <f t="shared" si="11"/>
        <v>0</v>
      </c>
      <c r="AW59" s="2208">
        <f t="shared" si="12"/>
        <v>0</v>
      </c>
      <c r="AX59" s="2208">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3"/>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08">
        <f t="shared" si="11"/>
        <v>0</v>
      </c>
      <c r="AW60" s="2208">
        <f t="shared" si="12"/>
        <v>0</v>
      </c>
      <c r="AX60" s="2208">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3"/>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08">
        <f t="shared" si="11"/>
        <v>0</v>
      </c>
      <c r="AW61" s="2208">
        <f t="shared" si="12"/>
        <v>0</v>
      </c>
      <c r="AX61" s="2208">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3"/>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08">
        <f t="shared" si="11"/>
        <v>0</v>
      </c>
      <c r="AW62" s="2208">
        <f t="shared" si="12"/>
        <v>0</v>
      </c>
      <c r="AX62" s="2208">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3"/>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08">
        <f t="shared" si="11"/>
        <v>0</v>
      </c>
      <c r="AW63" s="2208">
        <f t="shared" si="12"/>
        <v>0</v>
      </c>
      <c r="AX63" s="2208">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3"/>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08">
        <f t="shared" si="11"/>
        <v>0</v>
      </c>
      <c r="AW64" s="2208">
        <f t="shared" si="12"/>
        <v>0</v>
      </c>
      <c r="AX64" s="2208">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3"/>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08">
        <f t="shared" si="11"/>
        <v>0</v>
      </c>
      <c r="AW65" s="2208">
        <f t="shared" si="12"/>
        <v>0</v>
      </c>
      <c r="AX65" s="2208">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3"/>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08">
        <f t="shared" si="11"/>
        <v>0</v>
      </c>
      <c r="AW66" s="2208">
        <f t="shared" si="12"/>
        <v>0</v>
      </c>
      <c r="AX66" s="2208">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3"/>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08">
        <f t="shared" si="11"/>
        <v>0</v>
      </c>
      <c r="AW67" s="2208">
        <f t="shared" si="12"/>
        <v>0</v>
      </c>
      <c r="AX67" s="2208">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3"/>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08">
        <f t="shared" si="11"/>
        <v>0</v>
      </c>
      <c r="AW68" s="2208">
        <f t="shared" si="12"/>
        <v>0</v>
      </c>
      <c r="AX68" s="2208">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3"/>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08">
        <f t="shared" si="11"/>
        <v>0</v>
      </c>
      <c r="AW69" s="2208">
        <f t="shared" si="12"/>
        <v>0</v>
      </c>
      <c r="AX69" s="2208">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3"/>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08">
        <f t="shared" si="11"/>
        <v>0</v>
      </c>
      <c r="AW70" s="2208">
        <f t="shared" si="12"/>
        <v>0</v>
      </c>
      <c r="AX70" s="2208">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3"/>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08">
        <f t="shared" si="11"/>
        <v>0</v>
      </c>
      <c r="AW71" s="2208">
        <f t="shared" si="12"/>
        <v>0</v>
      </c>
      <c r="AX71" s="2208">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3"/>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08">
        <f t="shared" si="11"/>
        <v>0</v>
      </c>
      <c r="AW72" s="2208">
        <f t="shared" si="12"/>
        <v>0</v>
      </c>
      <c r="AX72" s="2208">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3"/>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08">
        <f t="shared" si="11"/>
        <v>0</v>
      </c>
      <c r="AW73" s="2208">
        <f t="shared" si="12"/>
        <v>0</v>
      </c>
      <c r="AX73" s="2208">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3"/>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08">
        <f t="shared" si="11"/>
        <v>0</v>
      </c>
      <c r="AW74" s="2208">
        <f t="shared" si="12"/>
        <v>0</v>
      </c>
      <c r="AX74" s="2208">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3"/>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08">
        <f t="shared" si="11"/>
        <v>0</v>
      </c>
      <c r="AW75" s="2208">
        <f t="shared" si="12"/>
        <v>0</v>
      </c>
      <c r="AX75" s="2208">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3"/>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08">
        <f t="shared" si="11"/>
        <v>0</v>
      </c>
      <c r="AW76" s="2208">
        <f t="shared" si="12"/>
        <v>0</v>
      </c>
      <c r="AX76" s="2208">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3"/>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08">
        <f t="shared" si="11"/>
        <v>0</v>
      </c>
      <c r="AW77" s="2208">
        <f t="shared" si="12"/>
        <v>0</v>
      </c>
      <c r="AX77" s="2208">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3"/>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08">
        <f t="shared" si="11"/>
        <v>0</v>
      </c>
      <c r="AW78" s="2208">
        <f t="shared" si="12"/>
        <v>0</v>
      </c>
      <c r="AX78" s="2208">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3"/>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08">
        <f t="shared" si="11"/>
        <v>0</v>
      </c>
      <c r="AW79" s="2208">
        <f t="shared" si="12"/>
        <v>0</v>
      </c>
      <c r="AX79" s="2208">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3"/>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08">
        <f t="shared" si="11"/>
        <v>0</v>
      </c>
      <c r="AW80" s="2208">
        <f t="shared" si="12"/>
        <v>0</v>
      </c>
      <c r="AX80" s="2208">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3"/>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08">
        <f t="shared" si="11"/>
        <v>0</v>
      </c>
      <c r="AW81" s="2208">
        <f t="shared" si="12"/>
        <v>0</v>
      </c>
      <c r="AX81" s="2208">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3"/>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08">
        <f t="shared" si="11"/>
        <v>0</v>
      </c>
      <c r="AW82" s="2208">
        <f t="shared" si="12"/>
        <v>0</v>
      </c>
      <c r="AX82" s="2208">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3"/>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08">
        <f t="shared" si="11"/>
        <v>0</v>
      </c>
      <c r="AW83" s="2208">
        <f t="shared" si="12"/>
        <v>0</v>
      </c>
      <c r="AX83" s="2208">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3"/>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08">
        <f t="shared" si="11"/>
        <v>0</v>
      </c>
      <c r="AW84" s="2208">
        <f t="shared" si="12"/>
        <v>0</v>
      </c>
      <c r="AX84" s="2208">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3"/>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08">
        <f t="shared" si="11"/>
        <v>0</v>
      </c>
      <c r="AW85" s="2208">
        <f t="shared" si="12"/>
        <v>0</v>
      </c>
      <c r="AX85" s="2208">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3"/>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08">
        <f t="shared" si="11"/>
        <v>0</v>
      </c>
      <c r="AW86" s="2208">
        <f t="shared" si="12"/>
        <v>0</v>
      </c>
      <c r="AX86" s="2208">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3"/>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08">
        <f t="shared" si="11"/>
        <v>0</v>
      </c>
      <c r="AW87" s="2208">
        <f t="shared" si="12"/>
        <v>0</v>
      </c>
      <c r="AX87" s="2208">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3"/>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08">
        <f t="shared" si="11"/>
        <v>0</v>
      </c>
      <c r="AW88" s="2208">
        <f t="shared" si="12"/>
        <v>0</v>
      </c>
      <c r="AX88" s="2208">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3"/>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08">
        <f t="shared" si="11"/>
        <v>0</v>
      </c>
      <c r="AW89" s="2208">
        <f t="shared" si="12"/>
        <v>0</v>
      </c>
      <c r="AX89" s="2208">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3"/>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08">
        <f t="shared" si="11"/>
        <v>0</v>
      </c>
      <c r="AW90" s="2208">
        <f t="shared" si="12"/>
        <v>0</v>
      </c>
      <c r="AX90" s="2208">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3"/>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08">
        <f t="shared" si="11"/>
        <v>0</v>
      </c>
      <c r="AW91" s="2208">
        <f t="shared" si="12"/>
        <v>0</v>
      </c>
      <c r="AX91" s="2208">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3"/>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08">
        <f t="shared" si="11"/>
        <v>0</v>
      </c>
      <c r="AW92" s="2208">
        <f t="shared" si="12"/>
        <v>0</v>
      </c>
      <c r="AX92" s="2208">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3"/>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08">
        <f t="shared" si="11"/>
        <v>0</v>
      </c>
      <c r="AW93" s="2208">
        <f t="shared" si="12"/>
        <v>0</v>
      </c>
      <c r="AX93" s="2208">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3"/>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08">
        <f t="shared" si="11"/>
        <v>0</v>
      </c>
      <c r="AW94" s="2208">
        <f t="shared" si="12"/>
        <v>0</v>
      </c>
      <c r="AX94" s="2208">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3"/>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08">
        <f t="shared" si="11"/>
        <v>0</v>
      </c>
      <c r="AW95" s="2208">
        <f t="shared" si="12"/>
        <v>0</v>
      </c>
      <c r="AX95" s="2208">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3"/>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08">
        <f t="shared" si="11"/>
        <v>0</v>
      </c>
      <c r="AW96" s="2208">
        <f t="shared" si="12"/>
        <v>0</v>
      </c>
      <c r="AX96" s="2208">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3"/>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08">
        <f t="shared" si="11"/>
        <v>0</v>
      </c>
      <c r="AW97" s="2208">
        <f t="shared" si="12"/>
        <v>0</v>
      </c>
      <c r="AX97" s="2208">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3"/>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08">
        <f t="shared" si="11"/>
        <v>0</v>
      </c>
      <c r="AW98" s="2208">
        <f t="shared" si="12"/>
        <v>0</v>
      </c>
      <c r="AX98" s="2208">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3"/>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08">
        <f t="shared" si="11"/>
        <v>0</v>
      </c>
      <c r="AW99" s="2208">
        <f t="shared" si="12"/>
        <v>0</v>
      </c>
      <c r="AX99" s="2208">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3"/>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08">
        <f t="shared" si="11"/>
        <v>0</v>
      </c>
      <c r="AW100" s="2208">
        <f t="shared" si="12"/>
        <v>0</v>
      </c>
      <c r="AX100" s="2208">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3"/>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08">
        <f t="shared" si="11"/>
        <v>0</v>
      </c>
      <c r="AW101" s="2208">
        <f t="shared" si="12"/>
        <v>0</v>
      </c>
      <c r="AX101" s="2208">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3"/>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08">
        <f t="shared" si="11"/>
        <v>0</v>
      </c>
      <c r="AW102" s="2208">
        <f t="shared" si="12"/>
        <v>0</v>
      </c>
      <c r="AX102" s="2208">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3"/>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08">
        <f t="shared" si="11"/>
        <v>0</v>
      </c>
      <c r="AW103" s="2208">
        <f t="shared" si="12"/>
        <v>0</v>
      </c>
      <c r="AX103" s="2208">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3"/>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08">
        <f t="shared" si="11"/>
        <v>0</v>
      </c>
      <c r="AW104" s="2208">
        <f t="shared" si="12"/>
        <v>0</v>
      </c>
      <c r="AX104" s="2208">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3"/>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08">
        <f t="shared" si="11"/>
        <v>0</v>
      </c>
      <c r="AW105" s="2208">
        <f t="shared" si="12"/>
        <v>0</v>
      </c>
      <c r="AX105" s="2208">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3"/>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08">
        <f t="shared" si="11"/>
        <v>0</v>
      </c>
      <c r="AW106" s="2208">
        <f t="shared" si="12"/>
        <v>0</v>
      </c>
      <c r="AX106" s="2208">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3"/>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08">
        <f t="shared" si="11"/>
        <v>0</v>
      </c>
      <c r="AW107" s="2208">
        <f t="shared" si="12"/>
        <v>0</v>
      </c>
      <c r="AX107" s="2208">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3"/>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08">
        <f t="shared" si="11"/>
        <v>0</v>
      </c>
      <c r="AW108" s="2208">
        <f t="shared" si="12"/>
        <v>0</v>
      </c>
      <c r="AX108" s="2208">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3"/>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08">
        <f t="shared" si="11"/>
        <v>0</v>
      </c>
      <c r="AW109" s="2208">
        <f t="shared" si="12"/>
        <v>0</v>
      </c>
      <c r="AX109" s="2208">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3"/>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08">
        <f t="shared" si="11"/>
        <v>0</v>
      </c>
      <c r="AW110" s="2208">
        <f t="shared" si="12"/>
        <v>0</v>
      </c>
      <c r="AX110" s="2208">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3"/>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08">
        <f t="shared" si="11"/>
        <v>0</v>
      </c>
      <c r="AW111" s="2208">
        <f t="shared" si="12"/>
        <v>0</v>
      </c>
      <c r="AX111" s="2208">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3"/>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08">
        <f t="shared" si="11"/>
        <v>0</v>
      </c>
      <c r="AW112" s="2208">
        <f t="shared" si="12"/>
        <v>0</v>
      </c>
      <c r="AX112" s="2208">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3"/>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08">
        <f t="shared" ref="AV113:AV144" si="62">A113</f>
        <v>0</v>
      </c>
      <c r="AW113" s="2208">
        <f t="shared" ref="AW113:AW144" si="63">B113</f>
        <v>0</v>
      </c>
      <c r="AX113" s="2208">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3"/>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08">
        <f t="shared" si="62"/>
        <v>0</v>
      </c>
      <c r="AW114" s="2208">
        <f t="shared" si="63"/>
        <v>0</v>
      </c>
      <c r="AX114" s="2208">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3"/>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08">
        <f t="shared" si="62"/>
        <v>0</v>
      </c>
      <c r="AW115" s="2208">
        <f t="shared" si="63"/>
        <v>0</v>
      </c>
      <c r="AX115" s="2208">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3"/>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08">
        <f t="shared" si="62"/>
        <v>0</v>
      </c>
      <c r="AW116" s="2208">
        <f t="shared" si="63"/>
        <v>0</v>
      </c>
      <c r="AX116" s="2208">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3"/>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08">
        <f t="shared" si="62"/>
        <v>0</v>
      </c>
      <c r="AW117" s="2208">
        <f t="shared" si="63"/>
        <v>0</v>
      </c>
      <c r="AX117" s="2208">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3"/>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08">
        <f t="shared" si="62"/>
        <v>0</v>
      </c>
      <c r="AW118" s="2208">
        <f t="shared" si="63"/>
        <v>0</v>
      </c>
      <c r="AX118" s="2208">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3"/>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08">
        <f t="shared" si="62"/>
        <v>0</v>
      </c>
      <c r="AW119" s="2208">
        <f t="shared" si="63"/>
        <v>0</v>
      </c>
      <c r="AX119" s="2208">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3"/>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08">
        <f t="shared" si="62"/>
        <v>0</v>
      </c>
      <c r="AW120" s="2208">
        <f t="shared" si="63"/>
        <v>0</v>
      </c>
      <c r="AX120" s="2208">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3"/>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08">
        <f t="shared" si="62"/>
        <v>0</v>
      </c>
      <c r="AW121" s="2208">
        <f t="shared" si="63"/>
        <v>0</v>
      </c>
      <c r="AX121" s="2208">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3"/>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08">
        <f t="shared" si="62"/>
        <v>0</v>
      </c>
      <c r="AW122" s="2208">
        <f t="shared" si="63"/>
        <v>0</v>
      </c>
      <c r="AX122" s="2208">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3"/>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08">
        <f t="shared" si="62"/>
        <v>0</v>
      </c>
      <c r="AW123" s="2208">
        <f t="shared" si="63"/>
        <v>0</v>
      </c>
      <c r="AX123" s="2208">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3"/>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08">
        <f t="shared" si="62"/>
        <v>0</v>
      </c>
      <c r="AW124" s="2208">
        <f t="shared" si="63"/>
        <v>0</v>
      </c>
      <c r="AX124" s="2208">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3"/>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08">
        <f t="shared" si="62"/>
        <v>0</v>
      </c>
      <c r="AW125" s="2208">
        <f t="shared" si="63"/>
        <v>0</v>
      </c>
      <c r="AX125" s="2208">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3"/>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08">
        <f t="shared" si="62"/>
        <v>0</v>
      </c>
      <c r="AW126" s="2208">
        <f t="shared" si="63"/>
        <v>0</v>
      </c>
      <c r="AX126" s="2208">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3"/>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08">
        <f t="shared" si="62"/>
        <v>0</v>
      </c>
      <c r="AW127" s="2208">
        <f t="shared" si="63"/>
        <v>0</v>
      </c>
      <c r="AX127" s="2208">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3"/>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08">
        <f t="shared" si="62"/>
        <v>0</v>
      </c>
      <c r="AW128" s="2208">
        <f t="shared" si="63"/>
        <v>0</v>
      </c>
      <c r="AX128" s="2208">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3"/>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08">
        <f t="shared" si="62"/>
        <v>0</v>
      </c>
      <c r="AW129" s="2208">
        <f t="shared" si="63"/>
        <v>0</v>
      </c>
      <c r="AX129" s="2208">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3"/>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08">
        <f t="shared" si="62"/>
        <v>0</v>
      </c>
      <c r="AW130" s="2208">
        <f t="shared" si="63"/>
        <v>0</v>
      </c>
      <c r="AX130" s="2208">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3"/>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08">
        <f t="shared" si="62"/>
        <v>0</v>
      </c>
      <c r="AW131" s="2208">
        <f t="shared" si="63"/>
        <v>0</v>
      </c>
      <c r="AX131" s="2208">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3"/>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08">
        <f t="shared" si="62"/>
        <v>0</v>
      </c>
      <c r="AW132" s="2208">
        <f t="shared" si="63"/>
        <v>0</v>
      </c>
      <c r="AX132" s="2208">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3"/>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08">
        <f t="shared" si="62"/>
        <v>0</v>
      </c>
      <c r="AW133" s="2208">
        <f t="shared" si="63"/>
        <v>0</v>
      </c>
      <c r="AX133" s="2208">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3"/>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08">
        <f t="shared" si="62"/>
        <v>0</v>
      </c>
      <c r="AW134" s="2208">
        <f t="shared" si="63"/>
        <v>0</v>
      </c>
      <c r="AX134" s="2208">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3"/>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08">
        <f t="shared" si="62"/>
        <v>0</v>
      </c>
      <c r="AW135" s="2208">
        <f t="shared" si="63"/>
        <v>0</v>
      </c>
      <c r="AX135" s="2208">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3"/>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08">
        <f t="shared" si="62"/>
        <v>0</v>
      </c>
      <c r="AW136" s="2208">
        <f t="shared" si="63"/>
        <v>0</v>
      </c>
      <c r="AX136" s="2208">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3"/>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08">
        <f t="shared" si="62"/>
        <v>0</v>
      </c>
      <c r="AW137" s="2208">
        <f t="shared" si="63"/>
        <v>0</v>
      </c>
      <c r="AX137" s="2208">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3"/>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08">
        <f t="shared" si="62"/>
        <v>0</v>
      </c>
      <c r="AW138" s="2208">
        <f t="shared" si="63"/>
        <v>0</v>
      </c>
      <c r="AX138" s="2208">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3"/>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08">
        <f t="shared" si="62"/>
        <v>0</v>
      </c>
      <c r="AW139" s="2208">
        <f t="shared" si="63"/>
        <v>0</v>
      </c>
      <c r="AX139" s="2208">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3"/>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08">
        <f t="shared" si="62"/>
        <v>0</v>
      </c>
      <c r="AW140" s="2208">
        <f t="shared" si="63"/>
        <v>0</v>
      </c>
      <c r="AX140" s="2208">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3"/>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08">
        <f t="shared" si="62"/>
        <v>0</v>
      </c>
      <c r="AW141" s="2208">
        <f t="shared" si="63"/>
        <v>0</v>
      </c>
      <c r="AX141" s="2208">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3"/>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08">
        <f t="shared" si="62"/>
        <v>0</v>
      </c>
      <c r="AW142" s="2208">
        <f t="shared" si="63"/>
        <v>0</v>
      </c>
      <c r="AX142" s="2208">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3"/>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08">
        <f t="shared" si="62"/>
        <v>0</v>
      </c>
      <c r="AW143" s="2208">
        <f t="shared" si="63"/>
        <v>0</v>
      </c>
      <c r="AX143" s="2208">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3"/>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08">
        <f t="shared" si="62"/>
        <v>0</v>
      </c>
      <c r="AW144" s="2208">
        <f t="shared" si="63"/>
        <v>0</v>
      </c>
      <c r="AX144" s="2208">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3"/>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08">
        <f t="shared" ref="AV145:AV176" si="91">A145</f>
        <v>0</v>
      </c>
      <c r="AW145" s="2208">
        <f t="shared" ref="AW145:AW176" si="92">B145</f>
        <v>0</v>
      </c>
      <c r="AX145" s="2208">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3"/>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08">
        <f t="shared" si="91"/>
        <v>0</v>
      </c>
      <c r="AW146" s="2208">
        <f t="shared" si="92"/>
        <v>0</v>
      </c>
      <c r="AX146" s="2208">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3"/>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08">
        <f t="shared" si="91"/>
        <v>0</v>
      </c>
      <c r="AW147" s="2208">
        <f t="shared" si="92"/>
        <v>0</v>
      </c>
      <c r="AX147" s="2208">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3"/>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08">
        <f t="shared" si="91"/>
        <v>0</v>
      </c>
      <c r="AW148" s="2208">
        <f t="shared" si="92"/>
        <v>0</v>
      </c>
      <c r="AX148" s="2208">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3"/>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08">
        <f t="shared" si="91"/>
        <v>0</v>
      </c>
      <c r="AW149" s="2208">
        <f t="shared" si="92"/>
        <v>0</v>
      </c>
      <c r="AX149" s="2208">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3"/>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08">
        <f t="shared" si="91"/>
        <v>0</v>
      </c>
      <c r="AW150" s="2208">
        <f t="shared" si="92"/>
        <v>0</v>
      </c>
      <c r="AX150" s="2208">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3"/>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08">
        <f t="shared" si="91"/>
        <v>0</v>
      </c>
      <c r="AW151" s="2208">
        <f t="shared" si="92"/>
        <v>0</v>
      </c>
      <c r="AX151" s="2208">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3"/>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08">
        <f t="shared" si="91"/>
        <v>0</v>
      </c>
      <c r="AW152" s="2208">
        <f t="shared" si="92"/>
        <v>0</v>
      </c>
      <c r="AX152" s="2208">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3"/>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08">
        <f t="shared" si="91"/>
        <v>0</v>
      </c>
      <c r="AW153" s="2208">
        <f t="shared" si="92"/>
        <v>0</v>
      </c>
      <c r="AX153" s="2208">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3"/>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08">
        <f t="shared" si="91"/>
        <v>0</v>
      </c>
      <c r="AW154" s="2208">
        <f t="shared" si="92"/>
        <v>0</v>
      </c>
      <c r="AX154" s="2208">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3"/>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08">
        <f t="shared" si="91"/>
        <v>0</v>
      </c>
      <c r="AW155" s="2208">
        <f t="shared" si="92"/>
        <v>0</v>
      </c>
      <c r="AX155" s="2208">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3"/>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08">
        <f t="shared" si="91"/>
        <v>0</v>
      </c>
      <c r="AW156" s="2208">
        <f t="shared" si="92"/>
        <v>0</v>
      </c>
      <c r="AX156" s="2208">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3"/>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08">
        <f t="shared" si="91"/>
        <v>0</v>
      </c>
      <c r="AW157" s="2208">
        <f t="shared" si="92"/>
        <v>0</v>
      </c>
      <c r="AX157" s="2208">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3"/>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08">
        <f t="shared" si="91"/>
        <v>0</v>
      </c>
      <c r="AW158" s="2208">
        <f t="shared" si="92"/>
        <v>0</v>
      </c>
      <c r="AX158" s="2208">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3"/>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08">
        <f t="shared" si="91"/>
        <v>0</v>
      </c>
      <c r="AW159" s="2208">
        <f t="shared" si="92"/>
        <v>0</v>
      </c>
      <c r="AX159" s="2208">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3"/>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08">
        <f t="shared" si="91"/>
        <v>0</v>
      </c>
      <c r="AW160" s="2208">
        <f t="shared" si="92"/>
        <v>0</v>
      </c>
      <c r="AX160" s="2208">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3"/>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08">
        <f t="shared" si="91"/>
        <v>0</v>
      </c>
      <c r="AW161" s="2208">
        <f t="shared" si="92"/>
        <v>0</v>
      </c>
      <c r="AX161" s="2208">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3"/>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08">
        <f t="shared" si="91"/>
        <v>0</v>
      </c>
      <c r="AW162" s="2208">
        <f t="shared" si="92"/>
        <v>0</v>
      </c>
      <c r="AX162" s="2208">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3"/>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08">
        <f t="shared" si="91"/>
        <v>0</v>
      </c>
      <c r="AW163" s="2208">
        <f t="shared" si="92"/>
        <v>0</v>
      </c>
      <c r="AX163" s="2208">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3"/>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08">
        <f t="shared" si="91"/>
        <v>0</v>
      </c>
      <c r="AW164" s="2208">
        <f t="shared" si="92"/>
        <v>0</v>
      </c>
      <c r="AX164" s="2208">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3"/>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08">
        <f t="shared" si="91"/>
        <v>0</v>
      </c>
      <c r="AW165" s="2208">
        <f t="shared" si="92"/>
        <v>0</v>
      </c>
      <c r="AX165" s="2208">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3"/>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08">
        <f t="shared" si="91"/>
        <v>0</v>
      </c>
      <c r="AW166" s="2208">
        <f t="shared" si="92"/>
        <v>0</v>
      </c>
      <c r="AX166" s="2208">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3"/>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08">
        <f t="shared" si="91"/>
        <v>0</v>
      </c>
      <c r="AW167" s="2208">
        <f t="shared" si="92"/>
        <v>0</v>
      </c>
      <c r="AX167" s="2208">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3"/>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08">
        <f t="shared" si="91"/>
        <v>0</v>
      </c>
      <c r="AW168" s="2208">
        <f t="shared" si="92"/>
        <v>0</v>
      </c>
      <c r="AX168" s="2208">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3"/>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08">
        <f t="shared" si="91"/>
        <v>0</v>
      </c>
      <c r="AW169" s="2208">
        <f t="shared" si="92"/>
        <v>0</v>
      </c>
      <c r="AX169" s="2208">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3"/>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08">
        <f t="shared" si="91"/>
        <v>0</v>
      </c>
      <c r="AW170" s="2208">
        <f t="shared" si="92"/>
        <v>0</v>
      </c>
      <c r="AX170" s="2208">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3"/>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08">
        <f t="shared" si="91"/>
        <v>0</v>
      </c>
      <c r="AW171" s="2208">
        <f t="shared" si="92"/>
        <v>0</v>
      </c>
      <c r="AX171" s="2208">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3"/>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08">
        <f t="shared" si="91"/>
        <v>0</v>
      </c>
      <c r="AW172" s="2208">
        <f t="shared" si="92"/>
        <v>0</v>
      </c>
      <c r="AX172" s="2208">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3"/>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08">
        <f t="shared" si="91"/>
        <v>0</v>
      </c>
      <c r="AW173" s="2208">
        <f t="shared" si="92"/>
        <v>0</v>
      </c>
      <c r="AX173" s="2208">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3"/>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08">
        <f t="shared" si="91"/>
        <v>0</v>
      </c>
      <c r="AW174" s="2208">
        <f t="shared" si="92"/>
        <v>0</v>
      </c>
      <c r="AX174" s="2208">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3"/>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08">
        <f t="shared" si="91"/>
        <v>0</v>
      </c>
      <c r="AW175" s="2208">
        <f t="shared" si="92"/>
        <v>0</v>
      </c>
      <c r="AX175" s="2208">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3"/>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08">
        <f t="shared" si="91"/>
        <v>0</v>
      </c>
      <c r="AW176" s="2208">
        <f t="shared" si="92"/>
        <v>0</v>
      </c>
      <c r="AX176" s="2208">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3"/>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08">
        <f t="shared" ref="AV177:AV207" si="120">A177</f>
        <v>0</v>
      </c>
      <c r="AW177" s="2208">
        <f t="shared" ref="AW177:AW207" si="121">B177</f>
        <v>0</v>
      </c>
      <c r="AX177" s="2208">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3"/>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08">
        <f t="shared" si="120"/>
        <v>0</v>
      </c>
      <c r="AW178" s="2208">
        <f t="shared" si="121"/>
        <v>0</v>
      </c>
      <c r="AX178" s="2208">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3"/>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08">
        <f t="shared" si="120"/>
        <v>0</v>
      </c>
      <c r="AW179" s="2208">
        <f t="shared" si="121"/>
        <v>0</v>
      </c>
      <c r="AX179" s="2208">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3"/>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08">
        <f t="shared" si="120"/>
        <v>0</v>
      </c>
      <c r="AW180" s="2208">
        <f t="shared" si="121"/>
        <v>0</v>
      </c>
      <c r="AX180" s="2208">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3"/>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08">
        <f t="shared" si="120"/>
        <v>0</v>
      </c>
      <c r="AW181" s="2208">
        <f t="shared" si="121"/>
        <v>0</v>
      </c>
      <c r="AX181" s="2208">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3"/>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08">
        <f t="shared" si="120"/>
        <v>0</v>
      </c>
      <c r="AW182" s="2208">
        <f t="shared" si="121"/>
        <v>0</v>
      </c>
      <c r="AX182" s="2208">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3"/>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08">
        <f t="shared" si="120"/>
        <v>0</v>
      </c>
      <c r="AW183" s="2208">
        <f t="shared" si="121"/>
        <v>0</v>
      </c>
      <c r="AX183" s="2208">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3"/>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08">
        <f t="shared" si="120"/>
        <v>0</v>
      </c>
      <c r="AW184" s="2208">
        <f t="shared" si="121"/>
        <v>0</v>
      </c>
      <c r="AX184" s="2208">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3"/>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08">
        <f t="shared" si="120"/>
        <v>0</v>
      </c>
      <c r="AW185" s="2208">
        <f t="shared" si="121"/>
        <v>0</v>
      </c>
      <c r="AX185" s="2208">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3"/>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08">
        <f t="shared" si="120"/>
        <v>0</v>
      </c>
      <c r="AW186" s="2208">
        <f t="shared" si="121"/>
        <v>0</v>
      </c>
      <c r="AX186" s="2208">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3"/>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08">
        <f t="shared" si="120"/>
        <v>0</v>
      </c>
      <c r="AW187" s="2208">
        <f t="shared" si="121"/>
        <v>0</v>
      </c>
      <c r="AX187" s="2208">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3"/>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08">
        <f t="shared" si="120"/>
        <v>0</v>
      </c>
      <c r="AW188" s="2208">
        <f t="shared" si="121"/>
        <v>0</v>
      </c>
      <c r="AX188" s="2208">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3"/>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08">
        <f t="shared" si="120"/>
        <v>0</v>
      </c>
      <c r="AW189" s="2208">
        <f t="shared" si="121"/>
        <v>0</v>
      </c>
      <c r="AX189" s="2208">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3"/>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08">
        <f t="shared" si="120"/>
        <v>0</v>
      </c>
      <c r="AW190" s="2208">
        <f t="shared" si="121"/>
        <v>0</v>
      </c>
      <c r="AX190" s="2208">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3"/>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08">
        <f t="shared" si="120"/>
        <v>0</v>
      </c>
      <c r="AW191" s="2208">
        <f t="shared" si="121"/>
        <v>0</v>
      </c>
      <c r="AX191" s="2208">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3"/>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08">
        <f t="shared" si="120"/>
        <v>0</v>
      </c>
      <c r="AW192" s="2208">
        <f t="shared" si="121"/>
        <v>0</v>
      </c>
      <c r="AX192" s="2208">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3"/>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08">
        <f t="shared" si="120"/>
        <v>0</v>
      </c>
      <c r="AW193" s="2208">
        <f t="shared" si="121"/>
        <v>0</v>
      </c>
      <c r="AX193" s="2208">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3"/>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08">
        <f t="shared" si="120"/>
        <v>0</v>
      </c>
      <c r="AW194" s="2208">
        <f t="shared" si="121"/>
        <v>0</v>
      </c>
      <c r="AX194" s="2208">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3"/>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08">
        <f t="shared" si="120"/>
        <v>0</v>
      </c>
      <c r="AW195" s="2208">
        <f t="shared" si="121"/>
        <v>0</v>
      </c>
      <c r="AX195" s="2208">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3"/>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08">
        <f t="shared" si="120"/>
        <v>0</v>
      </c>
      <c r="AW196" s="2208">
        <f t="shared" si="121"/>
        <v>0</v>
      </c>
      <c r="AX196" s="2208">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3"/>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08">
        <f t="shared" si="120"/>
        <v>0</v>
      </c>
      <c r="AW197" s="2208">
        <f t="shared" si="121"/>
        <v>0</v>
      </c>
      <c r="AX197" s="2208">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3"/>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08">
        <f t="shared" si="120"/>
        <v>0</v>
      </c>
      <c r="AW198" s="2208">
        <f t="shared" si="121"/>
        <v>0</v>
      </c>
      <c r="AX198" s="2208">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3"/>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08">
        <f t="shared" si="120"/>
        <v>0</v>
      </c>
      <c r="AW199" s="2208">
        <f t="shared" si="121"/>
        <v>0</v>
      </c>
      <c r="AX199" s="2208">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3"/>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08">
        <f t="shared" si="120"/>
        <v>0</v>
      </c>
      <c r="AW200" s="2208">
        <f t="shared" si="121"/>
        <v>0</v>
      </c>
      <c r="AX200" s="2208">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3"/>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08">
        <f t="shared" si="120"/>
        <v>0</v>
      </c>
      <c r="AW201" s="2208">
        <f t="shared" si="121"/>
        <v>0</v>
      </c>
      <c r="AX201" s="2208">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3"/>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08">
        <f t="shared" si="120"/>
        <v>0</v>
      </c>
      <c r="AW202" s="2208">
        <f t="shared" si="121"/>
        <v>0</v>
      </c>
      <c r="AX202" s="2208">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3"/>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08">
        <f t="shared" si="120"/>
        <v>0</v>
      </c>
      <c r="AW203" s="2208">
        <f t="shared" si="121"/>
        <v>0</v>
      </c>
      <c r="AX203" s="2208">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3"/>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08">
        <f t="shared" si="120"/>
        <v>0</v>
      </c>
      <c r="AW204" s="2208">
        <f t="shared" si="121"/>
        <v>0</v>
      </c>
      <c r="AX204" s="2208">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3"/>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08">
        <f t="shared" si="120"/>
        <v>0</v>
      </c>
      <c r="AW205" s="2208">
        <f t="shared" si="121"/>
        <v>0</v>
      </c>
      <c r="AX205" s="2208">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3"/>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08">
        <f t="shared" si="120"/>
        <v>0</v>
      </c>
      <c r="AW206" s="2208">
        <f t="shared" si="121"/>
        <v>0</v>
      </c>
      <c r="AX206" s="2208">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3"/>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08">
        <f t="shared" si="120"/>
        <v>0</v>
      </c>
      <c r="AW207" s="2208">
        <f t="shared" si="121"/>
        <v>0</v>
      </c>
      <c r="AX207" s="2208">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3"/>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08">
        <f t="shared" ref="AV208:AV302" si="127">A208</f>
        <v>0</v>
      </c>
      <c r="AW208" s="2208">
        <f t="shared" ref="AW208:AW302" si="128">B208</f>
        <v>0</v>
      </c>
      <c r="AX208" s="2208">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3"/>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08">
        <f t="shared" si="127"/>
        <v>0</v>
      </c>
      <c r="AW209" s="2208">
        <f t="shared" si="128"/>
        <v>0</v>
      </c>
      <c r="AX209" s="2208">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3"/>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08">
        <f t="shared" si="127"/>
        <v>0</v>
      </c>
      <c r="AW210" s="2208">
        <f t="shared" si="128"/>
        <v>0</v>
      </c>
      <c r="AX210" s="2208">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3"/>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08">
        <f t="shared" si="127"/>
        <v>0</v>
      </c>
      <c r="AW211" s="2208">
        <f t="shared" si="128"/>
        <v>0</v>
      </c>
      <c r="AX211" s="2208">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3"/>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08">
        <f t="shared" si="127"/>
        <v>0</v>
      </c>
      <c r="AW212" s="2208">
        <f t="shared" si="128"/>
        <v>0</v>
      </c>
      <c r="AX212" s="2208">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3"/>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08">
        <f t="shared" si="127"/>
        <v>0</v>
      </c>
      <c r="AW213" s="2208">
        <f t="shared" si="128"/>
        <v>0</v>
      </c>
      <c r="AX213" s="2208">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3"/>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08">
        <f t="shared" si="127"/>
        <v>0</v>
      </c>
      <c r="AW214" s="2208">
        <f t="shared" si="128"/>
        <v>0</v>
      </c>
      <c r="AX214" s="2208">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3"/>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08">
        <f t="shared" si="127"/>
        <v>0</v>
      </c>
      <c r="AW215" s="2208">
        <f t="shared" si="128"/>
        <v>0</v>
      </c>
      <c r="AX215" s="2208">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3"/>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08">
        <f t="shared" si="127"/>
        <v>0</v>
      </c>
      <c r="AW216" s="2208">
        <f t="shared" si="128"/>
        <v>0</v>
      </c>
      <c r="AX216" s="2208">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3"/>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08">
        <f t="shared" si="127"/>
        <v>0</v>
      </c>
      <c r="AW217" s="2208">
        <f t="shared" si="128"/>
        <v>0</v>
      </c>
      <c r="AX217" s="2208">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3"/>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08">
        <f t="shared" si="127"/>
        <v>0</v>
      </c>
      <c r="AW218" s="2208">
        <f t="shared" si="128"/>
        <v>0</v>
      </c>
      <c r="AX218" s="2208">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3"/>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08">
        <f t="shared" si="127"/>
        <v>0</v>
      </c>
      <c r="AW219" s="2208">
        <f t="shared" si="128"/>
        <v>0</v>
      </c>
      <c r="AX219" s="2208">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3"/>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08">
        <f t="shared" si="127"/>
        <v>0</v>
      </c>
      <c r="AW220" s="2208">
        <f t="shared" si="128"/>
        <v>0</v>
      </c>
      <c r="AX220" s="2208">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3"/>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08">
        <f t="shared" si="127"/>
        <v>0</v>
      </c>
      <c r="AW221" s="2208">
        <f t="shared" si="128"/>
        <v>0</v>
      </c>
      <c r="AX221" s="2208">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3"/>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08">
        <f t="shared" si="127"/>
        <v>0</v>
      </c>
      <c r="AW222" s="2208">
        <f t="shared" si="128"/>
        <v>0</v>
      </c>
      <c r="AX222" s="2208">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3"/>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08">
        <f t="shared" si="127"/>
        <v>0</v>
      </c>
      <c r="AW223" s="2208">
        <f t="shared" si="128"/>
        <v>0</v>
      </c>
      <c r="AX223" s="2208">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3"/>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08">
        <f t="shared" si="127"/>
        <v>0</v>
      </c>
      <c r="AW224" s="2208">
        <f t="shared" si="128"/>
        <v>0</v>
      </c>
      <c r="AX224" s="2208">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3"/>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08">
        <f t="shared" si="127"/>
        <v>0</v>
      </c>
      <c r="AW225" s="2208">
        <f t="shared" si="128"/>
        <v>0</v>
      </c>
      <c r="AX225" s="2208">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3"/>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08">
        <f t="shared" si="127"/>
        <v>0</v>
      </c>
      <c r="AW226" s="2208">
        <f t="shared" si="128"/>
        <v>0</v>
      </c>
      <c r="AX226" s="2208">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3"/>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08">
        <f t="shared" si="127"/>
        <v>0</v>
      </c>
      <c r="AW227" s="2208">
        <f t="shared" si="128"/>
        <v>0</v>
      </c>
      <c r="AX227" s="2208">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3"/>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08">
        <f t="shared" si="127"/>
        <v>0</v>
      </c>
      <c r="AW228" s="2208">
        <f t="shared" si="128"/>
        <v>0</v>
      </c>
      <c r="AX228" s="2208">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3"/>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08">
        <f t="shared" si="127"/>
        <v>0</v>
      </c>
      <c r="AW229" s="2208">
        <f t="shared" si="128"/>
        <v>0</v>
      </c>
      <c r="AX229" s="2208">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3"/>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08">
        <f t="shared" si="127"/>
        <v>0</v>
      </c>
      <c r="AW230" s="2208">
        <f t="shared" si="128"/>
        <v>0</v>
      </c>
      <c r="AX230" s="2208">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3"/>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08">
        <f t="shared" si="127"/>
        <v>0</v>
      </c>
      <c r="AW231" s="2208">
        <f t="shared" si="128"/>
        <v>0</v>
      </c>
      <c r="AX231" s="2208">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3"/>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08">
        <f t="shared" si="127"/>
        <v>0</v>
      </c>
      <c r="AW232" s="2208">
        <f t="shared" si="128"/>
        <v>0</v>
      </c>
      <c r="AX232" s="2208">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3"/>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08">
        <f t="shared" si="127"/>
        <v>0</v>
      </c>
      <c r="AW233" s="2208">
        <f t="shared" si="128"/>
        <v>0</v>
      </c>
      <c r="AX233" s="2208">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3"/>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08">
        <f t="shared" si="127"/>
        <v>0</v>
      </c>
      <c r="AW234" s="2208">
        <f t="shared" si="128"/>
        <v>0</v>
      </c>
      <c r="AX234" s="2208">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3"/>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08">
        <f t="shared" si="127"/>
        <v>0</v>
      </c>
      <c r="AW235" s="2208">
        <f t="shared" si="128"/>
        <v>0</v>
      </c>
      <c r="AX235" s="2208">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3"/>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08">
        <f t="shared" si="127"/>
        <v>0</v>
      </c>
      <c r="AW236" s="2208">
        <f t="shared" si="128"/>
        <v>0</v>
      </c>
      <c r="AX236" s="2208">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3"/>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08">
        <f t="shared" si="127"/>
        <v>0</v>
      </c>
      <c r="AW237" s="2208">
        <f t="shared" si="128"/>
        <v>0</v>
      </c>
      <c r="AX237" s="2208">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3"/>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08">
        <f t="shared" si="127"/>
        <v>0</v>
      </c>
      <c r="AW238" s="2208">
        <f t="shared" si="128"/>
        <v>0</v>
      </c>
      <c r="AX238" s="2208">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3"/>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08">
        <f t="shared" si="127"/>
        <v>0</v>
      </c>
      <c r="AW239" s="2208">
        <f t="shared" si="128"/>
        <v>0</v>
      </c>
      <c r="AX239" s="2208">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3"/>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08">
        <f t="shared" si="127"/>
        <v>0</v>
      </c>
      <c r="AW240" s="2208">
        <f t="shared" si="128"/>
        <v>0</v>
      </c>
      <c r="AX240" s="2208">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3"/>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08">
        <f t="shared" si="127"/>
        <v>0</v>
      </c>
      <c r="AW241" s="2208">
        <f t="shared" si="128"/>
        <v>0</v>
      </c>
      <c r="AX241" s="2208">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3"/>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08">
        <f t="shared" si="127"/>
        <v>0</v>
      </c>
      <c r="AW242" s="2208">
        <f t="shared" si="128"/>
        <v>0</v>
      </c>
      <c r="AX242" s="2208">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3"/>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08">
        <f t="shared" si="127"/>
        <v>0</v>
      </c>
      <c r="AW243" s="2208">
        <f t="shared" si="128"/>
        <v>0</v>
      </c>
      <c r="AX243" s="2208">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3"/>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08">
        <f t="shared" si="127"/>
        <v>0</v>
      </c>
      <c r="AW244" s="2208">
        <f t="shared" si="128"/>
        <v>0</v>
      </c>
      <c r="AX244" s="2208">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3"/>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08">
        <f t="shared" si="127"/>
        <v>0</v>
      </c>
      <c r="AW245" s="2208">
        <f t="shared" si="128"/>
        <v>0</v>
      </c>
      <c r="AX245" s="2208">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3"/>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08">
        <f t="shared" si="127"/>
        <v>0</v>
      </c>
      <c r="AW246" s="2208">
        <f t="shared" si="128"/>
        <v>0</v>
      </c>
      <c r="AX246" s="2208">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3"/>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08">
        <f t="shared" si="127"/>
        <v>0</v>
      </c>
      <c r="AW247" s="2208">
        <f t="shared" si="128"/>
        <v>0</v>
      </c>
      <c r="AX247" s="2208">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3"/>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08">
        <f t="shared" si="127"/>
        <v>0</v>
      </c>
      <c r="AW248" s="2208">
        <f t="shared" si="128"/>
        <v>0</v>
      </c>
      <c r="AX248" s="2208">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3"/>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08">
        <f t="shared" si="127"/>
        <v>0</v>
      </c>
      <c r="AW249" s="2208">
        <f t="shared" si="128"/>
        <v>0</v>
      </c>
      <c r="AX249" s="2208">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3"/>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08">
        <f t="shared" si="127"/>
        <v>0</v>
      </c>
      <c r="AW250" s="2208">
        <f t="shared" si="128"/>
        <v>0</v>
      </c>
      <c r="AX250" s="2208">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3"/>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08">
        <f t="shared" si="127"/>
        <v>0</v>
      </c>
      <c r="AW251" s="2208">
        <f t="shared" si="128"/>
        <v>0</v>
      </c>
      <c r="AX251" s="2208">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3"/>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08">
        <f t="shared" si="127"/>
        <v>0</v>
      </c>
      <c r="AW252" s="2208">
        <f t="shared" si="128"/>
        <v>0</v>
      </c>
      <c r="AX252" s="2208">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3"/>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08">
        <f t="shared" si="127"/>
        <v>0</v>
      </c>
      <c r="AW253" s="2208">
        <f t="shared" si="128"/>
        <v>0</v>
      </c>
      <c r="AX253" s="2208">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3"/>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08">
        <f t="shared" si="127"/>
        <v>0</v>
      </c>
      <c r="AW254" s="2208">
        <f t="shared" si="128"/>
        <v>0</v>
      </c>
      <c r="AX254" s="2208">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3"/>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08">
        <f t="shared" si="127"/>
        <v>0</v>
      </c>
      <c r="AW255" s="2208">
        <f t="shared" si="128"/>
        <v>0</v>
      </c>
      <c r="AX255" s="2208">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3"/>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08">
        <f t="shared" si="127"/>
        <v>0</v>
      </c>
      <c r="AW256" s="2208">
        <f t="shared" si="128"/>
        <v>0</v>
      </c>
      <c r="AX256" s="2208">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3"/>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08">
        <f t="shared" si="127"/>
        <v>0</v>
      </c>
      <c r="AW257" s="2208">
        <f t="shared" si="128"/>
        <v>0</v>
      </c>
      <c r="AX257" s="2208">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3"/>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08">
        <f t="shared" si="127"/>
        <v>0</v>
      </c>
      <c r="AW258" s="2208">
        <f t="shared" si="128"/>
        <v>0</v>
      </c>
      <c r="AX258" s="2208">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3"/>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08">
        <f t="shared" si="127"/>
        <v>0</v>
      </c>
      <c r="AW259" s="2208">
        <f t="shared" si="128"/>
        <v>0</v>
      </c>
      <c r="AX259" s="2208">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3"/>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08">
        <f t="shared" si="127"/>
        <v>0</v>
      </c>
      <c r="AW260" s="2208">
        <f t="shared" si="128"/>
        <v>0</v>
      </c>
      <c r="AX260" s="2208">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3"/>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08">
        <f t="shared" si="127"/>
        <v>0</v>
      </c>
      <c r="AW261" s="2208">
        <f t="shared" si="128"/>
        <v>0</v>
      </c>
      <c r="AX261" s="2208">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3"/>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08">
        <f t="shared" si="127"/>
        <v>0</v>
      </c>
      <c r="AW262" s="2208">
        <f t="shared" si="128"/>
        <v>0</v>
      </c>
      <c r="AX262" s="2208">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3"/>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08">
        <f t="shared" si="127"/>
        <v>0</v>
      </c>
      <c r="AW263" s="2208">
        <f t="shared" si="128"/>
        <v>0</v>
      </c>
      <c r="AX263" s="2208">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3"/>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08">
        <f t="shared" si="127"/>
        <v>0</v>
      </c>
      <c r="AW264" s="2208">
        <f t="shared" si="128"/>
        <v>0</v>
      </c>
      <c r="AX264" s="2208">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3"/>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08">
        <f t="shared" si="127"/>
        <v>0</v>
      </c>
      <c r="AW265" s="2208">
        <f t="shared" si="128"/>
        <v>0</v>
      </c>
      <c r="AX265" s="2208">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3"/>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08">
        <f t="shared" si="127"/>
        <v>0</v>
      </c>
      <c r="AW266" s="2208">
        <f t="shared" si="128"/>
        <v>0</v>
      </c>
      <c r="AX266" s="2208">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3"/>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08">
        <f t="shared" si="127"/>
        <v>0</v>
      </c>
      <c r="AW267" s="2208">
        <f t="shared" si="128"/>
        <v>0</v>
      </c>
      <c r="AX267" s="2208">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3"/>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08">
        <f t="shared" si="127"/>
        <v>0</v>
      </c>
      <c r="AW268" s="2208">
        <f t="shared" si="128"/>
        <v>0</v>
      </c>
      <c r="AX268" s="2208">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3"/>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08">
        <f t="shared" si="127"/>
        <v>0</v>
      </c>
      <c r="AW269" s="2208">
        <f t="shared" si="128"/>
        <v>0</v>
      </c>
      <c r="AX269" s="2208">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3"/>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08">
        <f t="shared" si="127"/>
        <v>0</v>
      </c>
      <c r="AW270" s="2208">
        <f t="shared" si="128"/>
        <v>0</v>
      </c>
      <c r="AX270" s="2208">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3"/>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08">
        <f t="shared" si="127"/>
        <v>0</v>
      </c>
      <c r="AW271" s="2208">
        <f t="shared" si="128"/>
        <v>0</v>
      </c>
      <c r="AX271" s="2208">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3"/>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08">
        <f t="shared" si="127"/>
        <v>0</v>
      </c>
      <c r="AW272" s="2208">
        <f t="shared" si="128"/>
        <v>0</v>
      </c>
      <c r="AX272" s="2208">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3"/>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08">
        <f t="shared" si="127"/>
        <v>0</v>
      </c>
      <c r="AW273" s="2208">
        <f t="shared" si="128"/>
        <v>0</v>
      </c>
      <c r="AX273" s="2208">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3"/>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08">
        <f t="shared" si="127"/>
        <v>0</v>
      </c>
      <c r="AW274" s="2208">
        <f t="shared" si="128"/>
        <v>0</v>
      </c>
      <c r="AX274" s="2208">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3"/>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08">
        <f t="shared" si="127"/>
        <v>0</v>
      </c>
      <c r="AW275" s="2208">
        <f t="shared" si="128"/>
        <v>0</v>
      </c>
      <c r="AX275" s="2208">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3"/>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08">
        <f t="shared" si="127"/>
        <v>0</v>
      </c>
      <c r="AW276" s="2208">
        <f t="shared" si="128"/>
        <v>0</v>
      </c>
      <c r="AX276" s="2208">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3"/>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08">
        <f t="shared" si="127"/>
        <v>0</v>
      </c>
      <c r="AW277" s="2208">
        <f t="shared" si="128"/>
        <v>0</v>
      </c>
      <c r="AX277" s="2208">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3"/>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08">
        <f t="shared" si="127"/>
        <v>0</v>
      </c>
      <c r="AW278" s="2208">
        <f t="shared" si="128"/>
        <v>0</v>
      </c>
      <c r="AX278" s="2208">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3"/>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08">
        <f t="shared" si="127"/>
        <v>0</v>
      </c>
      <c r="AW279" s="2208">
        <f t="shared" si="128"/>
        <v>0</v>
      </c>
      <c r="AX279" s="2208">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3"/>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08">
        <f t="shared" si="127"/>
        <v>0</v>
      </c>
      <c r="AW280" s="2208">
        <f t="shared" si="128"/>
        <v>0</v>
      </c>
      <c r="AX280" s="2208">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3"/>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08">
        <f t="shared" si="127"/>
        <v>0</v>
      </c>
      <c r="AW281" s="2208">
        <f t="shared" si="128"/>
        <v>0</v>
      </c>
      <c r="AX281" s="2208">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3"/>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08">
        <f t="shared" si="127"/>
        <v>0</v>
      </c>
      <c r="AW282" s="2208">
        <f t="shared" si="128"/>
        <v>0</v>
      </c>
      <c r="AX282" s="2208">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3"/>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08">
        <f t="shared" si="127"/>
        <v>0</v>
      </c>
      <c r="AW283" s="2208">
        <f t="shared" si="128"/>
        <v>0</v>
      </c>
      <c r="AX283" s="2208">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3"/>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08">
        <f t="shared" si="127"/>
        <v>0</v>
      </c>
      <c r="AW284" s="2208">
        <f t="shared" si="128"/>
        <v>0</v>
      </c>
      <c r="AX284" s="2208">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3"/>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08">
        <f t="shared" si="127"/>
        <v>0</v>
      </c>
      <c r="AW285" s="2208">
        <f t="shared" si="128"/>
        <v>0</v>
      </c>
      <c r="AX285" s="2208">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3"/>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08">
        <f t="shared" si="127"/>
        <v>0</v>
      </c>
      <c r="AW286" s="2208">
        <f t="shared" si="128"/>
        <v>0</v>
      </c>
      <c r="AX286" s="2208">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3"/>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08">
        <f t="shared" si="127"/>
        <v>0</v>
      </c>
      <c r="AW287" s="2208">
        <f t="shared" si="128"/>
        <v>0</v>
      </c>
      <c r="AX287" s="2208">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3"/>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08">
        <f t="shared" si="127"/>
        <v>0</v>
      </c>
      <c r="AW288" s="2208">
        <f t="shared" si="128"/>
        <v>0</v>
      </c>
      <c r="AX288" s="2208">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3"/>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08">
        <f t="shared" si="127"/>
        <v>0</v>
      </c>
      <c r="AW289" s="2208">
        <f t="shared" si="128"/>
        <v>0</v>
      </c>
      <c r="AX289" s="2208">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3"/>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08">
        <f t="shared" si="127"/>
        <v>0</v>
      </c>
      <c r="AW290" s="2208">
        <f t="shared" si="128"/>
        <v>0</v>
      </c>
      <c r="AX290" s="2208">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3"/>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08">
        <f t="shared" si="127"/>
        <v>0</v>
      </c>
      <c r="AW291" s="2208">
        <f t="shared" si="128"/>
        <v>0</v>
      </c>
      <c r="AX291" s="2208">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3"/>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08">
        <f t="shared" si="127"/>
        <v>0</v>
      </c>
      <c r="AW292" s="2208">
        <f t="shared" si="128"/>
        <v>0</v>
      </c>
      <c r="AX292" s="2208">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3"/>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08">
        <f t="shared" si="127"/>
        <v>0</v>
      </c>
      <c r="AW293" s="2208">
        <f t="shared" si="128"/>
        <v>0</v>
      </c>
      <c r="AX293" s="2208">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3"/>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08">
        <f t="shared" si="127"/>
        <v>0</v>
      </c>
      <c r="AW294" s="2208">
        <f t="shared" si="128"/>
        <v>0</v>
      </c>
      <c r="AX294" s="2208">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3"/>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08">
        <f t="shared" si="127"/>
        <v>0</v>
      </c>
      <c r="AW295" s="2208">
        <f t="shared" si="128"/>
        <v>0</v>
      </c>
      <c r="AX295" s="2208">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3"/>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08">
        <f t="shared" si="127"/>
        <v>0</v>
      </c>
      <c r="AW296" s="2208">
        <f t="shared" si="128"/>
        <v>0</v>
      </c>
      <c r="AX296" s="2208">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3"/>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08">
        <f t="shared" si="127"/>
        <v>0</v>
      </c>
      <c r="AW297" s="2208">
        <f t="shared" si="128"/>
        <v>0</v>
      </c>
      <c r="AX297" s="2208">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3"/>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08">
        <f t="shared" si="127"/>
        <v>0</v>
      </c>
      <c r="AW298" s="2208">
        <f t="shared" si="128"/>
        <v>0</v>
      </c>
      <c r="AX298" s="2208">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3"/>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08">
        <f t="shared" si="127"/>
        <v>0</v>
      </c>
      <c r="AW299" s="2208">
        <f t="shared" si="128"/>
        <v>0</v>
      </c>
      <c r="AX299" s="2208">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3"/>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08">
        <f t="shared" si="127"/>
        <v>0</v>
      </c>
      <c r="AW300" s="2208">
        <f t="shared" si="128"/>
        <v>0</v>
      </c>
      <c r="AX300" s="2208">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3"/>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08">
        <f t="shared" si="127"/>
        <v>0</v>
      </c>
      <c r="AW301" s="2208">
        <f t="shared" si="128"/>
        <v>0</v>
      </c>
      <c r="AX301" s="2208">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3"/>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08">
        <f t="shared" si="127"/>
        <v>0</v>
      </c>
      <c r="AW302" s="2208">
        <f t="shared" si="128"/>
        <v>0</v>
      </c>
      <c r="AX302" s="2208">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3"/>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08">
        <f t="shared" ref="AV303:AV334" si="178">A303</f>
        <v>0</v>
      </c>
      <c r="AW303" s="2208">
        <f t="shared" ref="AW303:AW334" si="179">B303</f>
        <v>0</v>
      </c>
      <c r="AX303" s="2208">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3"/>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08">
        <f t="shared" si="178"/>
        <v>0</v>
      </c>
      <c r="AW304" s="2208">
        <f t="shared" si="179"/>
        <v>0</v>
      </c>
      <c r="AX304" s="2208">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3"/>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08">
        <f t="shared" si="178"/>
        <v>0</v>
      </c>
      <c r="AW305" s="2208">
        <f t="shared" si="179"/>
        <v>0</v>
      </c>
      <c r="AX305" s="2208">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3"/>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08">
        <f t="shared" si="178"/>
        <v>0</v>
      </c>
      <c r="AW306" s="2208">
        <f t="shared" si="179"/>
        <v>0</v>
      </c>
      <c r="AX306" s="2208">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3"/>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08">
        <f t="shared" si="178"/>
        <v>0</v>
      </c>
      <c r="AW307" s="2208">
        <f t="shared" si="179"/>
        <v>0</v>
      </c>
      <c r="AX307" s="2208">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3"/>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08">
        <f t="shared" si="178"/>
        <v>0</v>
      </c>
      <c r="AW308" s="2208">
        <f t="shared" si="179"/>
        <v>0</v>
      </c>
      <c r="AX308" s="2208">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3"/>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08">
        <f t="shared" si="178"/>
        <v>0</v>
      </c>
      <c r="AW309" s="2208">
        <f t="shared" si="179"/>
        <v>0</v>
      </c>
      <c r="AX309" s="2208">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3"/>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08">
        <f t="shared" si="178"/>
        <v>0</v>
      </c>
      <c r="AW310" s="2208">
        <f t="shared" si="179"/>
        <v>0</v>
      </c>
      <c r="AX310" s="2208">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3"/>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08">
        <f t="shared" si="178"/>
        <v>0</v>
      </c>
      <c r="AW311" s="2208">
        <f t="shared" si="179"/>
        <v>0</v>
      </c>
      <c r="AX311" s="2208">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3"/>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08">
        <f t="shared" si="178"/>
        <v>0</v>
      </c>
      <c r="AW312" s="2208">
        <f t="shared" si="179"/>
        <v>0</v>
      </c>
      <c r="AX312" s="2208">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3"/>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08">
        <f t="shared" si="178"/>
        <v>0</v>
      </c>
      <c r="AW313" s="2208">
        <f t="shared" si="179"/>
        <v>0</v>
      </c>
      <c r="AX313" s="2208">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3"/>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08">
        <f t="shared" si="178"/>
        <v>0</v>
      </c>
      <c r="AW314" s="2208">
        <f t="shared" si="179"/>
        <v>0</v>
      </c>
      <c r="AX314" s="2208">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3"/>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08">
        <f t="shared" si="178"/>
        <v>0</v>
      </c>
      <c r="AW315" s="2208">
        <f t="shared" si="179"/>
        <v>0</v>
      </c>
      <c r="AX315" s="2208">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3"/>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08">
        <f t="shared" si="178"/>
        <v>0</v>
      </c>
      <c r="AW316" s="2208">
        <f t="shared" si="179"/>
        <v>0</v>
      </c>
      <c r="AX316" s="2208">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3"/>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08">
        <f t="shared" si="178"/>
        <v>0</v>
      </c>
      <c r="AW317" s="2208">
        <f t="shared" si="179"/>
        <v>0</v>
      </c>
      <c r="AX317" s="2208">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3"/>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08">
        <f t="shared" si="178"/>
        <v>0</v>
      </c>
      <c r="AW318" s="2208">
        <f t="shared" si="179"/>
        <v>0</v>
      </c>
      <c r="AX318" s="2208">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3"/>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08">
        <f t="shared" si="178"/>
        <v>0</v>
      </c>
      <c r="AW319" s="2208">
        <f t="shared" si="179"/>
        <v>0</v>
      </c>
      <c r="AX319" s="2208">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3"/>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08">
        <f t="shared" si="178"/>
        <v>0</v>
      </c>
      <c r="AW320" s="2208">
        <f t="shared" si="179"/>
        <v>0</v>
      </c>
      <c r="AX320" s="2208">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3"/>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08">
        <f t="shared" si="178"/>
        <v>0</v>
      </c>
      <c r="AW321" s="2208">
        <f t="shared" si="179"/>
        <v>0</v>
      </c>
      <c r="AX321" s="2208">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3"/>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08">
        <f t="shared" si="178"/>
        <v>0</v>
      </c>
      <c r="AW322" s="2208">
        <f t="shared" si="179"/>
        <v>0</v>
      </c>
      <c r="AX322" s="2208">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3"/>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08">
        <f t="shared" si="178"/>
        <v>0</v>
      </c>
      <c r="AW323" s="2208">
        <f t="shared" si="179"/>
        <v>0</v>
      </c>
      <c r="AX323" s="2208">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3"/>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08">
        <f t="shared" si="178"/>
        <v>0</v>
      </c>
      <c r="AW324" s="2208">
        <f t="shared" si="179"/>
        <v>0</v>
      </c>
      <c r="AX324" s="2208">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3"/>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08">
        <f t="shared" si="178"/>
        <v>0</v>
      </c>
      <c r="AW325" s="2208">
        <f t="shared" si="179"/>
        <v>0</v>
      </c>
      <c r="AX325" s="2208">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3"/>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08">
        <f t="shared" si="178"/>
        <v>0</v>
      </c>
      <c r="AW326" s="2208">
        <f t="shared" si="179"/>
        <v>0</v>
      </c>
      <c r="AX326" s="2208">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3"/>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08">
        <f t="shared" si="178"/>
        <v>0</v>
      </c>
      <c r="AW327" s="2208">
        <f t="shared" si="179"/>
        <v>0</v>
      </c>
      <c r="AX327" s="2208">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3"/>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08">
        <f t="shared" si="178"/>
        <v>0</v>
      </c>
      <c r="AW328" s="2208">
        <f t="shared" si="179"/>
        <v>0</v>
      </c>
      <c r="AX328" s="2208">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3"/>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08">
        <f t="shared" si="178"/>
        <v>0</v>
      </c>
      <c r="AW329" s="2208">
        <f t="shared" si="179"/>
        <v>0</v>
      </c>
      <c r="AX329" s="2208">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3"/>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08">
        <f t="shared" si="178"/>
        <v>0</v>
      </c>
      <c r="AW330" s="2208">
        <f t="shared" si="179"/>
        <v>0</v>
      </c>
      <c r="AX330" s="2208">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3"/>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08">
        <f t="shared" si="178"/>
        <v>0</v>
      </c>
      <c r="AW331" s="2208">
        <f t="shared" si="179"/>
        <v>0</v>
      </c>
      <c r="AX331" s="2208">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3"/>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08">
        <f t="shared" si="178"/>
        <v>0</v>
      </c>
      <c r="AW332" s="2208">
        <f t="shared" si="179"/>
        <v>0</v>
      </c>
      <c r="AX332" s="2208">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3"/>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08">
        <f t="shared" si="178"/>
        <v>0</v>
      </c>
      <c r="AW333" s="2208">
        <f t="shared" si="179"/>
        <v>0</v>
      </c>
      <c r="AX333" s="2208">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3"/>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08">
        <f t="shared" si="178"/>
        <v>0</v>
      </c>
      <c r="AW334" s="2208">
        <f t="shared" si="179"/>
        <v>0</v>
      </c>
      <c r="AX334" s="2208">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3"/>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08">
        <f t="shared" ref="AV335:AV366" si="207">A335</f>
        <v>0</v>
      </c>
      <c r="AW335" s="2208">
        <f t="shared" ref="AW335:AW366" si="208">B335</f>
        <v>0</v>
      </c>
      <c r="AX335" s="2208">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3"/>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08">
        <f t="shared" si="207"/>
        <v>0</v>
      </c>
      <c r="AW336" s="2208">
        <f t="shared" si="208"/>
        <v>0</v>
      </c>
      <c r="AX336" s="2208">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3"/>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08">
        <f t="shared" si="207"/>
        <v>0</v>
      </c>
      <c r="AW337" s="2208">
        <f t="shared" si="208"/>
        <v>0</v>
      </c>
      <c r="AX337" s="2208">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3"/>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08">
        <f t="shared" si="207"/>
        <v>0</v>
      </c>
      <c r="AW338" s="2208">
        <f t="shared" si="208"/>
        <v>0</v>
      </c>
      <c r="AX338" s="2208">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3"/>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08">
        <f t="shared" si="207"/>
        <v>0</v>
      </c>
      <c r="AW339" s="2208">
        <f t="shared" si="208"/>
        <v>0</v>
      </c>
      <c r="AX339" s="2208">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3"/>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08">
        <f t="shared" si="207"/>
        <v>0</v>
      </c>
      <c r="AW340" s="2208">
        <f t="shared" si="208"/>
        <v>0</v>
      </c>
      <c r="AX340" s="2208">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3"/>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08">
        <f t="shared" si="207"/>
        <v>0</v>
      </c>
      <c r="AW341" s="2208">
        <f t="shared" si="208"/>
        <v>0</v>
      </c>
      <c r="AX341" s="2208">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3"/>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08">
        <f t="shared" si="207"/>
        <v>0</v>
      </c>
      <c r="AW342" s="2208">
        <f t="shared" si="208"/>
        <v>0</v>
      </c>
      <c r="AX342" s="2208">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3"/>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08">
        <f t="shared" si="207"/>
        <v>0</v>
      </c>
      <c r="AW343" s="2208">
        <f t="shared" si="208"/>
        <v>0</v>
      </c>
      <c r="AX343" s="2208">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3"/>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08">
        <f t="shared" si="207"/>
        <v>0</v>
      </c>
      <c r="AW344" s="2208">
        <f t="shared" si="208"/>
        <v>0</v>
      </c>
      <c r="AX344" s="2208">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3"/>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08">
        <f t="shared" si="207"/>
        <v>0</v>
      </c>
      <c r="AW345" s="2208">
        <f t="shared" si="208"/>
        <v>0</v>
      </c>
      <c r="AX345" s="2208">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3"/>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08">
        <f t="shared" si="207"/>
        <v>0</v>
      </c>
      <c r="AW346" s="2208">
        <f t="shared" si="208"/>
        <v>0</v>
      </c>
      <c r="AX346" s="2208">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3"/>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08">
        <f t="shared" si="207"/>
        <v>0</v>
      </c>
      <c r="AW347" s="2208">
        <f t="shared" si="208"/>
        <v>0</v>
      </c>
      <c r="AX347" s="2208">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3"/>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08">
        <f t="shared" si="207"/>
        <v>0</v>
      </c>
      <c r="AW348" s="2208">
        <f t="shared" si="208"/>
        <v>0</v>
      </c>
      <c r="AX348" s="2208">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3"/>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08">
        <f t="shared" si="207"/>
        <v>0</v>
      </c>
      <c r="AW349" s="2208">
        <f t="shared" si="208"/>
        <v>0</v>
      </c>
      <c r="AX349" s="2208">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3"/>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08">
        <f t="shared" si="207"/>
        <v>0</v>
      </c>
      <c r="AW350" s="2208">
        <f t="shared" si="208"/>
        <v>0</v>
      </c>
      <c r="AX350" s="2208">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3"/>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08">
        <f t="shared" si="207"/>
        <v>0</v>
      </c>
      <c r="AW351" s="2208">
        <f t="shared" si="208"/>
        <v>0</v>
      </c>
      <c r="AX351" s="2208">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3"/>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08">
        <f t="shared" si="207"/>
        <v>0</v>
      </c>
      <c r="AW352" s="2208">
        <f t="shared" si="208"/>
        <v>0</v>
      </c>
      <c r="AX352" s="2208">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3"/>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08">
        <f t="shared" si="207"/>
        <v>0</v>
      </c>
      <c r="AW353" s="2208">
        <f t="shared" si="208"/>
        <v>0</v>
      </c>
      <c r="AX353" s="2208">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3"/>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08">
        <f t="shared" si="207"/>
        <v>0</v>
      </c>
      <c r="AW354" s="2208">
        <f t="shared" si="208"/>
        <v>0</v>
      </c>
      <c r="AX354" s="2208">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3"/>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08">
        <f t="shared" si="207"/>
        <v>0</v>
      </c>
      <c r="AW355" s="2208">
        <f t="shared" si="208"/>
        <v>0</v>
      </c>
      <c r="AX355" s="2208">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3"/>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08">
        <f t="shared" si="207"/>
        <v>0</v>
      </c>
      <c r="AW356" s="2208">
        <f t="shared" si="208"/>
        <v>0</v>
      </c>
      <c r="AX356" s="2208">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3"/>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08">
        <f t="shared" si="207"/>
        <v>0</v>
      </c>
      <c r="AW357" s="2208">
        <f t="shared" si="208"/>
        <v>0</v>
      </c>
      <c r="AX357" s="2208">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3"/>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08">
        <f t="shared" si="207"/>
        <v>0</v>
      </c>
      <c r="AW358" s="2208">
        <f t="shared" si="208"/>
        <v>0</v>
      </c>
      <c r="AX358" s="2208">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3"/>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08">
        <f t="shared" si="207"/>
        <v>0</v>
      </c>
      <c r="AW359" s="2208">
        <f t="shared" si="208"/>
        <v>0</v>
      </c>
      <c r="AX359" s="2208">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3"/>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08">
        <f t="shared" si="207"/>
        <v>0</v>
      </c>
      <c r="AW360" s="2208">
        <f t="shared" si="208"/>
        <v>0</v>
      </c>
      <c r="AX360" s="2208">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3"/>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08">
        <f t="shared" si="207"/>
        <v>0</v>
      </c>
      <c r="AW361" s="2208">
        <f t="shared" si="208"/>
        <v>0</v>
      </c>
      <c r="AX361" s="2208">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3"/>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08">
        <f t="shared" si="207"/>
        <v>0</v>
      </c>
      <c r="AW362" s="2208">
        <f t="shared" si="208"/>
        <v>0</v>
      </c>
      <c r="AX362" s="2208">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3"/>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08">
        <f t="shared" si="207"/>
        <v>0</v>
      </c>
      <c r="AW363" s="2208">
        <f t="shared" si="208"/>
        <v>0</v>
      </c>
      <c r="AX363" s="2208">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3"/>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08">
        <f t="shared" si="207"/>
        <v>0</v>
      </c>
      <c r="AW364" s="2208">
        <f t="shared" si="208"/>
        <v>0</v>
      </c>
      <c r="AX364" s="2208">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3"/>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08">
        <f t="shared" si="207"/>
        <v>0</v>
      </c>
      <c r="AW365" s="2208">
        <f t="shared" si="208"/>
        <v>0</v>
      </c>
      <c r="AX365" s="2208">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3"/>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08">
        <f t="shared" si="207"/>
        <v>0</v>
      </c>
      <c r="AW366" s="2208">
        <f t="shared" si="208"/>
        <v>0</v>
      </c>
      <c r="AX366" s="2208">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3"/>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08">
        <f t="shared" ref="AV367:AV397" si="236">A367</f>
        <v>0</v>
      </c>
      <c r="AW367" s="2208">
        <f t="shared" ref="AW367:AW397" si="237">B367</f>
        <v>0</v>
      </c>
      <c r="AX367" s="2208">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3"/>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08">
        <f t="shared" si="236"/>
        <v>0</v>
      </c>
      <c r="AW368" s="2208">
        <f t="shared" si="237"/>
        <v>0</v>
      </c>
      <c r="AX368" s="2208">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3"/>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08">
        <f t="shared" si="236"/>
        <v>0</v>
      </c>
      <c r="AW369" s="2208">
        <f t="shared" si="237"/>
        <v>0</v>
      </c>
      <c r="AX369" s="2208">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3"/>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08">
        <f t="shared" si="236"/>
        <v>0</v>
      </c>
      <c r="AW370" s="2208">
        <f t="shared" si="237"/>
        <v>0</v>
      </c>
      <c r="AX370" s="2208">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3"/>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08">
        <f t="shared" si="236"/>
        <v>0</v>
      </c>
      <c r="AW371" s="2208">
        <f t="shared" si="237"/>
        <v>0</v>
      </c>
      <c r="AX371" s="2208">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3"/>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08">
        <f t="shared" si="236"/>
        <v>0</v>
      </c>
      <c r="AW372" s="2208">
        <f t="shared" si="237"/>
        <v>0</v>
      </c>
      <c r="AX372" s="2208">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3"/>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08">
        <f t="shared" si="236"/>
        <v>0</v>
      </c>
      <c r="AW373" s="2208">
        <f t="shared" si="237"/>
        <v>0</v>
      </c>
      <c r="AX373" s="2208">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3"/>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08">
        <f t="shared" si="236"/>
        <v>0</v>
      </c>
      <c r="AW374" s="2208">
        <f t="shared" si="237"/>
        <v>0</v>
      </c>
      <c r="AX374" s="2208">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3"/>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08">
        <f t="shared" si="236"/>
        <v>0</v>
      </c>
      <c r="AW375" s="2208">
        <f t="shared" si="237"/>
        <v>0</v>
      </c>
      <c r="AX375" s="2208">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3"/>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08">
        <f t="shared" si="236"/>
        <v>0</v>
      </c>
      <c r="AW376" s="2208">
        <f t="shared" si="237"/>
        <v>0</v>
      </c>
      <c r="AX376" s="2208">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3"/>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08">
        <f t="shared" si="236"/>
        <v>0</v>
      </c>
      <c r="AW377" s="2208">
        <f t="shared" si="237"/>
        <v>0</v>
      </c>
      <c r="AX377" s="2208">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3"/>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08">
        <f t="shared" si="236"/>
        <v>0</v>
      </c>
      <c r="AW378" s="2208">
        <f t="shared" si="237"/>
        <v>0</v>
      </c>
      <c r="AX378" s="2208">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3"/>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08">
        <f t="shared" si="236"/>
        <v>0</v>
      </c>
      <c r="AW379" s="2208">
        <f t="shared" si="237"/>
        <v>0</v>
      </c>
      <c r="AX379" s="2208">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3"/>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08">
        <f t="shared" si="236"/>
        <v>0</v>
      </c>
      <c r="AW380" s="2208">
        <f t="shared" si="237"/>
        <v>0</v>
      </c>
      <c r="AX380" s="2208">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3"/>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08">
        <f t="shared" si="236"/>
        <v>0</v>
      </c>
      <c r="AW381" s="2208">
        <f t="shared" si="237"/>
        <v>0</v>
      </c>
      <c r="AX381" s="2208">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3"/>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08">
        <f t="shared" si="236"/>
        <v>0</v>
      </c>
      <c r="AW382" s="2208">
        <f t="shared" si="237"/>
        <v>0</v>
      </c>
      <c r="AX382" s="2208">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3"/>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08">
        <f t="shared" si="236"/>
        <v>0</v>
      </c>
      <c r="AW383" s="2208">
        <f t="shared" si="237"/>
        <v>0</v>
      </c>
      <c r="AX383" s="2208">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3"/>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08">
        <f t="shared" si="236"/>
        <v>0</v>
      </c>
      <c r="AW384" s="2208">
        <f t="shared" si="237"/>
        <v>0</v>
      </c>
      <c r="AX384" s="2208">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3"/>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08">
        <f t="shared" si="236"/>
        <v>0</v>
      </c>
      <c r="AW385" s="2208">
        <f t="shared" si="237"/>
        <v>0</v>
      </c>
      <c r="AX385" s="2208">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3"/>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08">
        <f t="shared" si="236"/>
        <v>0</v>
      </c>
      <c r="AW386" s="2208">
        <f t="shared" si="237"/>
        <v>0</v>
      </c>
      <c r="AX386" s="2208">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3"/>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08">
        <f t="shared" si="236"/>
        <v>0</v>
      </c>
      <c r="AW387" s="2208">
        <f t="shared" si="237"/>
        <v>0</v>
      </c>
      <c r="AX387" s="2208">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3"/>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08">
        <f t="shared" si="236"/>
        <v>0</v>
      </c>
      <c r="AW388" s="2208">
        <f t="shared" si="237"/>
        <v>0</v>
      </c>
      <c r="AX388" s="2208">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3"/>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08">
        <f t="shared" si="236"/>
        <v>0</v>
      </c>
      <c r="AW389" s="2208">
        <f t="shared" si="237"/>
        <v>0</v>
      </c>
      <c r="AX389" s="2208">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3"/>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08">
        <f t="shared" si="236"/>
        <v>0</v>
      </c>
      <c r="AW390" s="2208">
        <f t="shared" si="237"/>
        <v>0</v>
      </c>
      <c r="AX390" s="2208">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3"/>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08">
        <f t="shared" si="236"/>
        <v>0</v>
      </c>
      <c r="AW391" s="2208">
        <f t="shared" si="237"/>
        <v>0</v>
      </c>
      <c r="AX391" s="2208">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3"/>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08">
        <f t="shared" si="236"/>
        <v>0</v>
      </c>
      <c r="AW392" s="2208">
        <f t="shared" si="237"/>
        <v>0</v>
      </c>
      <c r="AX392" s="2208">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3"/>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08">
        <f t="shared" si="236"/>
        <v>0</v>
      </c>
      <c r="AW393" s="2208">
        <f t="shared" si="237"/>
        <v>0</v>
      </c>
      <c r="AX393" s="2208">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3"/>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08">
        <f t="shared" si="236"/>
        <v>0</v>
      </c>
      <c r="AW394" s="2208">
        <f t="shared" si="237"/>
        <v>0</v>
      </c>
      <c r="AX394" s="2208">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3"/>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08">
        <f t="shared" si="236"/>
        <v>0</v>
      </c>
      <c r="AW395" s="2208">
        <f t="shared" si="237"/>
        <v>0</v>
      </c>
      <c r="AX395" s="2208">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3"/>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08">
        <f t="shared" si="236"/>
        <v>0</v>
      </c>
      <c r="AW396" s="2208">
        <f t="shared" si="237"/>
        <v>0</v>
      </c>
      <c r="AX396" s="2208">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3"/>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08">
        <f t="shared" si="236"/>
        <v>0</v>
      </c>
      <c r="AW397" s="2208">
        <f t="shared" si="237"/>
        <v>0</v>
      </c>
      <c r="AX397" s="2208">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3"/>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08">
        <f t="shared" ref="AV398:AV492" si="243">A398</f>
        <v>0</v>
      </c>
      <c r="AW398" s="2208">
        <f t="shared" ref="AW398:AW492" si="244">B398</f>
        <v>0</v>
      </c>
      <c r="AX398" s="2208">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3"/>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08">
        <f t="shared" si="243"/>
        <v>0</v>
      </c>
      <c r="AW399" s="2208">
        <f t="shared" si="244"/>
        <v>0</v>
      </c>
      <c r="AX399" s="2208">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3"/>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08">
        <f t="shared" si="243"/>
        <v>0</v>
      </c>
      <c r="AW400" s="2208">
        <f t="shared" si="244"/>
        <v>0</v>
      </c>
      <c r="AX400" s="2208">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3"/>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08">
        <f t="shared" si="243"/>
        <v>0</v>
      </c>
      <c r="AW401" s="2208">
        <f t="shared" si="244"/>
        <v>0</v>
      </c>
      <c r="AX401" s="2208">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3"/>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08">
        <f t="shared" si="243"/>
        <v>0</v>
      </c>
      <c r="AW402" s="2208">
        <f t="shared" si="244"/>
        <v>0</v>
      </c>
      <c r="AX402" s="2208">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3"/>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08">
        <f t="shared" si="243"/>
        <v>0</v>
      </c>
      <c r="AW403" s="2208">
        <f t="shared" si="244"/>
        <v>0</v>
      </c>
      <c r="AX403" s="2208">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3"/>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08">
        <f t="shared" si="243"/>
        <v>0</v>
      </c>
      <c r="AW404" s="2208">
        <f t="shared" si="244"/>
        <v>0</v>
      </c>
      <c r="AX404" s="2208">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3"/>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08">
        <f t="shared" si="243"/>
        <v>0</v>
      </c>
      <c r="AW405" s="2208">
        <f t="shared" si="244"/>
        <v>0</v>
      </c>
      <c r="AX405" s="2208">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3"/>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08">
        <f t="shared" si="243"/>
        <v>0</v>
      </c>
      <c r="AW406" s="2208">
        <f t="shared" si="244"/>
        <v>0</v>
      </c>
      <c r="AX406" s="2208">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3"/>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08">
        <f t="shared" si="243"/>
        <v>0</v>
      </c>
      <c r="AW407" s="2208">
        <f t="shared" si="244"/>
        <v>0</v>
      </c>
      <c r="AX407" s="2208">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3"/>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08">
        <f t="shared" si="243"/>
        <v>0</v>
      </c>
      <c r="AW408" s="2208">
        <f t="shared" si="244"/>
        <v>0</v>
      </c>
      <c r="AX408" s="2208">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3"/>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08">
        <f t="shared" si="243"/>
        <v>0</v>
      </c>
      <c r="AW409" s="2208">
        <f t="shared" si="244"/>
        <v>0</v>
      </c>
      <c r="AX409" s="2208">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3"/>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08">
        <f t="shared" si="243"/>
        <v>0</v>
      </c>
      <c r="AW410" s="2208">
        <f t="shared" si="244"/>
        <v>0</v>
      </c>
      <c r="AX410" s="2208">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3"/>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08">
        <f t="shared" si="243"/>
        <v>0</v>
      </c>
      <c r="AW411" s="2208">
        <f t="shared" si="244"/>
        <v>0</v>
      </c>
      <c r="AX411" s="2208">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3"/>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08">
        <f t="shared" si="243"/>
        <v>0</v>
      </c>
      <c r="AW412" s="2208">
        <f t="shared" si="244"/>
        <v>0</v>
      </c>
      <c r="AX412" s="2208">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3"/>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08">
        <f t="shared" si="243"/>
        <v>0</v>
      </c>
      <c r="AW413" s="2208">
        <f t="shared" si="244"/>
        <v>0</v>
      </c>
      <c r="AX413" s="2208">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3"/>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08">
        <f t="shared" si="243"/>
        <v>0</v>
      </c>
      <c r="AW414" s="2208">
        <f t="shared" si="244"/>
        <v>0</v>
      </c>
      <c r="AX414" s="2208">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3"/>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08">
        <f t="shared" si="243"/>
        <v>0</v>
      </c>
      <c r="AW415" s="2208">
        <f t="shared" si="244"/>
        <v>0</v>
      </c>
      <c r="AX415" s="2208">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3"/>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08">
        <f t="shared" si="243"/>
        <v>0</v>
      </c>
      <c r="AW416" s="2208">
        <f t="shared" si="244"/>
        <v>0</v>
      </c>
      <c r="AX416" s="2208">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3"/>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08">
        <f t="shared" si="243"/>
        <v>0</v>
      </c>
      <c r="AW417" s="2208">
        <f t="shared" si="244"/>
        <v>0</v>
      </c>
      <c r="AX417" s="2208">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3"/>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08">
        <f t="shared" si="243"/>
        <v>0</v>
      </c>
      <c r="AW418" s="2208">
        <f t="shared" si="244"/>
        <v>0</v>
      </c>
      <c r="AX418" s="2208">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3"/>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08">
        <f t="shared" si="243"/>
        <v>0</v>
      </c>
      <c r="AW419" s="2208">
        <f t="shared" si="244"/>
        <v>0</v>
      </c>
      <c r="AX419" s="2208">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3"/>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08">
        <f t="shared" si="243"/>
        <v>0</v>
      </c>
      <c r="AW420" s="2208">
        <f t="shared" si="244"/>
        <v>0</v>
      </c>
      <c r="AX420" s="2208">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3"/>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08">
        <f t="shared" si="243"/>
        <v>0</v>
      </c>
      <c r="AW421" s="2208">
        <f t="shared" si="244"/>
        <v>0</v>
      </c>
      <c r="AX421" s="2208">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3"/>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08">
        <f t="shared" si="243"/>
        <v>0</v>
      </c>
      <c r="AW422" s="2208">
        <f t="shared" si="244"/>
        <v>0</v>
      </c>
      <c r="AX422" s="2208">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3"/>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08">
        <f t="shared" si="243"/>
        <v>0</v>
      </c>
      <c r="AW423" s="2208">
        <f t="shared" si="244"/>
        <v>0</v>
      </c>
      <c r="AX423" s="2208">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3"/>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08">
        <f t="shared" si="243"/>
        <v>0</v>
      </c>
      <c r="AW424" s="2208">
        <f t="shared" si="244"/>
        <v>0</v>
      </c>
      <c r="AX424" s="2208">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3"/>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08">
        <f t="shared" si="243"/>
        <v>0</v>
      </c>
      <c r="AW425" s="2208">
        <f t="shared" si="244"/>
        <v>0</v>
      </c>
      <c r="AX425" s="2208">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3"/>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08">
        <f t="shared" si="243"/>
        <v>0</v>
      </c>
      <c r="AW426" s="2208">
        <f t="shared" si="244"/>
        <v>0</v>
      </c>
      <c r="AX426" s="2208">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3"/>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08">
        <f t="shared" si="243"/>
        <v>0</v>
      </c>
      <c r="AW427" s="2208">
        <f t="shared" si="244"/>
        <v>0</v>
      </c>
      <c r="AX427" s="2208">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3"/>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08">
        <f t="shared" si="243"/>
        <v>0</v>
      </c>
      <c r="AW428" s="2208">
        <f t="shared" si="244"/>
        <v>0</v>
      </c>
      <c r="AX428" s="2208">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3"/>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08">
        <f t="shared" si="243"/>
        <v>0</v>
      </c>
      <c r="AW429" s="2208">
        <f t="shared" si="244"/>
        <v>0</v>
      </c>
      <c r="AX429" s="2208">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3"/>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08">
        <f t="shared" si="243"/>
        <v>0</v>
      </c>
      <c r="AW430" s="2208">
        <f t="shared" si="244"/>
        <v>0</v>
      </c>
      <c r="AX430" s="2208">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3"/>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08">
        <f t="shared" si="243"/>
        <v>0</v>
      </c>
      <c r="AW431" s="2208">
        <f t="shared" si="244"/>
        <v>0</v>
      </c>
      <c r="AX431" s="2208">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3"/>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08">
        <f t="shared" si="243"/>
        <v>0</v>
      </c>
      <c r="AW432" s="2208">
        <f t="shared" si="244"/>
        <v>0</v>
      </c>
      <c r="AX432" s="2208">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3"/>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08">
        <f t="shared" si="243"/>
        <v>0</v>
      </c>
      <c r="AW433" s="2208">
        <f t="shared" si="244"/>
        <v>0</v>
      </c>
      <c r="AX433" s="2208">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3"/>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08">
        <f t="shared" si="243"/>
        <v>0</v>
      </c>
      <c r="AW434" s="2208">
        <f t="shared" si="244"/>
        <v>0</v>
      </c>
      <c r="AX434" s="2208">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3"/>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08">
        <f t="shared" si="243"/>
        <v>0</v>
      </c>
      <c r="AW435" s="2208">
        <f t="shared" si="244"/>
        <v>0</v>
      </c>
      <c r="AX435" s="2208">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3"/>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08">
        <f t="shared" si="243"/>
        <v>0</v>
      </c>
      <c r="AW436" s="2208">
        <f t="shared" si="244"/>
        <v>0</v>
      </c>
      <c r="AX436" s="2208">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3"/>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08">
        <f t="shared" si="243"/>
        <v>0</v>
      </c>
      <c r="AW437" s="2208">
        <f t="shared" si="244"/>
        <v>0</v>
      </c>
      <c r="AX437" s="2208">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3"/>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08">
        <f t="shared" si="243"/>
        <v>0</v>
      </c>
      <c r="AW438" s="2208">
        <f t="shared" si="244"/>
        <v>0</v>
      </c>
      <c r="AX438" s="2208">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3"/>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08">
        <f t="shared" si="243"/>
        <v>0</v>
      </c>
      <c r="AW439" s="2208">
        <f t="shared" si="244"/>
        <v>0</v>
      </c>
      <c r="AX439" s="2208">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3"/>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08">
        <f t="shared" si="243"/>
        <v>0</v>
      </c>
      <c r="AW440" s="2208">
        <f t="shared" si="244"/>
        <v>0</v>
      </c>
      <c r="AX440" s="2208">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3"/>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08">
        <f t="shared" si="243"/>
        <v>0</v>
      </c>
      <c r="AW441" s="2208">
        <f t="shared" si="244"/>
        <v>0</v>
      </c>
      <c r="AX441" s="2208">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3"/>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08">
        <f t="shared" si="243"/>
        <v>0</v>
      </c>
      <c r="AW442" s="2208">
        <f t="shared" si="244"/>
        <v>0</v>
      </c>
      <c r="AX442" s="2208">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3"/>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08">
        <f t="shared" si="243"/>
        <v>0</v>
      </c>
      <c r="AW443" s="2208">
        <f t="shared" si="244"/>
        <v>0</v>
      </c>
      <c r="AX443" s="2208">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3"/>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08">
        <f t="shared" si="243"/>
        <v>0</v>
      </c>
      <c r="AW444" s="2208">
        <f t="shared" si="244"/>
        <v>0</v>
      </c>
      <c r="AX444" s="2208">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3"/>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08">
        <f t="shared" si="243"/>
        <v>0</v>
      </c>
      <c r="AW445" s="2208">
        <f t="shared" si="244"/>
        <v>0</v>
      </c>
      <c r="AX445" s="2208">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3"/>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08">
        <f t="shared" si="243"/>
        <v>0</v>
      </c>
      <c r="AW446" s="2208">
        <f t="shared" si="244"/>
        <v>0</v>
      </c>
      <c r="AX446" s="2208">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3"/>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08">
        <f t="shared" si="243"/>
        <v>0</v>
      </c>
      <c r="AW447" s="2208">
        <f t="shared" si="244"/>
        <v>0</v>
      </c>
      <c r="AX447" s="2208">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3"/>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08">
        <f t="shared" si="243"/>
        <v>0</v>
      </c>
      <c r="AW448" s="2208">
        <f t="shared" si="244"/>
        <v>0</v>
      </c>
      <c r="AX448" s="2208">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3"/>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08">
        <f t="shared" si="243"/>
        <v>0</v>
      </c>
      <c r="AW449" s="2208">
        <f t="shared" si="244"/>
        <v>0</v>
      </c>
      <c r="AX449" s="2208">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3"/>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08">
        <f t="shared" si="243"/>
        <v>0</v>
      </c>
      <c r="AW450" s="2208">
        <f t="shared" si="244"/>
        <v>0</v>
      </c>
      <c r="AX450" s="2208">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3"/>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08">
        <f t="shared" si="243"/>
        <v>0</v>
      </c>
      <c r="AW451" s="2208">
        <f t="shared" si="244"/>
        <v>0</v>
      </c>
      <c r="AX451" s="2208">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3"/>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08">
        <f t="shared" si="243"/>
        <v>0</v>
      </c>
      <c r="AW452" s="2208">
        <f t="shared" si="244"/>
        <v>0</v>
      </c>
      <c r="AX452" s="2208">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3"/>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08">
        <f t="shared" si="243"/>
        <v>0</v>
      </c>
      <c r="AW453" s="2208">
        <f t="shared" si="244"/>
        <v>0</v>
      </c>
      <c r="AX453" s="2208">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3"/>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08">
        <f t="shared" si="243"/>
        <v>0</v>
      </c>
      <c r="AW454" s="2208">
        <f t="shared" si="244"/>
        <v>0</v>
      </c>
      <c r="AX454" s="2208">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3"/>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08">
        <f t="shared" si="243"/>
        <v>0</v>
      </c>
      <c r="AW455" s="2208">
        <f t="shared" si="244"/>
        <v>0</v>
      </c>
      <c r="AX455" s="2208">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3"/>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08">
        <f t="shared" si="243"/>
        <v>0</v>
      </c>
      <c r="AW456" s="2208">
        <f t="shared" si="244"/>
        <v>0</v>
      </c>
      <c r="AX456" s="2208">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3"/>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08">
        <f t="shared" si="243"/>
        <v>0</v>
      </c>
      <c r="AW457" s="2208">
        <f t="shared" si="244"/>
        <v>0</v>
      </c>
      <c r="AX457" s="2208">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3"/>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08">
        <f t="shared" si="243"/>
        <v>0</v>
      </c>
      <c r="AW458" s="2208">
        <f t="shared" si="244"/>
        <v>0</v>
      </c>
      <c r="AX458" s="2208">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3"/>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08">
        <f t="shared" si="243"/>
        <v>0</v>
      </c>
      <c r="AW459" s="2208">
        <f t="shared" si="244"/>
        <v>0</v>
      </c>
      <c r="AX459" s="2208">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3"/>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08">
        <f t="shared" si="243"/>
        <v>0</v>
      </c>
      <c r="AW460" s="2208">
        <f t="shared" si="244"/>
        <v>0</v>
      </c>
      <c r="AX460" s="2208">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3"/>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08">
        <f t="shared" si="243"/>
        <v>0</v>
      </c>
      <c r="AW461" s="2208">
        <f t="shared" si="244"/>
        <v>0</v>
      </c>
      <c r="AX461" s="2208">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3"/>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08">
        <f t="shared" si="243"/>
        <v>0</v>
      </c>
      <c r="AW462" s="2208">
        <f t="shared" si="244"/>
        <v>0</v>
      </c>
      <c r="AX462" s="2208">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3"/>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08">
        <f t="shared" si="243"/>
        <v>0</v>
      </c>
      <c r="AW463" s="2208">
        <f t="shared" si="244"/>
        <v>0</v>
      </c>
      <c r="AX463" s="2208">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3"/>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08">
        <f t="shared" si="243"/>
        <v>0</v>
      </c>
      <c r="AW464" s="2208">
        <f t="shared" si="244"/>
        <v>0</v>
      </c>
      <c r="AX464" s="2208">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3"/>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08">
        <f t="shared" si="243"/>
        <v>0</v>
      </c>
      <c r="AW465" s="2208">
        <f t="shared" si="244"/>
        <v>0</v>
      </c>
      <c r="AX465" s="2208">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3"/>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08">
        <f t="shared" si="243"/>
        <v>0</v>
      </c>
      <c r="AW466" s="2208">
        <f t="shared" si="244"/>
        <v>0</v>
      </c>
      <c r="AX466" s="2208">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3"/>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08">
        <f t="shared" si="243"/>
        <v>0</v>
      </c>
      <c r="AW467" s="2208">
        <f t="shared" si="244"/>
        <v>0</v>
      </c>
      <c r="AX467" s="2208">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3"/>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08">
        <f t="shared" si="243"/>
        <v>0</v>
      </c>
      <c r="AW468" s="2208">
        <f t="shared" si="244"/>
        <v>0</v>
      </c>
      <c r="AX468" s="2208">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3"/>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08">
        <f t="shared" si="243"/>
        <v>0</v>
      </c>
      <c r="AW469" s="2208">
        <f t="shared" si="244"/>
        <v>0</v>
      </c>
      <c r="AX469" s="2208">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3"/>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08">
        <f t="shared" si="243"/>
        <v>0</v>
      </c>
      <c r="AW470" s="2208">
        <f t="shared" si="244"/>
        <v>0</v>
      </c>
      <c r="AX470" s="2208">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3"/>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08">
        <f t="shared" si="243"/>
        <v>0</v>
      </c>
      <c r="AW471" s="2208">
        <f t="shared" si="244"/>
        <v>0</v>
      </c>
      <c r="AX471" s="2208">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3"/>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08">
        <f t="shared" si="243"/>
        <v>0</v>
      </c>
      <c r="AW472" s="2208">
        <f t="shared" si="244"/>
        <v>0</v>
      </c>
      <c r="AX472" s="2208">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3"/>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08">
        <f t="shared" si="243"/>
        <v>0</v>
      </c>
      <c r="AW473" s="2208">
        <f t="shared" si="244"/>
        <v>0</v>
      </c>
      <c r="AX473" s="2208">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3"/>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08">
        <f t="shared" si="243"/>
        <v>0</v>
      </c>
      <c r="AW474" s="2208">
        <f t="shared" si="244"/>
        <v>0</v>
      </c>
      <c r="AX474" s="2208">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3"/>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08">
        <f t="shared" si="243"/>
        <v>0</v>
      </c>
      <c r="AW475" s="2208">
        <f t="shared" si="244"/>
        <v>0</v>
      </c>
      <c r="AX475" s="2208">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3"/>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08">
        <f t="shared" si="243"/>
        <v>0</v>
      </c>
      <c r="AW476" s="2208">
        <f t="shared" si="244"/>
        <v>0</v>
      </c>
      <c r="AX476" s="2208">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3"/>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08">
        <f t="shared" si="243"/>
        <v>0</v>
      </c>
      <c r="AW477" s="2208">
        <f t="shared" si="244"/>
        <v>0</v>
      </c>
      <c r="AX477" s="2208">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3"/>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08">
        <f t="shared" si="243"/>
        <v>0</v>
      </c>
      <c r="AW478" s="2208">
        <f t="shared" si="244"/>
        <v>0</v>
      </c>
      <c r="AX478" s="2208">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3"/>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08">
        <f t="shared" si="243"/>
        <v>0</v>
      </c>
      <c r="AW479" s="2208">
        <f t="shared" si="244"/>
        <v>0</v>
      </c>
      <c r="AX479" s="2208">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3"/>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08">
        <f t="shared" si="243"/>
        <v>0</v>
      </c>
      <c r="AW480" s="2208">
        <f t="shared" si="244"/>
        <v>0</v>
      </c>
      <c r="AX480" s="2208">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3"/>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08">
        <f t="shared" si="243"/>
        <v>0</v>
      </c>
      <c r="AW481" s="2208">
        <f t="shared" si="244"/>
        <v>0</v>
      </c>
      <c r="AX481" s="2208">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3"/>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08">
        <f t="shared" si="243"/>
        <v>0</v>
      </c>
      <c r="AW482" s="2208">
        <f t="shared" si="244"/>
        <v>0</v>
      </c>
      <c r="AX482" s="2208">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3"/>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08">
        <f t="shared" si="243"/>
        <v>0</v>
      </c>
      <c r="AW483" s="2208">
        <f t="shared" si="244"/>
        <v>0</v>
      </c>
      <c r="AX483" s="2208">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3"/>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08">
        <f t="shared" si="243"/>
        <v>0</v>
      </c>
      <c r="AW484" s="2208">
        <f t="shared" si="244"/>
        <v>0</v>
      </c>
      <c r="AX484" s="2208">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3"/>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08">
        <f t="shared" si="243"/>
        <v>0</v>
      </c>
      <c r="AW485" s="2208">
        <f t="shared" si="244"/>
        <v>0</v>
      </c>
      <c r="AX485" s="2208">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3"/>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08">
        <f t="shared" si="243"/>
        <v>0</v>
      </c>
      <c r="AW486" s="2208">
        <f t="shared" si="244"/>
        <v>0</v>
      </c>
      <c r="AX486" s="2208">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3"/>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08">
        <f t="shared" si="243"/>
        <v>0</v>
      </c>
      <c r="AW487" s="2208">
        <f t="shared" si="244"/>
        <v>0</v>
      </c>
      <c r="AX487" s="2208">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3"/>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08">
        <f t="shared" si="243"/>
        <v>0</v>
      </c>
      <c r="AW488" s="2208">
        <f t="shared" si="244"/>
        <v>0</v>
      </c>
      <c r="AX488" s="2208">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3"/>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08">
        <f t="shared" si="243"/>
        <v>0</v>
      </c>
      <c r="AW489" s="2208">
        <f t="shared" si="244"/>
        <v>0</v>
      </c>
      <c r="AX489" s="2208">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3"/>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08">
        <f t="shared" si="243"/>
        <v>0</v>
      </c>
      <c r="AW490" s="2208">
        <f t="shared" si="244"/>
        <v>0</v>
      </c>
      <c r="AX490" s="2208">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3"/>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08">
        <f t="shared" si="243"/>
        <v>0</v>
      </c>
      <c r="AW491" s="2208">
        <f t="shared" si="244"/>
        <v>0</v>
      </c>
      <c r="AX491" s="2208">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3"/>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08">
        <f t="shared" si="243"/>
        <v>0</v>
      </c>
      <c r="AW492" s="2208">
        <f t="shared" si="244"/>
        <v>0</v>
      </c>
      <c r="AX492" s="2208">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5" customFormat="1">
      <c r="A588" s="1173"/>
      <c r="B588" s="1173"/>
      <c r="C588" s="1173"/>
      <c r="D588" s="1173"/>
      <c r="E588" s="1174"/>
      <c r="F588" s="1174"/>
      <c r="G588" s="1173"/>
      <c r="H588" s="1174"/>
      <c r="I588" s="1174"/>
      <c r="J588" s="1174"/>
      <c r="K588" s="1174"/>
      <c r="L588" s="1174"/>
      <c r="M588" s="1174"/>
      <c r="N588" s="1174"/>
      <c r="O588" s="1174"/>
      <c r="P588" s="1174"/>
      <c r="Q588" s="1174"/>
      <c r="R588" s="1174"/>
      <c r="S588" s="1174"/>
      <c r="T588" s="1174"/>
      <c r="U588" s="1174"/>
      <c r="V588" s="1174"/>
      <c r="W588" s="1174"/>
      <c r="X588" s="1174"/>
      <c r="Y588" s="1174"/>
      <c r="Z588" s="1174"/>
      <c r="AA588" s="1174"/>
      <c r="AB588" s="1174"/>
      <c r="AC588" s="1174"/>
      <c r="AD588" s="1174"/>
      <c r="AE588" s="1174"/>
      <c r="AF588" s="1174"/>
      <c r="AG588" s="1174"/>
      <c r="AH588" s="1174"/>
      <c r="AI588" s="1174"/>
      <c r="AJ588" s="1174"/>
      <c r="AK588" s="1174"/>
      <c r="AL588" s="1174"/>
      <c r="AM588" s="1174"/>
      <c r="AN588" s="1174"/>
      <c r="AO588" s="1174"/>
      <c r="AP588" s="1174"/>
      <c r="AQ588" s="1174"/>
      <c r="AR588" s="1174"/>
      <c r="AS588" s="1174"/>
      <c r="AT588" s="1174"/>
      <c r="AU588" s="1173"/>
      <c r="AV588" s="1173"/>
      <c r="AW588" s="1173"/>
      <c r="AX588" s="1173"/>
    </row>
    <row r="589" spans="1:72" s="1176" customFormat="1">
      <c r="C589" s="1177"/>
      <c r="D589" s="1177"/>
    </row>
    <row r="590" spans="1:72" s="1176" customFormat="1">
      <c r="C590" s="1177"/>
      <c r="D590" s="1177"/>
    </row>
    <row r="593" spans="2:2">
      <c r="B593" s="117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6"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451" t="s">
        <v>2</v>
      </c>
      <c r="B1" s="3451" t="s">
        <v>37</v>
      </c>
      <c r="C1" s="3451" t="s">
        <v>38</v>
      </c>
      <c r="D1" s="3511" t="s">
        <v>200</v>
      </c>
      <c r="E1" s="3511" t="s">
        <v>201</v>
      </c>
      <c r="F1" s="3511"/>
      <c r="G1" s="3511"/>
      <c r="H1" s="3511"/>
      <c r="I1" s="3511"/>
      <c r="J1" s="3511"/>
      <c r="K1" s="3511"/>
      <c r="L1" s="3511"/>
      <c r="M1" s="3511"/>
    </row>
    <row r="2" spans="1:13" ht="27" customHeight="1">
      <c r="A2" s="3451"/>
      <c r="B2" s="3451"/>
      <c r="C2" s="3451"/>
      <c r="D2" s="3511"/>
      <c r="E2" s="3511" t="s">
        <v>184</v>
      </c>
      <c r="F2" s="3511" t="s">
        <v>185</v>
      </c>
      <c r="G2" s="3511"/>
      <c r="H2" s="3511"/>
      <c r="I2" s="3511"/>
      <c r="J2" s="3511" t="s">
        <v>186</v>
      </c>
      <c r="K2" s="3511"/>
      <c r="L2" s="3511"/>
      <c r="M2" s="3511"/>
    </row>
    <row r="3" spans="1:13" ht="28.5">
      <c r="A3" s="3451"/>
      <c r="B3" s="3451"/>
      <c r="C3" s="3451"/>
      <c r="D3" s="3511"/>
      <c r="E3" s="3511"/>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511" t="s">
        <v>202</v>
      </c>
      <c r="B9" s="3511"/>
      <c r="C9" s="3511"/>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SheetLayoutView="90" workbookViewId="0">
      <selection activeCell="F37" sqref="F37"/>
    </sheetView>
  </sheetViews>
  <sheetFormatPr defaultColWidth="9.25" defaultRowHeight="13.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6384" width="9.25" style="2220"/>
  </cols>
  <sheetData>
    <row r="1" spans="1:16" ht="18.75">
      <c r="A1" s="17" t="s">
        <v>642</v>
      </c>
      <c r="B1" s="2222"/>
      <c r="C1" s="2222"/>
      <c r="D1" s="2222"/>
      <c r="E1" s="2222"/>
      <c r="F1" s="2222"/>
      <c r="G1" s="2222"/>
      <c r="H1" s="2222"/>
      <c r="I1" s="2222"/>
      <c r="J1" s="2222"/>
      <c r="K1" s="2222"/>
      <c r="L1" s="2222"/>
      <c r="M1" s="2222"/>
      <c r="N1" s="2222"/>
      <c r="O1" s="2222"/>
      <c r="P1" s="2222"/>
    </row>
    <row r="2" spans="1:16">
      <c r="A2" s="3521" t="s">
        <v>643</v>
      </c>
      <c r="B2" s="3521"/>
      <c r="C2" s="3521"/>
      <c r="D2" s="2206" t="s">
        <v>644</v>
      </c>
      <c r="E2" s="19" t="s">
        <v>645</v>
      </c>
      <c r="F2" s="2222"/>
      <c r="G2" s="1179"/>
      <c r="H2" s="1180"/>
      <c r="I2" s="2214" t="s">
        <v>646</v>
      </c>
      <c r="J2" s="2222"/>
      <c r="K2" s="2222"/>
      <c r="L2" s="2222"/>
      <c r="M2" s="2222"/>
      <c r="N2" s="2231"/>
      <c r="O2" s="2222"/>
      <c r="P2" s="2222"/>
    </row>
    <row r="3" spans="1:16" ht="15.75" thickBot="1">
      <c r="A3" s="3522" t="s">
        <v>647</v>
      </c>
      <c r="B3" s="3522"/>
      <c r="C3" s="3522"/>
      <c r="D3" s="335">
        <f>'数据-基础表'!AY6</f>
        <v>1218.83</v>
      </c>
      <c r="E3" s="335">
        <f>'数据-基础表'!AZ5</f>
        <v>4043.7000000000003</v>
      </c>
      <c r="F3" s="2222"/>
      <c r="G3" s="442"/>
      <c r="H3" s="440" t="s">
        <v>648</v>
      </c>
      <c r="I3" s="344">
        <f>ROUND('数据-基础表'!B3/'数据-基础表'!A3,2)</f>
        <v>3.32</v>
      </c>
      <c r="J3" s="2222"/>
      <c r="K3" s="2222"/>
      <c r="L3" s="2222"/>
      <c r="M3" s="2222"/>
      <c r="N3" s="2231"/>
      <c r="O3" s="2222"/>
      <c r="P3" s="2222"/>
    </row>
    <row r="4" spans="1:16" ht="14.25">
      <c r="A4" s="3523"/>
      <c r="B4" s="3524"/>
      <c r="C4" s="3525"/>
      <c r="D4" s="20" t="s">
        <v>644</v>
      </c>
      <c r="E4" s="21" t="s">
        <v>645</v>
      </c>
      <c r="F4" s="2222"/>
      <c r="G4" s="1181" t="s">
        <v>1797</v>
      </c>
      <c r="H4" s="440" t="s">
        <v>649</v>
      </c>
      <c r="I4" s="344">
        <f>ROUND(SUMIF('数据-基础表'!I9:AS9,"地上",'数据-基础表'!I5:AS5)/'数据-基础表'!A3,2)</f>
        <v>1.36</v>
      </c>
      <c r="J4" s="2222"/>
      <c r="K4" s="2222"/>
      <c r="L4" s="2222"/>
      <c r="M4" s="2222"/>
      <c r="N4" s="2231"/>
      <c r="O4" s="2222"/>
      <c r="P4" s="2222"/>
    </row>
    <row r="5" spans="1:16" ht="14.25">
      <c r="A5" s="22" t="s">
        <v>650</v>
      </c>
      <c r="B5" s="3526" t="s">
        <v>651</v>
      </c>
      <c r="C5" s="3526"/>
      <c r="D5" s="337">
        <f>ROUND($D$3*E5/$E$3,2)</f>
        <v>498.36</v>
      </c>
      <c r="E5" s="338">
        <f>SUMIF('数据-基础表'!$11:$11,"住宅",'数据-基础表'!$5:$5)</f>
        <v>1653.4</v>
      </c>
      <c r="F5" s="2222"/>
      <c r="G5" s="442"/>
      <c r="H5" s="440" t="s">
        <v>648</v>
      </c>
      <c r="I5" s="344">
        <f>ROUND(E31/D31,2)</f>
        <v>3.32</v>
      </c>
      <c r="J5" s="2222"/>
      <c r="K5" s="2222"/>
      <c r="L5" s="2222"/>
      <c r="M5" s="2222"/>
      <c r="N5" s="2222"/>
      <c r="O5" s="2222"/>
      <c r="P5" s="2222"/>
    </row>
    <row r="6" spans="1:16" ht="15" thickBot="1">
      <c r="A6" s="24"/>
      <c r="B6" s="3526" t="s">
        <v>652</v>
      </c>
      <c r="C6" s="3526"/>
      <c r="D6" s="337">
        <f>ROUND($D$3*E6/$E$3,2)</f>
        <v>720.47</v>
      </c>
      <c r="E6" s="338">
        <f>E3-E5</f>
        <v>2390.3000000000002</v>
      </c>
      <c r="F6" s="2222"/>
      <c r="G6" s="1757" t="s">
        <v>1798</v>
      </c>
      <c r="H6" s="442" t="s">
        <v>649</v>
      </c>
      <c r="I6" s="1758">
        <f>ROUND(F31/D31,2)</f>
        <v>1.36</v>
      </c>
      <c r="J6" s="2222"/>
      <c r="K6" s="2222"/>
      <c r="L6" s="2222"/>
      <c r="M6" s="2222"/>
      <c r="N6" s="2222"/>
      <c r="O6" s="2222"/>
      <c r="P6" s="2222"/>
    </row>
    <row r="7" spans="1:16" ht="14.25">
      <c r="A7" s="3518"/>
      <c r="B7" s="3519"/>
      <c r="C7" s="3520"/>
      <c r="D7" s="20" t="s">
        <v>644</v>
      </c>
      <c r="E7" s="25" t="s">
        <v>645</v>
      </c>
      <c r="F7" s="2222"/>
      <c r="G7" s="1179" t="s">
        <v>1877</v>
      </c>
      <c r="H7" s="38"/>
      <c r="I7" s="762"/>
      <c r="J7" s="2222"/>
      <c r="K7" s="2222"/>
      <c r="L7" s="2222"/>
      <c r="M7" s="2222"/>
      <c r="N7" s="2222"/>
      <c r="O7" s="2222"/>
      <c r="P7" s="2222"/>
    </row>
    <row r="8" spans="1:16" ht="14.25">
      <c r="A8" s="22" t="s">
        <v>653</v>
      </c>
      <c r="B8" s="26" t="s">
        <v>654</v>
      </c>
      <c r="C8" s="23" t="s">
        <v>655</v>
      </c>
      <c r="D8" s="337">
        <f t="shared" ref="D8:D15" si="0">ROUND($D$3*E8/$E$3,2)</f>
        <v>498.36</v>
      </c>
      <c r="E8" s="340">
        <f>SUMIF('数据-基础表'!BB10:BK10,"地上",'数据-基础表'!BB5:BK5)</f>
        <v>1653.4</v>
      </c>
      <c r="F8" s="2222"/>
      <c r="G8" s="2223"/>
      <c r="H8" s="2223"/>
      <c r="I8" s="2222"/>
      <c r="J8" s="2222"/>
      <c r="K8" s="2222"/>
      <c r="L8" s="2222"/>
      <c r="M8" s="2222"/>
      <c r="N8" s="2222"/>
      <c r="O8" s="2222"/>
      <c r="P8" s="2222"/>
    </row>
    <row r="9" spans="1:16" ht="14.25">
      <c r="A9" s="27"/>
      <c r="B9" s="28"/>
      <c r="C9" s="23" t="s">
        <v>656</v>
      </c>
      <c r="D9" s="337">
        <f t="shared" si="0"/>
        <v>0</v>
      </c>
      <c r="E9" s="341">
        <v>0</v>
      </c>
      <c r="F9" s="2222"/>
      <c r="G9" s="2223"/>
      <c r="H9" s="2223"/>
      <c r="I9" s="2222"/>
      <c r="J9" s="2222"/>
      <c r="K9" s="2222"/>
      <c r="L9" s="2222"/>
      <c r="M9" s="2222"/>
      <c r="N9" s="2222"/>
      <c r="O9" s="2222"/>
      <c r="P9" s="2222"/>
    </row>
    <row r="10" spans="1:16" ht="14.25">
      <c r="A10" s="27"/>
      <c r="B10" s="28"/>
      <c r="C10" s="23" t="s">
        <v>657</v>
      </c>
      <c r="D10" s="337">
        <f t="shared" si="0"/>
        <v>0</v>
      </c>
      <c r="E10" s="340">
        <f>SUMPRODUCT(('数据-基础表'!BB10:BK10="地下")*('数据-基础表'!BB11:BK11="商业")*('数据-基础表'!BB5:BK5))</f>
        <v>0</v>
      </c>
      <c r="F10" s="2222"/>
      <c r="G10" s="2223"/>
      <c r="H10" s="2223"/>
      <c r="I10" s="2222"/>
      <c r="J10" s="2222"/>
      <c r="K10" s="2222"/>
      <c r="L10" s="2222"/>
      <c r="M10" s="2222"/>
      <c r="N10" s="2222"/>
      <c r="O10" s="2222"/>
      <c r="P10" s="2222"/>
    </row>
    <row r="11" spans="1:16" ht="14.25">
      <c r="A11" s="27"/>
      <c r="B11" s="28"/>
      <c r="C11" s="23" t="s">
        <v>2404</v>
      </c>
      <c r="D11" s="337">
        <f t="shared" si="0"/>
        <v>0</v>
      </c>
      <c r="E11" s="340">
        <f>SUMPRODUCT(('数据-基础表'!BB10:BK10="地下")*('数据-基础表'!BB11:BK11="办公")*('数据-基础表'!BB5:BK5))+'数据-基础表'!BP5</f>
        <v>0</v>
      </c>
      <c r="F11" s="2222"/>
      <c r="G11" s="2223"/>
      <c r="H11" s="2223"/>
      <c r="I11" s="2222"/>
      <c r="J11" s="2222"/>
      <c r="K11" s="2222"/>
      <c r="L11" s="2222"/>
      <c r="M11" s="2222"/>
      <c r="N11" s="2222"/>
      <c r="O11" s="2222"/>
      <c r="P11" s="2222"/>
    </row>
    <row r="12" spans="1:16" ht="14.25">
      <c r="A12" s="27"/>
      <c r="B12" s="28"/>
      <c r="C12" s="23" t="s">
        <v>658</v>
      </c>
      <c r="D12" s="337">
        <f t="shared" si="0"/>
        <v>0</v>
      </c>
      <c r="E12" s="340">
        <f>SUMPRODUCT(('数据-基础表'!BB10:BK10="地下")*('数据-基础表'!BB11:BK11="仓储")*('数据-基础表'!BB5:BK5))</f>
        <v>0</v>
      </c>
      <c r="F12" s="2222"/>
      <c r="G12" s="2223"/>
      <c r="H12" s="2223"/>
      <c r="I12" s="2222"/>
      <c r="J12" s="2222"/>
      <c r="K12" s="2222"/>
      <c r="L12" s="2222"/>
      <c r="M12" s="2222"/>
      <c r="N12" s="2222"/>
      <c r="O12" s="2222"/>
      <c r="P12" s="2222"/>
    </row>
    <row r="13" spans="1:16" ht="14.25">
      <c r="A13" s="27"/>
      <c r="B13" s="28"/>
      <c r="C13" s="23" t="s">
        <v>659</v>
      </c>
      <c r="D13" s="337">
        <f t="shared" si="0"/>
        <v>720.47</v>
      </c>
      <c r="E13" s="340">
        <f>SUMPRODUCT(('数据-基础表'!BB10:BK10="地下")*('数据-基础表'!BB11:BK11="车库")*('数据-基础表'!BB5:BK5))</f>
        <v>2390.3000000000002</v>
      </c>
      <c r="F13" s="2222"/>
      <c r="G13" s="2223"/>
      <c r="H13" s="2223"/>
      <c r="I13" s="2222"/>
      <c r="J13" s="2222"/>
      <c r="K13" s="2222"/>
      <c r="L13" s="2222"/>
      <c r="M13" s="2222"/>
      <c r="N13" s="2222"/>
      <c r="O13" s="2222"/>
      <c r="P13" s="2222"/>
    </row>
    <row r="14" spans="1:16" ht="14.25">
      <c r="A14" s="27"/>
      <c r="B14" s="28"/>
      <c r="C14" s="23" t="s">
        <v>660</v>
      </c>
      <c r="D14" s="337">
        <f t="shared" si="0"/>
        <v>0</v>
      </c>
      <c r="E14" s="340">
        <f>SUMPRODUCT(('数据-基础表'!BB10:BK10="地下")*('数据-基础表'!BB11:BK11="车库—商业")*('数据-基础表'!BB5:BK5))</f>
        <v>0</v>
      </c>
      <c r="F14" s="2222"/>
      <c r="G14" s="2223"/>
      <c r="H14" s="2223"/>
      <c r="I14" s="2222"/>
      <c r="J14" s="2222"/>
      <c r="K14" s="2222"/>
      <c r="L14" s="2222"/>
      <c r="M14" s="2222"/>
      <c r="N14" s="2222"/>
      <c r="O14" s="2222"/>
      <c r="P14" s="2222"/>
    </row>
    <row r="15" spans="1:16" ht="15" thickBot="1">
      <c r="A15" s="27"/>
      <c r="B15" s="28"/>
      <c r="C15" s="23" t="s">
        <v>661</v>
      </c>
      <c r="D15" s="337">
        <f t="shared" si="0"/>
        <v>0</v>
      </c>
      <c r="E15" s="340">
        <f>SUMPRODUCT(('数据-基础表'!BB10:BK10="地下")*('数据-基础表'!BB11:BK11="车库—办公")*('数据-基础表'!BB5:BK5))</f>
        <v>0</v>
      </c>
      <c r="F15" s="2222"/>
      <c r="G15" s="2223"/>
      <c r="H15" s="2223"/>
      <c r="I15" s="2222"/>
      <c r="J15" s="2222"/>
      <c r="K15" s="2222"/>
      <c r="L15" s="2222"/>
      <c r="M15" s="2222"/>
      <c r="N15" s="2222"/>
      <c r="O15" s="2222"/>
      <c r="P15" s="2222"/>
    </row>
    <row r="16" spans="1:16" ht="15" thickBot="1">
      <c r="A16" s="24"/>
      <c r="B16" s="28"/>
      <c r="C16" s="26" t="s">
        <v>662</v>
      </c>
      <c r="D16" s="339">
        <f>SUM(D8:D15)</f>
        <v>1218.83</v>
      </c>
      <c r="E16" s="342">
        <f>SUM(E8:E15)</f>
        <v>4043.7000000000003</v>
      </c>
      <c r="F16" s="2222"/>
      <c r="G16" s="2223"/>
      <c r="H16" s="1178" t="s">
        <v>533</v>
      </c>
      <c r="I16" s="1182"/>
      <c r="J16" s="2222"/>
      <c r="K16" s="3515" t="s">
        <v>533</v>
      </c>
      <c r="L16" s="3516"/>
      <c r="M16" s="3516"/>
      <c r="N16" s="3516"/>
      <c r="O16" s="3516"/>
      <c r="P16" s="3517"/>
    </row>
    <row r="17" spans="1:19" ht="14.25">
      <c r="A17" s="29" t="s">
        <v>663</v>
      </c>
      <c r="B17" s="30" t="s">
        <v>664</v>
      </c>
      <c r="C17" s="34" t="s">
        <v>2395</v>
      </c>
      <c r="D17" s="2072" t="s">
        <v>644</v>
      </c>
      <c r="E17" s="2070" t="s">
        <v>645</v>
      </c>
      <c r="F17" s="36"/>
      <c r="G17" s="37"/>
      <c r="H17" s="1183" t="s">
        <v>665</v>
      </c>
      <c r="I17" s="1184" t="s">
        <v>207</v>
      </c>
      <c r="J17" s="2222"/>
      <c r="K17" s="3512" t="s">
        <v>671</v>
      </c>
      <c r="L17" s="3513"/>
      <c r="M17" s="3514"/>
      <c r="N17" s="3512" t="s">
        <v>2697</v>
      </c>
      <c r="O17" s="3513"/>
      <c r="P17" s="3514"/>
      <c r="R17" s="2482" t="s">
        <v>2396</v>
      </c>
      <c r="S17" s="354"/>
    </row>
    <row r="18" spans="1:19">
      <c r="A18" s="27"/>
      <c r="B18" s="31"/>
      <c r="C18" s="35"/>
      <c r="D18" s="2073"/>
      <c r="E18" s="2071" t="s">
        <v>666</v>
      </c>
      <c r="F18" s="15" t="s">
        <v>667</v>
      </c>
      <c r="G18" s="16" t="s">
        <v>668</v>
      </c>
      <c r="H18" s="1185" t="s">
        <v>669</v>
      </c>
      <c r="I18" s="1186" t="s">
        <v>670</v>
      </c>
      <c r="J18" s="2222"/>
      <c r="K18" s="1185" t="s">
        <v>2690</v>
      </c>
      <c r="L18" s="6" t="s">
        <v>2698</v>
      </c>
      <c r="M18" s="2800" t="s">
        <v>2696</v>
      </c>
      <c r="N18" s="1185" t="s">
        <v>2690</v>
      </c>
      <c r="O18" s="6" t="s">
        <v>2698</v>
      </c>
      <c r="P18" s="2800" t="s">
        <v>2696</v>
      </c>
      <c r="R18" s="2483" t="s">
        <v>2397</v>
      </c>
      <c r="S18" s="2483" t="s">
        <v>2398</v>
      </c>
    </row>
    <row r="19" spans="1:19" ht="14.25">
      <c r="A19" s="32"/>
      <c r="B19" s="26" t="s">
        <v>119</v>
      </c>
      <c r="C19" s="1420" t="s">
        <v>3122</v>
      </c>
      <c r="D19" s="337">
        <f>ROUND($D$3*E19/$E$3,2)</f>
        <v>470.9</v>
      </c>
      <c r="E19" s="345">
        <f t="shared" ref="E19:E26" si="1">SUM(F19:G19)</f>
        <v>1562.3000000000002</v>
      </c>
      <c r="F19" s="346">
        <f>'数据-基础表'!I13-91.1</f>
        <v>1562.3000000000002</v>
      </c>
      <c r="G19" s="347"/>
      <c r="H19" s="1132">
        <f>ROUND($D$3*I19/$E$3,2)</f>
        <v>0</v>
      </c>
      <c r="I19" s="340">
        <f t="shared" ref="I19:I26" si="2">IF($I$17="自定义",P19,M19)</f>
        <v>0</v>
      </c>
      <c r="J19" s="2222"/>
      <c r="K19" s="2801">
        <f t="shared" ref="K19:K26" si="3">ROUND(E$28*E19/E$27,2)</f>
        <v>0</v>
      </c>
      <c r="L19" s="2484">
        <f t="shared" ref="L19:L26" si="4">ROUND(IF(COUNTIF(C19,"*住宅*")&gt;0,E$29*E19/E$32,0),2)</f>
        <v>0</v>
      </c>
      <c r="M19" s="2819">
        <f>K19+L19</f>
        <v>0</v>
      </c>
      <c r="N19" s="2817"/>
      <c r="O19" s="2799"/>
      <c r="P19" s="2802">
        <f>N19+O19</f>
        <v>0</v>
      </c>
      <c r="R19" s="2484">
        <f t="shared" ref="R19:S26" si="5">D19+H19</f>
        <v>470.9</v>
      </c>
      <c r="S19" s="2485">
        <f t="shared" si="5"/>
        <v>1562.3000000000002</v>
      </c>
    </row>
    <row r="20" spans="1:19" ht="14.25">
      <c r="A20" s="33"/>
      <c r="B20" s="26" t="s">
        <v>637</v>
      </c>
      <c r="C20" s="1420" t="s">
        <v>3123</v>
      </c>
      <c r="D20" s="337">
        <f t="shared" ref="D20:D26" si="6">ROUND($D$3*E20/$E$3,2)</f>
        <v>27.46</v>
      </c>
      <c r="E20" s="345">
        <f t="shared" si="1"/>
        <v>91.1</v>
      </c>
      <c r="F20" s="346">
        <v>91.1</v>
      </c>
      <c r="G20" s="347"/>
      <c r="H20" s="1132">
        <f t="shared" ref="H20:H26" si="7">ROUND($D$3*I20/$E$3,2)</f>
        <v>0</v>
      </c>
      <c r="I20" s="340">
        <f t="shared" si="2"/>
        <v>0</v>
      </c>
      <c r="J20" s="2222"/>
      <c r="K20" s="2801">
        <f t="shared" si="3"/>
        <v>0</v>
      </c>
      <c r="L20" s="2484">
        <f t="shared" si="4"/>
        <v>0</v>
      </c>
      <c r="M20" s="2819">
        <f t="shared" ref="M20:M26" si="8">K20+L20</f>
        <v>0</v>
      </c>
      <c r="N20" s="2817"/>
      <c r="O20" s="2799"/>
      <c r="P20" s="2802">
        <f t="shared" ref="P20:P26" si="9">N20+O20</f>
        <v>0</v>
      </c>
      <c r="R20" s="2484">
        <f t="shared" si="5"/>
        <v>27.46</v>
      </c>
      <c r="S20" s="2485">
        <f t="shared" si="5"/>
        <v>91.1</v>
      </c>
    </row>
    <row r="21" spans="1:19" ht="14.25">
      <c r="A21" s="33"/>
      <c r="B21" s="26" t="s">
        <v>637</v>
      </c>
      <c r="C21" s="1420" t="s">
        <v>3124</v>
      </c>
      <c r="D21" s="337">
        <f t="shared" si="6"/>
        <v>711.58</v>
      </c>
      <c r="E21" s="345">
        <f t="shared" si="1"/>
        <v>2360.79</v>
      </c>
      <c r="F21" s="346"/>
      <c r="G21" s="347">
        <f>'数据-基础表'!K14-29.51</f>
        <v>2360.79</v>
      </c>
      <c r="H21" s="1132">
        <f t="shared" si="7"/>
        <v>0</v>
      </c>
      <c r="I21" s="340">
        <f t="shared" si="2"/>
        <v>0</v>
      </c>
      <c r="J21" s="2222"/>
      <c r="K21" s="2801">
        <f t="shared" si="3"/>
        <v>0</v>
      </c>
      <c r="L21" s="2484">
        <f t="shared" si="4"/>
        <v>0</v>
      </c>
      <c r="M21" s="2819">
        <f t="shared" si="8"/>
        <v>0</v>
      </c>
      <c r="N21" s="2817"/>
      <c r="O21" s="2799"/>
      <c r="P21" s="2802">
        <f t="shared" si="9"/>
        <v>0</v>
      </c>
      <c r="R21" s="2484">
        <f t="shared" si="5"/>
        <v>711.58</v>
      </c>
      <c r="S21" s="2485">
        <f t="shared" si="5"/>
        <v>2360.79</v>
      </c>
    </row>
    <row r="22" spans="1:19" ht="14.25">
      <c r="A22" s="33"/>
      <c r="B22" s="26" t="s">
        <v>637</v>
      </c>
      <c r="C22" s="349" t="s">
        <v>3125</v>
      </c>
      <c r="D22" s="337">
        <f t="shared" si="6"/>
        <v>8.89</v>
      </c>
      <c r="E22" s="345">
        <f t="shared" si="1"/>
        <v>29.51</v>
      </c>
      <c r="F22" s="350"/>
      <c r="G22" s="351">
        <v>29.51</v>
      </c>
      <c r="H22" s="1132">
        <f t="shared" si="7"/>
        <v>0</v>
      </c>
      <c r="I22" s="340">
        <f t="shared" si="2"/>
        <v>0</v>
      </c>
      <c r="J22" s="2222"/>
      <c r="K22" s="2801">
        <f t="shared" si="3"/>
        <v>0</v>
      </c>
      <c r="L22" s="2484">
        <f t="shared" si="4"/>
        <v>0</v>
      </c>
      <c r="M22" s="2819">
        <f t="shared" si="8"/>
        <v>0</v>
      </c>
      <c r="N22" s="2817"/>
      <c r="O22" s="2799"/>
      <c r="P22" s="2802">
        <f t="shared" si="9"/>
        <v>0</v>
      </c>
      <c r="R22" s="2484">
        <f t="shared" si="5"/>
        <v>8.89</v>
      </c>
      <c r="S22" s="2485">
        <f t="shared" si="5"/>
        <v>29.51</v>
      </c>
    </row>
    <row r="23" spans="1:19" ht="14.25">
      <c r="A23" s="33"/>
      <c r="B23" s="26" t="s">
        <v>637</v>
      </c>
      <c r="C23" s="349"/>
      <c r="D23" s="337">
        <f>ROUND($D$3*E23/$E$3,2)</f>
        <v>0</v>
      </c>
      <c r="E23" s="345">
        <f>SUM(F23:G23)</f>
        <v>0</v>
      </c>
      <c r="F23" s="350"/>
      <c r="G23" s="351"/>
      <c r="H23" s="1132">
        <f>ROUND($D$3*I23/$E$3,2)</f>
        <v>0</v>
      </c>
      <c r="I23" s="340">
        <f t="shared" si="2"/>
        <v>0</v>
      </c>
      <c r="J23" s="2222"/>
      <c r="K23" s="2801">
        <f t="shared" si="3"/>
        <v>0</v>
      </c>
      <c r="L23" s="2484">
        <f t="shared" si="4"/>
        <v>0</v>
      </c>
      <c r="M23" s="2819">
        <f t="shared" si="8"/>
        <v>0</v>
      </c>
      <c r="N23" s="2817"/>
      <c r="O23" s="2799"/>
      <c r="P23" s="2802">
        <f t="shared" si="9"/>
        <v>0</v>
      </c>
      <c r="R23" s="2484">
        <f t="shared" si="5"/>
        <v>0</v>
      </c>
      <c r="S23" s="2485">
        <f t="shared" si="5"/>
        <v>0</v>
      </c>
    </row>
    <row r="24" spans="1:19" ht="14.25">
      <c r="A24" s="33"/>
      <c r="B24" s="26" t="s">
        <v>637</v>
      </c>
      <c r="C24" s="349"/>
      <c r="D24" s="337">
        <f>ROUND($D$3*E24/$E$3,2)</f>
        <v>0</v>
      </c>
      <c r="E24" s="345">
        <f>SUM(F24:G24)</f>
        <v>0</v>
      </c>
      <c r="F24" s="350"/>
      <c r="G24" s="351"/>
      <c r="H24" s="1132">
        <f>ROUND($D$3*I24/$E$3,2)</f>
        <v>0</v>
      </c>
      <c r="I24" s="340">
        <f t="shared" si="2"/>
        <v>0</v>
      </c>
      <c r="J24" s="2222"/>
      <c r="K24" s="2801">
        <f t="shared" si="3"/>
        <v>0</v>
      </c>
      <c r="L24" s="2484">
        <f t="shared" si="4"/>
        <v>0</v>
      </c>
      <c r="M24" s="2819">
        <f t="shared" si="8"/>
        <v>0</v>
      </c>
      <c r="N24" s="2817"/>
      <c r="O24" s="2799"/>
      <c r="P24" s="2802">
        <f t="shared" si="9"/>
        <v>0</v>
      </c>
      <c r="R24" s="2484">
        <f t="shared" si="5"/>
        <v>0</v>
      </c>
      <c r="S24" s="2485">
        <f t="shared" si="5"/>
        <v>0</v>
      </c>
    </row>
    <row r="25" spans="1:19" ht="14.25">
      <c r="A25" s="33"/>
      <c r="B25" s="26" t="s">
        <v>637</v>
      </c>
      <c r="C25" s="349"/>
      <c r="D25" s="337">
        <f t="shared" si="6"/>
        <v>0</v>
      </c>
      <c r="E25" s="345">
        <f t="shared" si="1"/>
        <v>0</v>
      </c>
      <c r="F25" s="350"/>
      <c r="G25" s="351"/>
      <c r="H25" s="336">
        <f t="shared" si="7"/>
        <v>0</v>
      </c>
      <c r="I25" s="340">
        <f t="shared" si="2"/>
        <v>0</v>
      </c>
      <c r="J25" s="2222"/>
      <c r="K25" s="2801">
        <f t="shared" si="3"/>
        <v>0</v>
      </c>
      <c r="L25" s="2484">
        <f t="shared" si="4"/>
        <v>0</v>
      </c>
      <c r="M25" s="2819">
        <f t="shared" si="8"/>
        <v>0</v>
      </c>
      <c r="N25" s="2817"/>
      <c r="O25" s="2799"/>
      <c r="P25" s="2802">
        <f t="shared" si="9"/>
        <v>0</v>
      </c>
      <c r="R25" s="2484">
        <f t="shared" si="5"/>
        <v>0</v>
      </c>
      <c r="S25" s="2485">
        <f t="shared" si="5"/>
        <v>0</v>
      </c>
    </row>
    <row r="26" spans="1:19" ht="14.25">
      <c r="A26" s="33"/>
      <c r="B26" s="26" t="s">
        <v>637</v>
      </c>
      <c r="C26" s="353"/>
      <c r="D26" s="337">
        <f t="shared" si="6"/>
        <v>0</v>
      </c>
      <c r="E26" s="345">
        <f t="shared" si="1"/>
        <v>0</v>
      </c>
      <c r="F26" s="350"/>
      <c r="G26" s="351"/>
      <c r="H26" s="336">
        <f t="shared" si="7"/>
        <v>0</v>
      </c>
      <c r="I26" s="340">
        <f t="shared" si="2"/>
        <v>0</v>
      </c>
      <c r="J26" s="2222"/>
      <c r="K26" s="2810">
        <f t="shared" si="3"/>
        <v>0</v>
      </c>
      <c r="L26" s="2811">
        <f t="shared" si="4"/>
        <v>0</v>
      </c>
      <c r="M26" s="357">
        <f t="shared" si="8"/>
        <v>0</v>
      </c>
      <c r="N26" s="2818"/>
      <c r="O26" s="2812"/>
      <c r="P26" s="2813">
        <f t="shared" si="9"/>
        <v>0</v>
      </c>
      <c r="R26" s="2484">
        <f t="shared" si="5"/>
        <v>0</v>
      </c>
      <c r="S26" s="2485">
        <f t="shared" si="5"/>
        <v>0</v>
      </c>
    </row>
    <row r="27" spans="1:19" ht="15.75" thickBot="1">
      <c r="A27" s="33"/>
      <c r="B27" s="23"/>
      <c r="C27" s="2775" t="s">
        <v>638</v>
      </c>
      <c r="D27" s="2804">
        <f>SUM(D19:D26)</f>
        <v>1218.8300000000002</v>
      </c>
      <c r="E27" s="2805">
        <f>IF(SUM(E19:E26)='数据-基础表'!BA5,SUM(E19:E26),IF(F27="地上面积有误","面积有误","地下面积有误"))</f>
        <v>4043.7000000000003</v>
      </c>
      <c r="F27" s="2804">
        <f>IF(SUM(F19:F26)=E8,SUM(F19:F26),"地上面积有误")</f>
        <v>1653.4</v>
      </c>
      <c r="G27" s="2806">
        <f>SUM(G19:G26)</f>
        <v>2390.3000000000002</v>
      </c>
      <c r="H27" s="2807">
        <f>SUM(H19:H26)</f>
        <v>0</v>
      </c>
      <c r="I27" s="2808">
        <f>SUM(I19:I26)</f>
        <v>0</v>
      </c>
      <c r="J27" s="2222"/>
      <c r="K27" s="2814">
        <f t="shared" ref="K27:P27" si="10">SUM(K19:K26)</f>
        <v>0</v>
      </c>
      <c r="L27" s="2815">
        <f t="shared" si="10"/>
        <v>0</v>
      </c>
      <c r="M27" s="2820">
        <f t="shared" si="10"/>
        <v>0</v>
      </c>
      <c r="N27" s="2814">
        <f t="shared" si="10"/>
        <v>0</v>
      </c>
      <c r="O27" s="2815">
        <f t="shared" si="10"/>
        <v>0</v>
      </c>
      <c r="P27" s="2816">
        <f t="shared" si="10"/>
        <v>0</v>
      </c>
      <c r="R27" s="2486">
        <f>IF(SUM(R19:R26)=$D$3,SUM(R19:R26),SUM(R19:R26)&amp;"误差"&amp;ROUND(SUM(R19:R26)-$D$3,2))</f>
        <v>1218.8300000000002</v>
      </c>
      <c r="S27" s="2484">
        <f>IF(SUM(S19:S26)=$E$3,SUM(S19:S26),SUM(S19:S26)&amp;"误差"&amp;ROUND(SUM(S19:S26)-E3,2))</f>
        <v>4043.7000000000003</v>
      </c>
    </row>
    <row r="28" spans="1:19" ht="14.25">
      <c r="A28" s="33"/>
      <c r="B28" s="26" t="s">
        <v>639</v>
      </c>
      <c r="C28" s="5" t="s">
        <v>640</v>
      </c>
      <c r="D28" s="337">
        <f>ROUND($D$3*E28/$E$3,2)</f>
        <v>0</v>
      </c>
      <c r="E28" s="345">
        <f>SUM(F28:G28)</f>
        <v>0</v>
      </c>
      <c r="F28" s="354">
        <f>'数据-基础表'!BQ5+'数据-基础表'!BS5</f>
        <v>0</v>
      </c>
      <c r="G28" s="355">
        <f>'数据-基础表'!BR5+'数据-基础表'!BT5</f>
        <v>0</v>
      </c>
      <c r="H28" s="2222"/>
      <c r="I28" s="2222"/>
      <c r="J28" s="2222"/>
      <c r="K28" s="2222"/>
      <c r="L28" s="2222"/>
      <c r="M28" s="2222"/>
      <c r="N28" s="2803"/>
      <c r="O28" s="2803"/>
      <c r="P28" s="2222"/>
    </row>
    <row r="29" spans="1:19" ht="14.25">
      <c r="A29" s="33"/>
      <c r="B29" s="26" t="s">
        <v>639</v>
      </c>
      <c r="C29" s="13" t="s">
        <v>2399</v>
      </c>
      <c r="D29" s="337">
        <f>ROUND($D$3*E29/$E$3,2)</f>
        <v>0</v>
      </c>
      <c r="E29" s="345">
        <f>SUM(F29:G29)</f>
        <v>0</v>
      </c>
      <c r="F29" s="356">
        <f>'数据-基础表'!BM5+'数据-基础表'!BO5</f>
        <v>0</v>
      </c>
      <c r="G29" s="357">
        <f>'数据-基础表'!BN5+'数据-基础表'!BP5</f>
        <v>0</v>
      </c>
      <c r="H29" s="2222"/>
      <c r="I29" s="2222"/>
      <c r="J29" s="2222"/>
      <c r="K29" s="2222"/>
      <c r="L29" s="2222"/>
      <c r="M29" s="2222"/>
      <c r="N29" s="2803"/>
      <c r="O29" s="2803"/>
      <c r="P29" s="2222"/>
    </row>
    <row r="30" spans="1:19" ht="15">
      <c r="A30" s="33"/>
      <c r="B30" s="26"/>
      <c r="C30" s="2809" t="s">
        <v>638</v>
      </c>
      <c r="D30" s="2804">
        <f>SUM(D28:D29)</f>
        <v>0</v>
      </c>
      <c r="E30" s="2804">
        <f>SUM(E28:E29)</f>
        <v>0</v>
      </c>
      <c r="F30" s="2804">
        <f>SUM(F28:F29)</f>
        <v>0</v>
      </c>
      <c r="G30" s="2806">
        <f>SUM(G28:G29)</f>
        <v>0</v>
      </c>
      <c r="H30" s="2222"/>
      <c r="I30" s="2222"/>
      <c r="J30" s="2222"/>
      <c r="K30" s="2222"/>
      <c r="L30" s="2222"/>
      <c r="M30" s="2222"/>
      <c r="N30" s="2803"/>
      <c r="O30" s="2803"/>
      <c r="P30" s="2222"/>
    </row>
    <row r="31" spans="1:19" ht="15.75" thickBot="1">
      <c r="A31" s="1187"/>
      <c r="B31" s="2523"/>
      <c r="C31" s="2524" t="s">
        <v>641</v>
      </c>
      <c r="D31" s="1188">
        <f>D27+D30</f>
        <v>1218.8300000000002</v>
      </c>
      <c r="E31" s="1188">
        <f>E27+E30</f>
        <v>4043.7000000000003</v>
      </c>
      <c r="F31" s="1189">
        <f>F27+F30</f>
        <v>1653.4</v>
      </c>
      <c r="G31" s="1190">
        <f>G27+G30</f>
        <v>2390.3000000000002</v>
      </c>
      <c r="H31" s="2222"/>
      <c r="I31" s="2222"/>
      <c r="J31" s="2222"/>
      <c r="K31" s="2222"/>
      <c r="L31" s="2222"/>
      <c r="M31" s="2222"/>
      <c r="N31" s="2222"/>
      <c r="O31" s="2222"/>
      <c r="P31" s="2222"/>
    </row>
    <row r="32" spans="1:19" ht="14.25">
      <c r="A32" s="1181"/>
      <c r="B32" s="1181" t="s">
        <v>2710</v>
      </c>
      <c r="C32" s="1181"/>
      <c r="D32" s="1181"/>
      <c r="E32" s="2522">
        <f>SUMIF(C19:C26,"*住宅*",E19:E26)</f>
        <v>1653.4</v>
      </c>
      <c r="F32" s="1181"/>
      <c r="G32" s="1181"/>
      <c r="H32" s="2222"/>
      <c r="I32" s="2222"/>
      <c r="J32" s="2222"/>
      <c r="K32" s="2222"/>
      <c r="L32" s="2222"/>
      <c r="M32" s="2222"/>
      <c r="N32" s="2222"/>
      <c r="O32" s="2222"/>
      <c r="P32" s="2222"/>
    </row>
    <row r="33" spans="4:4">
      <c r="D33" s="222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2" priority="1" stopIfTrue="1" operator="containsText" text="面积有误">
      <formula>NOT(ISERROR(SEARCH("面积有误",E27)))</formula>
    </cfRule>
    <cfRule type="cellIs" dxfId="181" priority="3" stopIfTrue="1" operator="equal">
      <formula>"地下面积有误"</formula>
    </cfRule>
  </conditionalFormatting>
  <conditionalFormatting sqref="F27">
    <cfRule type="cellIs" dxfId="18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10" sqref="N10"/>
    </sheetView>
  </sheetViews>
  <sheetFormatPr defaultColWidth="13.75" defaultRowHeight="12"/>
  <cols>
    <col min="1" max="1" width="20.875" style="1206" customWidth="1"/>
    <col min="2" max="2" width="12" style="1193" customWidth="1"/>
    <col min="3" max="3" width="10.75" style="1193" customWidth="1"/>
    <col min="4" max="4" width="9.125" style="1207" customWidth="1"/>
    <col min="5" max="5" width="15" style="1193" bestFit="1" customWidth="1"/>
    <col min="6" max="10" width="8.875" style="1193" customWidth="1"/>
    <col min="11" max="12" width="12.375" style="1171" customWidth="1"/>
    <col min="13" max="13" width="8.625" style="1193" customWidth="1"/>
    <col min="14" max="14" width="11.875" style="1193" customWidth="1"/>
    <col min="15" max="15" width="8.5" style="1193" customWidth="1"/>
    <col min="16" max="17" width="10.875" style="1193" customWidth="1"/>
    <col min="18" max="19" width="12.5" style="1193" customWidth="1"/>
    <col min="20" max="20" width="12.125" style="1193" customWidth="1"/>
    <col min="21" max="21" width="7.5" style="1193" customWidth="1"/>
    <col min="22" max="22" width="6.375" style="1193" customWidth="1"/>
    <col min="23" max="30" width="6.75" style="1193" customWidth="1"/>
    <col min="31" max="31" width="8" style="1193" customWidth="1"/>
    <col min="32" max="34" width="7.25" style="1193" customWidth="1"/>
    <col min="35" max="39" width="8" style="1193" customWidth="1"/>
    <col min="40" max="40" width="13.75" style="2235"/>
    <col min="41" max="41" width="11.625" style="2235" customWidth="1"/>
    <col min="42" max="42" width="9.75" style="2235" customWidth="1"/>
    <col min="43" max="67" width="13.75" style="2235"/>
    <col min="68" max="16384" width="13.75" style="1193"/>
  </cols>
  <sheetData>
    <row r="1" spans="1:67" ht="19.5" thickBot="1">
      <c r="A1" s="44" t="s">
        <v>672</v>
      </c>
      <c r="B1" s="1192"/>
      <c r="C1" s="2226"/>
      <c r="D1" s="2227"/>
      <c r="E1" s="2226"/>
      <c r="F1" s="2226"/>
      <c r="G1" s="2226"/>
      <c r="H1" s="2226"/>
      <c r="I1" s="2226"/>
      <c r="J1" s="2226"/>
      <c r="K1" s="2228"/>
      <c r="L1" s="2228"/>
      <c r="M1" s="2226"/>
      <c r="N1" s="2226"/>
      <c r="O1" s="2226"/>
      <c r="P1" s="2226"/>
      <c r="Q1" s="2226"/>
      <c r="R1" s="2226"/>
      <c r="S1" s="2226"/>
      <c r="T1" s="2226"/>
      <c r="U1" s="2226"/>
      <c r="V1" s="2226"/>
      <c r="W1" s="2226"/>
      <c r="X1" s="2226"/>
      <c r="Y1" s="2226"/>
      <c r="Z1" s="2226"/>
      <c r="AA1" s="2226"/>
      <c r="AB1" s="2226"/>
      <c r="AC1" s="2226"/>
      <c r="AD1" s="2226"/>
      <c r="AE1" s="2226"/>
      <c r="AF1" s="2226"/>
      <c r="AG1" s="2226"/>
      <c r="AH1" s="2226"/>
      <c r="AI1" s="2226"/>
      <c r="AJ1" s="2226"/>
      <c r="AK1" s="2226"/>
      <c r="AL1" s="2226"/>
      <c r="AM1" s="2226"/>
    </row>
    <row r="2" spans="1:67" s="1195" customFormat="1" ht="15" thickBot="1">
      <c r="A2" s="45" t="s">
        <v>673</v>
      </c>
      <c r="B2" s="2513">
        <f>项目基本情况!D3</f>
        <v>42958</v>
      </c>
      <c r="C2" s="2229"/>
      <c r="D2" s="2230"/>
      <c r="E2" s="2229"/>
      <c r="F2" s="2229"/>
      <c r="G2" s="2229"/>
      <c r="H2" s="2229"/>
      <c r="I2" s="2229"/>
      <c r="J2" s="2229"/>
      <c r="K2" s="2231"/>
      <c r="L2" s="2231"/>
      <c r="M2" s="2229"/>
      <c r="N2" s="2229"/>
      <c r="O2" s="2229"/>
      <c r="P2" s="2229"/>
      <c r="Q2" s="2229"/>
      <c r="R2" s="2229"/>
      <c r="S2" s="2229"/>
      <c r="T2" s="2229"/>
      <c r="U2" s="2229"/>
      <c r="V2" s="2229"/>
      <c r="W2" s="2229"/>
      <c r="X2" s="2229"/>
      <c r="Y2" s="2229"/>
      <c r="Z2" s="2229"/>
      <c r="AA2" s="2229"/>
      <c r="AB2" s="2229"/>
      <c r="AC2" s="2229"/>
      <c r="AD2" s="2229"/>
      <c r="AE2" s="2229"/>
      <c r="AF2" s="2229"/>
      <c r="AG2" s="2229"/>
      <c r="AH2" s="2229"/>
      <c r="AI2" s="2229"/>
      <c r="AJ2" s="2229"/>
      <c r="AK2" s="2229"/>
      <c r="AL2" s="2229"/>
      <c r="AM2" s="2229"/>
      <c r="AN2" s="2236"/>
      <c r="AO2" s="2236"/>
      <c r="AP2" s="2236"/>
      <c r="AQ2" s="2236"/>
      <c r="AR2" s="2236"/>
      <c r="AS2" s="2236"/>
      <c r="AT2" s="2236"/>
      <c r="AU2" s="2236"/>
      <c r="AV2" s="2236"/>
      <c r="AW2" s="2236"/>
      <c r="AX2" s="2236"/>
      <c r="AY2" s="2236"/>
      <c r="AZ2" s="2236"/>
      <c r="BA2" s="2236"/>
      <c r="BB2" s="2236"/>
      <c r="BC2" s="2236"/>
      <c r="BD2" s="2236"/>
      <c r="BE2" s="2236"/>
      <c r="BF2" s="2236"/>
      <c r="BG2" s="2236"/>
      <c r="BH2" s="2236"/>
      <c r="BI2" s="2236"/>
      <c r="BJ2" s="2236"/>
      <c r="BK2" s="2236"/>
      <c r="BL2" s="2236"/>
      <c r="BM2" s="2236"/>
      <c r="BN2" s="2236"/>
      <c r="BO2" s="2236"/>
    </row>
    <row r="3" spans="1:67" s="1195" customFormat="1" ht="14.25" thickBot="1">
      <c r="A3" s="1196"/>
      <c r="B3" s="1194"/>
      <c r="C3" s="2229"/>
      <c r="D3" s="2230"/>
      <c r="E3" s="2229"/>
      <c r="F3" s="2229"/>
      <c r="G3" s="2229"/>
      <c r="H3" s="2229"/>
      <c r="I3" s="2229"/>
      <c r="J3" s="2229"/>
      <c r="K3" s="2231"/>
      <c r="L3" s="2231"/>
      <c r="M3" s="2229"/>
      <c r="N3" s="2229"/>
      <c r="O3" s="2229"/>
      <c r="P3" s="2229"/>
      <c r="Q3" s="2229"/>
      <c r="R3" s="2229"/>
      <c r="S3" s="2229"/>
      <c r="T3" s="2229"/>
      <c r="U3" s="2229"/>
      <c r="V3" s="2229"/>
      <c r="W3" s="2229"/>
      <c r="X3" s="2229"/>
      <c r="Y3" s="2229"/>
      <c r="Z3" s="2229"/>
      <c r="AA3" s="2229"/>
      <c r="AB3" s="2229"/>
      <c r="AC3" s="2229"/>
      <c r="AD3" s="2229"/>
      <c r="AE3" s="2229"/>
      <c r="AF3" s="2229"/>
      <c r="AG3" s="2229"/>
      <c r="AH3" s="2229"/>
      <c r="AI3" s="2229"/>
      <c r="AJ3" s="2229"/>
      <c r="AK3" s="2229"/>
      <c r="AL3" s="2229"/>
      <c r="AM3" s="2229"/>
      <c r="AN3" s="2236"/>
      <c r="AO3" s="2236"/>
      <c r="AP3" s="2236"/>
      <c r="AQ3" s="2236"/>
      <c r="AR3" s="2236"/>
      <c r="AS3" s="2236"/>
      <c r="AT3" s="2236"/>
      <c r="AU3" s="2236"/>
      <c r="AV3" s="2236"/>
      <c r="AW3" s="2236"/>
      <c r="AX3" s="2236"/>
      <c r="AY3" s="2236"/>
      <c r="AZ3" s="2236"/>
      <c r="BA3" s="2236"/>
      <c r="BB3" s="2236"/>
      <c r="BC3" s="2236"/>
      <c r="BD3" s="2236"/>
      <c r="BE3" s="2236"/>
      <c r="BF3" s="2236"/>
      <c r="BG3" s="2236"/>
      <c r="BH3" s="2236"/>
      <c r="BI3" s="2236"/>
      <c r="BJ3" s="2236"/>
      <c r="BK3" s="2236"/>
      <c r="BL3" s="2236"/>
      <c r="BM3" s="2236"/>
      <c r="BN3" s="2236"/>
      <c r="BO3" s="2236"/>
    </row>
    <row r="4" spans="1:67" s="1195" customFormat="1" ht="14.25" thickBot="1">
      <c r="A4" s="46" t="s">
        <v>674</v>
      </c>
      <c r="B4" s="275"/>
      <c r="C4" s="276"/>
      <c r="D4" s="1197"/>
      <c r="E4" s="276" t="s">
        <v>536</v>
      </c>
      <c r="F4" s="276"/>
      <c r="G4" s="276"/>
      <c r="H4" s="276"/>
      <c r="I4" s="276"/>
      <c r="J4" s="277"/>
      <c r="K4" s="1198"/>
      <c r="L4" s="1199"/>
      <c r="M4" s="276"/>
      <c r="N4" s="276" t="s">
        <v>537</v>
      </c>
      <c r="O4" s="276"/>
      <c r="P4" s="276"/>
      <c r="Q4" s="276"/>
      <c r="R4" s="276"/>
      <c r="S4" s="277"/>
      <c r="T4" s="1200" t="str">
        <f>'数据-汇总表'!I17</f>
        <v>按面积比例</v>
      </c>
      <c r="U4" s="275" t="s">
        <v>675</v>
      </c>
      <c r="V4" s="276"/>
      <c r="W4" s="276"/>
      <c r="X4" s="276"/>
      <c r="Y4" s="277"/>
      <c r="Z4" s="34" t="s">
        <v>676</v>
      </c>
      <c r="AA4" s="34"/>
      <c r="AB4" s="34"/>
      <c r="AC4" s="34"/>
      <c r="AD4" s="34"/>
      <c r="AE4" s="29" t="s">
        <v>677</v>
      </c>
      <c r="AF4" s="34"/>
      <c r="AG4" s="63"/>
      <c r="AH4" s="275"/>
      <c r="AI4" s="276"/>
      <c r="AJ4" s="276"/>
      <c r="AK4" s="276"/>
      <c r="AL4" s="276"/>
      <c r="AM4" s="277"/>
      <c r="AN4" s="2236"/>
      <c r="AO4" s="2236"/>
      <c r="AP4" s="2236"/>
      <c r="AQ4" s="2236"/>
      <c r="AR4" s="2236"/>
      <c r="AS4" s="2236"/>
      <c r="AT4" s="2236"/>
      <c r="AU4" s="2236"/>
      <c r="AV4" s="2236"/>
      <c r="AW4" s="2236"/>
      <c r="AX4" s="2236"/>
      <c r="AY4" s="2236"/>
      <c r="AZ4" s="2236"/>
      <c r="BA4" s="2236"/>
      <c r="BB4" s="2236"/>
      <c r="BC4" s="2236"/>
      <c r="BD4" s="2236"/>
      <c r="BE4" s="2236"/>
      <c r="BF4" s="2236"/>
      <c r="BG4" s="2236"/>
      <c r="BH4" s="2236"/>
      <c r="BI4" s="2236"/>
      <c r="BJ4" s="2236"/>
      <c r="BK4" s="2236"/>
      <c r="BL4" s="2236"/>
      <c r="BM4" s="2236"/>
      <c r="BN4" s="2236"/>
      <c r="BO4" s="2236"/>
    </row>
    <row r="5" spans="1:67" s="1202" customFormat="1" ht="54">
      <c r="A5" s="47" t="s">
        <v>2401</v>
      </c>
      <c r="B5" s="48" t="s">
        <v>678</v>
      </c>
      <c r="C5" s="49" t="s">
        <v>679</v>
      </c>
      <c r="D5" s="50" t="s">
        <v>680</v>
      </c>
      <c r="E5" s="51" t="s">
        <v>681</v>
      </c>
      <c r="F5" s="52" t="s">
        <v>682</v>
      </c>
      <c r="G5" s="51" t="s">
        <v>683</v>
      </c>
      <c r="H5" s="51" t="s">
        <v>684</v>
      </c>
      <c r="I5" s="51" t="s">
        <v>685</v>
      </c>
      <c r="J5" s="53" t="s">
        <v>686</v>
      </c>
      <c r="K5" s="54" t="s">
        <v>687</v>
      </c>
      <c r="L5" s="55" t="s">
        <v>688</v>
      </c>
      <c r="M5" s="56" t="s">
        <v>689</v>
      </c>
      <c r="N5" s="1201" t="s">
        <v>80</v>
      </c>
      <c r="O5" s="55" t="s">
        <v>690</v>
      </c>
      <c r="P5" s="57" t="s">
        <v>691</v>
      </c>
      <c r="Q5" s="58" t="s">
        <v>692</v>
      </c>
      <c r="R5" s="273" t="s">
        <v>693</v>
      </c>
      <c r="S5" s="59" t="s">
        <v>2691</v>
      </c>
      <c r="T5" s="274" t="s">
        <v>694</v>
      </c>
      <c r="U5" s="2514" t="s">
        <v>2407</v>
      </c>
      <c r="V5" s="51" t="s">
        <v>695</v>
      </c>
      <c r="W5" s="2515" t="s">
        <v>2408</v>
      </c>
      <c r="X5" s="62"/>
      <c r="Y5" s="60" t="s">
        <v>696</v>
      </c>
      <c r="Z5" s="61" t="s">
        <v>697</v>
      </c>
      <c r="AA5" s="51" t="s">
        <v>695</v>
      </c>
      <c r="AB5" s="2515" t="s">
        <v>2408</v>
      </c>
      <c r="AC5" s="62"/>
      <c r="AD5" s="62" t="s">
        <v>696</v>
      </c>
      <c r="AE5" s="14" t="s">
        <v>538</v>
      </c>
      <c r="AF5" s="51" t="s">
        <v>698</v>
      </c>
      <c r="AG5" s="60" t="s">
        <v>699</v>
      </c>
      <c r="AH5" s="14" t="s">
        <v>2412</v>
      </c>
      <c r="AI5" s="61" t="s">
        <v>2329</v>
      </c>
      <c r="AJ5" s="61" t="s">
        <v>700</v>
      </c>
      <c r="AK5" s="2515" t="s">
        <v>2409</v>
      </c>
      <c r="AL5" s="2515" t="s">
        <v>2410</v>
      </c>
      <c r="AM5" s="360" t="s">
        <v>2411</v>
      </c>
      <c r="AN5" s="2572" t="s">
        <v>2451</v>
      </c>
      <c r="AO5" s="2009" t="s">
        <v>2682</v>
      </c>
      <c r="AP5" s="2888" t="s">
        <v>2692</v>
      </c>
      <c r="AQ5" s="2889" t="s">
        <v>2801</v>
      </c>
      <c r="AR5" s="2889" t="s">
        <v>2802</v>
      </c>
      <c r="AS5" s="2237"/>
      <c r="AT5" s="2237"/>
      <c r="AU5" s="2237"/>
      <c r="AV5" s="2237"/>
      <c r="AW5" s="2237"/>
      <c r="AX5" s="2237"/>
      <c r="AY5" s="2237"/>
      <c r="AZ5" s="2237"/>
      <c r="BA5" s="2237"/>
      <c r="BB5" s="2237"/>
      <c r="BC5" s="2237"/>
      <c r="BD5" s="2237"/>
      <c r="BE5" s="2237"/>
      <c r="BF5" s="2237"/>
      <c r="BG5" s="2237"/>
      <c r="BH5" s="2237"/>
      <c r="BI5" s="2237"/>
      <c r="BJ5" s="2237"/>
      <c r="BK5" s="2237"/>
      <c r="BL5" s="2237"/>
      <c r="BM5" s="2237"/>
      <c r="BN5" s="2237"/>
      <c r="BO5" s="2237"/>
    </row>
    <row r="6" spans="1:67" s="1195" customFormat="1" ht="14.25">
      <c r="A6" s="2512" t="str">
        <f>'数据-汇总表'!C19</f>
        <v>地上住宅</v>
      </c>
      <c r="B6" s="2490" t="str">
        <f>IF(A6=0,"","经营性")</f>
        <v>经营性</v>
      </c>
      <c r="C6" s="39" t="s">
        <v>40</v>
      </c>
      <c r="D6" s="2053">
        <f>SUMIF(项目基本情况!D$12:I$12,C6,项目基本情况!D$14:I$14)</f>
        <v>0</v>
      </c>
      <c r="E6" s="2047">
        <f>IF(B6="","",SUMIF(项目基本情况!D$12:I$12,C6,项目基本情况!D$13:I$13))</f>
        <v>66349</v>
      </c>
      <c r="F6" s="362">
        <f>SUMIF(项目基本情况!D$12:I$12,C6,项目基本情况!D$15:I$15)</f>
        <v>64.08</v>
      </c>
      <c r="G6" s="363">
        <f t="shared" ref="G6:G13" si="0">IF(ISERROR(ROUND(POWER(1+H6,D6-F6)*(POWER(1+H6,F6)-1)/(POWER(1+H6,D6)-1),3)),0,ROUND(POWER(1+H6,D6-F6)*(POWER(1+H6,F6)-1)/(POWER(1+H6,D6)-1),3))</f>
        <v>0</v>
      </c>
      <c r="H6" s="1475">
        <v>3.5000000000000003E-2</v>
      </c>
      <c r="I6" s="1475">
        <v>0.04</v>
      </c>
      <c r="J6" s="364">
        <v>6.5000000000000002E-2</v>
      </c>
      <c r="K6" s="2493">
        <f>SUMIF('数据-汇总表'!C$19:C$33,A6,'数据-汇总表'!E$19:E$33)</f>
        <v>1562.3000000000002</v>
      </c>
      <c r="L6" s="3417">
        <v>1800</v>
      </c>
      <c r="M6" s="365">
        <f t="shared" ref="M6:M14" si="1">ROUND(K6*L6/10000,0)</f>
        <v>281</v>
      </c>
      <c r="N6" s="3418">
        <f>ROUND((1-2/60)*100%,2)</f>
        <v>0.97</v>
      </c>
      <c r="O6" s="365" t="str">
        <f>IF($N$5="成新度","——",ROUND(M6*N6,0))</f>
        <v>——</v>
      </c>
      <c r="P6" s="366" t="str">
        <f>IF($N$5="成新度","——",M6-O6)</f>
        <v>——</v>
      </c>
      <c r="Q6" s="1477">
        <v>0.05</v>
      </c>
      <c r="R6" s="367">
        <f ca="1">SUMIF('数据-汇总表'!C$19:C$33,A6,'数据-汇总表'!R$19:R$27)</f>
        <v>470.9</v>
      </c>
      <c r="S6" s="343">
        <f>IF('数据-汇总表'!$I$17="按面积比例",SUMIF('数据-汇总表'!C$19:C$33,A6,'数据-汇总表'!K$19:K$33),SUMIF('数据-汇总表'!C$19:C$33,A6,'数据-汇总表'!N$19:N$33))</f>
        <v>0</v>
      </c>
      <c r="T6" s="2887">
        <f>ROUND($L$14*S6/10000,0)</f>
        <v>0</v>
      </c>
      <c r="U6" s="368">
        <v>1800</v>
      </c>
      <c r="V6" s="369">
        <v>2.5000000000000001E-2</v>
      </c>
      <c r="W6" s="369">
        <v>0.1</v>
      </c>
      <c r="X6" s="2503"/>
      <c r="Y6" s="370"/>
      <c r="Z6" s="371"/>
      <c r="AA6" s="364"/>
      <c r="AB6" s="364"/>
      <c r="AC6" s="2503"/>
      <c r="AD6" s="372"/>
      <c r="AE6" s="2504" t="e">
        <f ca="1">IF(AN6="",0,SUMIF(INDIRECT("'"&amp;AN6&amp;"'"&amp;"!E:E"),$AE$5,INDIRECT("'"&amp;AN6&amp;"'"&amp;"!F:F")))</f>
        <v>#REF!</v>
      </c>
      <c r="AF6" s="352"/>
      <c r="AG6" s="478">
        <f>IF(AF6="",0,AE6-AF6)</f>
        <v>0</v>
      </c>
      <c r="AH6" s="373"/>
      <c r="AI6" s="375"/>
      <c r="AJ6" s="376"/>
      <c r="AK6" s="377">
        <v>1.4999999999999999E-2</v>
      </c>
      <c r="AL6" s="378">
        <v>2E-3</v>
      </c>
      <c r="AM6" s="379">
        <v>0.01</v>
      </c>
      <c r="AN6" s="2573" t="s">
        <v>3126</v>
      </c>
      <c r="AO6" s="344" t="e">
        <f ca="1">SUMIF(INDIRECT("'"&amp;AN6&amp;"'"&amp;"!A:A"),"总价",INDIRECT("'"&amp;AN6&amp;"'"&amp;"!B:B"))</f>
        <v>#REF!</v>
      </c>
      <c r="AP6" s="2890">
        <f>IF(C6="住宅",K6*L6,0)</f>
        <v>2812140.0000000005</v>
      </c>
      <c r="AQ6" s="344">
        <f>ROUND($L$14*$N$14*S6/10000,0)</f>
        <v>0</v>
      </c>
      <c r="AR6" s="344">
        <f>ROUND($L$14*(1-$N$14)*S6/10000,0)</f>
        <v>0</v>
      </c>
      <c r="AS6" s="2236"/>
      <c r="AT6" s="2236"/>
      <c r="AU6" s="2236"/>
      <c r="AV6" s="2236"/>
      <c r="AW6" s="2236"/>
      <c r="AX6" s="2236"/>
      <c r="AY6" s="2236"/>
      <c r="AZ6" s="2236"/>
      <c r="BA6" s="2236"/>
      <c r="BB6" s="2236"/>
      <c r="BC6" s="2236"/>
      <c r="BD6" s="2236"/>
      <c r="BE6" s="2236"/>
      <c r="BF6" s="2236"/>
      <c r="BG6" s="2236"/>
      <c r="BH6" s="2236"/>
      <c r="BI6" s="2236"/>
      <c r="BJ6" s="2236"/>
      <c r="BK6" s="2236"/>
      <c r="BL6" s="2236"/>
      <c r="BM6" s="2236"/>
      <c r="BN6" s="2236"/>
      <c r="BO6" s="2236"/>
    </row>
    <row r="7" spans="1:67" s="1195" customFormat="1" ht="14.25">
      <c r="A7" s="2512" t="str">
        <f>'数据-汇总表'!C20</f>
        <v>地上住宅DK1-1-10703</v>
      </c>
      <c r="B7" s="2490" t="str">
        <f t="shared" ref="B7:B13" si="2">IF(A7=0,"","经营性")</f>
        <v>经营性</v>
      </c>
      <c r="C7" s="3415" t="s">
        <v>40</v>
      </c>
      <c r="D7" s="2053">
        <f>SUMIF(项目基本情况!D$12:I$12,C7,项目基本情况!D$14:I$14)</f>
        <v>0</v>
      </c>
      <c r="E7" s="2047">
        <f>IF(B7="","",SUMIF(项目基本情况!D$12:I$12,C7,项目基本情况!D$13:I$13))</f>
        <v>66349</v>
      </c>
      <c r="F7" s="362">
        <f>SUMIF(项目基本情况!D$12:I$12,C7,项目基本情况!D$15:I$15)</f>
        <v>64.08</v>
      </c>
      <c r="G7" s="363">
        <f t="shared" si="0"/>
        <v>0</v>
      </c>
      <c r="H7" s="1475">
        <v>3.5000000000000003E-2</v>
      </c>
      <c r="I7" s="1475">
        <v>0.04</v>
      </c>
      <c r="J7" s="364">
        <v>6.5000000000000002E-2</v>
      </c>
      <c r="K7" s="2493">
        <f>SUMIF('数据-汇总表'!C$19:C$33,A7,'数据-汇总表'!E$19:E$33)</f>
        <v>91.1</v>
      </c>
      <c r="L7" s="3417">
        <v>1800</v>
      </c>
      <c r="M7" s="365">
        <f t="shared" si="1"/>
        <v>16</v>
      </c>
      <c r="N7" s="3418">
        <f>ROUND((1-2/60)*100%,2)</f>
        <v>0.97</v>
      </c>
      <c r="O7" s="365" t="str">
        <f t="shared" ref="O7:O14" si="3">IF($N$5="成新度","——",ROUND(M7*N7,0))</f>
        <v>——</v>
      </c>
      <c r="P7" s="366" t="str">
        <f t="shared" ref="P7:P14" si="4">IF($N$5="成新度","——",M7-O7)</f>
        <v>——</v>
      </c>
      <c r="Q7" s="1477">
        <v>0.05</v>
      </c>
      <c r="R7" s="367">
        <f ca="1">SUMIF('数据-汇总表'!C$19:C$33,A7,'数据-汇总表'!R$19:R$27)</f>
        <v>27.46</v>
      </c>
      <c r="S7" s="343">
        <f>IF('数据-汇总表'!$I$17="按面积比例",SUMIF('数据-汇总表'!C$19:C$33,A7,'数据-汇总表'!K$19:K$33),SUMIF('数据-汇总表'!C$19:C$33,A7,'数据-汇总表'!N$19:N$33))</f>
        <v>0</v>
      </c>
      <c r="T7" s="2887">
        <f t="shared" ref="T7:T13" si="5">ROUND($L$14*S7/10000,0)</f>
        <v>0</v>
      </c>
      <c r="U7" s="368">
        <v>1800</v>
      </c>
      <c r="V7" s="369">
        <v>2.5000000000000001E-2</v>
      </c>
      <c r="W7" s="369">
        <v>0.1</v>
      </c>
      <c r="X7" s="2503"/>
      <c r="Y7" s="370">
        <v>0.95</v>
      </c>
      <c r="Z7" s="371"/>
      <c r="AA7" s="364"/>
      <c r="AB7" s="364"/>
      <c r="AC7" s="2503"/>
      <c r="AD7" s="372"/>
      <c r="AE7" s="2504">
        <f t="shared" ref="AE7:AE13" ca="1" si="6">IF(AN7="",0,SUMIF(INDIRECT("'"&amp;AN7&amp;"'"&amp;"!E:E"),$AE$5,INDIRECT("'"&amp;AN7&amp;"'"&amp;"!F:F")))</f>
        <v>58</v>
      </c>
      <c r="AF7" s="352"/>
      <c r="AG7" s="478">
        <f t="shared" ref="AG7:AG13" si="7">IF(AF7="",0,AE7-AF7)</f>
        <v>0</v>
      </c>
      <c r="AH7" s="373">
        <v>1</v>
      </c>
      <c r="AI7" s="375">
        <v>12</v>
      </c>
      <c r="AJ7" s="376"/>
      <c r="AK7" s="377">
        <v>1.4999999999999999E-2</v>
      </c>
      <c r="AL7" s="378">
        <v>2E-3</v>
      </c>
      <c r="AM7" s="379">
        <v>0.01</v>
      </c>
      <c r="AN7" s="2573" t="s">
        <v>3274</v>
      </c>
      <c r="AO7" s="344">
        <f t="shared" ref="AO7:AO13" ca="1" si="8">SUMIF(INDIRECT("'"&amp;AN7&amp;"'"&amp;"!A:A"),"总价",INDIRECT("'"&amp;AN7&amp;"'"&amp;"!B:B"))</f>
        <v>45</v>
      </c>
      <c r="AP7" s="2890">
        <f t="shared" ref="AP7:AP13" si="9">IF(C7="住宅",K7*L7,0)</f>
        <v>163980</v>
      </c>
      <c r="AQ7" s="344">
        <f t="shared" ref="AQ7:AQ13" si="10">ROUND($L$14*$N$14*S7/10000,0)</f>
        <v>0</v>
      </c>
      <c r="AR7" s="344">
        <f t="shared" ref="AR7:AR13" si="11">ROUND($L$14*(1-$N$14)*S7/10000,0)</f>
        <v>0</v>
      </c>
      <c r="AS7" s="2236"/>
      <c r="AT7" s="2236"/>
      <c r="AU7" s="2236"/>
      <c r="AV7" s="2236"/>
      <c r="AW7" s="2236"/>
      <c r="AX7" s="2236"/>
      <c r="AY7" s="2236"/>
      <c r="AZ7" s="2236"/>
      <c r="BA7" s="2236"/>
      <c r="BB7" s="2236"/>
      <c r="BC7" s="2236"/>
      <c r="BD7" s="2236"/>
      <c r="BE7" s="2236"/>
      <c r="BF7" s="2236"/>
      <c r="BG7" s="2236"/>
      <c r="BH7" s="2236"/>
      <c r="BI7" s="2236"/>
      <c r="BJ7" s="2236"/>
      <c r="BK7" s="2236"/>
      <c r="BL7" s="2236"/>
      <c r="BM7" s="2236"/>
      <c r="BN7" s="2236"/>
      <c r="BO7" s="2236"/>
    </row>
    <row r="8" spans="1:67" s="1195" customFormat="1" ht="14.25">
      <c r="A8" s="2512" t="str">
        <f>'数据-汇总表'!C21</f>
        <v>地下车库</v>
      </c>
      <c r="B8" s="2490" t="str">
        <f t="shared" si="2"/>
        <v>经营性</v>
      </c>
      <c r="C8" s="39" t="s">
        <v>3089</v>
      </c>
      <c r="D8" s="2053">
        <f>SUMIF(项目基本情况!D$12:I$12,C8,项目基本情况!D$14:I$14)</f>
        <v>0</v>
      </c>
      <c r="E8" s="2047">
        <f>IF(B8="","",SUMIF(项目基本情况!D$12:I$12,C8,项目基本情况!D$13:I$13))</f>
        <v>59044</v>
      </c>
      <c r="F8" s="362">
        <f>SUMIF(项目基本情况!D$12:I$12,C8,项目基本情况!D$15:I$15)</f>
        <v>44.07</v>
      </c>
      <c r="G8" s="363">
        <f t="shared" si="0"/>
        <v>0</v>
      </c>
      <c r="H8" s="1475">
        <v>4.4999999999999998E-2</v>
      </c>
      <c r="I8" s="1475">
        <v>0.05</v>
      </c>
      <c r="J8" s="364">
        <v>7.4999999999999997E-2</v>
      </c>
      <c r="K8" s="2493">
        <f>SUMIF('数据-汇总表'!C$19:C$33,A8,'数据-汇总表'!E$19:E$33)</f>
        <v>2360.79</v>
      </c>
      <c r="L8" s="3417">
        <v>1800</v>
      </c>
      <c r="M8" s="365">
        <f>ROUND(K8*L8/10000,0)</f>
        <v>425</v>
      </c>
      <c r="N8" s="3418">
        <f>ROUND((1-2/60)*100%,2)</f>
        <v>0.97</v>
      </c>
      <c r="O8" s="365" t="str">
        <f t="shared" si="3"/>
        <v>——</v>
      </c>
      <c r="P8" s="366" t="str">
        <f t="shared" si="4"/>
        <v>——</v>
      </c>
      <c r="Q8" s="1477">
        <v>0.1</v>
      </c>
      <c r="R8" s="367">
        <f ca="1">SUMIF('数据-汇总表'!C$19:C$33,A8,'数据-汇总表'!R$19:R$27)</f>
        <v>711.58</v>
      </c>
      <c r="S8" s="343">
        <f>IF('数据-汇总表'!$I$17="按面积比例",SUMIF('数据-汇总表'!C$19:C$33,A8,'数据-汇总表'!K$19:K$33),SUMIF('数据-汇总表'!C$19:C$33,A8,'数据-汇总表'!N$19:N$33))</f>
        <v>0</v>
      </c>
      <c r="T8" s="2887">
        <f t="shared" si="5"/>
        <v>0</v>
      </c>
      <c r="U8" s="1478">
        <v>350</v>
      </c>
      <c r="V8" s="1479">
        <v>0.02</v>
      </c>
      <c r="W8" s="1479">
        <v>0.15</v>
      </c>
      <c r="X8" s="2503"/>
      <c r="Y8" s="1480"/>
      <c r="Z8" s="371"/>
      <c r="AA8" s="364"/>
      <c r="AB8" s="364"/>
      <c r="AC8" s="2503"/>
      <c r="AD8" s="372"/>
      <c r="AE8" s="2504">
        <f t="shared" ca="1" si="6"/>
        <v>0</v>
      </c>
      <c r="AF8" s="352"/>
      <c r="AG8" s="478">
        <f t="shared" si="7"/>
        <v>0</v>
      </c>
      <c r="AH8" s="1481"/>
      <c r="AI8" s="375"/>
      <c r="AJ8" s="376"/>
      <c r="AK8" s="377">
        <v>1.4999999999999999E-2</v>
      </c>
      <c r="AL8" s="378">
        <v>2E-3</v>
      </c>
      <c r="AM8" s="379">
        <v>0.01</v>
      </c>
      <c r="AN8" s="2573"/>
      <c r="AO8" s="344" t="e">
        <f t="shared" ca="1" si="8"/>
        <v>#REF!</v>
      </c>
      <c r="AP8" s="2890">
        <f t="shared" si="9"/>
        <v>0</v>
      </c>
      <c r="AQ8" s="344">
        <f t="shared" si="10"/>
        <v>0</v>
      </c>
      <c r="AR8" s="344">
        <f t="shared" si="11"/>
        <v>0</v>
      </c>
      <c r="AS8" s="2236"/>
      <c r="AT8" s="2236"/>
      <c r="AU8" s="2236"/>
      <c r="AV8" s="2236"/>
      <c r="AW8" s="2236"/>
      <c r="AX8" s="2236"/>
      <c r="AY8" s="2236"/>
      <c r="AZ8" s="2236"/>
      <c r="BA8" s="2236"/>
      <c r="BB8" s="2236"/>
      <c r="BC8" s="2236"/>
      <c r="BD8" s="2236"/>
      <c r="BE8" s="2236"/>
      <c r="BF8" s="2236"/>
      <c r="BG8" s="2236"/>
      <c r="BH8" s="2236"/>
      <c r="BI8" s="2236"/>
      <c r="BJ8" s="2236"/>
      <c r="BK8" s="2236"/>
      <c r="BL8" s="2236"/>
      <c r="BM8" s="2236"/>
      <c r="BN8" s="2236"/>
      <c r="BO8" s="2236"/>
    </row>
    <row r="9" spans="1:67" s="1195" customFormat="1" ht="14.25">
      <c r="A9" s="2512" t="str">
        <f>'数据-汇总表'!C22</f>
        <v>地下车库1F101</v>
      </c>
      <c r="B9" s="2490" t="str">
        <f t="shared" si="2"/>
        <v>经营性</v>
      </c>
      <c r="C9" s="39" t="s">
        <v>3089</v>
      </c>
      <c r="D9" s="2053">
        <f>SUMIF(项目基本情况!D$12:I$12,C9,项目基本情况!D$14:I$14)</f>
        <v>0</v>
      </c>
      <c r="E9" s="2047">
        <f>IF(B9="","",SUMIF(项目基本情况!D$12:I$12,C9,项目基本情况!D$13:I$13))</f>
        <v>59044</v>
      </c>
      <c r="F9" s="362">
        <f>SUMIF(项目基本情况!D$12:I$12,C9,项目基本情况!D$15:I$15)</f>
        <v>44.07</v>
      </c>
      <c r="G9" s="363">
        <f t="shared" si="0"/>
        <v>0</v>
      </c>
      <c r="H9" s="1475">
        <v>4.4999999999999998E-2</v>
      </c>
      <c r="I9" s="1475">
        <v>0.05</v>
      </c>
      <c r="J9" s="364">
        <v>7.4999999999999997E-2</v>
      </c>
      <c r="K9" s="2493">
        <f>SUMIF('数据-汇总表'!C$19:C$33,A9,'数据-汇总表'!E$19:E$33)</f>
        <v>29.51</v>
      </c>
      <c r="L9" s="3417">
        <v>1800</v>
      </c>
      <c r="M9" s="365">
        <f t="shared" si="1"/>
        <v>5</v>
      </c>
      <c r="N9" s="3418">
        <f>ROUND((1-2/60)*100%,2)</f>
        <v>0.97</v>
      </c>
      <c r="O9" s="365" t="str">
        <f t="shared" si="3"/>
        <v>——</v>
      </c>
      <c r="P9" s="366" t="str">
        <f t="shared" si="4"/>
        <v>——</v>
      </c>
      <c r="Q9" s="380">
        <v>0.1</v>
      </c>
      <c r="R9" s="367">
        <f ca="1">SUMIF('数据-汇总表'!C$19:C$33,A9,'数据-汇总表'!R$19:R$27)</f>
        <v>8.89</v>
      </c>
      <c r="S9" s="343">
        <f>IF('数据-汇总表'!$I$17="按面积比例",SUMIF('数据-汇总表'!C$19:C$33,A9,'数据-汇总表'!K$19:K$33),SUMIF('数据-汇总表'!C$19:C$33,A9,'数据-汇总表'!N$19:N$33))</f>
        <v>0</v>
      </c>
      <c r="T9" s="2887">
        <f t="shared" si="5"/>
        <v>0</v>
      </c>
      <c r="U9" s="368">
        <v>350</v>
      </c>
      <c r="V9" s="369">
        <v>2.5000000000000001E-2</v>
      </c>
      <c r="W9" s="369">
        <v>0.15</v>
      </c>
      <c r="X9" s="2503"/>
      <c r="Y9" s="370">
        <v>0.95</v>
      </c>
      <c r="Z9" s="371"/>
      <c r="AA9" s="364"/>
      <c r="AB9" s="364"/>
      <c r="AC9" s="2503"/>
      <c r="AD9" s="372"/>
      <c r="AE9" s="2504">
        <f t="shared" ca="1" si="6"/>
        <v>44.07</v>
      </c>
      <c r="AF9" s="352"/>
      <c r="AG9" s="478">
        <f t="shared" si="7"/>
        <v>0</v>
      </c>
      <c r="AH9" s="373">
        <v>1</v>
      </c>
      <c r="AI9" s="375">
        <v>12</v>
      </c>
      <c r="AJ9" s="376"/>
      <c r="AK9" s="377">
        <v>1.4999999999999999E-2</v>
      </c>
      <c r="AL9" s="378">
        <v>2E-3</v>
      </c>
      <c r="AM9" s="379">
        <v>0.01</v>
      </c>
      <c r="AN9" s="2573" t="s">
        <v>3128</v>
      </c>
      <c r="AO9" s="344">
        <f t="shared" ca="1" si="8"/>
        <v>6</v>
      </c>
      <c r="AP9" s="2890">
        <f t="shared" si="9"/>
        <v>0</v>
      </c>
      <c r="AQ9" s="344">
        <f t="shared" si="10"/>
        <v>0</v>
      </c>
      <c r="AR9" s="344">
        <f t="shared" si="11"/>
        <v>0</v>
      </c>
      <c r="AS9" s="2236"/>
      <c r="AT9" s="2236"/>
      <c r="AU9" s="2236"/>
      <c r="AV9" s="2236"/>
      <c r="AW9" s="2236"/>
      <c r="AX9" s="2236"/>
      <c r="AY9" s="2236"/>
      <c r="AZ9" s="2236"/>
      <c r="BA9" s="2236"/>
      <c r="BB9" s="2236"/>
      <c r="BC9" s="2236"/>
      <c r="BD9" s="2236"/>
      <c r="BE9" s="2236"/>
      <c r="BF9" s="2236"/>
      <c r="BG9" s="2236"/>
      <c r="BH9" s="2236"/>
      <c r="BI9" s="2236"/>
      <c r="BJ9" s="2236"/>
      <c r="BK9" s="2236"/>
      <c r="BL9" s="2236"/>
      <c r="BM9" s="2236"/>
      <c r="BN9" s="2236"/>
      <c r="BO9" s="2236"/>
    </row>
    <row r="10" spans="1:67" s="1195" customFormat="1" ht="14.25">
      <c r="A10" s="2512">
        <f>'数据-汇总表'!C23</f>
        <v>0</v>
      </c>
      <c r="B10" s="2490" t="str">
        <f t="shared" si="2"/>
        <v/>
      </c>
      <c r="C10" s="39"/>
      <c r="D10" s="2053">
        <f>SUMIF(项目基本情况!D$12:I$12,C10,项目基本情况!D$14:I$14)</f>
        <v>0</v>
      </c>
      <c r="E10" s="2047" t="str">
        <f>IF(B10="","",SUMIF(项目基本情况!D$12:I$12,C10,项目基本情况!D$13:I$13))</f>
        <v/>
      </c>
      <c r="F10" s="362">
        <f>SUMIF(项目基本情况!D$12:I$12,C10,项目基本情况!D$15:I$15)</f>
        <v>0</v>
      </c>
      <c r="G10" s="363">
        <f t="shared" si="0"/>
        <v>0</v>
      </c>
      <c r="H10" s="364"/>
      <c r="I10" s="364"/>
      <c r="J10" s="364"/>
      <c r="K10" s="2493">
        <f>SUMIF('数据-汇总表'!C$19:C$33,A10,'数据-汇总表'!E$19:E$33)</f>
        <v>0</v>
      </c>
      <c r="L10" s="1476"/>
      <c r="M10" s="365">
        <f t="shared" si="1"/>
        <v>0</v>
      </c>
      <c r="N10" s="1474"/>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87">
        <f t="shared" si="5"/>
        <v>0</v>
      </c>
      <c r="U10" s="368"/>
      <c r="V10" s="369"/>
      <c r="W10" s="369"/>
      <c r="X10" s="2503"/>
      <c r="Y10" s="370"/>
      <c r="Z10" s="371"/>
      <c r="AA10" s="364"/>
      <c r="AB10" s="364"/>
      <c r="AC10" s="2503"/>
      <c r="AD10" s="372"/>
      <c r="AE10" s="2504">
        <f t="shared" ca="1" si="6"/>
        <v>0</v>
      </c>
      <c r="AF10" s="352"/>
      <c r="AG10" s="478">
        <f t="shared" si="7"/>
        <v>0</v>
      </c>
      <c r="AH10" s="373"/>
      <c r="AI10" s="375">
        <v>12</v>
      </c>
      <c r="AJ10" s="376"/>
      <c r="AK10" s="377"/>
      <c r="AL10" s="378"/>
      <c r="AM10" s="379"/>
      <c r="AN10" s="2573"/>
      <c r="AO10" s="344" t="e">
        <f t="shared" ca="1" si="8"/>
        <v>#REF!</v>
      </c>
      <c r="AP10" s="2890">
        <f t="shared" si="9"/>
        <v>0</v>
      </c>
      <c r="AQ10" s="344">
        <f t="shared" si="10"/>
        <v>0</v>
      </c>
      <c r="AR10" s="344">
        <f t="shared" si="11"/>
        <v>0</v>
      </c>
      <c r="AS10" s="2236"/>
      <c r="AT10" s="2236"/>
      <c r="AU10" s="2236"/>
      <c r="AV10" s="2236"/>
      <c r="AW10" s="2236"/>
      <c r="AX10" s="2236"/>
      <c r="AY10" s="2236"/>
      <c r="AZ10" s="2236"/>
      <c r="BA10" s="2236"/>
      <c r="BB10" s="2236"/>
      <c r="BC10" s="2236"/>
      <c r="BD10" s="2236"/>
      <c r="BE10" s="2236"/>
      <c r="BF10" s="2236"/>
      <c r="BG10" s="2236"/>
      <c r="BH10" s="2236"/>
      <c r="BI10" s="2236"/>
      <c r="BJ10" s="2236"/>
      <c r="BK10" s="2236"/>
      <c r="BL10" s="2236"/>
      <c r="BM10" s="2236"/>
      <c r="BN10" s="2236"/>
      <c r="BO10" s="2236"/>
    </row>
    <row r="11" spans="1:67" s="1195" customFormat="1" ht="14.25">
      <c r="A11" s="2512">
        <f>'数据-汇总表'!C24</f>
        <v>0</v>
      </c>
      <c r="B11" s="2490" t="str">
        <f t="shared" si="2"/>
        <v/>
      </c>
      <c r="C11" s="39"/>
      <c r="D11" s="2053">
        <f>SUMIF(项目基本情况!D$12:I$12,C11,项目基本情况!D$14:I$14)</f>
        <v>0</v>
      </c>
      <c r="E11" s="2047" t="str">
        <f>IF(B11="","",SUMIF(项目基本情况!D$12:I$12,C11,项目基本情况!D$13:I$13))</f>
        <v/>
      </c>
      <c r="F11" s="362">
        <f>SUMIF(项目基本情况!D$12:I$12,C11,项目基本情况!D$15:I$15)</f>
        <v>0</v>
      </c>
      <c r="G11" s="363">
        <f t="shared" si="0"/>
        <v>0</v>
      </c>
      <c r="H11" s="364"/>
      <c r="I11" s="364"/>
      <c r="J11" s="364"/>
      <c r="K11" s="2493">
        <f>SUMIF('数据-汇总表'!C$19:C$33,A11,'数据-汇总表'!E$19:E$33)</f>
        <v>0</v>
      </c>
      <c r="L11" s="381"/>
      <c r="M11" s="365">
        <f t="shared" si="1"/>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87">
        <f t="shared" si="5"/>
        <v>0</v>
      </c>
      <c r="U11" s="373"/>
      <c r="V11" s="364"/>
      <c r="W11" s="364"/>
      <c r="X11" s="2503"/>
      <c r="Y11" s="370"/>
      <c r="Z11" s="383"/>
      <c r="AA11" s="364"/>
      <c r="AB11" s="364"/>
      <c r="AC11" s="2503"/>
      <c r="AD11" s="372"/>
      <c r="AE11" s="2504">
        <f t="shared" ca="1" si="6"/>
        <v>0</v>
      </c>
      <c r="AF11" s="352"/>
      <c r="AG11" s="478">
        <f t="shared" si="7"/>
        <v>0</v>
      </c>
      <c r="AH11" s="373"/>
      <c r="AI11" s="375"/>
      <c r="AJ11" s="376"/>
      <c r="AK11" s="384"/>
      <c r="AL11" s="385"/>
      <c r="AM11" s="386"/>
      <c r="AN11" s="2573"/>
      <c r="AO11" s="344" t="e">
        <f t="shared" ca="1" si="8"/>
        <v>#REF!</v>
      </c>
      <c r="AP11" s="2890">
        <f t="shared" si="9"/>
        <v>0</v>
      </c>
      <c r="AQ11" s="344">
        <f t="shared" si="10"/>
        <v>0</v>
      </c>
      <c r="AR11" s="344">
        <f t="shared" si="11"/>
        <v>0</v>
      </c>
      <c r="AS11" s="2236"/>
      <c r="AT11" s="2236"/>
      <c r="AU11" s="2236"/>
      <c r="AV11" s="2236"/>
      <c r="AW11" s="2236"/>
      <c r="AX11" s="2236"/>
      <c r="AY11" s="2236"/>
      <c r="AZ11" s="2236"/>
      <c r="BA11" s="2236"/>
      <c r="BB11" s="2236"/>
      <c r="BC11" s="2236"/>
      <c r="BD11" s="2236"/>
      <c r="BE11" s="2236"/>
      <c r="BF11" s="2236"/>
      <c r="BG11" s="2236"/>
      <c r="BH11" s="2236"/>
      <c r="BI11" s="2236"/>
      <c r="BJ11" s="2236"/>
      <c r="BK11" s="2236"/>
      <c r="BL11" s="2236"/>
      <c r="BM11" s="2236"/>
      <c r="BN11" s="2236"/>
      <c r="BO11" s="2236"/>
    </row>
    <row r="12" spans="1:67" s="1195" customFormat="1" ht="14.25">
      <c r="A12" s="2512">
        <f>'数据-汇总表'!C25</f>
        <v>0</v>
      </c>
      <c r="B12" s="2490" t="str">
        <f t="shared" si="2"/>
        <v/>
      </c>
      <c r="C12" s="39"/>
      <c r="D12" s="2053">
        <f>SUMIF(项目基本情况!D$12:I$12,C12,项目基本情况!D$14:I$14)</f>
        <v>0</v>
      </c>
      <c r="E12" s="2047" t="str">
        <f>IF(B12="","",SUMIF(项目基本情况!D$12:I$12,C12,项目基本情况!D$13:I$13))</f>
        <v/>
      </c>
      <c r="F12" s="362">
        <f>SUMIF(项目基本情况!D$12:I$12,C12,项目基本情况!D$15:I$15)</f>
        <v>0</v>
      </c>
      <c r="G12" s="363">
        <f t="shared" si="0"/>
        <v>0</v>
      </c>
      <c r="H12" s="364"/>
      <c r="I12" s="364"/>
      <c r="J12" s="364"/>
      <c r="K12" s="2493">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87">
        <f t="shared" si="5"/>
        <v>0</v>
      </c>
      <c r="U12" s="373"/>
      <c r="V12" s="364"/>
      <c r="W12" s="364"/>
      <c r="X12" s="2503"/>
      <c r="Y12" s="370"/>
      <c r="Z12" s="383"/>
      <c r="AA12" s="364"/>
      <c r="AB12" s="364"/>
      <c r="AC12" s="2503"/>
      <c r="AD12" s="372"/>
      <c r="AE12" s="2504">
        <f t="shared" ca="1" si="6"/>
        <v>0</v>
      </c>
      <c r="AF12" s="352"/>
      <c r="AG12" s="478">
        <f t="shared" si="7"/>
        <v>0</v>
      </c>
      <c r="AH12" s="373"/>
      <c r="AI12" s="375"/>
      <c r="AJ12" s="376"/>
      <c r="AK12" s="384"/>
      <c r="AL12" s="385"/>
      <c r="AM12" s="386"/>
      <c r="AN12" s="2573"/>
      <c r="AO12" s="344" t="e">
        <f t="shared" ca="1" si="8"/>
        <v>#REF!</v>
      </c>
      <c r="AP12" s="2890">
        <f t="shared" si="9"/>
        <v>0</v>
      </c>
      <c r="AQ12" s="344">
        <f t="shared" si="10"/>
        <v>0</v>
      </c>
      <c r="AR12" s="344">
        <f t="shared" si="11"/>
        <v>0</v>
      </c>
      <c r="AS12" s="2236"/>
      <c r="AT12" s="2236"/>
      <c r="AU12" s="2236"/>
      <c r="AV12" s="2236"/>
      <c r="AW12" s="2236"/>
      <c r="AX12" s="2236"/>
      <c r="AY12" s="2236"/>
      <c r="AZ12" s="2236"/>
      <c r="BA12" s="2236"/>
      <c r="BB12" s="2236"/>
      <c r="BC12" s="2236"/>
      <c r="BD12" s="2236"/>
      <c r="BE12" s="2236"/>
      <c r="BF12" s="2236"/>
      <c r="BG12" s="2236"/>
      <c r="BH12" s="2236"/>
      <c r="BI12" s="2236"/>
      <c r="BJ12" s="2236"/>
      <c r="BK12" s="2236"/>
      <c r="BL12" s="2236"/>
      <c r="BM12" s="2236"/>
      <c r="BN12" s="2236"/>
      <c r="BO12" s="2236"/>
    </row>
    <row r="13" spans="1:67" s="1195" customFormat="1" ht="14.25">
      <c r="A13" s="2512">
        <f>'数据-汇总表'!C26</f>
        <v>0</v>
      </c>
      <c r="B13" s="2490" t="str">
        <f t="shared" si="2"/>
        <v/>
      </c>
      <c r="C13" s="39"/>
      <c r="D13" s="2053">
        <f>SUMIF(项目基本情况!D$12:I$12,C13,项目基本情况!D$14:I$14)</f>
        <v>0</v>
      </c>
      <c r="E13" s="2047" t="str">
        <f>IF(B13="","",SUMIF(项目基本情况!D$12:I$12,C13,项目基本情况!D$13:I$13))</f>
        <v/>
      </c>
      <c r="F13" s="362">
        <f>SUMIF(项目基本情况!D$12:I$12,C13,项目基本情况!D$15:I$15)</f>
        <v>0</v>
      </c>
      <c r="G13" s="363">
        <f t="shared" si="0"/>
        <v>0</v>
      </c>
      <c r="H13" s="364"/>
      <c r="I13" s="364"/>
      <c r="J13" s="364"/>
      <c r="K13" s="2493">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87">
        <f t="shared" si="5"/>
        <v>0</v>
      </c>
      <c r="U13" s="368"/>
      <c r="V13" s="369"/>
      <c r="W13" s="369"/>
      <c r="X13" s="2503"/>
      <c r="Y13" s="370"/>
      <c r="Z13" s="371"/>
      <c r="AA13" s="364"/>
      <c r="AB13" s="364"/>
      <c r="AC13" s="2503"/>
      <c r="AD13" s="372"/>
      <c r="AE13" s="2504">
        <f t="shared" ca="1" si="6"/>
        <v>0</v>
      </c>
      <c r="AF13" s="352"/>
      <c r="AG13" s="478">
        <f t="shared" si="7"/>
        <v>0</v>
      </c>
      <c r="AH13" s="373"/>
      <c r="AI13" s="375"/>
      <c r="AJ13" s="376"/>
      <c r="AK13" s="377"/>
      <c r="AL13" s="378"/>
      <c r="AM13" s="379"/>
      <c r="AN13" s="2573"/>
      <c r="AO13" s="344" t="e">
        <f t="shared" ca="1" si="8"/>
        <v>#REF!</v>
      </c>
      <c r="AP13" s="2890">
        <f t="shared" si="9"/>
        <v>0</v>
      </c>
      <c r="AQ13" s="344">
        <f t="shared" si="10"/>
        <v>0</v>
      </c>
      <c r="AR13" s="344">
        <f t="shared" si="11"/>
        <v>0</v>
      </c>
      <c r="AS13" s="2236"/>
      <c r="AT13" s="2236"/>
      <c r="AU13" s="2236"/>
      <c r="AV13" s="2236"/>
      <c r="AW13" s="2236"/>
      <c r="AX13" s="2236"/>
      <c r="AY13" s="2236"/>
      <c r="AZ13" s="2236"/>
      <c r="BA13" s="2236"/>
      <c r="BB13" s="2236"/>
      <c r="BC13" s="2236"/>
      <c r="BD13" s="2236"/>
      <c r="BE13" s="2236"/>
      <c r="BF13" s="2236"/>
      <c r="BG13" s="2236"/>
      <c r="BH13" s="2236"/>
      <c r="BI13" s="2236"/>
      <c r="BJ13" s="2236"/>
      <c r="BK13" s="2236"/>
      <c r="BL13" s="2236"/>
      <c r="BM13" s="2236"/>
      <c r="BN13" s="2236"/>
      <c r="BO13" s="2236"/>
    </row>
    <row r="14" spans="1:67" s="1195" customFormat="1" ht="14.25">
      <c r="A14" s="2487" t="s">
        <v>535</v>
      </c>
      <c r="B14" s="2490" t="s">
        <v>534</v>
      </c>
      <c r="C14" s="2491" t="s">
        <v>535</v>
      </c>
      <c r="D14" s="2053"/>
      <c r="E14" s="2047"/>
      <c r="F14" s="362"/>
      <c r="G14" s="363"/>
      <c r="H14" s="2492"/>
      <c r="I14" s="2492"/>
      <c r="J14" s="2492"/>
      <c r="K14" s="2493">
        <f>SUMIF('数据-汇总表'!C$19:C$33,A14,'数据-汇总表'!E$19:E$33)</f>
        <v>0</v>
      </c>
      <c r="L14" s="381"/>
      <c r="M14" s="365">
        <f t="shared" si="1"/>
        <v>0</v>
      </c>
      <c r="N14" s="382"/>
      <c r="O14" s="365" t="str">
        <f t="shared" si="3"/>
        <v>——</v>
      </c>
      <c r="P14" s="366" t="str">
        <f t="shared" si="4"/>
        <v>——</v>
      </c>
      <c r="Q14" s="2496"/>
      <c r="R14" s="367"/>
      <c r="S14" s="343"/>
      <c r="T14" s="2887"/>
      <c r="U14" s="1132"/>
      <c r="V14" s="2498"/>
      <c r="W14" s="2498"/>
      <c r="X14" s="2499"/>
      <c r="Y14" s="2500"/>
      <c r="Z14" s="2501"/>
      <c r="AA14" s="2502"/>
      <c r="AB14" s="2502"/>
      <c r="AC14" s="2503"/>
      <c r="AD14" s="2499"/>
      <c r="AE14" s="2504"/>
      <c r="AF14" s="344"/>
      <c r="AG14" s="478"/>
      <c r="AH14" s="2504"/>
      <c r="AI14" s="2508"/>
      <c r="AJ14" s="1321"/>
      <c r="AK14" s="2505"/>
      <c r="AL14" s="2506"/>
      <c r="AM14" s="2507"/>
      <c r="AN14" s="2235"/>
      <c r="AO14" s="2236"/>
      <c r="AP14" s="2236"/>
      <c r="AQ14" s="2236"/>
      <c r="AR14" s="2236"/>
      <c r="AS14" s="2236"/>
      <c r="AT14" s="2236"/>
      <c r="AU14" s="2236"/>
      <c r="AV14" s="2236"/>
      <c r="AW14" s="2236"/>
      <c r="AX14" s="2236"/>
      <c r="AY14" s="2236"/>
      <c r="AZ14" s="2236"/>
      <c r="BA14" s="2236"/>
      <c r="BB14" s="2236"/>
      <c r="BC14" s="2236"/>
      <c r="BD14" s="2236"/>
      <c r="BE14" s="2236"/>
      <c r="BF14" s="2236"/>
      <c r="BG14" s="2236"/>
      <c r="BH14" s="2236"/>
      <c r="BI14" s="2236"/>
      <c r="BJ14" s="2236"/>
      <c r="BK14" s="2236"/>
      <c r="BL14" s="2236"/>
      <c r="BM14" s="2236"/>
      <c r="BN14" s="2236"/>
      <c r="BO14" s="2236"/>
    </row>
    <row r="15" spans="1:67" s="1195" customFormat="1" ht="27">
      <c r="A15" s="2487" t="s">
        <v>2400</v>
      </c>
      <c r="B15" s="2490" t="s">
        <v>534</v>
      </c>
      <c r="C15" s="2491" t="s">
        <v>2104</v>
      </c>
      <c r="D15" s="2053"/>
      <c r="E15" s="2047"/>
      <c r="F15" s="362"/>
      <c r="G15" s="363"/>
      <c r="H15" s="2492"/>
      <c r="I15" s="2492"/>
      <c r="J15" s="2492"/>
      <c r="K15" s="2493">
        <f>SUMIF('数据-汇总表'!C$19:C$33,A15,'数据-汇总表'!E$19:E$33)</f>
        <v>0</v>
      </c>
      <c r="L15" s="2494"/>
      <c r="M15" s="365"/>
      <c r="N15" s="2495"/>
      <c r="O15" s="365"/>
      <c r="P15" s="366"/>
      <c r="Q15" s="2496"/>
      <c r="R15" s="367"/>
      <c r="S15" s="343"/>
      <c r="T15" s="2887"/>
      <c r="U15" s="1132"/>
      <c r="V15" s="2498"/>
      <c r="W15" s="2498"/>
      <c r="X15" s="2499"/>
      <c r="Y15" s="2500"/>
      <c r="Z15" s="2501"/>
      <c r="AA15" s="2502"/>
      <c r="AB15" s="2502"/>
      <c r="AC15" s="2503"/>
      <c r="AD15" s="2499"/>
      <c r="AE15" s="2504"/>
      <c r="AF15" s="344"/>
      <c r="AG15" s="478"/>
      <c r="AH15" s="2504"/>
      <c r="AI15" s="2508"/>
      <c r="AJ15" s="1321"/>
      <c r="AK15" s="2505"/>
      <c r="AL15" s="2506"/>
      <c r="AM15" s="2507"/>
      <c r="AN15" s="2235"/>
      <c r="AO15" s="2236"/>
      <c r="AP15" s="2236"/>
      <c r="AQ15" s="2236"/>
      <c r="AR15" s="2236"/>
      <c r="AS15" s="2236"/>
      <c r="AT15" s="2236"/>
      <c r="AU15" s="2236"/>
      <c r="AV15" s="2236"/>
      <c r="AW15" s="2236"/>
      <c r="AX15" s="2236"/>
      <c r="AY15" s="2236"/>
      <c r="AZ15" s="2236"/>
      <c r="BA15" s="2236"/>
      <c r="BB15" s="2236"/>
      <c r="BC15" s="2236"/>
      <c r="BD15" s="2236"/>
      <c r="BE15" s="2236"/>
      <c r="BF15" s="2236"/>
      <c r="BG15" s="2236"/>
      <c r="BH15" s="2236"/>
      <c r="BI15" s="2236"/>
      <c r="BJ15" s="2236"/>
      <c r="BK15" s="2236"/>
      <c r="BL15" s="2236"/>
      <c r="BM15" s="2236"/>
      <c r="BN15" s="2236"/>
      <c r="BO15" s="2236"/>
    </row>
    <row r="16" spans="1:67" s="1195" customFormat="1" ht="15.75" thickBot="1">
      <c r="A16" s="64" t="s">
        <v>4</v>
      </c>
      <c r="B16" s="65"/>
      <c r="C16" s="66"/>
      <c r="D16" s="67"/>
      <c r="E16" s="65"/>
      <c r="F16" s="387"/>
      <c r="G16" s="388" t="e">
        <f>ROUND(SUMPRODUCT(G6:G13,K6:K13)/SUMPRODUCT((G6:G13&gt;0)*(K6:K13)),3)</f>
        <v>#DIV/0!</v>
      </c>
      <c r="H16" s="389">
        <f>ROUND(SUMPRODUCT(H6:H13,K6:K13)/SUMPRODUCT((H6:H13&gt;0)*(K6:K13)),3)</f>
        <v>4.1000000000000002E-2</v>
      </c>
      <c r="I16" s="390"/>
      <c r="J16" s="390"/>
      <c r="K16" s="391">
        <f>SUM(K6:K15)</f>
        <v>4043.7000000000003</v>
      </c>
      <c r="L16" s="392">
        <f>ROUND(M16*10000/SUM(K6:K14),0)</f>
        <v>1798</v>
      </c>
      <c r="M16" s="392">
        <f>SUM(M6:M14)</f>
        <v>727</v>
      </c>
      <c r="N16" s="393">
        <f>ROUND(SUMPRODUCT(M6:M14,N6:N14)/M16,3)</f>
        <v>0.97</v>
      </c>
      <c r="O16" s="392">
        <f>SUM(O6:O14)</f>
        <v>0</v>
      </c>
      <c r="P16" s="392">
        <f>SUM(P6:P14)</f>
        <v>0</v>
      </c>
      <c r="Q16" s="394">
        <f>ROUND(SUMPRODUCT(Q6:Q13,K6:K13)/SUMPRODUCT((Q6:Q13&gt;0)*(K6:K13)),2)</f>
        <v>0.08</v>
      </c>
      <c r="R16" s="2497">
        <f ca="1">SUM(R6:R13)</f>
        <v>1218.8300000000002</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5"/>
      <c r="AO16" s="2236"/>
      <c r="AP16" s="2236"/>
      <c r="AQ16" s="2236"/>
      <c r="AR16" s="2236"/>
      <c r="AS16" s="2236"/>
      <c r="AT16" s="2236"/>
      <c r="AU16" s="2236"/>
      <c r="AV16" s="2236"/>
      <c r="AW16" s="2236"/>
      <c r="AX16" s="2236"/>
      <c r="AY16" s="2236"/>
      <c r="AZ16" s="2236"/>
      <c r="BA16" s="2236"/>
      <c r="BB16" s="2236"/>
      <c r="BC16" s="2236"/>
      <c r="BD16" s="2236"/>
      <c r="BE16" s="2236"/>
      <c r="BF16" s="2236"/>
      <c r="BG16" s="2236"/>
      <c r="BH16" s="2236"/>
      <c r="BI16" s="2236"/>
      <c r="BJ16" s="2236"/>
      <c r="BK16" s="2236"/>
      <c r="BL16" s="2236"/>
      <c r="BM16" s="2236"/>
      <c r="BN16" s="2236"/>
      <c r="BO16" s="2236"/>
    </row>
    <row r="17" spans="1:67" ht="12.75" thickBot="1">
      <c r="A17" s="1203"/>
      <c r="B17" s="1192"/>
      <c r="C17" s="2226"/>
      <c r="D17" s="2227"/>
      <c r="E17" s="2227"/>
      <c r="F17" s="2226"/>
      <c r="G17" s="2226"/>
      <c r="H17" s="2226"/>
      <c r="I17" s="2226"/>
      <c r="J17" s="2226"/>
      <c r="K17" s="2228"/>
      <c r="L17" s="2228"/>
      <c r="M17" s="2226"/>
      <c r="N17" s="2226"/>
      <c r="O17" s="2226"/>
      <c r="P17" s="2226"/>
      <c r="Q17" s="2226"/>
      <c r="R17" s="2226"/>
      <c r="S17" s="2226"/>
      <c r="T17" s="2226"/>
      <c r="U17" s="2226"/>
      <c r="V17" s="2226"/>
      <c r="W17" s="2226"/>
      <c r="X17" s="2226"/>
      <c r="Y17" s="2226"/>
      <c r="Z17" s="2226"/>
      <c r="AA17" s="2226"/>
      <c r="AB17" s="2226"/>
      <c r="AC17" s="2226"/>
      <c r="AD17" s="2226"/>
      <c r="AE17" s="2226"/>
      <c r="AF17" s="2226"/>
      <c r="AG17" s="2226"/>
      <c r="AH17" s="2226"/>
      <c r="AI17" s="2226"/>
      <c r="AJ17" s="2226"/>
      <c r="AK17" s="2226"/>
      <c r="AL17" s="2226"/>
      <c r="AM17" s="2226"/>
    </row>
    <row r="18" spans="1:67" ht="14.25" thickBot="1">
      <c r="A18" s="46" t="s">
        <v>24</v>
      </c>
      <c r="B18" s="1194"/>
      <c r="C18" s="2229"/>
      <c r="D18" s="2230"/>
      <c r="E18" s="2229"/>
      <c r="F18" s="2229"/>
      <c r="G18" s="2229"/>
      <c r="H18" s="2229"/>
      <c r="I18" s="2229"/>
      <c r="J18" s="2229"/>
      <c r="K18" s="2228"/>
      <c r="L18" s="2228"/>
      <c r="M18" s="2226"/>
      <c r="N18" s="2226"/>
      <c r="O18" s="2226"/>
      <c r="P18" s="2226"/>
      <c r="Q18" s="2226"/>
      <c r="R18" s="2226"/>
      <c r="S18" s="2226"/>
      <c r="T18" s="2226"/>
      <c r="U18" s="2226"/>
      <c r="V18" s="2226"/>
      <c r="W18" s="2226"/>
      <c r="X18" s="2226"/>
      <c r="Y18" s="2226"/>
      <c r="Z18" s="2226"/>
      <c r="AA18" s="2226"/>
      <c r="AB18" s="2226"/>
      <c r="AC18" s="2226"/>
      <c r="AD18" s="2226"/>
      <c r="AE18" s="2226"/>
      <c r="AF18" s="2226"/>
      <c r="AG18" s="2226"/>
      <c r="AH18" s="2226"/>
      <c r="AI18" s="2226"/>
      <c r="AJ18" s="2226"/>
      <c r="AK18" s="2226"/>
      <c r="AL18" s="2226"/>
      <c r="AM18" s="2226"/>
    </row>
    <row r="19" spans="1:67" ht="14.25">
      <c r="A19" s="68" t="s">
        <v>0</v>
      </c>
      <c r="B19" s="402">
        <v>0</v>
      </c>
      <c r="C19" s="2229" t="s">
        <v>2416</v>
      </c>
      <c r="D19" s="2230"/>
      <c r="E19" s="2229"/>
      <c r="F19" s="2229"/>
      <c r="G19" s="2229"/>
      <c r="H19" s="2229"/>
      <c r="I19" s="2229"/>
      <c r="J19" s="2229"/>
      <c r="K19" s="2228"/>
      <c r="L19" s="2228"/>
      <c r="M19" s="2226"/>
      <c r="N19" s="2226"/>
      <c r="O19" s="2226"/>
      <c r="P19" s="2226"/>
      <c r="Q19" s="2226"/>
      <c r="R19" s="2226"/>
      <c r="S19" s="2226"/>
      <c r="T19" s="2226"/>
      <c r="U19" s="2226"/>
      <c r="V19" s="2226"/>
      <c r="W19" s="2226"/>
      <c r="X19" s="2226"/>
      <c r="Y19" s="2226"/>
      <c r="Z19" s="2226"/>
      <c r="AA19" s="2226"/>
      <c r="AB19" s="2226"/>
      <c r="AC19" s="2226"/>
      <c r="AD19" s="2226"/>
      <c r="AE19" s="2226"/>
      <c r="AF19" s="2226"/>
      <c r="AG19" s="2226"/>
      <c r="AH19" s="2226"/>
      <c r="AI19" s="2226"/>
      <c r="AJ19" s="2226"/>
      <c r="AK19" s="2226"/>
      <c r="AL19" s="2226"/>
      <c r="AM19" s="2226"/>
    </row>
    <row r="20" spans="1:67" ht="14.25">
      <c r="A20" s="69" t="s">
        <v>701</v>
      </c>
      <c r="B20" s="403">
        <v>2.5</v>
      </c>
      <c r="C20" s="2229" t="s">
        <v>2417</v>
      </c>
      <c r="D20" s="2230"/>
      <c r="E20" s="2229"/>
      <c r="F20" s="2229"/>
      <c r="G20" s="2229"/>
      <c r="H20" s="2229"/>
      <c r="I20" s="2229"/>
      <c r="J20" s="2229"/>
      <c r="K20" s="2228"/>
      <c r="L20" s="2228"/>
      <c r="M20" s="2226"/>
      <c r="N20" s="2226"/>
      <c r="O20" s="2226"/>
      <c r="P20" s="2226"/>
      <c r="Q20" s="2226"/>
      <c r="R20" s="2226"/>
      <c r="S20" s="2226"/>
      <c r="T20" s="2226"/>
      <c r="U20" s="2226"/>
      <c r="V20" s="2226"/>
      <c r="W20" s="2226"/>
      <c r="X20" s="2226"/>
      <c r="Y20" s="2226"/>
      <c r="Z20" s="2226"/>
      <c r="AA20" s="2226"/>
      <c r="AB20" s="2226"/>
      <c r="AC20" s="2226"/>
      <c r="AD20" s="2226"/>
      <c r="AE20" s="2226"/>
      <c r="AF20" s="2226"/>
      <c r="AG20" s="2226"/>
      <c r="AH20" s="2226"/>
      <c r="AI20" s="2226"/>
      <c r="AJ20" s="2226"/>
      <c r="AK20" s="2226"/>
      <c r="AL20" s="2226"/>
      <c r="AM20" s="2226"/>
    </row>
    <row r="21" spans="1:67" ht="14.25">
      <c r="A21" s="70" t="s">
        <v>702</v>
      </c>
      <c r="B21" s="403">
        <v>2.5</v>
      </c>
      <c r="C21" s="2229"/>
      <c r="D21" s="2230"/>
      <c r="E21" s="2229"/>
      <c r="F21" s="2229"/>
      <c r="G21" s="2229"/>
      <c r="H21" s="2229"/>
      <c r="I21" s="2229"/>
      <c r="J21" s="2229"/>
      <c r="K21" s="2228"/>
      <c r="L21" s="2228"/>
      <c r="M21" s="2226"/>
      <c r="N21" s="2226"/>
      <c r="O21" s="2226"/>
      <c r="P21" s="2226"/>
      <c r="Q21" s="2226"/>
      <c r="R21" s="2226"/>
      <c r="S21" s="2226"/>
      <c r="T21" s="2226"/>
      <c r="U21" s="2226"/>
      <c r="V21" s="2226"/>
      <c r="W21" s="2226"/>
      <c r="X21" s="2226"/>
      <c r="Y21" s="2226"/>
      <c r="Z21" s="2226"/>
      <c r="AA21" s="2226"/>
      <c r="AB21" s="2226"/>
      <c r="AC21" s="2226"/>
      <c r="AD21" s="2226"/>
      <c r="AE21" s="2226"/>
      <c r="AF21" s="2226"/>
      <c r="AG21" s="2226"/>
      <c r="AH21" s="2226"/>
      <c r="AI21" s="2226"/>
      <c r="AJ21" s="2226"/>
      <c r="AK21" s="2226"/>
      <c r="AL21" s="2226"/>
      <c r="AM21" s="2226"/>
    </row>
    <row r="22" spans="1:67" ht="14.25">
      <c r="A22" s="69" t="s">
        <v>703</v>
      </c>
      <c r="B22" s="404">
        <f>B19+B20</f>
        <v>2.5</v>
      </c>
      <c r="C22" s="2229"/>
      <c r="D22" s="2230"/>
      <c r="E22" s="2229"/>
      <c r="F22" s="2229"/>
      <c r="G22" s="2229"/>
      <c r="H22" s="2229"/>
      <c r="I22" s="2229"/>
      <c r="J22" s="2229"/>
      <c r="K22" s="2228"/>
      <c r="L22" s="2228"/>
      <c r="M22" s="2226"/>
      <c r="N22" s="2226"/>
      <c r="O22" s="2226"/>
      <c r="P22" s="2226"/>
      <c r="Q22" s="2226"/>
      <c r="R22" s="2226"/>
      <c r="S22" s="2226"/>
      <c r="T22" s="2226"/>
      <c r="U22" s="2226"/>
      <c r="V22" s="2226"/>
      <c r="W22" s="2226"/>
      <c r="X22" s="2226"/>
      <c r="Y22" s="2226"/>
      <c r="Z22" s="2226"/>
      <c r="AA22" s="2226"/>
      <c r="AB22" s="2226"/>
      <c r="AC22" s="2226"/>
      <c r="AD22" s="2226"/>
      <c r="AE22" s="2226"/>
      <c r="AF22" s="2226"/>
      <c r="AG22" s="2226"/>
      <c r="AH22" s="2226"/>
      <c r="AI22" s="2226"/>
      <c r="AJ22" s="2226"/>
      <c r="AK22" s="2226"/>
      <c r="AL22" s="2226"/>
      <c r="AM22" s="2226"/>
    </row>
    <row r="23" spans="1:67" ht="14.25">
      <c r="A23" s="70" t="s">
        <v>704</v>
      </c>
      <c r="B23" s="404">
        <f>B19+B21</f>
        <v>2.5</v>
      </c>
      <c r="C23" s="2229"/>
      <c r="D23" s="2230"/>
      <c r="E23" s="2229"/>
      <c r="F23" s="2229"/>
      <c r="G23" s="2229"/>
      <c r="H23" s="2229"/>
      <c r="I23" s="2229"/>
      <c r="J23" s="2229"/>
      <c r="K23" s="2228"/>
      <c r="L23" s="2228"/>
      <c r="M23" s="2226"/>
      <c r="N23" s="2226"/>
      <c r="O23" s="2226"/>
      <c r="P23" s="2226"/>
      <c r="Q23" s="2226"/>
      <c r="R23" s="2226"/>
      <c r="S23" s="2226"/>
      <c r="T23" s="2226"/>
      <c r="U23" s="2226"/>
      <c r="V23" s="2226"/>
      <c r="W23" s="2226"/>
      <c r="X23" s="2226"/>
      <c r="Y23" s="2226"/>
      <c r="Z23" s="2226"/>
      <c r="AA23" s="2226"/>
      <c r="AB23" s="2226"/>
      <c r="AC23" s="2226"/>
      <c r="AD23" s="2226"/>
      <c r="AE23" s="2226"/>
      <c r="AF23" s="2226"/>
      <c r="AG23" s="2226"/>
      <c r="AH23" s="2226"/>
      <c r="AI23" s="2226"/>
      <c r="AJ23" s="2226"/>
      <c r="AK23" s="2226"/>
      <c r="AL23" s="2226"/>
      <c r="AM23" s="2226"/>
    </row>
    <row r="24" spans="1:67" ht="15" thickBot="1">
      <c r="A24" s="71" t="s">
        <v>705</v>
      </c>
      <c r="B24" s="405">
        <f>B20-B21</f>
        <v>0</v>
      </c>
      <c r="C24" s="2229"/>
      <c r="D24" s="2230"/>
      <c r="E24" s="2229"/>
      <c r="F24" s="2229"/>
      <c r="G24" s="2229"/>
      <c r="H24" s="2229"/>
      <c r="I24" s="2229"/>
      <c r="J24" s="2229"/>
      <c r="K24" s="2228"/>
      <c r="L24" s="2228"/>
      <c r="M24" s="2226"/>
      <c r="N24" s="2226"/>
      <c r="O24" s="2226"/>
      <c r="P24" s="2226"/>
      <c r="Q24" s="2226"/>
      <c r="R24" s="2226"/>
      <c r="S24" s="2226"/>
      <c r="T24" s="2226"/>
      <c r="U24" s="2226"/>
      <c r="V24" s="2226"/>
      <c r="W24" s="2226"/>
      <c r="X24" s="2226"/>
      <c r="Y24" s="2226"/>
      <c r="Z24" s="2226"/>
      <c r="AA24" s="2226"/>
      <c r="AB24" s="2226"/>
      <c r="AC24" s="2226"/>
      <c r="AD24" s="2226"/>
      <c r="AE24" s="2226"/>
      <c r="AF24" s="2226"/>
      <c r="AG24" s="2226"/>
      <c r="AH24" s="2226"/>
      <c r="AI24" s="2226"/>
      <c r="AJ24" s="2226"/>
      <c r="AK24" s="2226"/>
      <c r="AL24" s="2226"/>
      <c r="AM24" s="2226"/>
    </row>
    <row r="25" spans="1:67" ht="14.25" thickBot="1">
      <c r="A25" s="1196"/>
      <c r="B25" s="1194"/>
      <c r="C25" s="2229"/>
      <c r="D25" s="2230"/>
      <c r="E25" s="2229"/>
      <c r="F25" s="2229"/>
      <c r="G25" s="2229"/>
      <c r="H25" s="2229"/>
      <c r="I25" s="2229"/>
      <c r="J25" s="2229"/>
      <c r="K25" s="2228"/>
      <c r="L25" s="2228"/>
      <c r="M25" s="2226"/>
      <c r="N25" s="2226"/>
      <c r="O25" s="2226"/>
      <c r="P25" s="2226"/>
      <c r="Q25" s="2226"/>
      <c r="R25" s="2226"/>
      <c r="S25" s="2226"/>
      <c r="T25" s="2226"/>
      <c r="U25" s="2226"/>
      <c r="V25" s="2226"/>
      <c r="W25" s="2226"/>
      <c r="X25" s="2226"/>
      <c r="Y25" s="2226"/>
      <c r="Z25" s="2226"/>
      <c r="AA25" s="2226"/>
      <c r="AB25" s="2226"/>
      <c r="AC25" s="2226"/>
      <c r="AD25" s="2226"/>
      <c r="AE25" s="2226"/>
      <c r="AF25" s="2226"/>
      <c r="AG25" s="2226"/>
      <c r="AH25" s="2226"/>
      <c r="AI25" s="2226"/>
      <c r="AJ25" s="2226"/>
      <c r="AK25" s="2226"/>
      <c r="AL25" s="2226"/>
      <c r="AM25" s="2226"/>
    </row>
    <row r="26" spans="1:67" ht="14.25" thickBot="1">
      <c r="A26" s="45" t="s">
        <v>706</v>
      </c>
      <c r="B26" s="72" t="s">
        <v>707</v>
      </c>
      <c r="C26" s="2232" t="s">
        <v>708</v>
      </c>
      <c r="D26" s="2230"/>
      <c r="E26" s="2229"/>
      <c r="F26" s="2229"/>
      <c r="G26" s="2229"/>
      <c r="H26" s="2229"/>
      <c r="I26" s="2229"/>
      <c r="J26" s="2229"/>
      <c r="K26" s="2228"/>
      <c r="L26" s="2228"/>
      <c r="M26" s="2226"/>
      <c r="N26" s="2226"/>
      <c r="O26" s="2226"/>
      <c r="P26" s="2226"/>
      <c r="Q26" s="2226"/>
      <c r="R26" s="2226"/>
      <c r="S26" s="2226"/>
      <c r="T26" s="2226"/>
      <c r="U26" s="2226"/>
      <c r="V26" s="2226"/>
      <c r="W26" s="2226"/>
      <c r="X26" s="2226"/>
      <c r="Y26" s="2226"/>
      <c r="Z26" s="2226"/>
      <c r="AA26" s="2226"/>
      <c r="AB26" s="2226"/>
      <c r="AC26" s="2226"/>
      <c r="AD26" s="2226"/>
      <c r="AE26" s="2226"/>
      <c r="AF26" s="2226"/>
      <c r="AG26" s="2226"/>
      <c r="AH26" s="2226"/>
      <c r="AI26" s="2226"/>
      <c r="AJ26" s="2226"/>
      <c r="AK26" s="2226"/>
      <c r="AL26" s="2226"/>
      <c r="AM26" s="2226"/>
    </row>
    <row r="27" spans="1:67" s="1204" customFormat="1" ht="27">
      <c r="A27" s="73" t="s">
        <v>709</v>
      </c>
      <c r="B27" s="406">
        <v>240</v>
      </c>
      <c r="C27" s="2525" t="s">
        <v>710</v>
      </c>
      <c r="D27" s="2233"/>
      <c r="E27" s="2231"/>
      <c r="F27" s="2231"/>
      <c r="G27" s="2229"/>
      <c r="H27" s="2229"/>
      <c r="I27" s="2229"/>
      <c r="J27" s="2229"/>
      <c r="K27" s="2228"/>
      <c r="L27" s="2228"/>
      <c r="M27" s="2226"/>
      <c r="N27" s="2226"/>
      <c r="O27" s="2226"/>
      <c r="P27" s="2226"/>
      <c r="Q27" s="2226"/>
      <c r="R27" s="2226"/>
      <c r="S27" s="2226"/>
      <c r="T27" s="2226"/>
      <c r="U27" s="2226"/>
      <c r="V27" s="2226"/>
      <c r="W27" s="2226"/>
      <c r="X27" s="2226"/>
      <c r="Y27" s="2226"/>
      <c r="Z27" s="2226"/>
      <c r="AA27" s="2226"/>
      <c r="AB27" s="2226"/>
      <c r="AC27" s="2226"/>
      <c r="AD27" s="2226"/>
      <c r="AE27" s="2226"/>
      <c r="AF27" s="2226"/>
      <c r="AG27" s="2226"/>
      <c r="AH27" s="2226"/>
      <c r="AI27" s="2226"/>
      <c r="AJ27" s="2226"/>
      <c r="AK27" s="2226"/>
      <c r="AL27" s="2226"/>
      <c r="AM27" s="2226"/>
      <c r="AN27" s="2238"/>
      <c r="AO27" s="2238"/>
      <c r="AP27" s="2238"/>
      <c r="AQ27" s="2238"/>
      <c r="AR27" s="2238"/>
      <c r="AS27" s="2238"/>
      <c r="AT27" s="2238"/>
      <c r="AU27" s="2238"/>
      <c r="AV27" s="2238"/>
      <c r="AW27" s="2238"/>
      <c r="AX27" s="2238"/>
      <c r="AY27" s="2238"/>
      <c r="AZ27" s="2238"/>
      <c r="BA27" s="2238"/>
      <c r="BB27" s="2238"/>
      <c r="BC27" s="2238"/>
      <c r="BD27" s="2238"/>
      <c r="BE27" s="2238"/>
      <c r="BF27" s="2238"/>
      <c r="BG27" s="2238"/>
      <c r="BH27" s="2238"/>
      <c r="BI27" s="2238"/>
      <c r="BJ27" s="2238"/>
      <c r="BK27" s="2238"/>
      <c r="BL27" s="2238"/>
      <c r="BM27" s="2238"/>
      <c r="BN27" s="2238"/>
      <c r="BO27" s="2238"/>
    </row>
    <row r="28" spans="1:67" s="1204" customFormat="1" ht="27">
      <c r="A28" s="74" t="s">
        <v>711</v>
      </c>
      <c r="B28" s="409">
        <v>240</v>
      </c>
      <c r="C28" s="2526"/>
      <c r="D28" s="2233"/>
      <c r="E28" s="2231"/>
      <c r="F28" s="2231"/>
      <c r="G28" s="2229"/>
      <c r="H28" s="2229"/>
      <c r="I28" s="2229"/>
      <c r="J28" s="2229"/>
      <c r="K28" s="2228"/>
      <c r="L28" s="2228"/>
      <c r="M28" s="2226"/>
      <c r="N28" s="2226"/>
      <c r="O28" s="2226"/>
      <c r="P28" s="2226"/>
      <c r="Q28" s="2226"/>
      <c r="R28" s="2226"/>
      <c r="S28" s="2226"/>
      <c r="T28" s="2226"/>
      <c r="U28" s="2226"/>
      <c r="V28" s="2226"/>
      <c r="W28" s="2226"/>
      <c r="X28" s="2226"/>
      <c r="Y28" s="2226"/>
      <c r="Z28" s="2226"/>
      <c r="AA28" s="2226"/>
      <c r="AB28" s="2226"/>
      <c r="AC28" s="2226"/>
      <c r="AD28" s="2226"/>
      <c r="AE28" s="2226"/>
      <c r="AF28" s="2226"/>
      <c r="AG28" s="2226"/>
      <c r="AH28" s="2226"/>
      <c r="AI28" s="2226"/>
      <c r="AJ28" s="2226"/>
      <c r="AK28" s="2226"/>
      <c r="AL28" s="2226"/>
      <c r="AM28" s="2226"/>
      <c r="AN28" s="2238"/>
      <c r="AO28" s="2238"/>
      <c r="AP28" s="2238"/>
      <c r="AQ28" s="2238"/>
      <c r="AR28" s="2238"/>
      <c r="AS28" s="2238"/>
      <c r="AT28" s="2238"/>
      <c r="AU28" s="2238"/>
      <c r="AV28" s="2238"/>
      <c r="AW28" s="2238"/>
      <c r="AX28" s="2238"/>
      <c r="AY28" s="2238"/>
      <c r="AZ28" s="2238"/>
      <c r="BA28" s="2238"/>
      <c r="BB28" s="2238"/>
      <c r="BC28" s="2238"/>
      <c r="BD28" s="2238"/>
      <c r="BE28" s="2238"/>
      <c r="BF28" s="2238"/>
      <c r="BG28" s="2238"/>
      <c r="BH28" s="2238"/>
      <c r="BI28" s="2238"/>
      <c r="BJ28" s="2238"/>
      <c r="BK28" s="2238"/>
      <c r="BL28" s="2238"/>
      <c r="BM28" s="2238"/>
      <c r="BN28" s="2238"/>
      <c r="BO28" s="2238"/>
    </row>
    <row r="29" spans="1:67" s="1204" customFormat="1" ht="27.75" thickBot="1">
      <c r="A29" s="280" t="s">
        <v>2694</v>
      </c>
      <c r="B29" s="411"/>
      <c r="C29" s="2525" t="s">
        <v>2695</v>
      </c>
      <c r="D29" s="2233"/>
      <c r="E29" s="2231"/>
      <c r="F29" s="2231"/>
      <c r="G29" s="2229"/>
      <c r="H29" s="2229"/>
      <c r="I29" s="2229"/>
      <c r="J29" s="2229"/>
      <c r="K29" s="2228"/>
      <c r="L29" s="2228"/>
      <c r="M29" s="2226"/>
      <c r="N29" s="2226"/>
      <c r="O29" s="2226"/>
      <c r="P29" s="2226"/>
      <c r="Q29" s="2226"/>
      <c r="R29" s="2226"/>
      <c r="S29" s="2226"/>
      <c r="T29" s="2226"/>
      <c r="U29" s="2226"/>
      <c r="V29" s="2226"/>
      <c r="W29" s="2226"/>
      <c r="X29" s="2226"/>
      <c r="Y29" s="2226"/>
      <c r="Z29" s="2226"/>
      <c r="AA29" s="2226"/>
      <c r="AB29" s="2226"/>
      <c r="AC29" s="2226"/>
      <c r="AD29" s="2226"/>
      <c r="AE29" s="2226"/>
      <c r="AF29" s="2226"/>
      <c r="AG29" s="2226"/>
      <c r="AH29" s="2226"/>
      <c r="AI29" s="2226"/>
      <c r="AJ29" s="2226"/>
      <c r="AK29" s="2226"/>
      <c r="AL29" s="2226"/>
      <c r="AM29" s="2226"/>
      <c r="AN29" s="2238"/>
      <c r="AO29" s="2238"/>
      <c r="AP29" s="2238"/>
      <c r="AQ29" s="2238"/>
      <c r="AR29" s="2238"/>
      <c r="AS29" s="2238"/>
      <c r="AT29" s="2238"/>
      <c r="AU29" s="2238"/>
      <c r="AV29" s="2238"/>
      <c r="AW29" s="2238"/>
      <c r="AX29" s="2238"/>
      <c r="AY29" s="2238"/>
      <c r="AZ29" s="2238"/>
      <c r="BA29" s="2238"/>
      <c r="BB29" s="2238"/>
      <c r="BC29" s="2238"/>
      <c r="BD29" s="2238"/>
      <c r="BE29" s="2238"/>
      <c r="BF29" s="2238"/>
      <c r="BG29" s="2238"/>
      <c r="BH29" s="2238"/>
      <c r="BI29" s="2238"/>
      <c r="BJ29" s="2238"/>
      <c r="BK29" s="2238"/>
      <c r="BL29" s="2238"/>
      <c r="BM29" s="2238"/>
      <c r="BN29" s="2238"/>
      <c r="BO29" s="2238"/>
    </row>
    <row r="30" spans="1:67" s="1204" customFormat="1" ht="27">
      <c r="A30" s="279" t="s">
        <v>712</v>
      </c>
      <c r="B30" s="1133">
        <v>200</v>
      </c>
      <c r="C30" s="2526"/>
      <c r="D30" s="2233"/>
      <c r="E30" s="2231"/>
      <c r="F30" s="2231"/>
      <c r="G30" s="2229"/>
      <c r="H30" s="2229"/>
      <c r="I30" s="2229"/>
      <c r="J30" s="2229"/>
      <c r="K30" s="2228"/>
      <c r="L30" s="2228"/>
      <c r="M30" s="2226"/>
      <c r="N30" s="2226"/>
      <c r="O30" s="2226"/>
      <c r="P30" s="2226"/>
      <c r="Q30" s="2226"/>
      <c r="R30" s="2226"/>
      <c r="S30" s="2226"/>
      <c r="T30" s="2226"/>
      <c r="U30" s="2226"/>
      <c r="V30" s="2226"/>
      <c r="W30" s="2226"/>
      <c r="X30" s="2226"/>
      <c r="Y30" s="2226"/>
      <c r="Z30" s="2226"/>
      <c r="AA30" s="2226"/>
      <c r="AB30" s="2226"/>
      <c r="AC30" s="2226"/>
      <c r="AD30" s="2226"/>
      <c r="AE30" s="2226"/>
      <c r="AF30" s="2226"/>
      <c r="AG30" s="2226"/>
      <c r="AH30" s="2226"/>
      <c r="AI30" s="2226"/>
      <c r="AJ30" s="2226"/>
      <c r="AK30" s="2226"/>
      <c r="AL30" s="2226"/>
      <c r="AM30" s="2226"/>
      <c r="AN30" s="2238"/>
      <c r="AO30" s="2238"/>
      <c r="AP30" s="2238"/>
      <c r="AQ30" s="2238"/>
      <c r="AR30" s="2238"/>
      <c r="AS30" s="2238"/>
      <c r="AT30" s="2238"/>
      <c r="AU30" s="2238"/>
      <c r="AV30" s="2238"/>
      <c r="AW30" s="2238"/>
      <c r="AX30" s="2238"/>
      <c r="AY30" s="2238"/>
      <c r="AZ30" s="2238"/>
      <c r="BA30" s="2238"/>
      <c r="BB30" s="2238"/>
      <c r="BC30" s="2238"/>
      <c r="BD30" s="2238"/>
      <c r="BE30" s="2238"/>
      <c r="BF30" s="2238"/>
      <c r="BG30" s="2238"/>
      <c r="BH30" s="2238"/>
      <c r="BI30" s="2238"/>
      <c r="BJ30" s="2238"/>
      <c r="BK30" s="2238"/>
      <c r="BL30" s="2238"/>
      <c r="BM30" s="2238"/>
      <c r="BN30" s="2238"/>
      <c r="BO30" s="2238"/>
    </row>
    <row r="31" spans="1:67" s="1204" customFormat="1" ht="27">
      <c r="A31" s="74" t="s">
        <v>713</v>
      </c>
      <c r="B31" s="410">
        <f>B30-B32</f>
        <v>200</v>
      </c>
      <c r="C31" s="2525"/>
      <c r="D31" s="2233"/>
      <c r="E31" s="2231"/>
      <c r="F31" s="2231"/>
      <c r="G31" s="2229"/>
      <c r="H31" s="2229"/>
      <c r="I31" s="2229"/>
      <c r="J31" s="2229"/>
      <c r="K31" s="2228"/>
      <c r="L31" s="2228"/>
      <c r="M31" s="2226"/>
      <c r="N31" s="2226"/>
      <c r="O31" s="2226"/>
      <c r="P31" s="2226"/>
      <c r="Q31" s="2226"/>
      <c r="R31" s="2226"/>
      <c r="S31" s="2226"/>
      <c r="T31" s="2226"/>
      <c r="U31" s="2226"/>
      <c r="V31" s="2226"/>
      <c r="W31" s="2226"/>
      <c r="X31" s="2226"/>
      <c r="Y31" s="2226"/>
      <c r="Z31" s="2226"/>
      <c r="AA31" s="2226"/>
      <c r="AB31" s="2226"/>
      <c r="AC31" s="2226"/>
      <c r="AD31" s="2226"/>
      <c r="AE31" s="2226"/>
      <c r="AF31" s="2226"/>
      <c r="AG31" s="2226"/>
      <c r="AH31" s="2226"/>
      <c r="AI31" s="2226"/>
      <c r="AJ31" s="2226"/>
      <c r="AK31" s="2226"/>
      <c r="AL31" s="2226"/>
      <c r="AM31" s="2226"/>
      <c r="AN31" s="2238"/>
      <c r="AO31" s="2238"/>
      <c r="AP31" s="2238"/>
      <c r="AQ31" s="2238"/>
      <c r="AR31" s="2238"/>
      <c r="AS31" s="2238"/>
      <c r="AT31" s="2238"/>
      <c r="AU31" s="2238"/>
      <c r="AV31" s="2238"/>
      <c r="AW31" s="2238"/>
      <c r="AX31" s="2238"/>
      <c r="AY31" s="2238"/>
      <c r="AZ31" s="2238"/>
      <c r="BA31" s="2238"/>
      <c r="BB31" s="2238"/>
      <c r="BC31" s="2238"/>
      <c r="BD31" s="2238"/>
      <c r="BE31" s="2238"/>
      <c r="BF31" s="2238"/>
      <c r="BG31" s="2238"/>
      <c r="BH31" s="2238"/>
      <c r="BI31" s="2238"/>
      <c r="BJ31" s="2238"/>
      <c r="BK31" s="2238"/>
      <c r="BL31" s="2238"/>
      <c r="BM31" s="2238"/>
      <c r="BN31" s="2238"/>
      <c r="BO31" s="2238"/>
    </row>
    <row r="32" spans="1:67" s="1204" customFormat="1" ht="27.75" thickBot="1">
      <c r="A32" s="76" t="s">
        <v>714</v>
      </c>
      <c r="B32" s="1134">
        <v>0</v>
      </c>
      <c r="C32" s="2526"/>
      <c r="D32" s="2230"/>
      <c r="E32" s="2229"/>
      <c r="F32" s="2229"/>
      <c r="G32" s="2229"/>
      <c r="H32" s="2229"/>
      <c r="I32" s="2229"/>
      <c r="J32" s="2229"/>
      <c r="K32" s="2228"/>
      <c r="L32" s="2228"/>
      <c r="M32" s="2226"/>
      <c r="N32" s="2226"/>
      <c r="O32" s="2226"/>
      <c r="P32" s="2226"/>
      <c r="Q32" s="2226"/>
      <c r="R32" s="2226"/>
      <c r="S32" s="2226"/>
      <c r="T32" s="2226"/>
      <c r="U32" s="2226"/>
      <c r="V32" s="2226"/>
      <c r="W32" s="2226"/>
      <c r="X32" s="2226"/>
      <c r="Y32" s="2226"/>
      <c r="Z32" s="2226"/>
      <c r="AA32" s="2226"/>
      <c r="AB32" s="2226"/>
      <c r="AC32" s="2226"/>
      <c r="AD32" s="2226"/>
      <c r="AE32" s="2226"/>
      <c r="AF32" s="2226"/>
      <c r="AG32" s="2226"/>
      <c r="AH32" s="2226"/>
      <c r="AI32" s="2226"/>
      <c r="AJ32" s="2226"/>
      <c r="AK32" s="2226"/>
      <c r="AL32" s="2226"/>
      <c r="AM32" s="2226"/>
      <c r="AN32" s="2238"/>
      <c r="AO32" s="2238"/>
      <c r="AP32" s="2238"/>
      <c r="AQ32" s="2238"/>
      <c r="AR32" s="2238"/>
      <c r="AS32" s="2238"/>
      <c r="AT32" s="2238"/>
      <c r="AU32" s="2238"/>
      <c r="AV32" s="2238"/>
      <c r="AW32" s="2238"/>
      <c r="AX32" s="2238"/>
      <c r="AY32" s="2238"/>
      <c r="AZ32" s="2238"/>
      <c r="BA32" s="2238"/>
      <c r="BB32" s="2238"/>
      <c r="BC32" s="2238"/>
      <c r="BD32" s="2238"/>
      <c r="BE32" s="2238"/>
      <c r="BF32" s="2238"/>
      <c r="BG32" s="2238"/>
      <c r="BH32" s="2238"/>
      <c r="BI32" s="2238"/>
      <c r="BJ32" s="2238"/>
      <c r="BK32" s="2238"/>
      <c r="BL32" s="2238"/>
      <c r="BM32" s="2238"/>
      <c r="BN32" s="2238"/>
      <c r="BO32" s="2238"/>
    </row>
    <row r="33" spans="1:67" s="1204" customFormat="1" ht="13.5">
      <c r="A33" s="73" t="s">
        <v>715</v>
      </c>
      <c r="B33" s="1135">
        <v>0.03</v>
      </c>
      <c r="C33" s="3286" t="s">
        <v>3005</v>
      </c>
      <c r="D33" s="2230"/>
      <c r="E33" s="2229"/>
      <c r="F33" s="2229"/>
      <c r="G33" s="2229"/>
      <c r="H33" s="2229"/>
      <c r="I33" s="2229"/>
      <c r="J33" s="2229"/>
      <c r="K33" s="2228"/>
      <c r="L33" s="2228"/>
      <c r="M33" s="2226"/>
      <c r="N33" s="2226"/>
      <c r="O33" s="2226"/>
      <c r="P33" s="2226"/>
      <c r="Q33" s="2226"/>
      <c r="R33" s="2226"/>
      <c r="S33" s="2226"/>
      <c r="T33" s="2226"/>
      <c r="U33" s="2226"/>
      <c r="V33" s="2226"/>
      <c r="W33" s="2226"/>
      <c r="X33" s="2226"/>
      <c r="Y33" s="2226"/>
      <c r="Z33" s="2226"/>
      <c r="AA33" s="2226"/>
      <c r="AB33" s="2226"/>
      <c r="AC33" s="2226"/>
      <c r="AD33" s="2226"/>
      <c r="AE33" s="2226"/>
      <c r="AF33" s="2226"/>
      <c r="AG33" s="2226"/>
      <c r="AH33" s="2226"/>
      <c r="AI33" s="2226"/>
      <c r="AJ33" s="2226"/>
      <c r="AK33" s="2226"/>
      <c r="AL33" s="2226"/>
      <c r="AM33" s="2226"/>
      <c r="AN33" s="2238"/>
      <c r="AO33" s="2238"/>
      <c r="AP33" s="2238"/>
      <c r="AQ33" s="2238"/>
      <c r="AR33" s="2238"/>
      <c r="AS33" s="2238"/>
      <c r="AT33" s="2238"/>
      <c r="AU33" s="2238"/>
      <c r="AV33" s="2238"/>
      <c r="AW33" s="2238"/>
      <c r="AX33" s="2238"/>
      <c r="AY33" s="2238"/>
      <c r="AZ33" s="2238"/>
      <c r="BA33" s="2238"/>
      <c r="BB33" s="2238"/>
      <c r="BC33" s="2238"/>
      <c r="BD33" s="2238"/>
      <c r="BE33" s="2238"/>
      <c r="BF33" s="2238"/>
      <c r="BG33" s="2238"/>
      <c r="BH33" s="2238"/>
      <c r="BI33" s="2238"/>
      <c r="BJ33" s="2238"/>
      <c r="BK33" s="2238"/>
      <c r="BL33" s="2238"/>
      <c r="BM33" s="2238"/>
      <c r="BN33" s="2238"/>
      <c r="BO33" s="2238"/>
    </row>
    <row r="34" spans="1:67" s="1204" customFormat="1" ht="13.5">
      <c r="A34" s="74" t="s">
        <v>716</v>
      </c>
      <c r="B34" s="412">
        <v>0.05</v>
      </c>
      <c r="C34" s="3286" t="s">
        <v>3006</v>
      </c>
      <c r="D34" s="2230" t="s">
        <v>717</v>
      </c>
      <c r="E34" s="1192"/>
      <c r="F34" s="2229"/>
      <c r="G34" s="2229"/>
      <c r="H34" s="2229"/>
      <c r="I34" s="2229"/>
      <c r="J34" s="2229"/>
      <c r="K34" s="2228"/>
      <c r="L34" s="2228"/>
      <c r="M34" s="2226"/>
      <c r="N34" s="2226"/>
      <c r="O34" s="2226"/>
      <c r="P34" s="2226"/>
      <c r="Q34" s="2226"/>
      <c r="R34" s="2226"/>
      <c r="S34" s="2226"/>
      <c r="T34" s="2226"/>
      <c r="U34" s="2226"/>
      <c r="V34" s="2226"/>
      <c r="W34" s="2226"/>
      <c r="X34" s="2226"/>
      <c r="Y34" s="2226"/>
      <c r="Z34" s="2226"/>
      <c r="AA34" s="2226"/>
      <c r="AB34" s="2226"/>
      <c r="AC34" s="2226"/>
      <c r="AD34" s="2226"/>
      <c r="AE34" s="2226"/>
      <c r="AF34" s="2226"/>
      <c r="AG34" s="2226"/>
      <c r="AH34" s="2226"/>
      <c r="AI34" s="2226"/>
      <c r="AJ34" s="2226"/>
      <c r="AK34" s="2226"/>
      <c r="AL34" s="2226"/>
      <c r="AM34" s="2226"/>
      <c r="AN34" s="2238"/>
      <c r="AO34" s="2238"/>
      <c r="AP34" s="2238"/>
      <c r="AQ34" s="2238"/>
      <c r="AR34" s="2238"/>
      <c r="AS34" s="2238"/>
      <c r="AT34" s="2238"/>
      <c r="AU34" s="2238"/>
      <c r="AV34" s="2238"/>
      <c r="AW34" s="2238"/>
      <c r="AX34" s="2238"/>
      <c r="AY34" s="2238"/>
      <c r="AZ34" s="2238"/>
      <c r="BA34" s="2238"/>
      <c r="BB34" s="2238"/>
      <c r="BC34" s="2238"/>
      <c r="BD34" s="2238"/>
      <c r="BE34" s="2238"/>
      <c r="BF34" s="2238"/>
      <c r="BG34" s="2238"/>
      <c r="BH34" s="2238"/>
      <c r="BI34" s="2238"/>
      <c r="BJ34" s="2238"/>
      <c r="BK34" s="2238"/>
      <c r="BL34" s="2238"/>
      <c r="BM34" s="2238"/>
      <c r="BN34" s="2238"/>
      <c r="BO34" s="2238"/>
    </row>
    <row r="35" spans="1:67" s="1204" customFormat="1" ht="13.5">
      <c r="A35" s="74" t="s">
        <v>718</v>
      </c>
      <c r="B35" s="409">
        <v>200</v>
      </c>
      <c r="C35" s="3286" t="s">
        <v>3007</v>
      </c>
      <c r="D35" s="2233"/>
      <c r="E35" s="2231"/>
      <c r="F35" s="2231"/>
      <c r="G35" s="2229"/>
      <c r="H35" s="2229"/>
      <c r="I35" s="2229"/>
      <c r="J35" s="2229"/>
      <c r="K35" s="2228"/>
      <c r="L35" s="2228"/>
      <c r="M35" s="2226"/>
      <c r="N35" s="2226"/>
      <c r="O35" s="2226"/>
      <c r="P35" s="2226"/>
      <c r="Q35" s="2226"/>
      <c r="R35" s="2226"/>
      <c r="S35" s="2226"/>
      <c r="T35" s="2226"/>
      <c r="U35" s="2226"/>
      <c r="V35" s="2226"/>
      <c r="W35" s="2226"/>
      <c r="X35" s="2226"/>
      <c r="Y35" s="2226"/>
      <c r="Z35" s="2226"/>
      <c r="AA35" s="2226"/>
      <c r="AB35" s="2226"/>
      <c r="AC35" s="2226"/>
      <c r="AD35" s="2226"/>
      <c r="AE35" s="2226"/>
      <c r="AF35" s="2226"/>
      <c r="AG35" s="2226"/>
      <c r="AH35" s="2226"/>
      <c r="AI35" s="2226"/>
      <c r="AJ35" s="2226"/>
      <c r="AK35" s="2226"/>
      <c r="AL35" s="2226"/>
      <c r="AM35" s="2226"/>
      <c r="AN35" s="2238"/>
      <c r="AO35" s="2238"/>
      <c r="AP35" s="2238"/>
      <c r="AQ35" s="2238"/>
      <c r="AR35" s="2238"/>
      <c r="AS35" s="2238"/>
      <c r="AT35" s="2238"/>
      <c r="AU35" s="2238"/>
      <c r="AV35" s="2238"/>
      <c r="AW35" s="2238"/>
      <c r="AX35" s="2238"/>
      <c r="AY35" s="2238"/>
      <c r="AZ35" s="2238"/>
      <c r="BA35" s="2238"/>
      <c r="BB35" s="2238"/>
      <c r="BC35" s="2238"/>
      <c r="BD35" s="2238"/>
      <c r="BE35" s="2238"/>
      <c r="BF35" s="2238"/>
      <c r="BG35" s="2238"/>
      <c r="BH35" s="2238"/>
      <c r="BI35" s="2238"/>
      <c r="BJ35" s="2238"/>
      <c r="BK35" s="2238"/>
      <c r="BL35" s="2238"/>
      <c r="BM35" s="2238"/>
      <c r="BN35" s="2238"/>
      <c r="BO35" s="2238"/>
    </row>
    <row r="36" spans="1:67" ht="14.25" thickBot="1">
      <c r="A36" s="280" t="s">
        <v>719</v>
      </c>
      <c r="B36" s="413">
        <v>1.4999999999999999E-2</v>
      </c>
      <c r="C36" s="3286" t="s">
        <v>3008</v>
      </c>
      <c r="D36" s="2230"/>
      <c r="E36" s="2229"/>
      <c r="F36" s="2229"/>
      <c r="G36" s="2229"/>
      <c r="H36" s="2229"/>
      <c r="I36" s="2229"/>
      <c r="J36" s="2229"/>
      <c r="K36" s="2228"/>
      <c r="L36" s="2228"/>
      <c r="M36" s="2226"/>
      <c r="N36" s="2226"/>
      <c r="O36" s="2226"/>
      <c r="P36" s="2226"/>
      <c r="Q36" s="2226"/>
      <c r="R36" s="2226"/>
      <c r="S36" s="2226"/>
      <c r="T36" s="2226"/>
      <c r="U36" s="2226"/>
      <c r="V36" s="2226"/>
      <c r="W36" s="2226"/>
      <c r="X36" s="2226"/>
      <c r="Y36" s="2226"/>
      <c r="Z36" s="2226"/>
      <c r="AA36" s="2226"/>
      <c r="AB36" s="2226"/>
      <c r="AC36" s="2226"/>
      <c r="AD36" s="2226"/>
      <c r="AE36" s="2226"/>
      <c r="AF36" s="2226"/>
      <c r="AG36" s="2226"/>
      <c r="AH36" s="2226"/>
      <c r="AI36" s="2226"/>
      <c r="AJ36" s="2226"/>
      <c r="AK36" s="2226"/>
      <c r="AL36" s="2226"/>
      <c r="AM36" s="2226"/>
    </row>
    <row r="37" spans="1:67" ht="13.5">
      <c r="A37" s="279" t="s">
        <v>720</v>
      </c>
      <c r="B37" s="414">
        <v>1.4999999999999999E-2</v>
      </c>
      <c r="C37" s="3286" t="s">
        <v>3009</v>
      </c>
      <c r="D37" s="2230"/>
      <c r="E37" s="2229"/>
      <c r="F37" s="2229"/>
      <c r="G37" s="2229"/>
      <c r="H37" s="2229"/>
      <c r="I37" s="2229"/>
      <c r="J37" s="2229"/>
      <c r="K37" s="2228"/>
      <c r="L37" s="2228"/>
      <c r="M37" s="2226"/>
      <c r="N37" s="2226"/>
      <c r="O37" s="2226"/>
      <c r="P37" s="2226"/>
      <c r="Q37" s="2226"/>
      <c r="R37" s="2226"/>
      <c r="S37" s="2226"/>
      <c r="T37" s="2226"/>
      <c r="U37" s="2226"/>
      <c r="V37" s="2226"/>
      <c r="W37" s="2226"/>
      <c r="X37" s="2226"/>
      <c r="Y37" s="2226"/>
      <c r="Z37" s="2226"/>
      <c r="AA37" s="2226"/>
      <c r="AB37" s="2226"/>
      <c r="AC37" s="2226"/>
      <c r="AD37" s="2226"/>
      <c r="AE37" s="2226"/>
      <c r="AF37" s="2226"/>
      <c r="AG37" s="2226"/>
      <c r="AH37" s="2226"/>
      <c r="AI37" s="2226"/>
      <c r="AJ37" s="2226"/>
      <c r="AK37" s="2226"/>
      <c r="AL37" s="2226"/>
      <c r="AM37" s="2226"/>
    </row>
    <row r="38" spans="1:67" ht="13.5">
      <c r="A38" s="74" t="s">
        <v>721</v>
      </c>
      <c r="B38" s="412">
        <v>1.4999999999999999E-2</v>
      </c>
      <c r="C38" s="3286" t="s">
        <v>3009</v>
      </c>
      <c r="D38" s="2230"/>
      <c r="E38" s="2229"/>
      <c r="F38" s="2229"/>
      <c r="G38" s="2229"/>
      <c r="H38" s="2229"/>
      <c r="I38" s="2229"/>
      <c r="J38" s="2229"/>
      <c r="K38" s="2228"/>
      <c r="L38" s="2228"/>
      <c r="M38" s="2226"/>
      <c r="N38" s="2226"/>
      <c r="O38" s="2226"/>
      <c r="P38" s="2226"/>
      <c r="Q38" s="2226"/>
      <c r="R38" s="2226"/>
      <c r="S38" s="2226"/>
      <c r="T38" s="2226"/>
      <c r="U38" s="2226"/>
      <c r="V38" s="2226"/>
      <c r="W38" s="2226"/>
      <c r="X38" s="2226"/>
      <c r="Y38" s="2226"/>
      <c r="Z38" s="2226"/>
      <c r="AA38" s="2226"/>
      <c r="AB38" s="2226"/>
      <c r="AC38" s="2226"/>
      <c r="AD38" s="2226"/>
      <c r="AE38" s="2226"/>
      <c r="AF38" s="2226"/>
      <c r="AG38" s="2226"/>
      <c r="AH38" s="2226"/>
      <c r="AI38" s="2226"/>
      <c r="AJ38" s="2226"/>
      <c r="AK38" s="2226"/>
      <c r="AL38" s="2226"/>
      <c r="AM38" s="2226"/>
    </row>
    <row r="39" spans="1:67" ht="13.5">
      <c r="A39" s="76" t="s">
        <v>2545</v>
      </c>
      <c r="B39" s="699">
        <f ca="1">存贷款利率!I1</f>
        <v>1.4999999999999999E-2</v>
      </c>
      <c r="C39" s="2527"/>
      <c r="D39" s="2230"/>
      <c r="E39" s="2229"/>
      <c r="F39" s="2229"/>
      <c r="G39" s="2229"/>
      <c r="H39" s="2229"/>
      <c r="I39" s="2229"/>
      <c r="J39" s="2229"/>
      <c r="K39" s="2228"/>
      <c r="L39" s="2228"/>
      <c r="M39" s="2226"/>
      <c r="N39" s="2226"/>
      <c r="O39" s="2226"/>
      <c r="P39" s="2226"/>
      <c r="Q39" s="2226"/>
      <c r="R39" s="2226"/>
      <c r="S39" s="2226"/>
      <c r="T39" s="2226"/>
      <c r="U39" s="2226"/>
      <c r="V39" s="2226"/>
      <c r="W39" s="2226"/>
      <c r="X39" s="2226"/>
      <c r="Y39" s="2226"/>
      <c r="Z39" s="2226"/>
      <c r="AA39" s="2226"/>
      <c r="AB39" s="2226"/>
      <c r="AC39" s="2226"/>
      <c r="AD39" s="2226"/>
      <c r="AE39" s="2226"/>
      <c r="AF39" s="2226"/>
      <c r="AG39" s="2226"/>
      <c r="AH39" s="2226"/>
      <c r="AI39" s="2226"/>
      <c r="AJ39" s="2226"/>
      <c r="AK39" s="2226"/>
      <c r="AL39" s="2226"/>
      <c r="AM39" s="2226"/>
    </row>
    <row r="40" spans="1:67" ht="14.25" thickBot="1">
      <c r="A40" s="76" t="s">
        <v>2621</v>
      </c>
      <c r="B40" s="2633">
        <f ca="1">存贷款利率!G1</f>
        <v>4.7500000000000001E-2</v>
      </c>
      <c r="C40" s="2527" t="s">
        <v>539</v>
      </c>
      <c r="D40" s="2226"/>
      <c r="E40" s="2230"/>
      <c r="F40" s="2229"/>
      <c r="G40" s="2229"/>
      <c r="H40" s="2229"/>
      <c r="I40" s="2229"/>
      <c r="J40" s="2229"/>
      <c r="K40" s="2228"/>
      <c r="L40" s="2228"/>
      <c r="M40" s="2226"/>
      <c r="N40" s="2226"/>
      <c r="O40" s="2226"/>
      <c r="P40" s="2226"/>
      <c r="Q40" s="2226"/>
      <c r="R40" s="2226"/>
      <c r="S40" s="2226"/>
      <c r="T40" s="2226"/>
      <c r="U40" s="2226"/>
      <c r="V40" s="2226"/>
      <c r="W40" s="2226"/>
      <c r="X40" s="2226"/>
      <c r="Y40" s="2226"/>
      <c r="Z40" s="2226"/>
      <c r="AA40" s="2226"/>
      <c r="AB40" s="2226"/>
      <c r="AC40" s="2226"/>
      <c r="AD40" s="2226"/>
      <c r="AE40" s="2226"/>
      <c r="AF40" s="2226"/>
      <c r="AG40" s="2226"/>
      <c r="AH40" s="2226"/>
      <c r="AI40" s="2226"/>
      <c r="AJ40" s="2226"/>
      <c r="AK40" s="2226"/>
      <c r="AL40" s="2226"/>
      <c r="AM40" s="2226"/>
    </row>
    <row r="41" spans="1:67" ht="14.25">
      <c r="A41" s="73" t="s">
        <v>722</v>
      </c>
      <c r="B41" s="415">
        <f>B42+B43</f>
        <v>5.6000000000000001E-2</v>
      </c>
      <c r="C41" s="2525"/>
      <c r="D41" s="2226"/>
      <c r="E41" s="2230"/>
      <c r="F41" s="2229"/>
      <c r="G41" s="2229"/>
      <c r="H41" s="2229"/>
      <c r="I41" s="2229"/>
      <c r="J41" s="2229"/>
      <c r="K41" s="2228"/>
      <c r="L41" s="2228"/>
      <c r="M41" s="2226"/>
      <c r="N41" s="2226"/>
      <c r="O41" s="2226"/>
      <c r="P41" s="2226"/>
      <c r="Q41" s="2226"/>
      <c r="R41" s="2226"/>
      <c r="S41" s="2226"/>
      <c r="T41" s="2226"/>
      <c r="U41" s="2226"/>
      <c r="V41" s="2226"/>
      <c r="W41" s="2226"/>
      <c r="X41" s="2226"/>
      <c r="Y41" s="2226"/>
      <c r="Z41" s="2226"/>
      <c r="AA41" s="2226"/>
      <c r="AB41" s="2226"/>
      <c r="AC41" s="2226"/>
      <c r="AD41" s="2226"/>
      <c r="AE41" s="2226"/>
      <c r="AF41" s="2226"/>
      <c r="AG41" s="2226"/>
      <c r="AH41" s="2226"/>
      <c r="AI41" s="2226"/>
      <c r="AJ41" s="2226"/>
      <c r="AK41" s="2226"/>
      <c r="AL41" s="2226"/>
      <c r="AM41" s="2226"/>
    </row>
    <row r="42" spans="1:67" ht="14.25">
      <c r="A42" s="1205" t="s">
        <v>723</v>
      </c>
      <c r="B42" s="416">
        <v>0.05</v>
      </c>
      <c r="C42" s="3311">
        <f>IF(B2&lt;DATE(2016,5,1),0,B42)</f>
        <v>0.05</v>
      </c>
      <c r="D42" s="2230"/>
      <c r="E42" s="2229"/>
      <c r="F42" s="2229"/>
      <c r="G42" s="2229"/>
      <c r="H42" s="2229"/>
      <c r="I42" s="2229"/>
      <c r="J42" s="2229"/>
      <c r="K42" s="2228"/>
      <c r="L42" s="2228"/>
      <c r="M42" s="2226"/>
      <c r="N42" s="2226"/>
      <c r="O42" s="2226"/>
      <c r="P42" s="2226"/>
      <c r="Q42" s="2226"/>
      <c r="R42" s="2226"/>
      <c r="S42" s="2226"/>
      <c r="T42" s="2226"/>
      <c r="U42" s="2226"/>
      <c r="V42" s="2226"/>
      <c r="W42" s="2226"/>
      <c r="X42" s="2226"/>
      <c r="Y42" s="2226"/>
      <c r="Z42" s="2226"/>
      <c r="AA42" s="2226"/>
      <c r="AB42" s="2226"/>
      <c r="AC42" s="2226"/>
      <c r="AD42" s="2226"/>
      <c r="AE42" s="2226"/>
      <c r="AF42" s="2226"/>
      <c r="AG42" s="2226"/>
      <c r="AH42" s="2226"/>
      <c r="AI42" s="2226"/>
      <c r="AJ42" s="2226"/>
      <c r="AK42" s="2226"/>
      <c r="AL42" s="2226"/>
      <c r="AM42" s="2226"/>
    </row>
    <row r="43" spans="1:67" ht="14.25">
      <c r="A43" s="1205" t="s">
        <v>724</v>
      </c>
      <c r="B43" s="417">
        <f>B42*(B44+B45+B46)+B47</f>
        <v>6.000000000000001E-3</v>
      </c>
      <c r="C43" s="2525"/>
      <c r="D43" s="2230"/>
      <c r="E43" s="2229"/>
      <c r="F43" s="2229"/>
      <c r="G43" s="2229"/>
      <c r="H43" s="2229"/>
      <c r="I43" s="2229"/>
      <c r="J43" s="2229"/>
      <c r="K43" s="2228"/>
      <c r="L43" s="2228"/>
      <c r="M43" s="2226"/>
      <c r="N43" s="2226"/>
      <c r="O43" s="2226"/>
      <c r="P43" s="2226"/>
      <c r="Q43" s="2226"/>
      <c r="R43" s="2226"/>
      <c r="S43" s="2226"/>
      <c r="T43" s="2226"/>
      <c r="U43" s="2226"/>
      <c r="V43" s="2226"/>
      <c r="W43" s="2226"/>
      <c r="X43" s="2226"/>
      <c r="Y43" s="2226"/>
      <c r="Z43" s="2226"/>
      <c r="AA43" s="2226"/>
      <c r="AB43" s="2226"/>
      <c r="AC43" s="2226"/>
      <c r="AD43" s="2226"/>
      <c r="AE43" s="2226"/>
      <c r="AF43" s="2226"/>
      <c r="AG43" s="2226"/>
      <c r="AH43" s="2226"/>
      <c r="AI43" s="2226"/>
      <c r="AJ43" s="2226"/>
      <c r="AK43" s="2226"/>
      <c r="AL43" s="2226"/>
      <c r="AM43" s="2226"/>
    </row>
    <row r="44" spans="1:67" ht="14.25">
      <c r="A44" s="75" t="s">
        <v>725</v>
      </c>
      <c r="B44" s="418">
        <v>7.0000000000000007E-2</v>
      </c>
      <c r="C44" s="3286" t="s">
        <v>3011</v>
      </c>
      <c r="D44" s="2230"/>
      <c r="E44" s="2229"/>
      <c r="F44" s="2229"/>
      <c r="G44" s="2229"/>
      <c r="H44" s="2229"/>
      <c r="I44" s="2229"/>
      <c r="J44" s="2229"/>
      <c r="K44" s="2228"/>
      <c r="L44" s="2228"/>
      <c r="M44" s="2226"/>
      <c r="N44" s="2226"/>
      <c r="O44" s="2226"/>
      <c r="P44" s="2226"/>
      <c r="Q44" s="2226"/>
      <c r="R44" s="2226"/>
      <c r="S44" s="2226"/>
      <c r="T44" s="2226"/>
      <c r="U44" s="2226"/>
      <c r="V44" s="2226"/>
      <c r="W44" s="2226"/>
      <c r="X44" s="2226"/>
      <c r="Y44" s="2226"/>
      <c r="Z44" s="2226"/>
      <c r="AA44" s="2226"/>
      <c r="AB44" s="2226"/>
      <c r="AC44" s="2226"/>
      <c r="AD44" s="2226"/>
      <c r="AE44" s="2226"/>
      <c r="AF44" s="2226"/>
      <c r="AG44" s="2226"/>
      <c r="AH44" s="2226"/>
      <c r="AI44" s="2226"/>
      <c r="AJ44" s="2226"/>
      <c r="AK44" s="2226"/>
      <c r="AL44" s="2226"/>
      <c r="AM44" s="2226"/>
    </row>
    <row r="45" spans="1:67" ht="14.25">
      <c r="A45" s="75" t="s">
        <v>726</v>
      </c>
      <c r="B45" s="416">
        <v>0.03</v>
      </c>
      <c r="C45" s="3287" t="s">
        <v>3010</v>
      </c>
      <c r="D45" s="2230"/>
      <c r="E45" s="2229"/>
      <c r="F45" s="2229"/>
      <c r="G45" s="2229"/>
      <c r="H45" s="2229"/>
      <c r="I45" s="2229"/>
      <c r="J45" s="2229"/>
      <c r="K45" s="2228"/>
      <c r="L45" s="2228"/>
      <c r="M45" s="2226"/>
      <c r="N45" s="2226"/>
      <c r="O45" s="2226"/>
      <c r="P45" s="2226"/>
      <c r="Q45" s="2226"/>
      <c r="R45" s="2226"/>
      <c r="S45" s="2226"/>
      <c r="T45" s="2226"/>
      <c r="U45" s="2226"/>
      <c r="V45" s="2226"/>
      <c r="W45" s="2226"/>
      <c r="X45" s="2226"/>
      <c r="Y45" s="2226"/>
      <c r="Z45" s="2226"/>
      <c r="AA45" s="2226"/>
      <c r="AB45" s="2226"/>
      <c r="AC45" s="2226"/>
      <c r="AD45" s="2226"/>
      <c r="AE45" s="2226"/>
      <c r="AF45" s="2226"/>
      <c r="AG45" s="2226"/>
      <c r="AH45" s="2226"/>
      <c r="AI45" s="2226"/>
      <c r="AJ45" s="2226"/>
      <c r="AK45" s="2226"/>
      <c r="AL45" s="2226"/>
      <c r="AM45" s="2226"/>
    </row>
    <row r="46" spans="1:67" ht="14.25">
      <c r="A46" s="75" t="s">
        <v>727</v>
      </c>
      <c r="B46" s="416">
        <v>0.02</v>
      </c>
      <c r="C46" s="3287" t="s">
        <v>3032</v>
      </c>
      <c r="D46" s="2230"/>
      <c r="E46" s="2229"/>
      <c r="F46" s="2229"/>
      <c r="G46" s="2229"/>
      <c r="H46" s="2229"/>
      <c r="I46" s="2229"/>
      <c r="J46" s="2229"/>
      <c r="K46" s="2228"/>
      <c r="L46" s="2228"/>
      <c r="M46" s="2226"/>
      <c r="N46" s="2226"/>
      <c r="O46" s="2226"/>
      <c r="P46" s="2226"/>
      <c r="Q46" s="2226"/>
      <c r="R46" s="2226"/>
      <c r="S46" s="2226"/>
      <c r="T46" s="2226"/>
      <c r="U46" s="2226"/>
      <c r="V46" s="2226"/>
      <c r="W46" s="2226"/>
      <c r="X46" s="2226"/>
      <c r="Y46" s="2226"/>
      <c r="Z46" s="2226"/>
      <c r="AA46" s="2226"/>
      <c r="AB46" s="2226"/>
      <c r="AC46" s="2226"/>
      <c r="AD46" s="2226"/>
      <c r="AE46" s="2226"/>
      <c r="AF46" s="2226"/>
      <c r="AG46" s="2226"/>
      <c r="AH46" s="2226"/>
      <c r="AI46" s="2226"/>
      <c r="AJ46" s="2226"/>
      <c r="AK46" s="2226"/>
      <c r="AL46" s="2226"/>
      <c r="AM46" s="2226"/>
    </row>
    <row r="47" spans="1:67" ht="15" thickBot="1">
      <c r="A47" s="282" t="s">
        <v>728</v>
      </c>
      <c r="B47" s="419">
        <v>0</v>
      </c>
      <c r="C47" s="2525" t="s">
        <v>729</v>
      </c>
      <c r="D47" s="2230"/>
      <c r="E47" s="2229"/>
      <c r="F47" s="2229"/>
      <c r="G47" s="2229"/>
      <c r="H47" s="2229"/>
      <c r="I47" s="2229"/>
      <c r="J47" s="2229"/>
      <c r="K47" s="2228"/>
      <c r="L47" s="2228"/>
      <c r="M47" s="2226"/>
      <c r="N47" s="2226"/>
      <c r="O47" s="2226"/>
      <c r="P47" s="2226"/>
      <c r="Q47" s="2226"/>
      <c r="R47" s="2226"/>
      <c r="S47" s="2226"/>
      <c r="T47" s="2226"/>
      <c r="U47" s="2226"/>
      <c r="V47" s="2226"/>
      <c r="W47" s="2226"/>
      <c r="X47" s="2226"/>
      <c r="Y47" s="2226"/>
      <c r="Z47" s="2226"/>
      <c r="AA47" s="2226"/>
      <c r="AB47" s="2226"/>
      <c r="AC47" s="2226"/>
      <c r="AD47" s="2226"/>
      <c r="AE47" s="2226"/>
      <c r="AF47" s="2226"/>
      <c r="AG47" s="2226"/>
      <c r="AH47" s="2226"/>
      <c r="AI47" s="2226"/>
      <c r="AJ47" s="2226"/>
      <c r="AK47" s="2226"/>
      <c r="AL47" s="2226"/>
      <c r="AM47" s="2226"/>
    </row>
    <row r="48" spans="1:67" ht="14.25">
      <c r="A48" s="281" t="s">
        <v>730</v>
      </c>
      <c r="B48" s="420">
        <v>0.03</v>
      </c>
      <c r="C48" s="3309" t="s">
        <v>3033</v>
      </c>
      <c r="D48" s="2230"/>
      <c r="E48" s="2229"/>
      <c r="F48" s="2229"/>
      <c r="G48" s="2229"/>
      <c r="H48" s="2229"/>
      <c r="I48" s="2229"/>
      <c r="J48" s="2229"/>
      <c r="K48" s="2228"/>
      <c r="L48" s="2228"/>
      <c r="M48" s="2226"/>
      <c r="N48" s="2226"/>
      <c r="O48" s="2226"/>
      <c r="P48" s="2226"/>
      <c r="Q48" s="2226"/>
      <c r="R48" s="2226"/>
      <c r="S48" s="2226"/>
      <c r="T48" s="2226"/>
      <c r="U48" s="2226"/>
      <c r="V48" s="2226"/>
      <c r="W48" s="2226"/>
      <c r="X48" s="2226"/>
      <c r="Y48" s="2226"/>
      <c r="Z48" s="2226"/>
      <c r="AA48" s="2226"/>
      <c r="AB48" s="2226"/>
      <c r="AC48" s="2226"/>
      <c r="AD48" s="2226"/>
      <c r="AE48" s="2226"/>
      <c r="AF48" s="2226"/>
      <c r="AG48" s="2226"/>
      <c r="AH48" s="2226"/>
      <c r="AI48" s="2226"/>
      <c r="AJ48" s="2226"/>
      <c r="AK48" s="2226"/>
      <c r="AL48" s="2226"/>
      <c r="AM48" s="2226"/>
    </row>
    <row r="49" spans="1:39" ht="15" thickBot="1">
      <c r="A49" s="76" t="s">
        <v>731</v>
      </c>
      <c r="B49" s="416">
        <v>5.0000000000000001E-4</v>
      </c>
      <c r="C49" s="3309" t="s">
        <v>3034</v>
      </c>
      <c r="D49" s="2230"/>
      <c r="E49" s="2229"/>
      <c r="F49" s="2229"/>
      <c r="G49" s="2229"/>
      <c r="H49" s="2229"/>
      <c r="I49" s="2229"/>
      <c r="J49" s="2229"/>
      <c r="K49" s="2228"/>
      <c r="L49" s="2228"/>
      <c r="M49" s="2226"/>
      <c r="N49" s="2226"/>
      <c r="O49" s="2226"/>
      <c r="P49" s="2226"/>
      <c r="Q49" s="2226"/>
      <c r="R49" s="2226"/>
      <c r="S49" s="2226"/>
      <c r="T49" s="2226"/>
      <c r="U49" s="2226"/>
      <c r="V49" s="2226"/>
      <c r="W49" s="2226"/>
      <c r="X49" s="2226"/>
      <c r="Y49" s="2226"/>
      <c r="Z49" s="2226"/>
      <c r="AA49" s="2226"/>
      <c r="AB49" s="2226"/>
      <c r="AC49" s="2226"/>
      <c r="AD49" s="2226"/>
      <c r="AE49" s="2226"/>
      <c r="AF49" s="2226"/>
      <c r="AG49" s="2226"/>
      <c r="AH49" s="2226"/>
      <c r="AI49" s="2226"/>
      <c r="AJ49" s="2226"/>
      <c r="AK49" s="2226"/>
      <c r="AL49" s="2226"/>
      <c r="AM49" s="2226"/>
    </row>
    <row r="50" spans="1:39" ht="14.25">
      <c r="A50" s="278" t="s">
        <v>732</v>
      </c>
      <c r="B50" s="421">
        <v>1.2E-2</v>
      </c>
      <c r="C50" s="2231"/>
      <c r="D50" s="2230"/>
      <c r="E50" s="2229"/>
      <c r="F50" s="2229"/>
      <c r="G50" s="2229"/>
      <c r="H50" s="2229"/>
      <c r="I50" s="2229"/>
      <c r="J50" s="2229"/>
      <c r="K50" s="2228"/>
      <c r="L50" s="2228"/>
      <c r="M50" s="2226"/>
      <c r="N50" s="2226"/>
      <c r="O50" s="2226"/>
      <c r="P50" s="2226"/>
      <c r="Q50" s="2226"/>
      <c r="R50" s="2226"/>
      <c r="S50" s="2226"/>
      <c r="T50" s="2226"/>
      <c r="U50" s="2226"/>
      <c r="V50" s="2226"/>
      <c r="W50" s="2226"/>
      <c r="X50" s="2226"/>
      <c r="Y50" s="2226"/>
      <c r="Z50" s="2226"/>
      <c r="AA50" s="2226"/>
      <c r="AB50" s="2226"/>
      <c r="AC50" s="2226"/>
      <c r="AD50" s="2226"/>
      <c r="AE50" s="2226"/>
      <c r="AF50" s="2226"/>
      <c r="AG50" s="2226"/>
      <c r="AH50" s="2226"/>
      <c r="AI50" s="2226"/>
      <c r="AJ50" s="2226"/>
      <c r="AK50" s="2226"/>
      <c r="AL50" s="2226"/>
      <c r="AM50" s="2226"/>
    </row>
    <row r="51" spans="1:39" ht="15" thickBot="1">
      <c r="A51" s="280" t="s">
        <v>733</v>
      </c>
      <c r="B51" s="422">
        <v>0.12</v>
      </c>
      <c r="C51" s="2231"/>
      <c r="D51" s="2230"/>
      <c r="E51" s="2229"/>
      <c r="F51" s="2229"/>
      <c r="G51" s="2229"/>
      <c r="H51" s="2229"/>
      <c r="I51" s="2229"/>
      <c r="J51" s="2229"/>
      <c r="K51" s="2228"/>
      <c r="L51" s="2228"/>
      <c r="M51" s="2226"/>
      <c r="N51" s="2226"/>
      <c r="O51" s="2226"/>
      <c r="P51" s="2226"/>
      <c r="Q51" s="2226"/>
      <c r="R51" s="2226"/>
      <c r="S51" s="2226"/>
      <c r="T51" s="2226"/>
      <c r="U51" s="2226"/>
      <c r="V51" s="2226"/>
      <c r="W51" s="2226"/>
      <c r="X51" s="2226"/>
      <c r="Y51" s="2226"/>
      <c r="Z51" s="2226"/>
      <c r="AA51" s="2226"/>
      <c r="AB51" s="2226"/>
      <c r="AC51" s="2226"/>
      <c r="AD51" s="2226"/>
      <c r="AE51" s="2226"/>
      <c r="AF51" s="2226"/>
      <c r="AG51" s="2226"/>
      <c r="AH51" s="2226"/>
      <c r="AI51" s="2226"/>
      <c r="AJ51" s="2226"/>
      <c r="AK51" s="2226"/>
      <c r="AL51" s="2226"/>
      <c r="AM51" s="2226"/>
    </row>
    <row r="52" spans="1:39" ht="14.25">
      <c r="A52" s="278" t="s">
        <v>734</v>
      </c>
      <c r="B52" s="423">
        <f>SUMIF(A54:A63,B53,B54:B63)</f>
        <v>10</v>
      </c>
      <c r="C52" s="2231"/>
      <c r="D52" s="2230"/>
      <c r="E52" s="2229"/>
      <c r="F52" s="2229"/>
      <c r="G52" s="2229"/>
      <c r="H52" s="2229"/>
      <c r="I52" s="2229"/>
      <c r="J52" s="2229"/>
      <c r="K52" s="2228"/>
      <c r="L52" s="2228"/>
      <c r="M52" s="2226"/>
      <c r="N52" s="2226"/>
      <c r="O52" s="2226"/>
      <c r="P52" s="2226"/>
      <c r="Q52" s="2226"/>
      <c r="R52" s="2226"/>
      <c r="S52" s="2226"/>
      <c r="T52" s="2226"/>
      <c r="U52" s="2226"/>
      <c r="V52" s="2226"/>
      <c r="W52" s="2226"/>
      <c r="X52" s="2226"/>
      <c r="Y52" s="2226"/>
      <c r="Z52" s="2226"/>
      <c r="AA52" s="2226"/>
      <c r="AB52" s="2226"/>
      <c r="AC52" s="2226"/>
      <c r="AD52" s="2226"/>
      <c r="AE52" s="2226"/>
      <c r="AF52" s="2226"/>
      <c r="AG52" s="2226"/>
      <c r="AH52" s="2226"/>
      <c r="AI52" s="2226"/>
      <c r="AJ52" s="2226"/>
      <c r="AK52" s="2226"/>
      <c r="AL52" s="2226"/>
      <c r="AM52" s="2226"/>
    </row>
    <row r="53" spans="1:39" ht="27">
      <c r="A53" s="74" t="s">
        <v>735</v>
      </c>
      <c r="B53" s="41" t="s">
        <v>1542</v>
      </c>
      <c r="C53" s="2231" t="s">
        <v>3127</v>
      </c>
      <c r="D53" s="2234" t="s">
        <v>3015</v>
      </c>
      <c r="E53" s="2229"/>
      <c r="F53" s="2229"/>
      <c r="G53" s="2229"/>
      <c r="H53" s="2229"/>
      <c r="I53" s="2229"/>
      <c r="J53" s="2229"/>
      <c r="K53" s="2228"/>
      <c r="L53" s="2228"/>
      <c r="M53" s="2226"/>
      <c r="N53" s="2226"/>
      <c r="O53" s="2226"/>
      <c r="P53" s="2226"/>
      <c r="Q53" s="2226"/>
      <c r="R53" s="2226"/>
      <c r="S53" s="2226"/>
      <c r="T53" s="2226"/>
      <c r="U53" s="2226"/>
      <c r="V53" s="2226"/>
      <c r="W53" s="2226"/>
      <c r="X53" s="2226"/>
      <c r="Y53" s="2226"/>
      <c r="Z53" s="2226"/>
      <c r="AA53" s="2226"/>
      <c r="AB53" s="2226"/>
      <c r="AC53" s="2226"/>
      <c r="AD53" s="2226"/>
      <c r="AE53" s="2226"/>
      <c r="AF53" s="2226"/>
      <c r="AG53" s="2226"/>
      <c r="AH53" s="2226"/>
      <c r="AI53" s="2226"/>
      <c r="AJ53" s="2226"/>
      <c r="AK53" s="2226"/>
      <c r="AL53" s="2226"/>
      <c r="AM53" s="2226"/>
    </row>
    <row r="54" spans="1:39" ht="14.25">
      <c r="A54" s="42" t="s">
        <v>165</v>
      </c>
      <c r="B54" s="374">
        <v>27</v>
      </c>
      <c r="C54" s="2849">
        <v>30</v>
      </c>
      <c r="D54" s="2230"/>
      <c r="E54" s="2229"/>
      <c r="F54" s="2229"/>
      <c r="G54" s="2229"/>
      <c r="H54" s="2229"/>
      <c r="I54" s="2229"/>
      <c r="J54" s="2229"/>
      <c r="K54" s="2228"/>
      <c r="L54" s="2228"/>
      <c r="M54" s="2226"/>
      <c r="N54" s="2226"/>
      <c r="O54" s="2226"/>
      <c r="P54" s="2226"/>
      <c r="Q54" s="2226"/>
      <c r="R54" s="2226"/>
      <c r="S54" s="2226"/>
      <c r="T54" s="2226"/>
      <c r="U54" s="2226"/>
      <c r="V54" s="2226"/>
      <c r="W54" s="2226"/>
      <c r="X54" s="2226"/>
      <c r="Y54" s="2226"/>
      <c r="Z54" s="2226"/>
      <c r="AA54" s="2226"/>
      <c r="AB54" s="2226"/>
      <c r="AC54" s="2226"/>
      <c r="AD54" s="2226"/>
      <c r="AE54" s="2226"/>
      <c r="AF54" s="2226"/>
      <c r="AG54" s="2226"/>
      <c r="AH54" s="2226"/>
      <c r="AI54" s="2226"/>
      <c r="AJ54" s="2226"/>
      <c r="AK54" s="2226"/>
      <c r="AL54" s="2226"/>
      <c r="AM54" s="2226"/>
    </row>
    <row r="55" spans="1:39" ht="14.25">
      <c r="A55" s="42" t="s">
        <v>166</v>
      </c>
      <c r="B55" s="374">
        <v>24</v>
      </c>
      <c r="C55" s="2849">
        <v>24</v>
      </c>
      <c r="D55" s="2230"/>
      <c r="E55" s="2229"/>
      <c r="F55" s="2229"/>
      <c r="G55" s="2229"/>
      <c r="H55" s="2229"/>
      <c r="I55" s="2224"/>
      <c r="J55" s="2229"/>
      <c r="K55" s="2228"/>
      <c r="L55" s="2228"/>
      <c r="M55" s="2226"/>
      <c r="N55" s="2226"/>
      <c r="O55" s="2226"/>
      <c r="P55" s="2226"/>
      <c r="Q55" s="2226"/>
      <c r="R55" s="2226"/>
      <c r="S55" s="2226"/>
      <c r="T55" s="2226"/>
      <c r="U55" s="2226"/>
      <c r="V55" s="2226"/>
      <c r="W55" s="2226"/>
      <c r="X55" s="2226"/>
      <c r="Y55" s="2226"/>
      <c r="Z55" s="2226"/>
      <c r="AA55" s="2226"/>
      <c r="AB55" s="2226"/>
      <c r="AC55" s="2226"/>
      <c r="AD55" s="2226"/>
      <c r="AE55" s="2226"/>
      <c r="AF55" s="2226"/>
      <c r="AG55" s="2226"/>
      <c r="AH55" s="2226"/>
      <c r="AI55" s="2226"/>
      <c r="AJ55" s="2226"/>
      <c r="AK55" s="2226"/>
      <c r="AL55" s="2226"/>
      <c r="AM55" s="2226"/>
    </row>
    <row r="56" spans="1:39" ht="14.25">
      <c r="A56" s="42" t="s">
        <v>161</v>
      </c>
      <c r="B56" s="374">
        <v>20</v>
      </c>
      <c r="C56" s="2849">
        <v>18</v>
      </c>
      <c r="D56" s="2230"/>
      <c r="E56" s="2229"/>
      <c r="F56" s="2229"/>
      <c r="G56" s="2229"/>
      <c r="H56" s="2229"/>
      <c r="I56" s="2229"/>
      <c r="J56" s="2229"/>
      <c r="K56" s="2228"/>
      <c r="L56" s="2228"/>
      <c r="M56" s="2226"/>
      <c r="N56" s="2226"/>
      <c r="O56" s="2226"/>
      <c r="P56" s="2226"/>
      <c r="Q56" s="2226"/>
      <c r="R56" s="2226"/>
      <c r="S56" s="2226"/>
      <c r="T56" s="2226"/>
      <c r="U56" s="2226"/>
      <c r="V56" s="2226"/>
      <c r="W56" s="2226"/>
      <c r="X56" s="2226"/>
      <c r="Y56" s="2226"/>
      <c r="Z56" s="2226"/>
      <c r="AA56" s="2226"/>
      <c r="AB56" s="2226"/>
      <c r="AC56" s="2226"/>
      <c r="AD56" s="2226"/>
      <c r="AE56" s="2226"/>
      <c r="AF56" s="2226"/>
      <c r="AG56" s="2226"/>
      <c r="AH56" s="2226"/>
      <c r="AI56" s="2226"/>
      <c r="AJ56" s="2226"/>
      <c r="AK56" s="2226"/>
      <c r="AL56" s="2226"/>
      <c r="AM56" s="2226"/>
    </row>
    <row r="57" spans="1:39" ht="14.25">
      <c r="A57" s="42" t="s">
        <v>162</v>
      </c>
      <c r="B57" s="374">
        <v>16</v>
      </c>
      <c r="C57" s="2849">
        <v>12</v>
      </c>
      <c r="D57" s="2230"/>
      <c r="E57" s="2229"/>
      <c r="F57" s="2229"/>
      <c r="G57" s="2229"/>
      <c r="H57" s="2229"/>
      <c r="I57" s="2229"/>
      <c r="J57" s="2229"/>
      <c r="K57" s="2228"/>
      <c r="L57" s="2228"/>
      <c r="M57" s="2226"/>
      <c r="N57" s="2226"/>
      <c r="O57" s="2226"/>
      <c r="P57" s="2226"/>
      <c r="Q57" s="2226"/>
      <c r="R57" s="2226"/>
      <c r="S57" s="2226"/>
      <c r="T57" s="2226"/>
      <c r="U57" s="2226"/>
      <c r="V57" s="2226"/>
      <c r="W57" s="2226"/>
      <c r="X57" s="2226"/>
      <c r="Y57" s="2226"/>
      <c r="Z57" s="2226"/>
      <c r="AA57" s="2226"/>
      <c r="AB57" s="2226"/>
      <c r="AC57" s="2226"/>
      <c r="AD57" s="2226"/>
      <c r="AE57" s="2226"/>
      <c r="AF57" s="2226"/>
      <c r="AG57" s="2226"/>
      <c r="AH57" s="2226"/>
      <c r="AI57" s="2226"/>
      <c r="AJ57" s="2226"/>
      <c r="AK57" s="2226"/>
      <c r="AL57" s="2226"/>
      <c r="AM57" s="2226"/>
    </row>
    <row r="58" spans="1:39" ht="14.25">
      <c r="A58" s="42" t="s">
        <v>163</v>
      </c>
      <c r="B58" s="3419">
        <v>10</v>
      </c>
      <c r="C58" s="2849">
        <v>3</v>
      </c>
      <c r="D58" s="2230"/>
      <c r="E58" s="2229"/>
      <c r="F58" s="2229"/>
      <c r="G58" s="2229"/>
      <c r="H58" s="2229"/>
      <c r="I58" s="2229"/>
      <c r="J58" s="2229"/>
      <c r="K58" s="2228"/>
      <c r="L58" s="2228"/>
      <c r="M58" s="2226"/>
      <c r="N58" s="2226"/>
      <c r="O58" s="2226"/>
      <c r="P58" s="2226"/>
      <c r="Q58" s="2226"/>
      <c r="R58" s="2226"/>
      <c r="S58" s="2226"/>
      <c r="T58" s="2226"/>
      <c r="U58" s="2226"/>
      <c r="V58" s="2226"/>
      <c r="W58" s="2226"/>
      <c r="X58" s="2226"/>
      <c r="Y58" s="2226"/>
      <c r="Z58" s="2226"/>
      <c r="AA58" s="2226"/>
      <c r="AB58" s="2226"/>
      <c r="AC58" s="2226"/>
      <c r="AD58" s="2226"/>
      <c r="AE58" s="2226"/>
      <c r="AF58" s="2226"/>
      <c r="AG58" s="2226"/>
      <c r="AH58" s="2226"/>
      <c r="AI58" s="2226"/>
      <c r="AJ58" s="2226"/>
      <c r="AK58" s="2226"/>
      <c r="AL58" s="2226"/>
      <c r="AM58" s="2226"/>
    </row>
    <row r="59" spans="1:39" ht="14.25">
      <c r="A59" s="42" t="s">
        <v>164</v>
      </c>
      <c r="B59" s="374"/>
      <c r="C59" s="2849">
        <v>1.5</v>
      </c>
      <c r="D59" s="2230"/>
      <c r="E59" s="2229"/>
      <c r="F59" s="2229"/>
      <c r="G59" s="2229"/>
      <c r="H59" s="2229"/>
      <c r="I59" s="2229"/>
      <c r="J59" s="2229"/>
      <c r="K59" s="2228"/>
      <c r="L59" s="2228"/>
      <c r="M59" s="2226"/>
      <c r="N59" s="2226"/>
      <c r="O59" s="2226"/>
      <c r="P59" s="2226"/>
      <c r="Q59" s="2226"/>
      <c r="R59" s="2226"/>
      <c r="S59" s="2226"/>
      <c r="T59" s="2226"/>
      <c r="U59" s="2226"/>
      <c r="V59" s="2226"/>
      <c r="W59" s="2226"/>
      <c r="X59" s="2226"/>
      <c r="Y59" s="2226"/>
      <c r="Z59" s="2226"/>
      <c r="AA59" s="2226"/>
      <c r="AB59" s="2226"/>
      <c r="AC59" s="2226"/>
      <c r="AD59" s="2226"/>
      <c r="AE59" s="2226"/>
      <c r="AF59" s="2226"/>
      <c r="AG59" s="2226"/>
      <c r="AH59" s="2226"/>
      <c r="AI59" s="2226"/>
      <c r="AJ59" s="2226"/>
      <c r="AK59" s="2226"/>
      <c r="AL59" s="2226"/>
      <c r="AM59" s="2226"/>
    </row>
    <row r="60" spans="1:39" ht="14.25">
      <c r="A60" s="42" t="s">
        <v>1182</v>
      </c>
      <c r="B60" s="374"/>
      <c r="C60" s="2229"/>
      <c r="D60" s="2230"/>
      <c r="E60" s="2229"/>
      <c r="F60" s="2229"/>
      <c r="G60" s="2229"/>
      <c r="H60" s="2229"/>
      <c r="I60" s="2229"/>
      <c r="J60" s="2229"/>
      <c r="K60" s="2228"/>
      <c r="L60" s="2228"/>
      <c r="M60" s="2226"/>
      <c r="N60" s="2226"/>
      <c r="O60" s="2226"/>
      <c r="P60" s="2226"/>
      <c r="Q60" s="2226"/>
      <c r="R60" s="2226"/>
      <c r="S60" s="2226"/>
      <c r="T60" s="2226"/>
      <c r="U60" s="2226"/>
      <c r="V60" s="2226"/>
      <c r="W60" s="2226"/>
      <c r="X60" s="2226"/>
      <c r="Y60" s="2226"/>
      <c r="Z60" s="2226"/>
      <c r="AA60" s="2226"/>
      <c r="AB60" s="2226"/>
      <c r="AC60" s="2226"/>
      <c r="AD60" s="2226"/>
      <c r="AE60" s="2226"/>
      <c r="AF60" s="2226"/>
      <c r="AG60" s="2226"/>
      <c r="AH60" s="2226"/>
      <c r="AI60" s="2226"/>
      <c r="AJ60" s="2226"/>
      <c r="AK60" s="2226"/>
      <c r="AL60" s="2226"/>
      <c r="AM60" s="2226"/>
    </row>
    <row r="61" spans="1:39" ht="14.25">
      <c r="A61" s="42" t="s">
        <v>3012</v>
      </c>
      <c r="B61" s="374"/>
      <c r="C61" s="2229"/>
      <c r="D61" s="2230"/>
      <c r="E61" s="2229"/>
      <c r="F61" s="2229"/>
      <c r="G61" s="2229"/>
      <c r="H61" s="2229"/>
      <c r="I61" s="2229"/>
      <c r="J61" s="2229"/>
      <c r="K61" s="2228"/>
      <c r="L61" s="2228"/>
      <c r="M61" s="2226"/>
      <c r="N61" s="2226"/>
      <c r="O61" s="2226"/>
      <c r="P61" s="2226"/>
      <c r="Q61" s="2226"/>
      <c r="R61" s="2226"/>
      <c r="S61" s="2226"/>
      <c r="T61" s="2226"/>
      <c r="U61" s="2226"/>
      <c r="V61" s="2226"/>
      <c r="W61" s="2226"/>
      <c r="X61" s="2226"/>
      <c r="Y61" s="2226"/>
      <c r="Z61" s="2226"/>
      <c r="AA61" s="2226"/>
      <c r="AB61" s="2226"/>
      <c r="AC61" s="2226"/>
      <c r="AD61" s="2226"/>
      <c r="AE61" s="2226"/>
      <c r="AF61" s="2226"/>
      <c r="AG61" s="2226"/>
      <c r="AH61" s="2226"/>
      <c r="AI61" s="2226"/>
      <c r="AJ61" s="2226"/>
      <c r="AK61" s="2226"/>
      <c r="AL61" s="2226"/>
      <c r="AM61" s="2226"/>
    </row>
    <row r="62" spans="1:39" ht="14.25">
      <c r="A62" s="42" t="s">
        <v>3013</v>
      </c>
      <c r="B62" s="374"/>
      <c r="C62" s="2229"/>
      <c r="D62" s="2230"/>
      <c r="E62" s="2229"/>
      <c r="F62" s="2229"/>
      <c r="G62" s="2229"/>
      <c r="H62" s="2229"/>
      <c r="I62" s="2229"/>
      <c r="J62" s="2229"/>
      <c r="K62" s="2228"/>
      <c r="L62" s="2228"/>
      <c r="M62" s="2226"/>
      <c r="N62" s="2226"/>
      <c r="O62" s="2226"/>
      <c r="P62" s="2226"/>
      <c r="Q62" s="2226"/>
      <c r="R62" s="2226"/>
      <c r="S62" s="2226"/>
      <c r="T62" s="2226"/>
      <c r="U62" s="2226"/>
      <c r="V62" s="2226"/>
      <c r="W62" s="2226"/>
      <c r="X62" s="2226"/>
      <c r="Y62" s="2226"/>
      <c r="Z62" s="2226"/>
      <c r="AA62" s="2226"/>
      <c r="AB62" s="2226"/>
      <c r="AC62" s="2226"/>
      <c r="AD62" s="2226"/>
      <c r="AE62" s="2226"/>
      <c r="AF62" s="2226"/>
      <c r="AG62" s="2226"/>
      <c r="AH62" s="2226"/>
      <c r="AI62" s="2226"/>
      <c r="AJ62" s="2226"/>
      <c r="AK62" s="2226"/>
      <c r="AL62" s="2226"/>
      <c r="AM62" s="2226"/>
    </row>
    <row r="63" spans="1:39" ht="15" thickBot="1">
      <c r="A63" s="43" t="s">
        <v>3014</v>
      </c>
      <c r="B63" s="424"/>
      <c r="C63" s="2229"/>
      <c r="D63" s="2230"/>
      <c r="E63" s="2229"/>
      <c r="F63" s="2229"/>
      <c r="G63" s="2229"/>
      <c r="H63" s="2229"/>
      <c r="I63" s="2229"/>
      <c r="J63" s="2229"/>
      <c r="K63" s="2228"/>
      <c r="L63" s="2228"/>
      <c r="M63" s="2226"/>
      <c r="N63" s="2226"/>
      <c r="O63" s="2226"/>
      <c r="P63" s="2226"/>
      <c r="Q63" s="2226"/>
      <c r="R63" s="2226"/>
      <c r="S63" s="2226"/>
      <c r="T63" s="2226"/>
      <c r="U63" s="2226"/>
      <c r="V63" s="2226"/>
      <c r="W63" s="2226"/>
      <c r="X63" s="2226"/>
      <c r="Y63" s="2226"/>
      <c r="Z63" s="2226"/>
      <c r="AA63" s="2226"/>
      <c r="AB63" s="2226"/>
      <c r="AC63" s="2226"/>
      <c r="AD63" s="2226"/>
      <c r="AE63" s="2226"/>
      <c r="AF63" s="2226"/>
      <c r="AG63" s="2226"/>
      <c r="AH63" s="2226"/>
      <c r="AI63" s="2226"/>
      <c r="AJ63" s="2226"/>
      <c r="AK63" s="2226"/>
      <c r="AL63" s="2226"/>
      <c r="AM63" s="2226"/>
    </row>
    <row r="64" spans="1:39" s="2239" customFormat="1">
      <c r="A64" s="1452"/>
      <c r="D64" s="2240"/>
      <c r="K64" s="2241"/>
      <c r="L64" s="2241"/>
    </row>
    <row r="65" spans="1:12" s="2239" customFormat="1">
      <c r="A65" s="1452"/>
      <c r="D65" s="2240"/>
      <c r="K65" s="2241"/>
      <c r="L65" s="2241"/>
    </row>
    <row r="66" spans="1:12" s="2239" customFormat="1">
      <c r="A66" s="1452"/>
      <c r="D66" s="2240"/>
      <c r="K66" s="2241"/>
      <c r="L66" s="2241"/>
    </row>
    <row r="67" spans="1:12" s="2239" customFormat="1">
      <c r="A67" s="1452"/>
      <c r="D67" s="2240"/>
      <c r="K67" s="2241"/>
      <c r="L67" s="2241"/>
    </row>
    <row r="68" spans="1:12" s="2239" customFormat="1">
      <c r="A68" s="1452"/>
      <c r="D68" s="2240"/>
      <c r="K68" s="2241"/>
      <c r="L68" s="2241"/>
    </row>
    <row r="69" spans="1:12" s="2239" customFormat="1">
      <c r="A69" s="1452"/>
      <c r="D69" s="2240"/>
      <c r="K69" s="2241"/>
      <c r="L69" s="2241"/>
    </row>
    <row r="70" spans="1:12" s="2239" customFormat="1">
      <c r="A70" s="1452"/>
      <c r="D70" s="2240"/>
      <c r="K70" s="2241"/>
      <c r="L70" s="2241"/>
    </row>
    <row r="71" spans="1:12" s="2239" customFormat="1">
      <c r="A71" s="1452"/>
      <c r="D71" s="2240"/>
      <c r="K71" s="2241"/>
      <c r="L71" s="2241"/>
    </row>
    <row r="72" spans="1:12" s="2239" customFormat="1">
      <c r="A72" s="1452"/>
      <c r="D72" s="2240"/>
      <c r="K72" s="2241"/>
      <c r="L72" s="2241"/>
    </row>
    <row r="73" spans="1:12" s="2239" customFormat="1">
      <c r="A73" s="1452"/>
      <c r="D73" s="2240"/>
      <c r="K73" s="2241"/>
      <c r="L73" s="2241"/>
    </row>
    <row r="74" spans="1:12" s="2239" customFormat="1">
      <c r="A74" s="1452"/>
      <c r="D74" s="2240"/>
      <c r="K74" s="2241"/>
      <c r="L74" s="2241"/>
    </row>
    <row r="75" spans="1:12" s="2239" customFormat="1">
      <c r="A75" s="1452"/>
      <c r="D75" s="2240"/>
      <c r="K75" s="2241"/>
      <c r="L75" s="2241"/>
    </row>
    <row r="76" spans="1:12" s="2239" customFormat="1">
      <c r="A76" s="1452"/>
      <c r="D76" s="2240"/>
      <c r="K76" s="2241"/>
      <c r="L76" s="2241"/>
    </row>
    <row r="77" spans="1:12" s="2239" customFormat="1">
      <c r="A77" s="1452"/>
      <c r="D77" s="2240"/>
      <c r="K77" s="2241"/>
      <c r="L77" s="2241"/>
    </row>
    <row r="78" spans="1:12" s="2239" customFormat="1">
      <c r="A78" s="1452"/>
      <c r="D78" s="2240"/>
      <c r="K78" s="2241"/>
      <c r="L78" s="2241"/>
    </row>
    <row r="79" spans="1:12" s="2239" customFormat="1">
      <c r="A79" s="1452"/>
      <c r="D79" s="2240"/>
      <c r="K79" s="2241"/>
      <c r="L79" s="2241"/>
    </row>
    <row r="80" spans="1:12" s="2239" customFormat="1">
      <c r="A80" s="1452"/>
      <c r="D80" s="2240"/>
      <c r="K80" s="2241"/>
      <c r="L80" s="2241"/>
    </row>
    <row r="81" spans="1:12" s="2239" customFormat="1">
      <c r="A81" s="1452"/>
      <c r="D81" s="2240"/>
      <c r="K81" s="2241"/>
      <c r="L81" s="2241"/>
    </row>
    <row r="82" spans="1:12" s="2239" customFormat="1">
      <c r="A82" s="1452"/>
      <c r="D82" s="2240"/>
      <c r="K82" s="2241"/>
      <c r="L82" s="2241"/>
    </row>
    <row r="83" spans="1:12" s="2239" customFormat="1">
      <c r="A83" s="1452"/>
      <c r="D83" s="2240"/>
      <c r="K83" s="2241"/>
      <c r="L83" s="2241"/>
    </row>
    <row r="84" spans="1:12" s="2239" customFormat="1">
      <c r="A84" s="1452"/>
      <c r="D84" s="2240"/>
      <c r="K84" s="2241"/>
      <c r="L84" s="2241"/>
    </row>
    <row r="85" spans="1:12" s="2239" customFormat="1">
      <c r="A85" s="1452"/>
      <c r="D85" s="2240"/>
      <c r="K85" s="2241"/>
      <c r="L85" s="2241"/>
    </row>
    <row r="86" spans="1:12" s="2239" customFormat="1">
      <c r="A86" s="1452"/>
      <c r="D86" s="2240"/>
      <c r="K86" s="2241"/>
      <c r="L86" s="2241"/>
    </row>
    <row r="87" spans="1:12" s="2239" customFormat="1">
      <c r="A87" s="1452"/>
      <c r="D87" s="2240"/>
      <c r="K87" s="2241"/>
      <c r="L87" s="2241"/>
    </row>
    <row r="88" spans="1:12" s="2239" customFormat="1">
      <c r="A88" s="1452"/>
      <c r="D88" s="2240"/>
      <c r="K88" s="2241"/>
      <c r="L88" s="2241"/>
    </row>
    <row r="89" spans="1:12" s="2239" customFormat="1">
      <c r="A89" s="1452"/>
      <c r="D89" s="2240"/>
      <c r="K89" s="2241"/>
      <c r="L89" s="2241"/>
    </row>
    <row r="90" spans="1:12" s="2239" customFormat="1">
      <c r="A90" s="1452"/>
      <c r="D90" s="2240"/>
      <c r="K90" s="2241"/>
      <c r="L90" s="2241"/>
    </row>
    <row r="91" spans="1:12" s="2239" customFormat="1">
      <c r="A91" s="1452"/>
      <c r="D91" s="2240"/>
      <c r="K91" s="2241"/>
      <c r="L91" s="2241"/>
    </row>
    <row r="92" spans="1:12" s="2239" customFormat="1">
      <c r="A92" s="1452"/>
      <c r="D92" s="2240"/>
      <c r="K92" s="2241"/>
      <c r="L92" s="2241"/>
    </row>
    <row r="93" spans="1:12" s="2239" customFormat="1">
      <c r="A93" s="1452"/>
      <c r="D93" s="2240"/>
      <c r="K93" s="2241"/>
      <c r="L93" s="2241"/>
    </row>
    <row r="94" spans="1:12" s="2239" customFormat="1">
      <c r="A94" s="1452"/>
      <c r="D94" s="2240"/>
      <c r="K94" s="2241"/>
      <c r="L94" s="2241"/>
    </row>
    <row r="95" spans="1:12" s="2239" customFormat="1">
      <c r="A95" s="1452"/>
      <c r="D95" s="2240"/>
      <c r="K95" s="2241"/>
      <c r="L95" s="2241"/>
    </row>
    <row r="96" spans="1:12" s="2239" customFormat="1">
      <c r="A96" s="1452"/>
      <c r="D96" s="2240"/>
      <c r="K96" s="2241"/>
      <c r="L96" s="2241"/>
    </row>
    <row r="97" spans="1:12" s="2239" customFormat="1">
      <c r="A97" s="1452"/>
      <c r="D97" s="2240"/>
      <c r="K97" s="2241"/>
      <c r="L97" s="2241"/>
    </row>
    <row r="98" spans="1:12" s="2239" customFormat="1">
      <c r="A98" s="1452"/>
      <c r="D98" s="2240"/>
      <c r="K98" s="2241"/>
      <c r="L98" s="2241"/>
    </row>
    <row r="99" spans="1:12" s="2239" customFormat="1">
      <c r="A99" s="1452"/>
      <c r="D99" s="2240"/>
      <c r="K99" s="2241"/>
      <c r="L99" s="2241"/>
    </row>
    <row r="100" spans="1:12" s="2239" customFormat="1">
      <c r="A100" s="1452"/>
      <c r="D100" s="2240"/>
      <c r="K100" s="2241"/>
      <c r="L100" s="2241"/>
    </row>
    <row r="101" spans="1:12" s="2239" customFormat="1">
      <c r="A101" s="1452"/>
      <c r="D101" s="2240"/>
      <c r="K101" s="2241"/>
      <c r="L101" s="2241"/>
    </row>
    <row r="102" spans="1:12" s="2239" customFormat="1">
      <c r="A102" s="1452"/>
      <c r="D102" s="2240"/>
      <c r="K102" s="2241"/>
      <c r="L102" s="2241"/>
    </row>
    <row r="103" spans="1:12" s="2239" customFormat="1">
      <c r="A103" s="1452"/>
      <c r="D103" s="2240"/>
      <c r="K103" s="2241"/>
      <c r="L103" s="2241"/>
    </row>
    <row r="104" spans="1:12" s="2239" customFormat="1">
      <c r="A104" s="1452"/>
      <c r="D104" s="2240"/>
      <c r="K104" s="2241"/>
      <c r="L104" s="2241"/>
    </row>
    <row r="105" spans="1:12" s="2239" customFormat="1">
      <c r="A105" s="1452"/>
      <c r="D105" s="2240"/>
      <c r="K105" s="2241"/>
      <c r="L105" s="2241"/>
    </row>
    <row r="106" spans="1:12" s="2239" customFormat="1">
      <c r="A106" s="1452"/>
      <c r="D106" s="2240"/>
      <c r="K106" s="2241"/>
      <c r="L106" s="2241"/>
    </row>
    <row r="107" spans="1:12" s="2239" customFormat="1">
      <c r="A107" s="1452"/>
      <c r="D107" s="2240"/>
      <c r="K107" s="2241"/>
      <c r="L107" s="2241"/>
    </row>
    <row r="108" spans="1:12" s="2239" customFormat="1">
      <c r="A108" s="1452"/>
      <c r="D108" s="2240"/>
      <c r="K108" s="2241"/>
      <c r="L108" s="2241"/>
    </row>
    <row r="109" spans="1:12" s="2239" customFormat="1">
      <c r="A109" s="1452"/>
      <c r="D109" s="2240"/>
      <c r="K109" s="2241"/>
      <c r="L109" s="2241"/>
    </row>
    <row r="110" spans="1:12" s="2239" customFormat="1">
      <c r="A110" s="1452"/>
      <c r="D110" s="2240"/>
      <c r="K110" s="2241"/>
      <c r="L110" s="2241"/>
    </row>
    <row r="111" spans="1:12" s="2239" customFormat="1">
      <c r="A111" s="1452"/>
      <c r="D111" s="2240"/>
      <c r="K111" s="2241"/>
      <c r="L111" s="2241"/>
    </row>
    <row r="112" spans="1:12" s="2239" customFormat="1">
      <c r="A112" s="1452"/>
      <c r="D112" s="2240"/>
      <c r="K112" s="2241"/>
      <c r="L112" s="2241"/>
    </row>
    <row r="113" spans="1:12" s="2239" customFormat="1">
      <c r="A113" s="1452"/>
      <c r="D113" s="2240"/>
      <c r="K113" s="2241"/>
      <c r="L113" s="2241"/>
    </row>
    <row r="114" spans="1:12" s="2239" customFormat="1">
      <c r="A114" s="1452"/>
      <c r="D114" s="2240"/>
      <c r="K114" s="2241"/>
      <c r="L114" s="2241"/>
    </row>
    <row r="115" spans="1:12" s="2239" customFormat="1">
      <c r="A115" s="1452"/>
      <c r="D115" s="2240"/>
      <c r="K115" s="2241"/>
      <c r="L115" s="2241"/>
    </row>
    <row r="116" spans="1:12" s="2239" customFormat="1">
      <c r="A116" s="1452"/>
      <c r="D116" s="2240"/>
      <c r="K116" s="2241"/>
      <c r="L116" s="2241"/>
    </row>
    <row r="117" spans="1:12" s="2239" customFormat="1">
      <c r="A117" s="1452"/>
      <c r="D117" s="2240"/>
      <c r="K117" s="2241"/>
      <c r="L117" s="2241"/>
    </row>
    <row r="118" spans="1:12" s="2239" customFormat="1">
      <c r="A118" s="1452"/>
      <c r="D118" s="2240"/>
      <c r="K118" s="2241"/>
      <c r="L118" s="2241"/>
    </row>
    <row r="119" spans="1:12" s="2239" customFormat="1">
      <c r="A119" s="1452"/>
      <c r="D119" s="2240"/>
      <c r="K119" s="2241"/>
      <c r="L119" s="2241"/>
    </row>
    <row r="120" spans="1:12" s="2239" customFormat="1">
      <c r="A120" s="1452"/>
      <c r="D120" s="2240"/>
      <c r="K120" s="2241"/>
      <c r="L120" s="2241"/>
    </row>
    <row r="121" spans="1:12" s="2239" customFormat="1">
      <c r="A121" s="1452"/>
      <c r="D121" s="2240"/>
      <c r="K121" s="2241"/>
      <c r="L121" s="2241"/>
    </row>
    <row r="122" spans="1:12" s="2239" customFormat="1">
      <c r="A122" s="1452"/>
      <c r="D122" s="2240"/>
      <c r="K122" s="2241"/>
      <c r="L122" s="2241"/>
    </row>
    <row r="123" spans="1:12" s="2239" customFormat="1">
      <c r="A123" s="1452"/>
      <c r="D123" s="2240"/>
      <c r="K123" s="2241"/>
      <c r="L123" s="2241"/>
    </row>
    <row r="124" spans="1:12" s="2239" customFormat="1">
      <c r="A124" s="1452"/>
      <c r="D124" s="2240"/>
      <c r="K124" s="2241"/>
      <c r="L124" s="2241"/>
    </row>
    <row r="125" spans="1:12" s="2239" customFormat="1">
      <c r="A125" s="1452"/>
      <c r="D125" s="2240"/>
      <c r="K125" s="2241"/>
      <c r="L125" s="2241"/>
    </row>
    <row r="126" spans="1:12" s="2239" customFormat="1">
      <c r="A126" s="1452"/>
      <c r="D126" s="2240"/>
      <c r="K126" s="2241"/>
      <c r="L126" s="2241"/>
    </row>
    <row r="127" spans="1:12" s="2239" customFormat="1">
      <c r="A127" s="1452"/>
      <c r="D127" s="2240"/>
      <c r="K127" s="2241"/>
      <c r="L127" s="2241"/>
    </row>
    <row r="128" spans="1:12" s="2239" customFormat="1">
      <c r="A128" s="1452"/>
      <c r="D128" s="2240"/>
      <c r="K128" s="2241"/>
      <c r="L128" s="2241"/>
    </row>
    <row r="129" spans="1:12" s="2239" customFormat="1">
      <c r="A129" s="1452"/>
      <c r="D129" s="2240"/>
      <c r="K129" s="2241"/>
      <c r="L129" s="2241"/>
    </row>
    <row r="130" spans="1:12" s="2239" customFormat="1">
      <c r="A130" s="1452"/>
      <c r="D130" s="2240"/>
      <c r="K130" s="2241"/>
      <c r="L130" s="2241"/>
    </row>
    <row r="131" spans="1:12" s="2239" customFormat="1">
      <c r="A131" s="1452"/>
      <c r="D131" s="2240"/>
      <c r="K131" s="2241"/>
      <c r="L131" s="2241"/>
    </row>
    <row r="132" spans="1:12" s="2239" customFormat="1">
      <c r="A132" s="1452"/>
      <c r="D132" s="2240"/>
      <c r="K132" s="2241"/>
      <c r="L132" s="2241"/>
    </row>
    <row r="133" spans="1:12" s="2239" customFormat="1">
      <c r="A133" s="1452"/>
      <c r="D133" s="2240"/>
      <c r="K133" s="2241"/>
      <c r="L133" s="2241"/>
    </row>
    <row r="134" spans="1:12" s="2235" customFormat="1">
      <c r="A134" s="2242"/>
      <c r="D134" s="2243"/>
      <c r="K134" s="2244"/>
      <c r="L134" s="2244"/>
    </row>
    <row r="135" spans="1:12" s="2235" customFormat="1">
      <c r="A135" s="2242"/>
      <c r="D135" s="2243"/>
      <c r="K135" s="2244"/>
      <c r="L135" s="2244"/>
    </row>
    <row r="136" spans="1:12" s="2235" customFormat="1">
      <c r="A136" s="2242"/>
      <c r="D136" s="2243"/>
      <c r="K136" s="2244"/>
      <c r="L136" s="2244"/>
    </row>
    <row r="137" spans="1:12" s="2235" customFormat="1">
      <c r="A137" s="2242"/>
      <c r="D137" s="2243"/>
      <c r="K137" s="2244"/>
      <c r="L137" s="2244"/>
    </row>
    <row r="138" spans="1:12" s="2235" customFormat="1">
      <c r="A138" s="2242"/>
      <c r="D138" s="2243"/>
      <c r="K138" s="2244"/>
      <c r="L138" s="2244"/>
    </row>
    <row r="139" spans="1:12" s="2235" customFormat="1">
      <c r="A139" s="2242"/>
      <c r="D139" s="2243"/>
      <c r="K139" s="2244"/>
      <c r="L139" s="2244"/>
    </row>
    <row r="140" spans="1:12" s="2235" customFormat="1">
      <c r="A140" s="2242"/>
      <c r="D140" s="2243"/>
      <c r="K140" s="2244"/>
      <c r="L140" s="2244"/>
    </row>
    <row r="141" spans="1:12" s="2235" customFormat="1">
      <c r="A141" s="2242"/>
      <c r="D141" s="2243"/>
      <c r="K141" s="2244"/>
      <c r="L141" s="2244"/>
    </row>
    <row r="142" spans="1:12" s="2235" customFormat="1">
      <c r="A142" s="2242"/>
      <c r="D142" s="2243"/>
      <c r="K142" s="2244"/>
      <c r="L142" s="2244"/>
    </row>
    <row r="143" spans="1:12" s="2235" customFormat="1">
      <c r="A143" s="2242"/>
      <c r="D143" s="2243"/>
      <c r="K143" s="2244"/>
      <c r="L143" s="2244"/>
    </row>
    <row r="144" spans="1:12" s="2235" customFormat="1">
      <c r="A144" s="2242"/>
      <c r="D144" s="2243"/>
      <c r="K144" s="2244"/>
      <c r="L144" s="2244"/>
    </row>
    <row r="145" spans="1:12" s="2235" customFormat="1">
      <c r="A145" s="2242"/>
      <c r="D145" s="2243"/>
      <c r="K145" s="2244"/>
      <c r="L145" s="2244"/>
    </row>
    <row r="146" spans="1:12" s="2235" customFormat="1">
      <c r="A146" s="2242"/>
      <c r="D146" s="2243"/>
      <c r="K146" s="2244"/>
      <c r="L146" s="2244"/>
    </row>
    <row r="147" spans="1:12" s="2235" customFormat="1">
      <c r="A147" s="2242"/>
      <c r="D147" s="2243"/>
      <c r="K147" s="2244"/>
      <c r="L147" s="2244"/>
    </row>
    <row r="148" spans="1:12" s="2235" customFormat="1">
      <c r="A148" s="2242"/>
      <c r="D148" s="2243"/>
      <c r="K148" s="2244"/>
      <c r="L148" s="2244"/>
    </row>
    <row r="149" spans="1:12" s="2235" customFormat="1">
      <c r="A149" s="2242"/>
      <c r="D149" s="2243"/>
      <c r="K149" s="2244"/>
      <c r="L149" s="2244"/>
    </row>
    <row r="150" spans="1:12" s="2235" customFormat="1">
      <c r="A150" s="2242"/>
      <c r="D150" s="2243"/>
      <c r="K150" s="2244"/>
      <c r="L150" s="2244"/>
    </row>
    <row r="151" spans="1:12" s="2235" customFormat="1">
      <c r="A151" s="2242"/>
      <c r="D151" s="2243"/>
      <c r="K151" s="2244"/>
      <c r="L151" s="2244"/>
    </row>
    <row r="152" spans="1:12" s="2235" customFormat="1">
      <c r="A152" s="2242"/>
      <c r="D152" s="2243"/>
      <c r="K152" s="2244"/>
      <c r="L152" s="2244"/>
    </row>
    <row r="153" spans="1:12" s="2235" customFormat="1">
      <c r="A153" s="2242"/>
      <c r="D153" s="2243"/>
      <c r="K153" s="2244"/>
      <c r="L153" s="2244"/>
    </row>
    <row r="154" spans="1:12" s="2235" customFormat="1">
      <c r="A154" s="2242"/>
      <c r="D154" s="2243"/>
      <c r="K154" s="2244"/>
      <c r="L154" s="2244"/>
    </row>
    <row r="155" spans="1:12" s="2235" customFormat="1">
      <c r="A155" s="2242"/>
      <c r="D155" s="2243"/>
      <c r="K155" s="2244"/>
      <c r="L155" s="2244"/>
    </row>
    <row r="156" spans="1:12" s="2235" customFormat="1">
      <c r="A156" s="2242"/>
      <c r="D156" s="2243"/>
      <c r="K156" s="2244"/>
      <c r="L156" s="2244"/>
    </row>
    <row r="157" spans="1:12" s="2235" customFormat="1">
      <c r="A157" s="2242"/>
      <c r="D157" s="2243"/>
      <c r="K157" s="2244"/>
      <c r="L157" s="2244"/>
    </row>
    <row r="158" spans="1:12" s="2235" customFormat="1">
      <c r="A158" s="2242"/>
      <c r="D158" s="2243"/>
      <c r="K158" s="2244"/>
      <c r="L158" s="2244"/>
    </row>
    <row r="159" spans="1:12" s="2235" customFormat="1">
      <c r="A159" s="2242"/>
      <c r="D159" s="2243"/>
      <c r="K159" s="2244"/>
      <c r="L159" s="2244"/>
    </row>
    <row r="160" spans="1:12" s="2235" customFormat="1">
      <c r="A160" s="2242"/>
      <c r="D160" s="2243"/>
      <c r="K160" s="2244"/>
      <c r="L160" s="2244"/>
    </row>
    <row r="161" spans="1:12" s="2235" customFormat="1">
      <c r="A161" s="2242"/>
      <c r="D161" s="2243"/>
      <c r="K161" s="2244"/>
      <c r="L161" s="2244"/>
    </row>
    <row r="162" spans="1:12" s="2235" customFormat="1">
      <c r="A162" s="2242"/>
      <c r="D162" s="2243"/>
      <c r="K162" s="2244"/>
      <c r="L162" s="2244"/>
    </row>
    <row r="163" spans="1:12" s="2235" customFormat="1">
      <c r="A163" s="2242"/>
      <c r="D163" s="2243"/>
      <c r="K163" s="2244"/>
      <c r="L163" s="2244"/>
    </row>
    <row r="164" spans="1:12" s="2235" customFormat="1">
      <c r="A164" s="2242"/>
      <c r="D164" s="2243"/>
      <c r="K164" s="2244"/>
      <c r="L164" s="2244"/>
    </row>
    <row r="165" spans="1:12" s="2235" customFormat="1">
      <c r="A165" s="2242"/>
      <c r="D165" s="2243"/>
      <c r="K165" s="2244"/>
      <c r="L165" s="2244"/>
    </row>
    <row r="166" spans="1:12" s="2235" customFormat="1">
      <c r="A166" s="2242"/>
      <c r="D166" s="2243"/>
      <c r="K166" s="2244"/>
      <c r="L166" s="2244"/>
    </row>
    <row r="167" spans="1:12" s="2235" customFormat="1">
      <c r="A167" s="2242"/>
      <c r="D167" s="2243"/>
      <c r="K167" s="2244"/>
      <c r="L167" s="2244"/>
    </row>
    <row r="168" spans="1:12" s="2235" customFormat="1">
      <c r="A168" s="2242"/>
      <c r="D168" s="2243"/>
      <c r="K168" s="2244"/>
      <c r="L168" s="2244"/>
    </row>
    <row r="169" spans="1:12" s="2235" customFormat="1">
      <c r="A169" s="2242"/>
      <c r="D169" s="2243"/>
      <c r="K169" s="2244"/>
      <c r="L169" s="2244"/>
    </row>
    <row r="170" spans="1:12" s="2235" customFormat="1">
      <c r="A170" s="2242"/>
      <c r="D170" s="2243"/>
      <c r="K170" s="2244"/>
      <c r="L170" s="2244"/>
    </row>
    <row r="171" spans="1:12" s="2235" customFormat="1">
      <c r="A171" s="2242"/>
      <c r="D171" s="2243"/>
      <c r="K171" s="2244"/>
      <c r="L171" s="2244"/>
    </row>
    <row r="172" spans="1:12" s="2235" customFormat="1">
      <c r="A172" s="2242"/>
      <c r="D172" s="2243"/>
      <c r="K172" s="2244"/>
      <c r="L172" s="2244"/>
    </row>
    <row r="173" spans="1:12" s="2235" customFormat="1">
      <c r="A173" s="2242"/>
      <c r="D173" s="2243"/>
      <c r="K173" s="2244"/>
      <c r="L173" s="2244"/>
    </row>
    <row r="174" spans="1:12" s="2235" customFormat="1">
      <c r="A174" s="2242"/>
      <c r="D174" s="2243"/>
      <c r="K174" s="2244"/>
      <c r="L174" s="2244"/>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3" sqref="C23"/>
    </sheetView>
  </sheetViews>
  <sheetFormatPr defaultRowHeight="13.5"/>
  <cols>
    <col min="1" max="1" width="9.5" style="2221" customWidth="1"/>
    <col min="2" max="2" width="24.5" style="2270" customWidth="1"/>
    <col min="3" max="3" width="24.5" style="2271" customWidth="1"/>
    <col min="4" max="4" width="2.625" style="2271" customWidth="1"/>
    <col min="5" max="5" width="5.875" style="2271" customWidth="1"/>
    <col min="6" max="6" width="27" style="2270" customWidth="1"/>
    <col min="7" max="7" width="27" style="2272" customWidth="1"/>
    <col min="8" max="8" width="11.875" style="2265" customWidth="1"/>
    <col min="9" max="9" width="16.75" style="2266" customWidth="1"/>
    <col min="10" max="10" width="2.625" style="2265" customWidth="1"/>
    <col min="11" max="11" width="11.875" style="2265" customWidth="1"/>
    <col min="12" max="12" width="16.75" style="2266" customWidth="1"/>
    <col min="13" max="13" width="2.625" style="2265" customWidth="1"/>
    <col min="14" max="14" width="11.875" style="2265" customWidth="1"/>
    <col min="15" max="15" width="16.75" style="2266" customWidth="1"/>
    <col min="16" max="16" width="2.625" style="2265" customWidth="1"/>
    <col min="17" max="17" width="11.875" style="2265" customWidth="1"/>
    <col min="18" max="18" width="16.75" style="2267" customWidth="1"/>
    <col min="19" max="29" width="9" style="2252"/>
    <col min="30" max="16384" width="9" style="2221"/>
  </cols>
  <sheetData>
    <row r="1" spans="1:29" s="2250" customFormat="1" ht="19.5" thickBot="1">
      <c r="A1" s="3527" t="s">
        <v>752</v>
      </c>
      <c r="B1" s="3528"/>
      <c r="C1" s="3528"/>
      <c r="D1" s="3528"/>
      <c r="E1" s="3528"/>
      <c r="F1" s="3528"/>
      <c r="G1" s="3528"/>
      <c r="H1" s="2245"/>
      <c r="I1" s="2246"/>
      <c r="J1" s="2245"/>
      <c r="K1" s="2245"/>
      <c r="L1" s="2246"/>
      <c r="M1" s="2245"/>
      <c r="N1" s="2245"/>
      <c r="O1" s="2246"/>
      <c r="P1" s="2245"/>
      <c r="Q1" s="2247"/>
      <c r="R1" s="2248"/>
      <c r="S1" s="2249"/>
      <c r="T1" s="2249"/>
      <c r="U1" s="2249"/>
      <c r="V1" s="2249"/>
      <c r="W1" s="2249"/>
      <c r="X1" s="2249"/>
      <c r="Y1" s="2249"/>
      <c r="Z1" s="2249"/>
      <c r="AA1" s="2249"/>
      <c r="AB1" s="2249"/>
      <c r="AC1" s="2249"/>
    </row>
    <row r="2" spans="1:29" ht="14.25" thickBot="1">
      <c r="A2" s="1208"/>
      <c r="B2" s="1209"/>
      <c r="C2" s="1210" t="s">
        <v>753</v>
      </c>
      <c r="D2" s="1211"/>
      <c r="E2" s="1212"/>
      <c r="F2" s="1199"/>
      <c r="G2" s="1210" t="s">
        <v>754</v>
      </c>
      <c r="H2" s="2252"/>
      <c r="I2" s="2252"/>
      <c r="J2" s="2252"/>
      <c r="K2" s="2252"/>
      <c r="L2" s="2252"/>
      <c r="M2" s="2252"/>
      <c r="N2" s="2252"/>
      <c r="O2" s="2252"/>
      <c r="P2" s="2252"/>
      <c r="Q2" s="2252"/>
      <c r="R2" s="2252"/>
    </row>
    <row r="3" spans="1:29" ht="54">
      <c r="A3" s="1020" t="s">
        <v>755</v>
      </c>
      <c r="B3" s="51" t="s">
        <v>52</v>
      </c>
      <c r="C3" s="3288" t="s">
        <v>756</v>
      </c>
      <c r="D3" s="2253"/>
      <c r="E3" s="1029" t="s">
        <v>755</v>
      </c>
      <c r="F3" s="1213" t="s">
        <v>99</v>
      </c>
      <c r="G3" s="3292" t="s">
        <v>3017</v>
      </c>
      <c r="H3" s="2252"/>
      <c r="I3" s="2252"/>
      <c r="J3" s="2252"/>
      <c r="K3" s="2252"/>
      <c r="L3" s="2252"/>
      <c r="M3" s="2252"/>
      <c r="N3" s="2252"/>
      <c r="O3" s="2252"/>
      <c r="P3" s="2252"/>
      <c r="Q3" s="2252"/>
      <c r="R3" s="2252"/>
    </row>
    <row r="4" spans="1:29" ht="40.5">
      <c r="A4" s="1029"/>
      <c r="B4" s="2208" t="s">
        <v>757</v>
      </c>
      <c r="C4" s="3289" t="s">
        <v>758</v>
      </c>
      <c r="D4" s="2253"/>
      <c r="E4" s="1214"/>
      <c r="F4" s="2212" t="s">
        <v>759</v>
      </c>
      <c r="G4" s="3290" t="s">
        <v>760</v>
      </c>
      <c r="H4" s="2252"/>
      <c r="I4" s="2252"/>
      <c r="J4" s="2252"/>
      <c r="K4" s="2252"/>
      <c r="L4" s="2252"/>
      <c r="M4" s="2252"/>
      <c r="N4" s="2252"/>
      <c r="O4" s="2252"/>
      <c r="P4" s="2252"/>
      <c r="Q4" s="2252"/>
      <c r="R4" s="2252"/>
    </row>
    <row r="5" spans="1:29" ht="40.5">
      <c r="A5" s="1029"/>
      <c r="B5" s="2208" t="s">
        <v>761</v>
      </c>
      <c r="C5" s="3289" t="s">
        <v>762</v>
      </c>
      <c r="D5" s="2253"/>
      <c r="E5" s="1214"/>
      <c r="F5" s="2741" t="s">
        <v>2637</v>
      </c>
      <c r="G5" s="3290" t="s">
        <v>2639</v>
      </c>
      <c r="H5" s="2252"/>
      <c r="I5" s="2252"/>
      <c r="J5" s="2252"/>
      <c r="K5" s="2252"/>
      <c r="L5" s="2252"/>
      <c r="M5" s="2252"/>
      <c r="N5" s="2252"/>
      <c r="O5" s="2252"/>
      <c r="P5" s="2252"/>
      <c r="Q5" s="2252"/>
      <c r="R5" s="2252"/>
    </row>
    <row r="6" spans="1:29" ht="54">
      <c r="A6" s="1029"/>
      <c r="B6" s="2208" t="s">
        <v>72</v>
      </c>
      <c r="C6" s="3290" t="s">
        <v>736</v>
      </c>
      <c r="D6" s="2253"/>
      <c r="E6" s="1214"/>
      <c r="F6" s="2741" t="s">
        <v>2636</v>
      </c>
      <c r="G6" s="3290" t="s">
        <v>2638</v>
      </c>
      <c r="H6" s="2252"/>
      <c r="I6" s="2252"/>
      <c r="J6" s="2252"/>
      <c r="K6" s="2252"/>
      <c r="L6" s="2252"/>
      <c r="M6" s="2252"/>
      <c r="N6" s="2252"/>
      <c r="O6" s="2252"/>
      <c r="P6" s="2252"/>
      <c r="Q6" s="2252"/>
      <c r="R6" s="2252"/>
    </row>
    <row r="7" spans="1:29" ht="41.25" thickBot="1">
      <c r="A7" s="1029"/>
      <c r="B7" s="2208" t="s">
        <v>2637</v>
      </c>
      <c r="C7" s="3290" t="s">
        <v>2639</v>
      </c>
      <c r="D7" s="2254"/>
      <c r="E7" s="1215"/>
      <c r="F7" s="1216" t="s">
        <v>737</v>
      </c>
      <c r="G7" s="3293" t="s">
        <v>3018</v>
      </c>
      <c r="H7" s="2252"/>
      <c r="I7" s="2252"/>
      <c r="J7" s="2252"/>
      <c r="K7" s="2252"/>
      <c r="L7" s="2252"/>
      <c r="M7" s="2252"/>
      <c r="N7" s="2252"/>
      <c r="O7" s="2252"/>
      <c r="P7" s="2252"/>
      <c r="Q7" s="2252"/>
      <c r="R7" s="2252"/>
    </row>
    <row r="8" spans="1:29" ht="27">
      <c r="A8" s="1029"/>
      <c r="B8" s="2741" t="s">
        <v>2636</v>
      </c>
      <c r="C8" s="3290" t="s">
        <v>2638</v>
      </c>
      <c r="D8" s="2254"/>
      <c r="E8" s="2254"/>
      <c r="F8" s="2255"/>
      <c r="G8" s="2255"/>
      <c r="H8" s="2252"/>
      <c r="I8" s="2252"/>
      <c r="J8" s="2252"/>
      <c r="K8" s="2252"/>
      <c r="L8" s="2252"/>
      <c r="M8" s="2252"/>
      <c r="N8" s="2252"/>
      <c r="O8" s="2252"/>
      <c r="P8" s="2252"/>
      <c r="Q8" s="2252"/>
      <c r="R8" s="2252"/>
    </row>
    <row r="9" spans="1:29" ht="40.5">
      <c r="A9" s="1029"/>
      <c r="B9" s="2208" t="s">
        <v>73</v>
      </c>
      <c r="C9" s="3289" t="s">
        <v>738</v>
      </c>
      <c r="D9" s="2253"/>
      <c r="E9" s="2254"/>
      <c r="F9" s="2255"/>
      <c r="G9" s="2255"/>
      <c r="H9" s="2252"/>
      <c r="I9" s="2252"/>
      <c r="J9" s="2252"/>
      <c r="K9" s="2252"/>
      <c r="L9" s="2252"/>
      <c r="M9" s="2252"/>
      <c r="N9" s="2252"/>
      <c r="O9" s="2252"/>
      <c r="P9" s="2252"/>
      <c r="Q9" s="2252"/>
      <c r="R9" s="2252"/>
    </row>
    <row r="10" spans="1:29" s="40" customFormat="1" ht="14.25" thickBot="1">
      <c r="A10" s="1218"/>
      <c r="B10" s="1219" t="s">
        <v>739</v>
      </c>
      <c r="C10" s="3291"/>
      <c r="D10" s="2253"/>
      <c r="E10" s="2253"/>
      <c r="F10" s="2255"/>
      <c r="G10" s="2255"/>
      <c r="H10" s="2257"/>
      <c r="I10" s="2258"/>
      <c r="J10" s="2259"/>
      <c r="K10" s="2257"/>
      <c r="L10" s="2258"/>
      <c r="M10" s="2259"/>
      <c r="N10" s="2257"/>
      <c r="O10" s="2258"/>
      <c r="P10" s="2259"/>
      <c r="Q10" s="2257"/>
      <c r="R10" s="2258"/>
      <c r="S10" s="2252"/>
      <c r="T10" s="2252"/>
      <c r="U10" s="2252"/>
      <c r="V10" s="2252"/>
      <c r="W10" s="2252"/>
      <c r="X10" s="2252"/>
      <c r="Y10" s="2252"/>
      <c r="Z10" s="2252"/>
      <c r="AA10" s="2252"/>
      <c r="AB10" s="2252"/>
      <c r="AC10" s="2252"/>
    </row>
    <row r="11" spans="1:29" s="40" customFormat="1">
      <c r="A11" s="2256"/>
      <c r="B11" s="2254"/>
      <c r="C11" s="2253"/>
      <c r="D11" s="2253"/>
      <c r="E11" s="2253"/>
      <c r="F11" s="2254"/>
      <c r="G11" s="1387"/>
      <c r="H11" s="2257"/>
      <c r="I11" s="2258"/>
      <c r="J11" s="2259"/>
      <c r="K11" s="2257"/>
      <c r="L11" s="2258"/>
      <c r="M11" s="2259"/>
      <c r="N11" s="2257"/>
      <c r="O11" s="2258"/>
      <c r="P11" s="2259"/>
      <c r="Q11" s="2257"/>
      <c r="R11" s="2258"/>
      <c r="S11" s="2252"/>
      <c r="T11" s="2252"/>
      <c r="U11" s="2252"/>
      <c r="V11" s="2252"/>
      <c r="W11" s="2252"/>
      <c r="X11" s="2252"/>
      <c r="Y11" s="2252"/>
      <c r="Z11" s="2252"/>
      <c r="AA11" s="2252"/>
      <c r="AB11" s="2252"/>
      <c r="AC11" s="2252"/>
    </row>
    <row r="12" spans="1:29" s="2250" customFormat="1" ht="18.75">
      <c r="A12" s="2256"/>
      <c r="B12" s="2254"/>
      <c r="C12" s="2253"/>
      <c r="D12" s="2739"/>
      <c r="E12" s="2253"/>
      <c r="F12" s="2254"/>
      <c r="G12" s="1387"/>
      <c r="H12" s="2260"/>
      <c r="I12" s="2261"/>
      <c r="J12" s="2260"/>
      <c r="K12" s="2260"/>
      <c r="L12" s="2262"/>
      <c r="M12" s="2260"/>
      <c r="N12" s="2263"/>
      <c r="O12" s="2264"/>
      <c r="P12" s="2263"/>
      <c r="Q12" s="2263"/>
      <c r="R12" s="2248"/>
      <c r="S12" s="2249"/>
      <c r="T12" s="2249"/>
      <c r="U12" s="2249"/>
      <c r="V12" s="2249"/>
      <c r="W12" s="2249"/>
      <c r="X12" s="2249"/>
      <c r="Y12" s="2249"/>
      <c r="Z12" s="2249"/>
      <c r="AA12" s="2249"/>
      <c r="AB12" s="2249"/>
      <c r="AC12" s="2249"/>
    </row>
    <row r="13" spans="1:29" ht="19.5" thickBot="1">
      <c r="A13" s="2738" t="s">
        <v>740</v>
      </c>
      <c r="B13" s="2739"/>
      <c r="C13" s="2739"/>
      <c r="D13" s="2251"/>
      <c r="E13" s="2739"/>
      <c r="F13" s="2739"/>
      <c r="G13" s="2739"/>
    </row>
    <row r="14" spans="1:29" ht="14.25" thickBot="1">
      <c r="A14" s="1220"/>
      <c r="B14" s="1221"/>
      <c r="C14" s="1222" t="s">
        <v>741</v>
      </c>
      <c r="D14" s="2253"/>
      <c r="E14" s="1223"/>
      <c r="F14" s="1223"/>
      <c r="G14" s="1210" t="s">
        <v>742</v>
      </c>
    </row>
    <row r="15" spans="1:29" ht="54">
      <c r="A15" s="46" t="s">
        <v>743</v>
      </c>
      <c r="B15" s="14" t="s">
        <v>52</v>
      </c>
      <c r="C15" s="1224" t="str">
        <f>C3</f>
        <v>估价对象周边居住用地比例、居住小区规模和社区发展完善程度，综合评价居住社区成熟度一般</v>
      </c>
      <c r="D15" s="2253"/>
      <c r="E15" s="2754" t="s">
        <v>744</v>
      </c>
      <c r="F15" s="14" t="s">
        <v>745</v>
      </c>
      <c r="G15" s="1022" t="str">
        <f>G3</f>
        <v>估价对象位于XX开发区，园区建设成熟度XX，产业集聚程度XX</v>
      </c>
    </row>
    <row r="16" spans="1:29" ht="40.5">
      <c r="A16" s="2757"/>
      <c r="B16" s="1225" t="s">
        <v>746</v>
      </c>
      <c r="C16" s="1226" t="str">
        <f>C4</f>
        <v>估价对象位于XX商圈，周边商业氛围成熟，人流量大，商业繁华度好</v>
      </c>
      <c r="D16" s="2253"/>
      <c r="E16" s="2755"/>
      <c r="F16" s="1227" t="s">
        <v>747</v>
      </c>
      <c r="G16" s="1024" t="str">
        <f>G4</f>
        <v>估价对象周边道路状况、公共交通通达情况、停车便捷程度，综合评价交通便捷度较好</v>
      </c>
    </row>
    <row r="17" spans="1:18" ht="40.5">
      <c r="A17" s="2757"/>
      <c r="B17" s="1225" t="s">
        <v>748</v>
      </c>
      <c r="C17" s="1226" t="str">
        <f>C5</f>
        <v>估价对象位于XX商圈，周边办公楼项目较多，入驻率高，办公集聚程度较好</v>
      </c>
      <c r="D17" s="2254"/>
      <c r="E17" s="2755"/>
      <c r="F17" s="1227" t="s">
        <v>749</v>
      </c>
      <c r="G17" s="271"/>
    </row>
    <row r="18" spans="1:18" ht="54">
      <c r="A18" s="2757"/>
      <c r="B18" s="1227" t="s">
        <v>72</v>
      </c>
      <c r="C18" s="1024" t="str">
        <f>C6</f>
        <v>估价对象周边道路状况、公共交通通达情况、停车便捷程度，综合评价交通便捷度较好</v>
      </c>
      <c r="D18" s="2254"/>
      <c r="E18" s="2755"/>
      <c r="F18" s="1227" t="s">
        <v>737</v>
      </c>
      <c r="G18" s="1024" t="str">
        <f>G7</f>
        <v>该园区内是否有污染型企业，绿化情况，卫生条件，整体环境状况判断</v>
      </c>
    </row>
    <row r="19" spans="1:18" ht="27">
      <c r="A19" s="2757"/>
      <c r="B19" s="1227" t="s">
        <v>91</v>
      </c>
      <c r="C19" s="271"/>
      <c r="D19" s="2253"/>
      <c r="E19" s="2755"/>
      <c r="F19" s="2741" t="s">
        <v>2637</v>
      </c>
      <c r="G19" s="1024" t="str">
        <f>G5</f>
        <v>估价对象所在区域公共配套设施齐备情况</v>
      </c>
    </row>
    <row r="20" spans="1:18" ht="40.5">
      <c r="A20" s="2757"/>
      <c r="B20" s="1227" t="s">
        <v>90</v>
      </c>
      <c r="C20" s="1226" t="str">
        <f>C9</f>
        <v>区域自然环境：；人文环境；综合评价环境状况一般</v>
      </c>
      <c r="D20" s="2254"/>
      <c r="E20" s="2755"/>
      <c r="F20" s="2741" t="s">
        <v>2636</v>
      </c>
      <c r="G20" s="1024" t="str">
        <f>G6</f>
        <v>估价对象所在区域基础设施水平</v>
      </c>
    </row>
    <row r="21" spans="1:18" ht="27">
      <c r="A21" s="2757"/>
      <c r="B21" s="2741" t="s">
        <v>2637</v>
      </c>
      <c r="C21" s="1024" t="str">
        <f>C7</f>
        <v>估价对象所在区域公共配套设施齐备情况</v>
      </c>
      <c r="D21" s="2253"/>
      <c r="E21" s="2755"/>
      <c r="F21" s="1227" t="s">
        <v>89</v>
      </c>
      <c r="G21" s="283"/>
    </row>
    <row r="22" spans="1:18" ht="13.5" customHeight="1">
      <c r="A22" s="2757"/>
      <c r="B22" s="2741" t="s">
        <v>2636</v>
      </c>
      <c r="C22" s="1024" t="str">
        <f>C8</f>
        <v>估价对象所在区域基础设施水平</v>
      </c>
      <c r="D22" s="2253"/>
      <c r="E22" s="2755"/>
      <c r="F22" s="1227" t="s">
        <v>750</v>
      </c>
      <c r="G22" s="271"/>
    </row>
    <row r="23" spans="1:18" s="2252" customFormat="1" ht="14.25" thickBot="1">
      <c r="A23" s="2757"/>
      <c r="B23" s="1227" t="s">
        <v>89</v>
      </c>
      <c r="C23" s="283"/>
      <c r="D23" s="2265"/>
      <c r="E23" s="2756"/>
      <c r="F23" s="1228" t="s">
        <v>751</v>
      </c>
      <c r="G23" s="284"/>
      <c r="H23" s="2265"/>
      <c r="I23" s="2266"/>
      <c r="J23" s="2265"/>
      <c r="K23" s="2265"/>
      <c r="L23" s="2266"/>
      <c r="M23" s="2265"/>
      <c r="N23" s="2265"/>
      <c r="O23" s="2266"/>
      <c r="P23" s="2265"/>
      <c r="Q23" s="2265"/>
      <c r="R23" s="2267"/>
    </row>
    <row r="24" spans="1:18" s="2252" customFormat="1" ht="14.25" thickBot="1">
      <c r="A24" s="2758"/>
      <c r="B24" s="1228" t="s">
        <v>88</v>
      </c>
      <c r="C24" s="1229">
        <f>C10</f>
        <v>0</v>
      </c>
      <c r="D24" s="2265"/>
      <c r="E24" s="2268"/>
      <c r="F24" s="2268"/>
      <c r="G24" s="2269"/>
      <c r="H24" s="2265"/>
      <c r="I24" s="2266"/>
      <c r="J24" s="2265"/>
      <c r="K24" s="2265"/>
      <c r="L24" s="2266"/>
      <c r="M24" s="2265"/>
      <c r="N24" s="2265"/>
      <c r="O24" s="2266"/>
      <c r="P24" s="2265"/>
      <c r="Q24" s="2265"/>
      <c r="R24" s="2267"/>
    </row>
    <row r="25" spans="1:18" s="2252" customFormat="1">
      <c r="B25" s="2265"/>
      <c r="C25" s="2265"/>
      <c r="D25" s="2265"/>
      <c r="H25" s="2265"/>
      <c r="I25" s="2266"/>
      <c r="J25" s="2265"/>
      <c r="K25" s="2265"/>
      <c r="L25" s="2266"/>
      <c r="M25" s="2265"/>
      <c r="N25" s="2265"/>
      <c r="O25" s="2266"/>
      <c r="P25" s="2265"/>
      <c r="Q25" s="2265"/>
      <c r="R25" s="2267"/>
    </row>
    <row r="26" spans="1:18" s="2252" customFormat="1">
      <c r="B26" s="2265"/>
      <c r="C26" s="2265"/>
      <c r="D26" s="2265"/>
      <c r="H26" s="2265"/>
      <c r="I26" s="2266"/>
      <c r="J26" s="2265"/>
      <c r="K26" s="2265"/>
      <c r="L26" s="2266"/>
      <c r="M26" s="2265"/>
      <c r="N26" s="2265"/>
      <c r="O26" s="2266"/>
      <c r="P26" s="2265"/>
      <c r="Q26" s="2265"/>
      <c r="R26" s="2267"/>
    </row>
    <row r="27" spans="1:18" s="2252" customFormat="1">
      <c r="B27" s="2265"/>
      <c r="C27" s="2265"/>
      <c r="D27" s="2265"/>
      <c r="H27" s="2265"/>
      <c r="I27" s="2266"/>
      <c r="J27" s="2265"/>
      <c r="K27" s="2265"/>
      <c r="L27" s="2266"/>
      <c r="M27" s="2265"/>
      <c r="N27" s="2265"/>
      <c r="O27" s="2266"/>
      <c r="P27" s="2265"/>
      <c r="Q27" s="2265"/>
      <c r="R27" s="2267"/>
    </row>
    <row r="28" spans="1:18" s="2252" customFormat="1">
      <c r="B28" s="2265"/>
      <c r="C28" s="2265"/>
      <c r="D28" s="2265"/>
      <c r="H28" s="2265"/>
      <c r="I28" s="2266"/>
      <c r="J28" s="2265"/>
      <c r="K28" s="2265"/>
      <c r="L28" s="2266"/>
      <c r="M28" s="2265"/>
      <c r="N28" s="2265"/>
      <c r="O28" s="2266"/>
      <c r="P28" s="2265"/>
      <c r="Q28" s="2265"/>
      <c r="R28" s="2267"/>
    </row>
    <row r="29" spans="1:18" s="2252" customFormat="1">
      <c r="B29" s="2265"/>
      <c r="C29" s="2265"/>
      <c r="D29" s="2265"/>
      <c r="H29" s="2265"/>
      <c r="I29" s="2266"/>
      <c r="J29" s="2265"/>
      <c r="K29" s="2265"/>
      <c r="L29" s="2266"/>
      <c r="M29" s="2265"/>
      <c r="N29" s="2265"/>
      <c r="O29" s="2266"/>
      <c r="P29" s="2265"/>
      <c r="Q29" s="2265"/>
      <c r="R29" s="2267"/>
    </row>
    <row r="30" spans="1:18" s="2252" customFormat="1">
      <c r="B30" s="2265"/>
      <c r="C30" s="2265"/>
      <c r="D30" s="2265"/>
      <c r="H30" s="2265"/>
      <c r="I30" s="2266"/>
      <c r="J30" s="2265"/>
      <c r="K30" s="2265"/>
      <c r="L30" s="2266"/>
      <c r="M30" s="2265"/>
      <c r="N30" s="2265"/>
      <c r="O30" s="2266"/>
      <c r="P30" s="2265"/>
      <c r="Q30" s="2265"/>
      <c r="R30" s="2267"/>
    </row>
    <row r="31" spans="1:18" s="2252" customFormat="1">
      <c r="B31" s="2265"/>
      <c r="C31" s="2265"/>
      <c r="D31" s="2265"/>
      <c r="H31" s="2265"/>
      <c r="I31" s="2266"/>
      <c r="J31" s="2265"/>
      <c r="K31" s="2265"/>
      <c r="L31" s="2266"/>
      <c r="M31" s="2265"/>
      <c r="N31" s="2265"/>
      <c r="O31" s="2266"/>
      <c r="P31" s="2265"/>
      <c r="Q31" s="2265"/>
      <c r="R31" s="2267"/>
    </row>
    <row r="32" spans="1:18" s="2252" customFormat="1">
      <c r="B32" s="2265"/>
      <c r="C32" s="2265"/>
      <c r="D32" s="2265"/>
      <c r="H32" s="2265"/>
      <c r="I32" s="2266"/>
      <c r="J32" s="2265"/>
      <c r="K32" s="2265"/>
      <c r="L32" s="2266"/>
      <c r="M32" s="2265"/>
      <c r="N32" s="2265"/>
      <c r="O32" s="2266"/>
      <c r="P32" s="2265"/>
      <c r="Q32" s="2265"/>
      <c r="R32" s="2267"/>
    </row>
    <row r="33" spans="2:18" s="2252" customFormat="1">
      <c r="B33" s="2265"/>
      <c r="C33" s="2265"/>
      <c r="D33" s="2265"/>
      <c r="H33" s="2265"/>
      <c r="I33" s="2266"/>
      <c r="J33" s="2265"/>
      <c r="K33" s="2265"/>
      <c r="L33" s="2266"/>
      <c r="M33" s="2265"/>
      <c r="N33" s="2265"/>
      <c r="O33" s="2266"/>
      <c r="P33" s="2265"/>
      <c r="Q33" s="2265"/>
      <c r="R33" s="2267"/>
    </row>
    <row r="34" spans="2:18" s="2252" customFormat="1">
      <c r="B34" s="2265"/>
      <c r="C34" s="2265"/>
      <c r="D34" s="2265"/>
      <c r="H34" s="2265"/>
      <c r="I34" s="2266"/>
      <c r="J34" s="2265"/>
      <c r="K34" s="2265"/>
      <c r="L34" s="2266"/>
      <c r="M34" s="2265"/>
      <c r="N34" s="2265"/>
      <c r="O34" s="2266"/>
      <c r="P34" s="2265"/>
      <c r="Q34" s="2265"/>
      <c r="R34" s="2267"/>
    </row>
    <row r="35" spans="2:18" s="2252" customFormat="1">
      <c r="B35" s="2265"/>
      <c r="C35" s="2265"/>
      <c r="D35" s="2265"/>
      <c r="H35" s="2265"/>
      <c r="I35" s="2266"/>
      <c r="J35" s="2265"/>
      <c r="K35" s="2265"/>
      <c r="L35" s="2266"/>
      <c r="M35" s="2265"/>
      <c r="N35" s="2265"/>
      <c r="O35" s="2266"/>
      <c r="P35" s="2265"/>
      <c r="Q35" s="2265"/>
      <c r="R35" s="2267"/>
    </row>
    <row r="36" spans="2:18" s="2252" customFormat="1">
      <c r="B36" s="2265"/>
      <c r="C36" s="2265"/>
      <c r="D36" s="2265"/>
      <c r="H36" s="2265"/>
      <c r="I36" s="2266"/>
      <c r="J36" s="2265"/>
      <c r="K36" s="2265"/>
      <c r="L36" s="2266"/>
      <c r="M36" s="2265"/>
      <c r="N36" s="2265"/>
      <c r="O36" s="2266"/>
      <c r="P36" s="2265"/>
      <c r="Q36" s="2265"/>
      <c r="R36" s="2267"/>
    </row>
    <row r="37" spans="2:18" s="2252" customFormat="1">
      <c r="B37" s="2265"/>
      <c r="C37" s="2265"/>
      <c r="D37" s="2265"/>
      <c r="H37" s="2265"/>
      <c r="I37" s="2266"/>
      <c r="J37" s="2265"/>
      <c r="K37" s="2265"/>
      <c r="L37" s="2266"/>
      <c r="M37" s="2265"/>
      <c r="N37" s="2265"/>
      <c r="O37" s="2266"/>
      <c r="P37" s="2265"/>
      <c r="Q37" s="2265"/>
      <c r="R37" s="2267"/>
    </row>
    <row r="38" spans="2:18" s="2252" customFormat="1">
      <c r="B38" s="2265"/>
      <c r="C38" s="2265"/>
      <c r="D38" s="2265"/>
      <c r="E38" s="2265"/>
      <c r="F38" s="2265"/>
      <c r="G38" s="2266"/>
      <c r="H38" s="2265"/>
      <c r="I38" s="2266"/>
      <c r="J38" s="2265"/>
      <c r="K38" s="2265"/>
      <c r="L38" s="2266"/>
      <c r="M38" s="2265"/>
      <c r="N38" s="2265"/>
      <c r="O38" s="2266"/>
      <c r="P38" s="2265"/>
      <c r="Q38" s="2265"/>
      <c r="R38" s="2267"/>
    </row>
    <row r="39" spans="2:18" s="2252" customFormat="1">
      <c r="B39" s="2265"/>
      <c r="C39" s="2265"/>
      <c r="D39" s="2265"/>
      <c r="E39" s="2265"/>
      <c r="F39" s="2265"/>
      <c r="G39" s="2266"/>
      <c r="H39" s="2265"/>
      <c r="I39" s="2266"/>
      <c r="J39" s="2265"/>
      <c r="K39" s="2265"/>
      <c r="L39" s="2266"/>
      <c r="M39" s="2265"/>
      <c r="N39" s="2265"/>
      <c r="O39" s="2266"/>
      <c r="P39" s="2265"/>
      <c r="Q39" s="2265"/>
      <c r="R39" s="2267"/>
    </row>
    <row r="40" spans="2:18" s="2252" customFormat="1">
      <c r="B40" s="2265"/>
      <c r="C40" s="2265"/>
      <c r="D40" s="2265"/>
      <c r="E40" s="2265"/>
      <c r="F40" s="2265"/>
      <c r="G40" s="2266"/>
      <c r="H40" s="2265"/>
      <c r="I40" s="2266"/>
      <c r="J40" s="2265"/>
      <c r="K40" s="2265"/>
      <c r="L40" s="2266"/>
      <c r="M40" s="2265"/>
      <c r="N40" s="2265"/>
      <c r="O40" s="2266"/>
      <c r="P40" s="2265"/>
      <c r="Q40" s="2265"/>
      <c r="R40" s="2267"/>
    </row>
    <row r="41" spans="2:18" s="2252" customFormat="1">
      <c r="B41" s="2265"/>
      <c r="C41" s="2265"/>
      <c r="D41" s="2265"/>
      <c r="E41" s="2265"/>
      <c r="F41" s="2265"/>
      <c r="G41" s="2266"/>
      <c r="H41" s="2265"/>
      <c r="I41" s="2266"/>
      <c r="J41" s="2265"/>
      <c r="K41" s="2265"/>
      <c r="L41" s="2266"/>
      <c r="M41" s="2265"/>
      <c r="N41" s="2265"/>
      <c r="O41" s="2266"/>
      <c r="P41" s="2265"/>
      <c r="Q41" s="2265"/>
      <c r="R41" s="2267"/>
    </row>
    <row r="42" spans="2:18" s="2252" customFormat="1">
      <c r="B42" s="2265"/>
      <c r="C42" s="2265"/>
      <c r="D42" s="2265"/>
      <c r="E42" s="2265"/>
      <c r="F42" s="2265"/>
      <c r="G42" s="2266"/>
      <c r="H42" s="2265"/>
      <c r="I42" s="2266"/>
      <c r="J42" s="2265"/>
      <c r="K42" s="2265"/>
      <c r="L42" s="2266"/>
      <c r="M42" s="2265"/>
      <c r="N42" s="2265"/>
      <c r="O42" s="2266"/>
      <c r="P42" s="2265"/>
      <c r="Q42" s="2265"/>
      <c r="R42" s="2267"/>
    </row>
    <row r="43" spans="2:18" s="2252" customFormat="1">
      <c r="B43" s="2265"/>
      <c r="C43" s="2265"/>
      <c r="D43" s="2265"/>
      <c r="E43" s="2265"/>
      <c r="F43" s="2265"/>
      <c r="G43" s="2266"/>
      <c r="H43" s="2265"/>
      <c r="I43" s="2266"/>
      <c r="J43" s="2265"/>
      <c r="K43" s="2265"/>
      <c r="L43" s="2266"/>
      <c r="M43" s="2265"/>
      <c r="N43" s="2265"/>
      <c r="O43" s="2266"/>
      <c r="P43" s="2265"/>
      <c r="Q43" s="2265"/>
      <c r="R43" s="2267"/>
    </row>
    <row r="44" spans="2:18" s="2252" customFormat="1">
      <c r="B44" s="2265"/>
      <c r="C44" s="2265"/>
      <c r="D44" s="2265"/>
      <c r="E44" s="2265"/>
      <c r="F44" s="2265"/>
      <c r="G44" s="2266"/>
      <c r="H44" s="2265"/>
      <c r="I44" s="2266"/>
      <c r="J44" s="2265"/>
      <c r="K44" s="2265"/>
      <c r="L44" s="2266"/>
      <c r="M44" s="2265"/>
      <c r="N44" s="2265"/>
      <c r="O44" s="2266"/>
      <c r="P44" s="2265"/>
      <c r="Q44" s="2265"/>
      <c r="R44" s="2267"/>
    </row>
    <row r="45" spans="2:18" s="2252" customFormat="1">
      <c r="B45" s="2265"/>
      <c r="C45" s="2265"/>
      <c r="D45" s="2265"/>
      <c r="E45" s="2265"/>
      <c r="F45" s="2265"/>
      <c r="G45" s="2266"/>
      <c r="H45" s="2265"/>
      <c r="I45" s="2266"/>
      <c r="J45" s="2265"/>
      <c r="K45" s="2265"/>
      <c r="L45" s="2266"/>
      <c r="M45" s="2265"/>
      <c r="N45" s="2265"/>
      <c r="O45" s="2266"/>
      <c r="P45" s="2265"/>
      <c r="Q45" s="2265"/>
      <c r="R45" s="2267"/>
    </row>
    <row r="46" spans="2:18" s="2252" customFormat="1">
      <c r="B46" s="2265"/>
      <c r="C46" s="2265"/>
      <c r="D46" s="2265"/>
      <c r="E46" s="2265"/>
      <c r="F46" s="2265"/>
      <c r="G46" s="2266"/>
      <c r="H46" s="2265"/>
      <c r="I46" s="2266"/>
      <c r="J46" s="2265"/>
      <c r="K46" s="2265"/>
      <c r="L46" s="2266"/>
      <c r="M46" s="2265"/>
      <c r="N46" s="2265"/>
      <c r="O46" s="2266"/>
      <c r="P46" s="2265"/>
      <c r="Q46" s="2265"/>
      <c r="R46" s="2267"/>
    </row>
    <row r="47" spans="2:18" s="2252" customFormat="1">
      <c r="B47" s="2265"/>
      <c r="C47" s="2265"/>
      <c r="D47" s="2265"/>
      <c r="E47" s="2265"/>
      <c r="F47" s="2265"/>
      <c r="G47" s="2266"/>
      <c r="H47" s="2265"/>
      <c r="I47" s="2266"/>
      <c r="J47" s="2265"/>
      <c r="K47" s="2265"/>
      <c r="L47" s="2266"/>
      <c r="M47" s="2265"/>
      <c r="N47" s="2265"/>
      <c r="O47" s="2266"/>
      <c r="P47" s="2265"/>
      <c r="Q47" s="2265"/>
      <c r="R47" s="2267"/>
    </row>
    <row r="48" spans="2:18" s="2252" customFormat="1">
      <c r="B48" s="2265"/>
      <c r="C48" s="2265"/>
      <c r="D48" s="2265"/>
      <c r="E48" s="2265"/>
      <c r="F48" s="2265"/>
      <c r="G48" s="2266"/>
      <c r="H48" s="2265"/>
      <c r="I48" s="2266"/>
      <c r="J48" s="2265"/>
      <c r="K48" s="2265"/>
      <c r="L48" s="2266"/>
      <c r="M48" s="2265"/>
      <c r="N48" s="2265"/>
      <c r="O48" s="2266"/>
      <c r="P48" s="2265"/>
      <c r="Q48" s="2265"/>
      <c r="R48" s="2267"/>
    </row>
    <row r="49" spans="2:18" s="2252" customFormat="1">
      <c r="B49" s="2265"/>
      <c r="C49" s="2265"/>
      <c r="D49" s="2265"/>
      <c r="E49" s="2265"/>
      <c r="F49" s="2265"/>
      <c r="G49" s="2266"/>
      <c r="H49" s="2265"/>
      <c r="I49" s="2266"/>
      <c r="J49" s="2265"/>
      <c r="K49" s="2265"/>
      <c r="L49" s="2266"/>
      <c r="M49" s="2265"/>
      <c r="N49" s="2265"/>
      <c r="O49" s="2266"/>
      <c r="P49" s="2265"/>
      <c r="Q49" s="2265"/>
      <c r="R49" s="2267"/>
    </row>
    <row r="50" spans="2:18" s="2252" customFormat="1">
      <c r="B50" s="2265"/>
      <c r="C50" s="2265"/>
      <c r="D50" s="2265"/>
      <c r="E50" s="2265"/>
      <c r="F50" s="2265"/>
      <c r="G50" s="2266"/>
      <c r="H50" s="2265"/>
      <c r="I50" s="2266"/>
      <c r="J50" s="2265"/>
      <c r="K50" s="2265"/>
      <c r="L50" s="2266"/>
      <c r="M50" s="2265"/>
      <c r="N50" s="2265"/>
      <c r="O50" s="2266"/>
      <c r="P50" s="2265"/>
      <c r="Q50" s="2265"/>
      <c r="R50" s="2267"/>
    </row>
    <row r="51" spans="2:18" s="2252" customFormat="1">
      <c r="B51" s="2265"/>
      <c r="C51" s="2265"/>
      <c r="D51" s="2265"/>
      <c r="E51" s="2265"/>
      <c r="F51" s="2265"/>
      <c r="G51" s="2266"/>
      <c r="H51" s="2265"/>
      <c r="I51" s="2266"/>
      <c r="J51" s="2265"/>
      <c r="K51" s="2265"/>
      <c r="L51" s="2266"/>
      <c r="M51" s="2265"/>
      <c r="N51" s="2265"/>
      <c r="O51" s="2266"/>
      <c r="P51" s="2265"/>
      <c r="Q51" s="2265"/>
      <c r="R51" s="2267"/>
    </row>
    <row r="52" spans="2:18" s="2252" customFormat="1">
      <c r="B52" s="2265"/>
      <c r="C52" s="2265"/>
      <c r="D52" s="2265"/>
      <c r="E52" s="2265"/>
      <c r="F52" s="2265"/>
      <c r="G52" s="2266"/>
      <c r="H52" s="2265"/>
      <c r="I52" s="2266"/>
      <c r="J52" s="2265"/>
      <c r="K52" s="2265"/>
      <c r="L52" s="2266"/>
      <c r="M52" s="2265"/>
      <c r="N52" s="2265"/>
      <c r="O52" s="2266"/>
      <c r="P52" s="2265"/>
      <c r="Q52" s="2265"/>
      <c r="R52" s="2267"/>
    </row>
    <row r="53" spans="2:18" s="2252" customFormat="1">
      <c r="B53" s="2265"/>
      <c r="C53" s="2265"/>
      <c r="D53" s="2265"/>
      <c r="E53" s="2265"/>
      <c r="F53" s="2265"/>
      <c r="G53" s="2266"/>
      <c r="H53" s="2265"/>
      <c r="I53" s="2266"/>
      <c r="J53" s="2265"/>
      <c r="K53" s="2265"/>
      <c r="L53" s="2266"/>
      <c r="M53" s="2265"/>
      <c r="N53" s="2265"/>
      <c r="O53" s="2266"/>
      <c r="P53" s="2265"/>
      <c r="Q53" s="2265"/>
      <c r="R53" s="2267"/>
    </row>
    <row r="54" spans="2:18" s="2252" customFormat="1">
      <c r="B54" s="2265"/>
      <c r="C54" s="2265"/>
      <c r="D54" s="2265"/>
      <c r="E54" s="2265"/>
      <c r="F54" s="2265"/>
      <c r="G54" s="2266"/>
      <c r="H54" s="2265"/>
      <c r="I54" s="2266"/>
      <c r="J54" s="2265"/>
      <c r="K54" s="2265"/>
      <c r="L54" s="2266"/>
      <c r="M54" s="2265"/>
      <c r="N54" s="2265"/>
      <c r="O54" s="2266"/>
      <c r="P54" s="2265"/>
      <c r="Q54" s="2265"/>
      <c r="R54" s="2267"/>
    </row>
    <row r="55" spans="2:18" s="2252" customFormat="1">
      <c r="B55" s="2265"/>
      <c r="C55" s="2265"/>
      <c r="D55" s="2265"/>
      <c r="E55" s="2265"/>
      <c r="F55" s="2265"/>
      <c r="G55" s="2266"/>
      <c r="H55" s="2265"/>
      <c r="I55" s="2266"/>
      <c r="J55" s="2265"/>
      <c r="K55" s="2265"/>
      <c r="L55" s="2266"/>
      <c r="M55" s="2265"/>
      <c r="N55" s="2265"/>
      <c r="O55" s="2266"/>
      <c r="P55" s="2265"/>
      <c r="Q55" s="2265"/>
      <c r="R55" s="2267"/>
    </row>
    <row r="56" spans="2:18" s="2252" customFormat="1">
      <c r="B56" s="2265"/>
      <c r="C56" s="2265"/>
      <c r="D56" s="2265"/>
      <c r="E56" s="2265"/>
      <c r="F56" s="2265"/>
      <c r="G56" s="2266"/>
      <c r="H56" s="2265"/>
      <c r="I56" s="2266"/>
      <c r="J56" s="2265"/>
      <c r="K56" s="2265"/>
      <c r="L56" s="2266"/>
      <c r="M56" s="2265"/>
      <c r="N56" s="2265"/>
      <c r="O56" s="2266"/>
      <c r="P56" s="2265"/>
      <c r="Q56" s="2265"/>
      <c r="R56" s="2267"/>
    </row>
    <row r="57" spans="2:18" s="2252" customFormat="1">
      <c r="B57" s="2265"/>
      <c r="C57" s="2265"/>
      <c r="D57" s="2265"/>
      <c r="E57" s="2265"/>
      <c r="F57" s="2265"/>
      <c r="G57" s="2266"/>
      <c r="H57" s="2265"/>
      <c r="I57" s="2266"/>
      <c r="J57" s="2265"/>
      <c r="K57" s="2265"/>
      <c r="L57" s="2266"/>
      <c r="M57" s="2265"/>
      <c r="N57" s="2265"/>
      <c r="O57" s="2266"/>
      <c r="P57" s="2265"/>
      <c r="Q57" s="2265"/>
      <c r="R57" s="2267"/>
    </row>
    <row r="58" spans="2:18" s="2252" customFormat="1">
      <c r="B58" s="2265"/>
      <c r="C58" s="2265"/>
      <c r="D58" s="2265"/>
      <c r="E58" s="2265"/>
      <c r="F58" s="2265"/>
      <c r="G58" s="2266"/>
      <c r="H58" s="2265"/>
      <c r="I58" s="2266"/>
      <c r="J58" s="2265"/>
      <c r="K58" s="2265"/>
      <c r="L58" s="2266"/>
      <c r="M58" s="2265"/>
      <c r="N58" s="2265"/>
      <c r="O58" s="2266"/>
      <c r="P58" s="2265"/>
      <c r="Q58" s="2265"/>
      <c r="R58" s="2267"/>
    </row>
    <row r="59" spans="2:18" s="2252" customFormat="1">
      <c r="B59" s="2265"/>
      <c r="C59" s="2265"/>
      <c r="D59" s="2265"/>
      <c r="E59" s="2265"/>
      <c r="F59" s="2265"/>
      <c r="G59" s="2266"/>
      <c r="H59" s="2265"/>
      <c r="I59" s="2266"/>
      <c r="J59" s="2265"/>
      <c r="K59" s="2265"/>
      <c r="L59" s="2266"/>
      <c r="M59" s="2265"/>
      <c r="N59" s="2265"/>
      <c r="O59" s="2266"/>
      <c r="P59" s="2265"/>
      <c r="Q59" s="2265"/>
      <c r="R59" s="2267"/>
    </row>
    <row r="60" spans="2:18" s="2252" customFormat="1">
      <c r="B60" s="2265"/>
      <c r="C60" s="2265"/>
      <c r="D60" s="2265"/>
      <c r="E60" s="2265"/>
      <c r="F60" s="2265"/>
      <c r="G60" s="2266"/>
      <c r="H60" s="2265"/>
      <c r="I60" s="2266"/>
      <c r="J60" s="2265"/>
      <c r="K60" s="2265"/>
      <c r="L60" s="2266"/>
      <c r="M60" s="2265"/>
      <c r="N60" s="2265"/>
      <c r="O60" s="2266"/>
      <c r="P60" s="2265"/>
      <c r="Q60" s="2265"/>
      <c r="R60" s="2267"/>
    </row>
    <row r="61" spans="2:18" s="2252" customFormat="1">
      <c r="B61" s="2265"/>
      <c r="C61" s="2265"/>
      <c r="D61" s="2265"/>
      <c r="E61" s="2265"/>
      <c r="F61" s="2265"/>
      <c r="G61" s="2266"/>
      <c r="H61" s="2265"/>
      <c r="I61" s="2266"/>
      <c r="J61" s="2265"/>
      <c r="K61" s="2265"/>
      <c r="L61" s="2266"/>
      <c r="M61" s="2265"/>
      <c r="N61" s="2265"/>
      <c r="O61" s="2266"/>
      <c r="P61" s="2265"/>
      <c r="Q61" s="2265"/>
      <c r="R61" s="2267"/>
    </row>
    <row r="62" spans="2:18" s="2252" customFormat="1">
      <c r="B62" s="2265"/>
      <c r="C62" s="2265"/>
      <c r="D62" s="2265"/>
      <c r="E62" s="2265"/>
      <c r="F62" s="2265"/>
      <c r="G62" s="2266"/>
      <c r="H62" s="2265"/>
      <c r="I62" s="2266"/>
      <c r="J62" s="2265"/>
      <c r="K62" s="2265"/>
      <c r="L62" s="2266"/>
      <c r="M62" s="2265"/>
      <c r="N62" s="2265"/>
      <c r="O62" s="2266"/>
      <c r="P62" s="2265"/>
      <c r="Q62" s="2265"/>
      <c r="R62" s="2267"/>
    </row>
    <row r="63" spans="2:18" s="2252" customFormat="1">
      <c r="B63" s="2265"/>
      <c r="C63" s="2265"/>
      <c r="D63" s="2265"/>
      <c r="E63" s="2265"/>
      <c r="F63" s="2265"/>
      <c r="G63" s="2266"/>
      <c r="H63" s="2265"/>
      <c r="I63" s="2266"/>
      <c r="J63" s="2265"/>
      <c r="K63" s="2265"/>
      <c r="L63" s="2266"/>
      <c r="M63" s="2265"/>
      <c r="N63" s="2265"/>
      <c r="O63" s="2266"/>
      <c r="P63" s="2265"/>
      <c r="Q63" s="2265"/>
      <c r="R63" s="2267"/>
    </row>
    <row r="64" spans="2:18" s="2252" customFormat="1">
      <c r="B64" s="2265"/>
      <c r="C64" s="2265"/>
      <c r="D64" s="2265"/>
      <c r="E64" s="2265"/>
      <c r="F64" s="2265"/>
      <c r="G64" s="2266"/>
      <c r="H64" s="2265"/>
      <c r="I64" s="2266"/>
      <c r="J64" s="2265"/>
      <c r="K64" s="2265"/>
      <c r="L64" s="2266"/>
      <c r="M64" s="2265"/>
      <c r="N64" s="2265"/>
      <c r="O64" s="2266"/>
      <c r="P64" s="2265"/>
      <c r="Q64" s="2265"/>
      <c r="R64" s="2267"/>
    </row>
    <row r="65" spans="2:18" s="2252" customFormat="1">
      <c r="B65" s="2265"/>
      <c r="C65" s="2265"/>
      <c r="D65" s="2265"/>
      <c r="E65" s="2265"/>
      <c r="F65" s="2265"/>
      <c r="G65" s="2266"/>
      <c r="H65" s="2265"/>
      <c r="I65" s="2266"/>
      <c r="J65" s="2265"/>
      <c r="K65" s="2265"/>
      <c r="L65" s="2266"/>
      <c r="M65" s="2265"/>
      <c r="N65" s="2265"/>
      <c r="O65" s="2266"/>
      <c r="P65" s="2265"/>
      <c r="Q65" s="2265"/>
      <c r="R65" s="2267"/>
    </row>
    <row r="66" spans="2:18" s="2252" customFormat="1">
      <c r="B66" s="2265"/>
      <c r="C66" s="2265"/>
      <c r="D66" s="2265"/>
      <c r="E66" s="2265"/>
      <c r="F66" s="2265"/>
      <c r="G66" s="2266"/>
      <c r="H66" s="2265"/>
      <c r="I66" s="2266"/>
      <c r="J66" s="2265"/>
      <c r="K66" s="2265"/>
      <c r="L66" s="2266"/>
      <c r="M66" s="2265"/>
      <c r="N66" s="2265"/>
      <c r="O66" s="2266"/>
      <c r="P66" s="2265"/>
      <c r="Q66" s="2265"/>
      <c r="R66" s="2267"/>
    </row>
    <row r="67" spans="2:18" s="2252" customFormat="1">
      <c r="B67" s="2265"/>
      <c r="C67" s="2265"/>
      <c r="D67" s="2265"/>
      <c r="E67" s="2265"/>
      <c r="F67" s="2265"/>
      <c r="G67" s="2266"/>
      <c r="H67" s="2265"/>
      <c r="I67" s="2266"/>
      <c r="J67" s="2265"/>
      <c r="K67" s="2265"/>
      <c r="L67" s="2266"/>
      <c r="M67" s="2265"/>
      <c r="N67" s="2265"/>
      <c r="O67" s="2266"/>
      <c r="P67" s="2265"/>
      <c r="Q67" s="2265"/>
      <c r="R67" s="2267"/>
    </row>
    <row r="68" spans="2:18" s="2252" customFormat="1">
      <c r="B68" s="2265"/>
      <c r="C68" s="2265"/>
      <c r="D68" s="2265"/>
      <c r="E68" s="2265"/>
      <c r="F68" s="2265"/>
      <c r="G68" s="2266"/>
      <c r="H68" s="2265"/>
      <c r="I68" s="2266"/>
      <c r="J68" s="2265"/>
      <c r="K68" s="2265"/>
      <c r="L68" s="2266"/>
      <c r="M68" s="2265"/>
      <c r="N68" s="2265"/>
      <c r="O68" s="2266"/>
      <c r="P68" s="2265"/>
      <c r="Q68" s="2265"/>
      <c r="R68" s="2267"/>
    </row>
    <row r="69" spans="2:18" s="2252" customFormat="1">
      <c r="B69" s="2265"/>
      <c r="C69" s="2265"/>
      <c r="D69" s="2265"/>
      <c r="E69" s="2265"/>
      <c r="F69" s="2265"/>
      <c r="G69" s="2266"/>
      <c r="H69" s="2265"/>
      <c r="I69" s="2266"/>
      <c r="J69" s="2265"/>
      <c r="K69" s="2265"/>
      <c r="L69" s="2266"/>
      <c r="M69" s="2265"/>
      <c r="N69" s="2265"/>
      <c r="O69" s="2266"/>
      <c r="P69" s="2265"/>
      <c r="Q69" s="2265"/>
      <c r="R69" s="2267"/>
    </row>
    <row r="70" spans="2:18" s="2252" customFormat="1">
      <c r="B70" s="2265"/>
      <c r="C70" s="2265"/>
      <c r="D70" s="2265"/>
      <c r="E70" s="2265"/>
      <c r="F70" s="2265"/>
      <c r="G70" s="2266"/>
      <c r="H70" s="2265"/>
      <c r="I70" s="2266"/>
      <c r="J70" s="2265"/>
      <c r="K70" s="2265"/>
      <c r="L70" s="2266"/>
      <c r="M70" s="2265"/>
      <c r="N70" s="2265"/>
      <c r="O70" s="2266"/>
      <c r="P70" s="2265"/>
      <c r="Q70" s="2265"/>
      <c r="R70" s="2267"/>
    </row>
    <row r="71" spans="2:18" s="2252" customFormat="1">
      <c r="B71" s="2265"/>
      <c r="C71" s="2265"/>
      <c r="D71" s="2265"/>
      <c r="E71" s="2265"/>
      <c r="F71" s="2265"/>
      <c r="G71" s="2266"/>
      <c r="H71" s="2265"/>
      <c r="I71" s="2266"/>
      <c r="J71" s="2265"/>
      <c r="K71" s="2265"/>
      <c r="L71" s="2266"/>
      <c r="M71" s="2265"/>
      <c r="N71" s="2265"/>
      <c r="O71" s="2266"/>
      <c r="P71" s="2265"/>
      <c r="Q71" s="2265"/>
      <c r="R71" s="2267"/>
    </row>
    <row r="72" spans="2:18" s="2252" customFormat="1">
      <c r="B72" s="2265"/>
      <c r="C72" s="2265"/>
      <c r="D72" s="2265"/>
      <c r="E72" s="2265"/>
      <c r="F72" s="2265"/>
      <c r="G72" s="2266"/>
      <c r="H72" s="2265"/>
      <c r="I72" s="2266"/>
      <c r="J72" s="2265"/>
      <c r="K72" s="2265"/>
      <c r="L72" s="2266"/>
      <c r="M72" s="2265"/>
      <c r="N72" s="2265"/>
      <c r="O72" s="2266"/>
      <c r="P72" s="2265"/>
      <c r="Q72" s="2265"/>
      <c r="R72" s="2267"/>
    </row>
    <row r="73" spans="2:18" s="2252" customFormat="1">
      <c r="B73" s="2265"/>
      <c r="C73" s="2265"/>
      <c r="D73" s="2265"/>
      <c r="E73" s="2265"/>
      <c r="F73" s="2265"/>
      <c r="G73" s="2266"/>
      <c r="H73" s="2265"/>
      <c r="I73" s="2266"/>
      <c r="J73" s="2265"/>
      <c r="K73" s="2265"/>
      <c r="L73" s="2266"/>
      <c r="M73" s="2265"/>
      <c r="N73" s="2265"/>
      <c r="O73" s="2266"/>
      <c r="P73" s="2265"/>
      <c r="Q73" s="2265"/>
      <c r="R73" s="2267"/>
    </row>
    <row r="74" spans="2:18" s="2252" customFormat="1">
      <c r="B74" s="2265"/>
      <c r="C74" s="2265"/>
      <c r="D74" s="2265"/>
      <c r="E74" s="2265"/>
      <c r="F74" s="2265"/>
      <c r="G74" s="2266"/>
      <c r="H74" s="2265"/>
      <c r="I74" s="2266"/>
      <c r="J74" s="2265"/>
      <c r="K74" s="2265"/>
      <c r="L74" s="2266"/>
      <c r="M74" s="2265"/>
      <c r="N74" s="2265"/>
      <c r="O74" s="2266"/>
      <c r="P74" s="2265"/>
      <c r="Q74" s="2265"/>
      <c r="R74" s="2267"/>
    </row>
    <row r="75" spans="2:18" s="2252" customFormat="1">
      <c r="B75" s="2265"/>
      <c r="C75" s="2265"/>
      <c r="D75" s="2265"/>
      <c r="E75" s="2265"/>
      <c r="F75" s="2265"/>
      <c r="G75" s="2266"/>
      <c r="H75" s="2265"/>
      <c r="I75" s="2266"/>
      <c r="J75" s="2265"/>
      <c r="K75" s="2265"/>
      <c r="L75" s="2266"/>
      <c r="M75" s="2265"/>
      <c r="N75" s="2265"/>
      <c r="O75" s="2266"/>
      <c r="P75" s="2265"/>
      <c r="Q75" s="2265"/>
      <c r="R75" s="2267"/>
    </row>
    <row r="76" spans="2:18" s="2252" customFormat="1">
      <c r="B76" s="2265"/>
      <c r="C76" s="2265"/>
      <c r="D76" s="2265"/>
      <c r="E76" s="2265"/>
      <c r="F76" s="2265"/>
      <c r="G76" s="2266"/>
      <c r="H76" s="2265"/>
      <c r="I76" s="2266"/>
      <c r="J76" s="2265"/>
      <c r="K76" s="2265"/>
      <c r="L76" s="2266"/>
      <c r="M76" s="2265"/>
      <c r="N76" s="2265"/>
      <c r="O76" s="2266"/>
      <c r="P76" s="2265"/>
      <c r="Q76" s="2265"/>
      <c r="R76" s="2267"/>
    </row>
    <row r="77" spans="2:18" s="2252" customFormat="1">
      <c r="B77" s="2265"/>
      <c r="C77" s="2265"/>
      <c r="D77" s="2265"/>
      <c r="E77" s="2265"/>
      <c r="F77" s="2265"/>
      <c r="G77" s="2266"/>
      <c r="H77" s="2265"/>
      <c r="I77" s="2266"/>
      <c r="J77" s="2265"/>
      <c r="K77" s="2265"/>
      <c r="L77" s="2266"/>
      <c r="M77" s="2265"/>
      <c r="N77" s="2265"/>
      <c r="O77" s="2266"/>
      <c r="P77" s="2265"/>
      <c r="Q77" s="2265"/>
      <c r="R77" s="2267"/>
    </row>
    <row r="78" spans="2:18" s="2252" customFormat="1">
      <c r="B78" s="2265"/>
      <c r="C78" s="2265"/>
      <c r="D78" s="2265"/>
      <c r="E78" s="2265"/>
      <c r="F78" s="2265"/>
      <c r="G78" s="2266"/>
      <c r="H78" s="2265"/>
      <c r="I78" s="2266"/>
      <c r="J78" s="2265"/>
      <c r="K78" s="2265"/>
      <c r="L78" s="2266"/>
      <c r="M78" s="2265"/>
      <c r="N78" s="2265"/>
      <c r="O78" s="2266"/>
      <c r="P78" s="2265"/>
      <c r="Q78" s="2265"/>
      <c r="R78" s="2267"/>
    </row>
    <row r="79" spans="2:18" s="2252" customFormat="1">
      <c r="B79" s="2265"/>
      <c r="C79" s="2265"/>
      <c r="D79" s="2265"/>
      <c r="E79" s="2265"/>
      <c r="F79" s="2265"/>
      <c r="G79" s="2266"/>
      <c r="H79" s="2265"/>
      <c r="I79" s="2266"/>
      <c r="J79" s="2265"/>
      <c r="K79" s="2265"/>
      <c r="L79" s="2266"/>
      <c r="M79" s="2265"/>
      <c r="N79" s="2265"/>
      <c r="O79" s="2266"/>
      <c r="P79" s="2265"/>
      <c r="Q79" s="2265"/>
      <c r="R79" s="2267"/>
    </row>
    <row r="80" spans="2:18" s="2252" customFormat="1">
      <c r="B80" s="2265"/>
      <c r="C80" s="2265"/>
      <c r="D80" s="2265"/>
      <c r="E80" s="2265"/>
      <c r="F80" s="2265"/>
      <c r="G80" s="2266"/>
      <c r="H80" s="2265"/>
      <c r="I80" s="2266"/>
      <c r="J80" s="2265"/>
      <c r="K80" s="2265"/>
      <c r="L80" s="2266"/>
      <c r="M80" s="2265"/>
      <c r="N80" s="2265"/>
      <c r="O80" s="2266"/>
      <c r="P80" s="2265"/>
      <c r="Q80" s="2265"/>
      <c r="R80" s="2267"/>
    </row>
    <row r="81" spans="2:18" s="2252" customFormat="1">
      <c r="B81" s="2265"/>
      <c r="C81" s="2265"/>
      <c r="D81" s="2265"/>
      <c r="E81" s="2265"/>
      <c r="F81" s="2265"/>
      <c r="G81" s="2266"/>
      <c r="H81" s="2265"/>
      <c r="I81" s="2266"/>
      <c r="J81" s="2265"/>
      <c r="K81" s="2265"/>
      <c r="L81" s="2266"/>
      <c r="M81" s="2265"/>
      <c r="N81" s="2265"/>
      <c r="O81" s="2266"/>
      <c r="P81" s="2265"/>
      <c r="Q81" s="2265"/>
      <c r="R81" s="2267"/>
    </row>
    <row r="82" spans="2:18" s="2252" customFormat="1">
      <c r="B82" s="2265"/>
      <c r="C82" s="2265"/>
      <c r="D82" s="2265"/>
      <c r="E82" s="2265"/>
      <c r="F82" s="2265"/>
      <c r="G82" s="2266"/>
      <c r="H82" s="2265"/>
      <c r="I82" s="2266"/>
      <c r="J82" s="2265"/>
      <c r="K82" s="2265"/>
      <c r="L82" s="2266"/>
      <c r="M82" s="2265"/>
      <c r="N82" s="2265"/>
      <c r="O82" s="2266"/>
      <c r="P82" s="2265"/>
      <c r="Q82" s="2265"/>
      <c r="R82" s="2267"/>
    </row>
    <row r="83" spans="2:18" s="2252" customFormat="1">
      <c r="B83" s="2265"/>
      <c r="C83" s="2265"/>
      <c r="D83" s="2265"/>
      <c r="E83" s="2265"/>
      <c r="F83" s="2265"/>
      <c r="G83" s="2266"/>
      <c r="H83" s="2265"/>
      <c r="I83" s="2266"/>
      <c r="J83" s="2265"/>
      <c r="K83" s="2265"/>
      <c r="L83" s="2266"/>
      <c r="M83" s="2265"/>
      <c r="N83" s="2265"/>
      <c r="O83" s="2266"/>
      <c r="P83" s="2265"/>
      <c r="Q83" s="2265"/>
      <c r="R83" s="2267"/>
    </row>
    <row r="84" spans="2:18" s="2252" customFormat="1">
      <c r="B84" s="2265"/>
      <c r="C84" s="2265"/>
      <c r="D84" s="2265"/>
      <c r="E84" s="2265"/>
      <c r="F84" s="2265"/>
      <c r="G84" s="2266"/>
      <c r="H84" s="2265"/>
      <c r="I84" s="2266"/>
      <c r="J84" s="2265"/>
      <c r="K84" s="2265"/>
      <c r="L84" s="2266"/>
      <c r="M84" s="2265"/>
      <c r="N84" s="2265"/>
      <c r="O84" s="2266"/>
      <c r="P84" s="2265"/>
      <c r="Q84" s="2265"/>
      <c r="R84" s="2267"/>
    </row>
    <row r="85" spans="2:18" s="2252" customFormat="1">
      <c r="B85" s="2265"/>
      <c r="C85" s="2265"/>
      <c r="D85" s="2265"/>
      <c r="E85" s="2265"/>
      <c r="F85" s="2265"/>
      <c r="G85" s="2266"/>
      <c r="H85" s="2265"/>
      <c r="I85" s="2266"/>
      <c r="J85" s="2265"/>
      <c r="K85" s="2265"/>
      <c r="L85" s="2266"/>
      <c r="M85" s="2265"/>
      <c r="N85" s="2265"/>
      <c r="O85" s="2266"/>
      <c r="P85" s="2265"/>
      <c r="Q85" s="2265"/>
      <c r="R85" s="2267"/>
    </row>
    <row r="86" spans="2:18" s="2252" customFormat="1">
      <c r="B86" s="2265"/>
      <c r="C86" s="2265"/>
      <c r="D86" s="2265"/>
      <c r="E86" s="2265"/>
      <c r="F86" s="2265"/>
      <c r="G86" s="2266"/>
      <c r="H86" s="2265"/>
      <c r="I86" s="2266"/>
      <c r="J86" s="2265"/>
      <c r="K86" s="2265"/>
      <c r="L86" s="2266"/>
      <c r="M86" s="2265"/>
      <c r="N86" s="2265"/>
      <c r="O86" s="2266"/>
      <c r="P86" s="2265"/>
      <c r="Q86" s="2265"/>
      <c r="R86" s="2267"/>
    </row>
    <row r="87" spans="2:18" s="2252" customFormat="1">
      <c r="B87" s="2265"/>
      <c r="C87" s="2265"/>
      <c r="D87" s="2265"/>
      <c r="E87" s="2265"/>
      <c r="F87" s="2265"/>
      <c r="G87" s="2266"/>
      <c r="H87" s="2265"/>
      <c r="I87" s="2266"/>
      <c r="J87" s="2265"/>
      <c r="K87" s="2265"/>
      <c r="L87" s="2266"/>
      <c r="M87" s="2265"/>
      <c r="N87" s="2265"/>
      <c r="O87" s="2266"/>
      <c r="P87" s="2265"/>
      <c r="Q87" s="2265"/>
      <c r="R87" s="2267"/>
    </row>
    <row r="88" spans="2:18" s="2252" customFormat="1">
      <c r="B88" s="2265"/>
      <c r="C88" s="2265"/>
      <c r="D88" s="2265"/>
      <c r="E88" s="2265"/>
      <c r="F88" s="2265"/>
      <c r="G88" s="2266"/>
      <c r="H88" s="2265"/>
      <c r="I88" s="2266"/>
      <c r="J88" s="2265"/>
      <c r="K88" s="2265"/>
      <c r="L88" s="2266"/>
      <c r="M88" s="2265"/>
      <c r="N88" s="2265"/>
      <c r="O88" s="2266"/>
      <c r="P88" s="2265"/>
      <c r="Q88" s="2265"/>
      <c r="R88" s="2267"/>
    </row>
    <row r="89" spans="2:18" s="2252" customFormat="1">
      <c r="B89" s="2265"/>
      <c r="C89" s="2265"/>
      <c r="D89" s="2265"/>
      <c r="E89" s="2265"/>
      <c r="F89" s="2265"/>
      <c r="G89" s="2266"/>
      <c r="H89" s="2265"/>
      <c r="I89" s="2266"/>
      <c r="J89" s="2265"/>
      <c r="K89" s="2265"/>
      <c r="L89" s="2266"/>
      <c r="M89" s="2265"/>
      <c r="N89" s="2265"/>
      <c r="O89" s="2266"/>
      <c r="P89" s="2265"/>
      <c r="Q89" s="2265"/>
      <c r="R89" s="2267"/>
    </row>
    <row r="90" spans="2:18" s="2252" customFormat="1">
      <c r="B90" s="2265"/>
      <c r="C90" s="2265"/>
      <c r="D90" s="2265"/>
      <c r="E90" s="2265"/>
      <c r="F90" s="2265"/>
      <c r="G90" s="2266"/>
      <c r="H90" s="2265"/>
      <c r="I90" s="2266"/>
      <c r="J90" s="2265"/>
      <c r="K90" s="2265"/>
      <c r="L90" s="2266"/>
      <c r="M90" s="2265"/>
      <c r="N90" s="2265"/>
      <c r="O90" s="2266"/>
      <c r="P90" s="2265"/>
      <c r="Q90" s="2265"/>
      <c r="R90" s="2267"/>
    </row>
    <row r="91" spans="2:18" s="2252" customFormat="1">
      <c r="B91" s="2265"/>
      <c r="C91" s="2265"/>
      <c r="D91" s="2265"/>
      <c r="E91" s="2265"/>
      <c r="F91" s="2265"/>
      <c r="G91" s="2266"/>
      <c r="H91" s="2265"/>
      <c r="I91" s="2266"/>
      <c r="J91" s="2265"/>
      <c r="K91" s="2265"/>
      <c r="L91" s="2266"/>
      <c r="M91" s="2265"/>
      <c r="N91" s="2265"/>
      <c r="O91" s="2266"/>
      <c r="P91" s="2265"/>
      <c r="Q91" s="2265"/>
      <c r="R91" s="2267"/>
    </row>
    <row r="92" spans="2:18" s="2252" customFormat="1">
      <c r="B92" s="2265"/>
      <c r="C92" s="2265"/>
      <c r="D92" s="2265"/>
      <c r="E92" s="2265"/>
      <c r="F92" s="2265"/>
      <c r="G92" s="2266"/>
      <c r="H92" s="2265"/>
      <c r="I92" s="2266"/>
      <c r="J92" s="2265"/>
      <c r="K92" s="2265"/>
      <c r="L92" s="2266"/>
      <c r="M92" s="2265"/>
      <c r="N92" s="2265"/>
      <c r="O92" s="2266"/>
      <c r="P92" s="2265"/>
      <c r="Q92" s="2265"/>
      <c r="R92" s="2267"/>
    </row>
    <row r="93" spans="2:18" s="2252" customFormat="1">
      <c r="B93" s="2265"/>
      <c r="C93" s="2265"/>
      <c r="D93" s="2265"/>
      <c r="E93" s="2265"/>
      <c r="F93" s="2265"/>
      <c r="G93" s="2266"/>
      <c r="H93" s="2265"/>
      <c r="I93" s="2266"/>
      <c r="J93" s="2265"/>
      <c r="K93" s="2265"/>
      <c r="L93" s="2266"/>
      <c r="M93" s="2265"/>
      <c r="N93" s="2265"/>
      <c r="O93" s="2266"/>
      <c r="P93" s="2265"/>
      <c r="Q93" s="2265"/>
      <c r="R93" s="2267"/>
    </row>
    <row r="94" spans="2:18" s="2252" customFormat="1">
      <c r="B94" s="2265"/>
      <c r="C94" s="2265"/>
      <c r="D94" s="2265"/>
      <c r="E94" s="2265"/>
      <c r="F94" s="2265"/>
      <c r="G94" s="2266"/>
      <c r="H94" s="2265"/>
      <c r="I94" s="2266"/>
      <c r="J94" s="2265"/>
      <c r="K94" s="2265"/>
      <c r="L94" s="2266"/>
      <c r="M94" s="2265"/>
      <c r="N94" s="2265"/>
      <c r="O94" s="2266"/>
      <c r="P94" s="2265"/>
      <c r="Q94" s="2265"/>
      <c r="R94" s="2267"/>
    </row>
    <row r="95" spans="2:18" s="2252" customFormat="1">
      <c r="B95" s="2265"/>
      <c r="C95" s="2265"/>
      <c r="D95" s="2265"/>
      <c r="E95" s="2265"/>
      <c r="F95" s="2265"/>
      <c r="G95" s="2266"/>
      <c r="H95" s="2265"/>
      <c r="I95" s="2266"/>
      <c r="J95" s="2265"/>
      <c r="K95" s="2265"/>
      <c r="L95" s="2266"/>
      <c r="M95" s="2265"/>
      <c r="N95" s="2265"/>
      <c r="O95" s="2266"/>
      <c r="P95" s="2265"/>
      <c r="Q95" s="2265"/>
      <c r="R95" s="2267"/>
    </row>
    <row r="96" spans="2:18" s="2252" customFormat="1">
      <c r="B96" s="2265"/>
      <c r="C96" s="2265"/>
      <c r="D96" s="2265"/>
      <c r="E96" s="2265"/>
      <c r="F96" s="2265"/>
      <c r="G96" s="2266"/>
      <c r="H96" s="2265"/>
      <c r="I96" s="2266"/>
      <c r="J96" s="2265"/>
      <c r="K96" s="2265"/>
      <c r="L96" s="2266"/>
      <c r="M96" s="2265"/>
      <c r="N96" s="2265"/>
      <c r="O96" s="2266"/>
      <c r="P96" s="2265"/>
      <c r="Q96" s="2265"/>
      <c r="R96" s="2267"/>
    </row>
    <row r="97" spans="2:18" s="2252" customFormat="1">
      <c r="B97" s="2265"/>
      <c r="C97" s="2265"/>
      <c r="D97" s="2265"/>
      <c r="E97" s="2265"/>
      <c r="F97" s="2265"/>
      <c r="G97" s="2266"/>
      <c r="H97" s="2265"/>
      <c r="I97" s="2266"/>
      <c r="J97" s="2265"/>
      <c r="K97" s="2265"/>
      <c r="L97" s="2266"/>
      <c r="M97" s="2265"/>
      <c r="N97" s="2265"/>
      <c r="O97" s="2266"/>
      <c r="P97" s="2265"/>
      <c r="Q97" s="2265"/>
      <c r="R97" s="2267"/>
    </row>
    <row r="98" spans="2:18" s="2252" customFormat="1">
      <c r="B98" s="2265"/>
      <c r="C98" s="2265"/>
      <c r="D98" s="2265"/>
      <c r="E98" s="2265"/>
      <c r="F98" s="2265"/>
      <c r="G98" s="2266"/>
      <c r="H98" s="2265"/>
      <c r="I98" s="2266"/>
      <c r="J98" s="2265"/>
      <c r="K98" s="2265"/>
      <c r="L98" s="2266"/>
      <c r="M98" s="2265"/>
      <c r="N98" s="2265"/>
      <c r="O98" s="2266"/>
      <c r="P98" s="2265"/>
      <c r="Q98" s="2265"/>
      <c r="R98" s="2267"/>
    </row>
    <row r="99" spans="2:18" s="2252" customFormat="1">
      <c r="B99" s="2265"/>
      <c r="C99" s="2265"/>
      <c r="D99" s="2265"/>
      <c r="E99" s="2265"/>
      <c r="F99" s="2265"/>
      <c r="G99" s="2266"/>
      <c r="H99" s="2265"/>
      <c r="I99" s="2266"/>
      <c r="J99" s="2265"/>
      <c r="K99" s="2265"/>
      <c r="L99" s="2266"/>
      <c r="M99" s="2265"/>
      <c r="N99" s="2265"/>
      <c r="O99" s="2266"/>
      <c r="P99" s="2265"/>
      <c r="Q99" s="2265"/>
      <c r="R99" s="2267"/>
    </row>
    <row r="100" spans="2:18" s="2252" customFormat="1">
      <c r="B100" s="2265"/>
      <c r="C100" s="2265"/>
      <c r="D100" s="2265"/>
      <c r="E100" s="2265"/>
      <c r="F100" s="2265"/>
      <c r="G100" s="2266"/>
      <c r="H100" s="2265"/>
      <c r="I100" s="2266"/>
      <c r="J100" s="2265"/>
      <c r="K100" s="2265"/>
      <c r="L100" s="2266"/>
      <c r="M100" s="2265"/>
      <c r="N100" s="2265"/>
      <c r="O100" s="2266"/>
      <c r="P100" s="2265"/>
      <c r="Q100" s="2265"/>
      <c r="R100" s="2267"/>
    </row>
    <row r="101" spans="2:18" s="2252" customFormat="1">
      <c r="B101" s="2265"/>
      <c r="C101" s="2265"/>
      <c r="D101" s="2265"/>
      <c r="E101" s="2265"/>
      <c r="F101" s="2265"/>
      <c r="G101" s="2266"/>
      <c r="H101" s="2265"/>
      <c r="I101" s="2266"/>
      <c r="J101" s="2265"/>
      <c r="K101" s="2265"/>
      <c r="L101" s="2266"/>
      <c r="M101" s="2265"/>
      <c r="N101" s="2265"/>
      <c r="O101" s="2266"/>
      <c r="P101" s="2265"/>
      <c r="Q101" s="2265"/>
      <c r="R101" s="2267"/>
    </row>
    <row r="102" spans="2:18" s="2252" customFormat="1">
      <c r="B102" s="2265"/>
      <c r="C102" s="2265"/>
      <c r="D102" s="2265"/>
      <c r="E102" s="2265"/>
      <c r="F102" s="2265"/>
      <c r="G102" s="2266"/>
      <c r="H102" s="2265"/>
      <c r="I102" s="2266"/>
      <c r="J102" s="2265"/>
      <c r="K102" s="2265"/>
      <c r="L102" s="2266"/>
      <c r="M102" s="2265"/>
      <c r="N102" s="2265"/>
      <c r="O102" s="2266"/>
      <c r="P102" s="2265"/>
      <c r="Q102" s="2265"/>
      <c r="R102" s="2267"/>
    </row>
    <row r="103" spans="2:18" s="2252" customFormat="1">
      <c r="B103" s="2265"/>
      <c r="C103" s="2265"/>
      <c r="D103" s="2265"/>
      <c r="E103" s="2265"/>
      <c r="F103" s="2265"/>
      <c r="G103" s="2266"/>
      <c r="H103" s="2265"/>
      <c r="I103" s="2266"/>
      <c r="J103" s="2265"/>
      <c r="K103" s="2265"/>
      <c r="L103" s="2266"/>
      <c r="M103" s="2265"/>
      <c r="N103" s="2265"/>
      <c r="O103" s="2266"/>
      <c r="P103" s="2265"/>
      <c r="Q103" s="2265"/>
      <c r="R103" s="2267"/>
    </row>
    <row r="104" spans="2:18" s="2252" customFormat="1">
      <c r="B104" s="2265"/>
      <c r="C104" s="2265"/>
      <c r="D104" s="2265"/>
      <c r="E104" s="2265"/>
      <c r="F104" s="2265"/>
      <c r="G104" s="2266"/>
      <c r="H104" s="2265"/>
      <c r="I104" s="2266"/>
      <c r="J104" s="2265"/>
      <c r="K104" s="2265"/>
      <c r="L104" s="2266"/>
      <c r="M104" s="2265"/>
      <c r="N104" s="2265"/>
      <c r="O104" s="2266"/>
      <c r="P104" s="2265"/>
      <c r="Q104" s="2265"/>
      <c r="R104" s="2267"/>
    </row>
    <row r="105" spans="2:18" s="2252" customFormat="1">
      <c r="B105" s="2265"/>
      <c r="C105" s="2265"/>
      <c r="D105" s="2265"/>
      <c r="E105" s="2265"/>
      <c r="F105" s="2265"/>
      <c r="G105" s="2266"/>
      <c r="H105" s="2265"/>
      <c r="I105" s="2266"/>
      <c r="J105" s="2265"/>
      <c r="K105" s="2265"/>
      <c r="L105" s="2266"/>
      <c r="M105" s="2265"/>
      <c r="N105" s="2265"/>
      <c r="O105" s="2266"/>
      <c r="P105" s="2265"/>
      <c r="Q105" s="2265"/>
      <c r="R105" s="2267"/>
    </row>
    <row r="106" spans="2:18" s="2252" customFormat="1">
      <c r="B106" s="2265"/>
      <c r="C106" s="2265"/>
      <c r="D106" s="2265"/>
      <c r="E106" s="2265"/>
      <c r="F106" s="2265"/>
      <c r="G106" s="2266"/>
      <c r="H106" s="2265"/>
      <c r="I106" s="2266"/>
      <c r="J106" s="2265"/>
      <c r="K106" s="2265"/>
      <c r="L106" s="2266"/>
      <c r="M106" s="2265"/>
      <c r="N106" s="2265"/>
      <c r="O106" s="2266"/>
      <c r="P106" s="2265"/>
      <c r="Q106" s="2265"/>
      <c r="R106" s="2267"/>
    </row>
    <row r="107" spans="2:18" s="2252" customFormat="1">
      <c r="B107" s="2265"/>
      <c r="C107" s="2265"/>
      <c r="D107" s="2265"/>
      <c r="E107" s="2265"/>
      <c r="F107" s="2265"/>
      <c r="G107" s="2266"/>
      <c r="H107" s="2265"/>
      <c r="I107" s="2266"/>
      <c r="J107" s="2265"/>
      <c r="K107" s="2265"/>
      <c r="L107" s="2266"/>
      <c r="M107" s="2265"/>
      <c r="N107" s="2265"/>
      <c r="O107" s="2266"/>
      <c r="P107" s="2265"/>
      <c r="Q107" s="2265"/>
      <c r="R107" s="2267"/>
    </row>
    <row r="108" spans="2:18" s="2252" customFormat="1">
      <c r="B108" s="2265"/>
      <c r="C108" s="2265"/>
      <c r="D108" s="2265"/>
      <c r="E108" s="2265"/>
      <c r="F108" s="2265"/>
      <c r="G108" s="2266"/>
      <c r="H108" s="2265"/>
      <c r="I108" s="2266"/>
      <c r="J108" s="2265"/>
      <c r="K108" s="2265"/>
      <c r="L108" s="2266"/>
      <c r="M108" s="2265"/>
      <c r="N108" s="2265"/>
      <c r="O108" s="2266"/>
      <c r="P108" s="2265"/>
      <c r="Q108" s="2265"/>
      <c r="R108" s="2267"/>
    </row>
    <row r="109" spans="2:18" s="2252" customFormat="1">
      <c r="B109" s="2265"/>
      <c r="C109" s="2265"/>
      <c r="D109" s="2265"/>
      <c r="E109" s="2265"/>
      <c r="F109" s="2265"/>
      <c r="G109" s="2266"/>
      <c r="H109" s="2265"/>
      <c r="I109" s="2266"/>
      <c r="J109" s="2265"/>
      <c r="K109" s="2265"/>
      <c r="L109" s="2266"/>
      <c r="M109" s="2265"/>
      <c r="N109" s="2265"/>
      <c r="O109" s="2266"/>
      <c r="P109" s="2265"/>
      <c r="Q109" s="2265"/>
      <c r="R109" s="2267"/>
    </row>
    <row r="110" spans="2:18" s="2252" customFormat="1">
      <c r="B110" s="2265"/>
      <c r="C110" s="2265"/>
      <c r="D110" s="2265"/>
      <c r="E110" s="2265"/>
      <c r="F110" s="2265"/>
      <c r="G110" s="2266"/>
      <c r="H110" s="2265"/>
      <c r="I110" s="2266"/>
      <c r="J110" s="2265"/>
      <c r="K110" s="2265"/>
      <c r="L110" s="2266"/>
      <c r="M110" s="2265"/>
      <c r="N110" s="2265"/>
      <c r="O110" s="2266"/>
      <c r="P110" s="2265"/>
      <c r="Q110" s="2265"/>
      <c r="R110" s="2267"/>
    </row>
    <row r="111" spans="2:18" s="2252" customFormat="1">
      <c r="B111" s="2265"/>
      <c r="C111" s="2265"/>
      <c r="D111" s="2265"/>
      <c r="E111" s="2265"/>
      <c r="F111" s="2265"/>
      <c r="G111" s="2266"/>
      <c r="H111" s="2265"/>
      <c r="I111" s="2266"/>
      <c r="J111" s="2265"/>
      <c r="K111" s="2265"/>
      <c r="L111" s="2266"/>
      <c r="M111" s="2265"/>
      <c r="N111" s="2265"/>
      <c r="O111" s="2266"/>
      <c r="P111" s="2265"/>
      <c r="Q111" s="2265"/>
      <c r="R111" s="2267"/>
    </row>
    <row r="112" spans="2:18" s="2252" customFormat="1">
      <c r="B112" s="2265"/>
      <c r="C112" s="2265"/>
      <c r="D112" s="2265"/>
      <c r="E112" s="2265"/>
      <c r="F112" s="2265"/>
      <c r="G112" s="2266"/>
      <c r="H112" s="2265"/>
      <c r="I112" s="2266"/>
      <c r="J112" s="2265"/>
      <c r="K112" s="2265"/>
      <c r="L112" s="2266"/>
      <c r="M112" s="2265"/>
      <c r="N112" s="2265"/>
      <c r="O112" s="2266"/>
      <c r="P112" s="2265"/>
      <c r="Q112" s="2265"/>
      <c r="R112" s="2267"/>
    </row>
    <row r="113" spans="2:18" s="2252" customFormat="1">
      <c r="B113" s="2265"/>
      <c r="C113" s="2265"/>
      <c r="D113" s="2265"/>
      <c r="E113" s="2265"/>
      <c r="F113" s="2265"/>
      <c r="G113" s="2266"/>
      <c r="H113" s="2265"/>
      <c r="I113" s="2266"/>
      <c r="J113" s="2265"/>
      <c r="K113" s="2265"/>
      <c r="L113" s="2266"/>
      <c r="M113" s="2265"/>
      <c r="N113" s="2265"/>
      <c r="O113" s="2266"/>
      <c r="P113" s="2265"/>
      <c r="Q113" s="2265"/>
      <c r="R113" s="2267"/>
    </row>
    <row r="114" spans="2:18" s="2252" customFormat="1">
      <c r="B114" s="2265"/>
      <c r="C114" s="2265"/>
      <c r="D114" s="2265"/>
      <c r="E114" s="2265"/>
      <c r="F114" s="2265"/>
      <c r="G114" s="2266"/>
      <c r="H114" s="2265"/>
      <c r="I114" s="2266"/>
      <c r="J114" s="2265"/>
      <c r="K114" s="2265"/>
      <c r="L114" s="2266"/>
      <c r="M114" s="2265"/>
      <c r="N114" s="2265"/>
      <c r="O114" s="2266"/>
      <c r="P114" s="2265"/>
      <c r="Q114" s="2265"/>
      <c r="R114" s="2267"/>
    </row>
    <row r="115" spans="2:18" s="2252" customFormat="1">
      <c r="B115" s="2265"/>
      <c r="C115" s="2265"/>
      <c r="D115" s="2265"/>
      <c r="E115" s="2265"/>
      <c r="F115" s="2265"/>
      <c r="G115" s="2266"/>
      <c r="H115" s="2265"/>
      <c r="I115" s="2266"/>
      <c r="J115" s="2265"/>
      <c r="K115" s="2265"/>
      <c r="L115" s="2266"/>
      <c r="M115" s="2265"/>
      <c r="N115" s="2265"/>
      <c r="O115" s="2266"/>
      <c r="P115" s="2265"/>
      <c r="Q115" s="2265"/>
      <c r="R115" s="2267"/>
    </row>
    <row r="116" spans="2:18" s="2252" customFormat="1">
      <c r="B116" s="2265"/>
      <c r="C116" s="2265"/>
      <c r="D116" s="2265"/>
      <c r="E116" s="2265"/>
      <c r="F116" s="2265"/>
      <c r="G116" s="2266"/>
      <c r="H116" s="2265"/>
      <c r="I116" s="2266"/>
      <c r="J116" s="2265"/>
      <c r="K116" s="2265"/>
      <c r="L116" s="2266"/>
      <c r="M116" s="2265"/>
      <c r="N116" s="2265"/>
      <c r="O116" s="2266"/>
      <c r="P116" s="2265"/>
      <c r="Q116" s="2265"/>
      <c r="R116" s="2267"/>
    </row>
    <row r="117" spans="2:18" s="2252" customFormat="1">
      <c r="B117" s="2265"/>
      <c r="C117" s="2265"/>
      <c r="D117" s="2265"/>
      <c r="E117" s="2265"/>
      <c r="F117" s="2265"/>
      <c r="G117" s="2266"/>
      <c r="H117" s="2265"/>
      <c r="I117" s="2266"/>
      <c r="J117" s="2265"/>
      <c r="K117" s="2265"/>
      <c r="L117" s="2266"/>
      <c r="M117" s="2265"/>
      <c r="N117" s="2265"/>
      <c r="O117" s="2266"/>
      <c r="P117" s="2265"/>
      <c r="Q117" s="2265"/>
      <c r="R117" s="2267"/>
    </row>
    <row r="118" spans="2:18" s="2252" customFormat="1">
      <c r="B118" s="2265"/>
      <c r="C118" s="2265"/>
      <c r="D118" s="2265"/>
      <c r="E118" s="2265"/>
      <c r="F118" s="2265"/>
      <c r="G118" s="2266"/>
      <c r="H118" s="2265"/>
      <c r="I118" s="2266"/>
      <c r="J118" s="2265"/>
      <c r="K118" s="2265"/>
      <c r="L118" s="2266"/>
      <c r="M118" s="2265"/>
      <c r="N118" s="2265"/>
      <c r="O118" s="2266"/>
      <c r="P118" s="2265"/>
      <c r="Q118" s="2265"/>
      <c r="R118" s="2267"/>
    </row>
    <row r="119" spans="2:18" s="2252" customFormat="1">
      <c r="B119" s="2265"/>
      <c r="C119" s="2265"/>
      <c r="D119" s="2265"/>
      <c r="E119" s="2265"/>
      <c r="F119" s="2265"/>
      <c r="G119" s="2266"/>
      <c r="H119" s="2265"/>
      <c r="I119" s="2266"/>
      <c r="J119" s="2265"/>
      <c r="K119" s="2265"/>
      <c r="L119" s="2266"/>
      <c r="M119" s="2265"/>
      <c r="N119" s="2265"/>
      <c r="O119" s="2266"/>
      <c r="P119" s="2265"/>
      <c r="Q119" s="2265"/>
      <c r="R119" s="2267"/>
    </row>
    <row r="120" spans="2:18" s="2252" customFormat="1">
      <c r="B120" s="2265"/>
      <c r="C120" s="2265"/>
      <c r="D120" s="2265"/>
      <c r="E120" s="2265"/>
      <c r="F120" s="2265"/>
      <c r="G120" s="2266"/>
      <c r="H120" s="2265"/>
      <c r="I120" s="2266"/>
      <c r="J120" s="2265"/>
      <c r="K120" s="2265"/>
      <c r="L120" s="2266"/>
      <c r="M120" s="2265"/>
      <c r="N120" s="2265"/>
      <c r="O120" s="2266"/>
      <c r="P120" s="2265"/>
      <c r="Q120" s="2265"/>
      <c r="R120" s="2267"/>
    </row>
    <row r="121" spans="2:18" s="2252" customFormat="1">
      <c r="B121" s="2265"/>
      <c r="C121" s="2265"/>
      <c r="D121" s="2265"/>
      <c r="E121" s="2265"/>
      <c r="F121" s="2265"/>
      <c r="G121" s="2266"/>
      <c r="H121" s="2265"/>
      <c r="I121" s="2266"/>
      <c r="J121" s="2265"/>
      <c r="K121" s="2265"/>
      <c r="L121" s="2266"/>
      <c r="M121" s="2265"/>
      <c r="N121" s="2265"/>
      <c r="O121" s="2266"/>
      <c r="P121" s="2265"/>
      <c r="Q121" s="2265"/>
      <c r="R121" s="2267"/>
    </row>
    <row r="122" spans="2:18" s="2252" customFormat="1">
      <c r="B122" s="2265"/>
      <c r="C122" s="2265"/>
      <c r="D122" s="2265"/>
      <c r="E122" s="2265"/>
      <c r="F122" s="2265"/>
      <c r="G122" s="2266"/>
      <c r="H122" s="2265"/>
      <c r="I122" s="2266"/>
      <c r="J122" s="2265"/>
      <c r="K122" s="2265"/>
      <c r="L122" s="2266"/>
      <c r="M122" s="2265"/>
      <c r="N122" s="2265"/>
      <c r="O122" s="2266"/>
      <c r="P122" s="2265"/>
      <c r="Q122" s="2265"/>
      <c r="R122" s="2267"/>
    </row>
    <row r="123" spans="2:18" s="2252" customFormat="1">
      <c r="B123" s="2265"/>
      <c r="C123" s="2265"/>
      <c r="D123" s="2265"/>
      <c r="E123" s="2265"/>
      <c r="F123" s="2265"/>
      <c r="G123" s="2266"/>
      <c r="H123" s="2265"/>
      <c r="I123" s="2266"/>
      <c r="J123" s="2265"/>
      <c r="K123" s="2265"/>
      <c r="L123" s="2266"/>
      <c r="M123" s="2265"/>
      <c r="N123" s="2265"/>
      <c r="O123" s="2266"/>
      <c r="P123" s="2265"/>
      <c r="Q123" s="2265"/>
      <c r="R123" s="2267"/>
    </row>
    <row r="124" spans="2:18" s="2252" customFormat="1">
      <c r="B124" s="2265"/>
      <c r="C124" s="2265"/>
      <c r="D124" s="2265"/>
      <c r="E124" s="2265"/>
      <c r="F124" s="2265"/>
      <c r="G124" s="2266"/>
      <c r="H124" s="2265"/>
      <c r="I124" s="2266"/>
      <c r="J124" s="2265"/>
      <c r="K124" s="2265"/>
      <c r="L124" s="2266"/>
      <c r="M124" s="2265"/>
      <c r="N124" s="2265"/>
      <c r="O124" s="2266"/>
      <c r="P124" s="2265"/>
      <c r="Q124" s="2265"/>
      <c r="R124" s="2267"/>
    </row>
    <row r="125" spans="2:18" s="2252" customFormat="1">
      <c r="B125" s="2265"/>
      <c r="C125" s="2265"/>
      <c r="D125" s="2265"/>
      <c r="E125" s="2265"/>
      <c r="F125" s="2265"/>
      <c r="G125" s="2266"/>
      <c r="H125" s="2265"/>
      <c r="I125" s="2266"/>
      <c r="J125" s="2265"/>
      <c r="K125" s="2265"/>
      <c r="L125" s="2266"/>
      <c r="M125" s="2265"/>
      <c r="N125" s="2265"/>
      <c r="O125" s="2266"/>
      <c r="P125" s="2265"/>
      <c r="Q125" s="2265"/>
      <c r="R125" s="2267"/>
    </row>
    <row r="126" spans="2:18" s="2252" customFormat="1">
      <c r="B126" s="2265"/>
      <c r="C126" s="2265"/>
      <c r="D126" s="2265"/>
      <c r="E126" s="2265"/>
      <c r="F126" s="2265"/>
      <c r="G126" s="2266"/>
      <c r="H126" s="2265"/>
      <c r="I126" s="2266"/>
      <c r="J126" s="2265"/>
      <c r="K126" s="2265"/>
      <c r="L126" s="2266"/>
      <c r="M126" s="2265"/>
      <c r="N126" s="2265"/>
      <c r="O126" s="2266"/>
      <c r="P126" s="2265"/>
      <c r="Q126" s="2265"/>
      <c r="R126" s="2267"/>
    </row>
    <row r="127" spans="2:18" s="2252" customFormat="1">
      <c r="B127" s="2265"/>
      <c r="C127" s="2265"/>
      <c r="D127" s="2265"/>
      <c r="E127" s="2265"/>
      <c r="F127" s="2265"/>
      <c r="G127" s="2266"/>
      <c r="H127" s="2265"/>
      <c r="I127" s="2266"/>
      <c r="J127" s="2265"/>
      <c r="K127" s="2265"/>
      <c r="L127" s="2266"/>
      <c r="M127" s="2265"/>
      <c r="N127" s="2265"/>
      <c r="O127" s="2266"/>
      <c r="P127" s="2265"/>
      <c r="Q127" s="2265"/>
      <c r="R127" s="2267"/>
    </row>
    <row r="128" spans="2:18" s="2252" customFormat="1">
      <c r="B128" s="2265"/>
      <c r="C128" s="2265"/>
      <c r="D128" s="2265"/>
      <c r="E128" s="2265"/>
      <c r="F128" s="2265"/>
      <c r="G128" s="2266"/>
      <c r="H128" s="2265"/>
      <c r="I128" s="2266"/>
      <c r="J128" s="2265"/>
      <c r="K128" s="2265"/>
      <c r="L128" s="2266"/>
      <c r="M128" s="2265"/>
      <c r="N128" s="2265"/>
      <c r="O128" s="2266"/>
      <c r="P128" s="2265"/>
      <c r="Q128" s="2265"/>
      <c r="R128" s="2267"/>
    </row>
    <row r="129" spans="2:18" s="2252" customFormat="1">
      <c r="B129" s="2265"/>
      <c r="C129" s="2265"/>
      <c r="D129" s="2265"/>
      <c r="E129" s="2265"/>
      <c r="F129" s="2265"/>
      <c r="G129" s="2266"/>
      <c r="H129" s="2265"/>
      <c r="I129" s="2266"/>
      <c r="J129" s="2265"/>
      <c r="K129" s="2265"/>
      <c r="L129" s="2266"/>
      <c r="M129" s="2265"/>
      <c r="N129" s="2265"/>
      <c r="O129" s="2266"/>
      <c r="P129" s="2265"/>
      <c r="Q129" s="2265"/>
      <c r="R129" s="2267"/>
    </row>
    <row r="130" spans="2:18" s="2252" customFormat="1">
      <c r="B130" s="2265"/>
      <c r="C130" s="2265"/>
      <c r="D130" s="2265"/>
      <c r="E130" s="2265"/>
      <c r="F130" s="2265"/>
      <c r="G130" s="2266"/>
      <c r="H130" s="2265"/>
      <c r="I130" s="2266"/>
      <c r="J130" s="2265"/>
      <c r="K130" s="2265"/>
      <c r="L130" s="2266"/>
      <c r="M130" s="2265"/>
      <c r="N130" s="2265"/>
      <c r="O130" s="2266"/>
      <c r="P130" s="2265"/>
      <c r="Q130" s="2265"/>
      <c r="R130" s="2267"/>
    </row>
    <row r="131" spans="2:18" s="2252" customFormat="1">
      <c r="B131" s="2265"/>
      <c r="C131" s="2265"/>
      <c r="D131" s="2265"/>
      <c r="E131" s="2265"/>
      <c r="F131" s="2265"/>
      <c r="G131" s="2266"/>
      <c r="H131" s="2265"/>
      <c r="I131" s="2266"/>
      <c r="J131" s="2265"/>
      <c r="K131" s="2265"/>
      <c r="L131" s="2266"/>
      <c r="M131" s="2265"/>
      <c r="N131" s="2265"/>
      <c r="O131" s="2266"/>
      <c r="P131" s="2265"/>
      <c r="Q131" s="2265"/>
      <c r="R131" s="2267"/>
    </row>
    <row r="132" spans="2:18" s="2252" customFormat="1">
      <c r="B132" s="2265"/>
      <c r="C132" s="2265"/>
      <c r="D132" s="2265"/>
      <c r="E132" s="2265"/>
      <c r="F132" s="2265"/>
      <c r="G132" s="2266"/>
      <c r="H132" s="2265"/>
      <c r="I132" s="2266"/>
      <c r="J132" s="2265"/>
      <c r="K132" s="2265"/>
      <c r="L132" s="2266"/>
      <c r="M132" s="2265"/>
      <c r="N132" s="2265"/>
      <c r="O132" s="2266"/>
      <c r="P132" s="2265"/>
      <c r="Q132" s="2265"/>
      <c r="R132" s="2267"/>
    </row>
    <row r="133" spans="2:18" s="2252" customFormat="1">
      <c r="B133" s="2265"/>
      <c r="C133" s="2265"/>
      <c r="D133" s="2265"/>
      <c r="E133" s="2265"/>
      <c r="F133" s="2265"/>
      <c r="G133" s="2266"/>
      <c r="H133" s="2265"/>
      <c r="I133" s="2266"/>
      <c r="J133" s="2265"/>
      <c r="K133" s="2265"/>
      <c r="L133" s="2266"/>
      <c r="M133" s="2265"/>
      <c r="N133" s="2265"/>
      <c r="O133" s="2266"/>
      <c r="P133" s="2265"/>
      <c r="Q133" s="2265"/>
      <c r="R133" s="2267"/>
    </row>
    <row r="134" spans="2:18" s="2252" customFormat="1">
      <c r="B134" s="2265"/>
      <c r="C134" s="2265"/>
      <c r="D134" s="2265"/>
      <c r="E134" s="2265"/>
      <c r="F134" s="2265"/>
      <c r="G134" s="2266"/>
      <c r="H134" s="2265"/>
      <c r="I134" s="2266"/>
      <c r="J134" s="2265"/>
      <c r="K134" s="2265"/>
      <c r="L134" s="2266"/>
      <c r="M134" s="2265"/>
      <c r="N134" s="2265"/>
      <c r="O134" s="2266"/>
      <c r="P134" s="2265"/>
      <c r="Q134" s="2265"/>
      <c r="R134" s="2267"/>
    </row>
    <row r="135" spans="2:18" s="2252" customFormat="1">
      <c r="B135" s="2265"/>
      <c r="C135" s="2265"/>
      <c r="D135" s="2265"/>
      <c r="E135" s="2265"/>
      <c r="F135" s="2265"/>
      <c r="G135" s="2266"/>
      <c r="H135" s="2265"/>
      <c r="I135" s="2266"/>
      <c r="J135" s="2265"/>
      <c r="K135" s="2265"/>
      <c r="L135" s="2266"/>
      <c r="M135" s="2265"/>
      <c r="N135" s="2265"/>
      <c r="O135" s="2266"/>
      <c r="P135" s="2265"/>
      <c r="Q135" s="2265"/>
      <c r="R135" s="2267"/>
    </row>
    <row r="136" spans="2:18" s="2252" customFormat="1">
      <c r="B136" s="2265"/>
      <c r="C136" s="2265"/>
      <c r="D136" s="2265"/>
      <c r="E136" s="2265"/>
      <c r="F136" s="2265"/>
      <c r="G136" s="2266"/>
      <c r="H136" s="2265"/>
      <c r="I136" s="2266"/>
      <c r="J136" s="2265"/>
      <c r="K136" s="2265"/>
      <c r="L136" s="2266"/>
      <c r="M136" s="2265"/>
      <c r="N136" s="2265"/>
      <c r="O136" s="2266"/>
      <c r="P136" s="2265"/>
      <c r="Q136" s="2265"/>
      <c r="R136" s="2267"/>
    </row>
    <row r="137" spans="2:18" s="2252" customFormat="1">
      <c r="B137" s="2265"/>
      <c r="C137" s="2265"/>
      <c r="D137" s="2265"/>
      <c r="E137" s="2265"/>
      <c r="F137" s="2265"/>
      <c r="G137" s="2266"/>
      <c r="H137" s="2265"/>
      <c r="I137" s="2266"/>
      <c r="J137" s="2265"/>
      <c r="K137" s="2265"/>
      <c r="L137" s="2266"/>
      <c r="M137" s="2265"/>
      <c r="N137" s="2265"/>
      <c r="O137" s="2266"/>
      <c r="P137" s="2265"/>
      <c r="Q137" s="2265"/>
      <c r="R137" s="2267"/>
    </row>
    <row r="138" spans="2:18" s="2252" customFormat="1">
      <c r="B138" s="2265"/>
      <c r="C138" s="2265"/>
      <c r="D138" s="2265"/>
      <c r="E138" s="2265"/>
      <c r="F138" s="2265"/>
      <c r="G138" s="2266"/>
      <c r="H138" s="2265"/>
      <c r="I138" s="2266"/>
      <c r="J138" s="2265"/>
      <c r="K138" s="2265"/>
      <c r="L138" s="2266"/>
      <c r="M138" s="2265"/>
      <c r="N138" s="2265"/>
      <c r="O138" s="2266"/>
      <c r="P138" s="2265"/>
      <c r="Q138" s="2265"/>
      <c r="R138" s="2267"/>
    </row>
    <row r="139" spans="2:18" s="2252" customFormat="1">
      <c r="B139" s="2265"/>
      <c r="C139" s="2265"/>
      <c r="D139" s="2265"/>
      <c r="E139" s="2265"/>
      <c r="F139" s="2265"/>
      <c r="G139" s="2266"/>
      <c r="H139" s="2265"/>
      <c r="I139" s="2266"/>
      <c r="J139" s="2265"/>
      <c r="K139" s="2265"/>
      <c r="L139" s="2266"/>
      <c r="M139" s="2265"/>
      <c r="N139" s="2265"/>
      <c r="O139" s="2266"/>
      <c r="P139" s="2265"/>
      <c r="Q139" s="2265"/>
      <c r="R139" s="2267"/>
    </row>
    <row r="140" spans="2:18" s="2252" customFormat="1">
      <c r="B140" s="2265"/>
      <c r="C140" s="2265"/>
      <c r="D140" s="2265"/>
      <c r="E140" s="2265"/>
      <c r="F140" s="2265"/>
      <c r="G140" s="2266"/>
      <c r="H140" s="2265"/>
      <c r="I140" s="2266"/>
      <c r="J140" s="2265"/>
      <c r="K140" s="2265"/>
      <c r="L140" s="2266"/>
      <c r="M140" s="2265"/>
      <c r="N140" s="2265"/>
      <c r="O140" s="2266"/>
      <c r="P140" s="2265"/>
      <c r="Q140" s="2265"/>
      <c r="R140" s="2267"/>
    </row>
    <row r="141" spans="2:18" s="2252" customFormat="1">
      <c r="B141" s="2265"/>
      <c r="C141" s="2265"/>
      <c r="D141" s="2265"/>
      <c r="E141" s="2265"/>
      <c r="F141" s="2265"/>
      <c r="G141" s="2266"/>
      <c r="H141" s="2265"/>
      <c r="I141" s="2266"/>
      <c r="J141" s="2265"/>
      <c r="K141" s="2265"/>
      <c r="L141" s="2266"/>
      <c r="M141" s="2265"/>
      <c r="N141" s="2265"/>
      <c r="O141" s="2266"/>
      <c r="P141" s="2265"/>
      <c r="Q141" s="2265"/>
      <c r="R141" s="2267"/>
    </row>
    <row r="142" spans="2:18" s="2252" customFormat="1">
      <c r="B142" s="2265"/>
      <c r="C142" s="2265"/>
      <c r="D142" s="2265"/>
      <c r="E142" s="2265"/>
      <c r="F142" s="2265"/>
      <c r="G142" s="2266"/>
      <c r="H142" s="2265"/>
      <c r="I142" s="2266"/>
      <c r="J142" s="2265"/>
      <c r="K142" s="2265"/>
      <c r="L142" s="2266"/>
      <c r="M142" s="2265"/>
      <c r="N142" s="2265"/>
      <c r="O142" s="2266"/>
      <c r="P142" s="2265"/>
      <c r="Q142" s="2265"/>
      <c r="R142" s="2267"/>
    </row>
    <row r="143" spans="2:18" s="2252" customFormat="1">
      <c r="B143" s="2265"/>
      <c r="C143" s="2265"/>
      <c r="D143" s="2265"/>
      <c r="E143" s="2265"/>
      <c r="F143" s="2265"/>
      <c r="G143" s="2266"/>
      <c r="H143" s="2265"/>
      <c r="I143" s="2266"/>
      <c r="J143" s="2265"/>
      <c r="K143" s="2265"/>
      <c r="L143" s="2266"/>
      <c r="M143" s="2265"/>
      <c r="N143" s="2265"/>
      <c r="O143" s="2266"/>
      <c r="P143" s="2265"/>
      <c r="Q143" s="2265"/>
      <c r="R143" s="2267"/>
    </row>
    <row r="144" spans="2:18" s="2252" customFormat="1">
      <c r="B144" s="2265"/>
      <c r="C144" s="2265"/>
      <c r="D144" s="2265"/>
      <c r="E144" s="2265"/>
      <c r="F144" s="2265"/>
      <c r="G144" s="2266"/>
      <c r="H144" s="2265"/>
      <c r="I144" s="2266"/>
      <c r="J144" s="2265"/>
      <c r="K144" s="2265"/>
      <c r="L144" s="2266"/>
      <c r="M144" s="2265"/>
      <c r="N144" s="2265"/>
      <c r="O144" s="2266"/>
      <c r="P144" s="2265"/>
      <c r="Q144" s="2265"/>
      <c r="R144" s="2267"/>
    </row>
    <row r="145" spans="2:18" s="2252" customFormat="1">
      <c r="B145" s="2265"/>
      <c r="C145" s="2265"/>
      <c r="D145" s="2265"/>
      <c r="E145" s="2265"/>
      <c r="F145" s="2265"/>
      <c r="G145" s="2266"/>
      <c r="H145" s="2265"/>
      <c r="I145" s="2266"/>
      <c r="J145" s="2265"/>
      <c r="K145" s="2265"/>
      <c r="L145" s="2266"/>
      <c r="M145" s="2265"/>
      <c r="N145" s="2265"/>
      <c r="O145" s="2266"/>
      <c r="P145" s="2265"/>
      <c r="Q145" s="2265"/>
      <c r="R145" s="2267"/>
    </row>
    <row r="146" spans="2:18" s="2252" customFormat="1">
      <c r="B146" s="2265"/>
      <c r="C146" s="2265"/>
      <c r="D146" s="2265"/>
      <c r="E146" s="2265"/>
      <c r="F146" s="2265"/>
      <c r="G146" s="2266"/>
      <c r="H146" s="2265"/>
      <c r="I146" s="2266"/>
      <c r="J146" s="2265"/>
      <c r="K146" s="2265"/>
      <c r="L146" s="2266"/>
      <c r="M146" s="2265"/>
      <c r="N146" s="2265"/>
      <c r="O146" s="2266"/>
      <c r="P146" s="2265"/>
      <c r="Q146" s="2265"/>
      <c r="R146" s="2267"/>
    </row>
    <row r="147" spans="2:18" s="2252" customFormat="1">
      <c r="B147" s="2265"/>
      <c r="C147" s="2265"/>
      <c r="D147" s="2265"/>
      <c r="E147" s="2265"/>
      <c r="F147" s="2265"/>
      <c r="G147" s="2266"/>
      <c r="H147" s="2265"/>
      <c r="I147" s="2266"/>
      <c r="J147" s="2265"/>
      <c r="K147" s="2265"/>
      <c r="L147" s="2266"/>
      <c r="M147" s="2265"/>
      <c r="N147" s="2265"/>
      <c r="O147" s="2266"/>
      <c r="P147" s="2265"/>
      <c r="Q147" s="2265"/>
      <c r="R147" s="2267"/>
    </row>
    <row r="148" spans="2:18" s="2252" customFormat="1">
      <c r="B148" s="2265"/>
      <c r="C148" s="2265"/>
      <c r="D148" s="2265"/>
      <c r="E148" s="2265"/>
      <c r="F148" s="2265"/>
      <c r="G148" s="2266"/>
      <c r="H148" s="2265"/>
      <c r="I148" s="2266"/>
      <c r="J148" s="2265"/>
      <c r="K148" s="2265"/>
      <c r="L148" s="2266"/>
      <c r="M148" s="2265"/>
      <c r="N148" s="2265"/>
      <c r="O148" s="2266"/>
      <c r="P148" s="2265"/>
      <c r="Q148" s="2265"/>
      <c r="R148" s="2267"/>
    </row>
    <row r="149" spans="2:18" s="2252" customFormat="1">
      <c r="B149" s="2265"/>
      <c r="C149" s="2265"/>
      <c r="D149" s="2265"/>
      <c r="E149" s="2265"/>
      <c r="F149" s="2265"/>
      <c r="G149" s="2266"/>
      <c r="H149" s="2265"/>
      <c r="I149" s="2266"/>
      <c r="J149" s="2265"/>
      <c r="K149" s="2265"/>
      <c r="L149" s="2266"/>
      <c r="M149" s="2265"/>
      <c r="N149" s="2265"/>
      <c r="O149" s="2266"/>
      <c r="P149" s="2265"/>
      <c r="Q149" s="2265"/>
      <c r="R149" s="2267"/>
    </row>
    <row r="150" spans="2:18" s="2252" customFormat="1">
      <c r="B150" s="2265"/>
      <c r="C150" s="2265"/>
      <c r="D150" s="2265"/>
      <c r="E150" s="2265"/>
      <c r="F150" s="2265"/>
      <c r="G150" s="2266"/>
      <c r="H150" s="2265"/>
      <c r="I150" s="2266"/>
      <c r="J150" s="2265"/>
      <c r="K150" s="2265"/>
      <c r="L150" s="2266"/>
      <c r="M150" s="2265"/>
      <c r="N150" s="2265"/>
      <c r="O150" s="2266"/>
      <c r="P150" s="2265"/>
      <c r="Q150" s="2265"/>
      <c r="R150" s="2267"/>
    </row>
    <row r="151" spans="2:18" s="2252" customFormat="1">
      <c r="B151" s="2265"/>
      <c r="C151" s="2265"/>
      <c r="D151" s="2265"/>
      <c r="E151" s="2265"/>
      <c r="F151" s="2265"/>
      <c r="G151" s="2266"/>
      <c r="H151" s="2265"/>
      <c r="I151" s="2266"/>
      <c r="J151" s="2265"/>
      <c r="K151" s="2265"/>
      <c r="L151" s="2266"/>
      <c r="M151" s="2265"/>
      <c r="N151" s="2265"/>
      <c r="O151" s="2266"/>
      <c r="P151" s="2265"/>
      <c r="Q151" s="2265"/>
      <c r="R151" s="2267"/>
    </row>
    <row r="152" spans="2:18" s="2252" customFormat="1">
      <c r="B152" s="2265"/>
      <c r="C152" s="2265"/>
      <c r="D152" s="2265"/>
      <c r="E152" s="2265"/>
      <c r="F152" s="2265"/>
      <c r="G152" s="2266"/>
      <c r="H152" s="2265"/>
      <c r="I152" s="2266"/>
      <c r="J152" s="2265"/>
      <c r="K152" s="2265"/>
      <c r="L152" s="2266"/>
      <c r="M152" s="2265"/>
      <c r="N152" s="2265"/>
      <c r="O152" s="2266"/>
      <c r="P152" s="2265"/>
      <c r="Q152" s="2265"/>
      <c r="R152" s="2267"/>
    </row>
    <row r="153" spans="2:18" s="2252" customFormat="1">
      <c r="B153" s="2265"/>
      <c r="C153" s="2265"/>
      <c r="D153" s="2265"/>
      <c r="E153" s="2265"/>
      <c r="F153" s="2265"/>
      <c r="G153" s="2266"/>
      <c r="H153" s="2265"/>
      <c r="I153" s="2266"/>
      <c r="J153" s="2265"/>
      <c r="K153" s="2265"/>
      <c r="L153" s="2266"/>
      <c r="M153" s="2265"/>
      <c r="N153" s="2265"/>
      <c r="O153" s="2266"/>
      <c r="P153" s="2265"/>
      <c r="Q153" s="2265"/>
      <c r="R153" s="2267"/>
    </row>
    <row r="154" spans="2:18" s="2252" customFormat="1">
      <c r="B154" s="2265"/>
      <c r="C154" s="2265"/>
      <c r="D154" s="2265"/>
      <c r="E154" s="2265"/>
      <c r="F154" s="2265"/>
      <c r="G154" s="2266"/>
      <c r="H154" s="2265"/>
      <c r="I154" s="2266"/>
      <c r="J154" s="2265"/>
      <c r="K154" s="2265"/>
      <c r="L154" s="2266"/>
      <c r="M154" s="2265"/>
      <c r="N154" s="2265"/>
      <c r="O154" s="2266"/>
      <c r="P154" s="2265"/>
      <c r="Q154" s="2265"/>
      <c r="R154" s="2267"/>
    </row>
    <row r="155" spans="2:18" s="2252" customFormat="1">
      <c r="B155" s="2265"/>
      <c r="C155" s="2265"/>
      <c r="D155" s="2265"/>
      <c r="E155" s="2265"/>
      <c r="F155" s="2265"/>
      <c r="G155" s="2266"/>
      <c r="H155" s="2265"/>
      <c r="I155" s="2266"/>
      <c r="J155" s="2265"/>
      <c r="K155" s="2265"/>
      <c r="L155" s="2266"/>
      <c r="M155" s="2265"/>
      <c r="N155" s="2265"/>
      <c r="O155" s="2266"/>
      <c r="P155" s="2265"/>
      <c r="Q155" s="2265"/>
      <c r="R155" s="2267"/>
    </row>
    <row r="156" spans="2:18" s="2252" customFormat="1">
      <c r="B156" s="2265"/>
      <c r="C156" s="2265"/>
      <c r="D156" s="2265"/>
      <c r="E156" s="2265"/>
      <c r="F156" s="2265"/>
      <c r="G156" s="2266"/>
      <c r="H156" s="2265"/>
      <c r="I156" s="2266"/>
      <c r="J156" s="2265"/>
      <c r="K156" s="2265"/>
      <c r="L156" s="2266"/>
      <c r="M156" s="2265"/>
      <c r="N156" s="2265"/>
      <c r="O156" s="2266"/>
      <c r="P156" s="2265"/>
      <c r="Q156" s="2265"/>
      <c r="R156" s="2267"/>
    </row>
    <row r="157" spans="2:18" s="2252" customFormat="1">
      <c r="B157" s="2265"/>
      <c r="C157" s="2265"/>
      <c r="D157" s="2265"/>
      <c r="E157" s="2265"/>
      <c r="F157" s="2265"/>
      <c r="G157" s="2266"/>
      <c r="H157" s="2265"/>
      <c r="I157" s="2266"/>
      <c r="J157" s="2265"/>
      <c r="K157" s="2265"/>
      <c r="L157" s="2266"/>
      <c r="M157" s="2265"/>
      <c r="N157" s="2265"/>
      <c r="O157" s="2266"/>
      <c r="P157" s="2265"/>
      <c r="Q157" s="2265"/>
      <c r="R157" s="2267"/>
    </row>
    <row r="158" spans="2:18" s="2252" customFormat="1">
      <c r="B158" s="2265"/>
      <c r="C158" s="2265"/>
      <c r="D158" s="2265"/>
      <c r="E158" s="2265"/>
      <c r="F158" s="2265"/>
      <c r="G158" s="2266"/>
      <c r="H158" s="2265"/>
      <c r="I158" s="2266"/>
      <c r="J158" s="2265"/>
      <c r="K158" s="2265"/>
      <c r="L158" s="2266"/>
      <c r="M158" s="2265"/>
      <c r="N158" s="2265"/>
      <c r="O158" s="2266"/>
      <c r="P158" s="2265"/>
      <c r="Q158" s="2265"/>
      <c r="R158" s="2267"/>
    </row>
    <row r="159" spans="2:18" s="2252" customFormat="1">
      <c r="B159" s="2265"/>
      <c r="C159" s="2265"/>
      <c r="D159" s="2265"/>
      <c r="E159" s="2265"/>
      <c r="F159" s="2265"/>
      <c r="G159" s="2266"/>
      <c r="H159" s="2265"/>
      <c r="I159" s="2266"/>
      <c r="J159" s="2265"/>
      <c r="K159" s="2265"/>
      <c r="L159" s="2266"/>
      <c r="M159" s="2265"/>
      <c r="N159" s="2265"/>
      <c r="O159" s="2266"/>
      <c r="P159" s="2265"/>
      <c r="Q159" s="2265"/>
      <c r="R159" s="2267"/>
    </row>
    <row r="160" spans="2:18" s="2252" customFormat="1">
      <c r="B160" s="2265"/>
      <c r="C160" s="2265"/>
      <c r="D160" s="2265"/>
      <c r="E160" s="2265"/>
      <c r="F160" s="2265"/>
      <c r="G160" s="2266"/>
      <c r="H160" s="2265"/>
      <c r="I160" s="2266"/>
      <c r="J160" s="2265"/>
      <c r="K160" s="2265"/>
      <c r="L160" s="2266"/>
      <c r="M160" s="2265"/>
      <c r="N160" s="2265"/>
      <c r="O160" s="2266"/>
      <c r="P160" s="2265"/>
      <c r="Q160" s="2265"/>
      <c r="R160" s="2267"/>
    </row>
    <row r="161" spans="2:18" s="2252" customFormat="1">
      <c r="B161" s="2265"/>
      <c r="C161" s="2265"/>
      <c r="D161" s="2265"/>
      <c r="E161" s="2265"/>
      <c r="F161" s="2265"/>
      <c r="G161" s="2266"/>
      <c r="H161" s="2265"/>
      <c r="I161" s="2266"/>
      <c r="J161" s="2265"/>
      <c r="K161" s="2265"/>
      <c r="L161" s="2266"/>
      <c r="M161" s="2265"/>
      <c r="N161" s="2265"/>
      <c r="O161" s="2266"/>
      <c r="P161" s="2265"/>
      <c r="Q161" s="2265"/>
      <c r="R161" s="2267"/>
    </row>
    <row r="162" spans="2:18" s="2252" customFormat="1">
      <c r="B162" s="2265"/>
      <c r="C162" s="2265"/>
      <c r="D162" s="2265"/>
      <c r="E162" s="2265"/>
      <c r="F162" s="2265"/>
      <c r="G162" s="2266"/>
      <c r="H162" s="2265"/>
      <c r="I162" s="2266"/>
      <c r="J162" s="2265"/>
      <c r="K162" s="2265"/>
      <c r="L162" s="2266"/>
      <c r="M162" s="2265"/>
      <c r="N162" s="2265"/>
      <c r="O162" s="2266"/>
      <c r="P162" s="2265"/>
      <c r="Q162" s="2265"/>
      <c r="R162" s="2267"/>
    </row>
    <row r="163" spans="2:18" s="2252" customFormat="1">
      <c r="B163" s="2265"/>
      <c r="C163" s="2265"/>
      <c r="D163" s="2265"/>
      <c r="E163" s="2265"/>
      <c r="F163" s="2265"/>
      <c r="G163" s="2266"/>
      <c r="H163" s="2265"/>
      <c r="I163" s="2266"/>
      <c r="J163" s="2265"/>
      <c r="K163" s="2265"/>
      <c r="L163" s="2266"/>
      <c r="M163" s="2265"/>
      <c r="N163" s="2265"/>
      <c r="O163" s="2266"/>
      <c r="P163" s="2265"/>
      <c r="Q163" s="2265"/>
      <c r="R163" s="2267"/>
    </row>
    <row r="164" spans="2:18" s="2252" customFormat="1">
      <c r="B164" s="2265"/>
      <c r="C164" s="2265"/>
      <c r="D164" s="2265"/>
      <c r="E164" s="2265"/>
      <c r="F164" s="2265"/>
      <c r="G164" s="2266"/>
      <c r="H164" s="2265"/>
      <c r="I164" s="2266"/>
      <c r="J164" s="2265"/>
      <c r="K164" s="2265"/>
      <c r="L164" s="2266"/>
      <c r="M164" s="2265"/>
      <c r="N164" s="2265"/>
      <c r="O164" s="2266"/>
      <c r="P164" s="2265"/>
      <c r="Q164" s="2265"/>
      <c r="R164" s="2267"/>
    </row>
    <row r="165" spans="2:18" s="2252" customFormat="1">
      <c r="B165" s="2265"/>
      <c r="C165" s="2265"/>
      <c r="D165" s="2265"/>
      <c r="E165" s="2265"/>
      <c r="F165" s="2265"/>
      <c r="G165" s="2266"/>
      <c r="H165" s="2265"/>
      <c r="I165" s="2266"/>
      <c r="J165" s="2265"/>
      <c r="K165" s="2265"/>
      <c r="L165" s="2266"/>
      <c r="M165" s="2265"/>
      <c r="N165" s="2265"/>
      <c r="O165" s="2266"/>
      <c r="P165" s="2265"/>
      <c r="Q165" s="2265"/>
      <c r="R165" s="2267"/>
    </row>
    <row r="166" spans="2:18" s="2252" customFormat="1">
      <c r="B166" s="2265"/>
      <c r="C166" s="2265"/>
      <c r="D166" s="2265"/>
      <c r="E166" s="2265"/>
      <c r="F166" s="2265"/>
      <c r="G166" s="2266"/>
      <c r="H166" s="2265"/>
      <c r="I166" s="2266"/>
      <c r="J166" s="2265"/>
      <c r="K166" s="2265"/>
      <c r="L166" s="2266"/>
      <c r="M166" s="2265"/>
      <c r="N166" s="2265"/>
      <c r="O166" s="2266"/>
      <c r="P166" s="2265"/>
      <c r="Q166" s="2265"/>
      <c r="R166" s="2267"/>
    </row>
    <row r="167" spans="2:18" s="2252" customFormat="1">
      <c r="B167" s="2265"/>
      <c r="C167" s="2265"/>
      <c r="D167" s="2265"/>
      <c r="E167" s="2265"/>
      <c r="F167" s="2265"/>
      <c r="G167" s="2266"/>
      <c r="H167" s="2265"/>
      <c r="I167" s="2266"/>
      <c r="J167" s="2265"/>
      <c r="K167" s="2265"/>
      <c r="L167" s="2266"/>
      <c r="M167" s="2265"/>
      <c r="N167" s="2265"/>
      <c r="O167" s="2266"/>
      <c r="P167" s="2265"/>
      <c r="Q167" s="2265"/>
      <c r="R167" s="2267"/>
    </row>
    <row r="168" spans="2:18" s="2252" customFormat="1">
      <c r="B168" s="2265"/>
      <c r="C168" s="2265"/>
      <c r="D168" s="2265"/>
      <c r="E168" s="2265"/>
      <c r="F168" s="2265"/>
      <c r="G168" s="2266"/>
      <c r="H168" s="2265"/>
      <c r="I168" s="2266"/>
      <c r="J168" s="2265"/>
      <c r="K168" s="2265"/>
      <c r="L168" s="2266"/>
      <c r="M168" s="2265"/>
      <c r="N168" s="2265"/>
      <c r="O168" s="2266"/>
      <c r="P168" s="2265"/>
      <c r="Q168" s="2265"/>
      <c r="R168" s="2267"/>
    </row>
    <row r="169" spans="2:18" s="2252" customFormat="1">
      <c r="B169" s="2265"/>
      <c r="C169" s="2265"/>
      <c r="D169" s="2265"/>
      <c r="E169" s="2265"/>
      <c r="F169" s="2265"/>
      <c r="G169" s="2266"/>
      <c r="H169" s="2265"/>
      <c r="I169" s="2266"/>
      <c r="J169" s="2265"/>
      <c r="K169" s="2265"/>
      <c r="L169" s="2266"/>
      <c r="M169" s="2265"/>
      <c r="N169" s="2265"/>
      <c r="O169" s="2266"/>
      <c r="P169" s="2265"/>
      <c r="Q169" s="2265"/>
      <c r="R169" s="2267"/>
    </row>
    <row r="170" spans="2:18" s="2252" customFormat="1">
      <c r="B170" s="2265"/>
      <c r="C170" s="2265"/>
      <c r="D170" s="2265"/>
      <c r="E170" s="2265"/>
      <c r="F170" s="2265"/>
      <c r="G170" s="2266"/>
      <c r="H170" s="2265"/>
      <c r="I170" s="2266"/>
      <c r="J170" s="2265"/>
      <c r="K170" s="2265"/>
      <c r="L170" s="2266"/>
      <c r="M170" s="2265"/>
      <c r="N170" s="2265"/>
      <c r="O170" s="2266"/>
      <c r="P170" s="2265"/>
      <c r="Q170" s="2265"/>
      <c r="R170" s="2267"/>
    </row>
    <row r="171" spans="2:18" s="2252" customFormat="1">
      <c r="B171" s="2265"/>
      <c r="C171" s="2265"/>
      <c r="D171" s="2265"/>
      <c r="E171" s="2265"/>
      <c r="F171" s="2265"/>
      <c r="G171" s="2266"/>
      <c r="H171" s="2265"/>
      <c r="I171" s="2266"/>
      <c r="J171" s="2265"/>
      <c r="K171" s="2265"/>
      <c r="L171" s="2266"/>
      <c r="M171" s="2265"/>
      <c r="N171" s="2265"/>
      <c r="O171" s="2266"/>
      <c r="P171" s="2265"/>
      <c r="Q171" s="2265"/>
      <c r="R171" s="2267"/>
    </row>
    <row r="172" spans="2:18" s="2252" customFormat="1">
      <c r="B172" s="2265"/>
      <c r="C172" s="2265"/>
      <c r="D172" s="2265"/>
      <c r="E172" s="2265"/>
      <c r="F172" s="2265"/>
      <c r="G172" s="2266"/>
      <c r="H172" s="2265"/>
      <c r="I172" s="2266"/>
      <c r="J172" s="2265"/>
      <c r="K172" s="2265"/>
      <c r="L172" s="2266"/>
      <c r="M172" s="2265"/>
      <c r="N172" s="2265"/>
      <c r="O172" s="2266"/>
      <c r="P172" s="2265"/>
      <c r="Q172" s="2265"/>
      <c r="R172" s="2267"/>
    </row>
    <row r="173" spans="2:18" s="2252" customFormat="1">
      <c r="B173" s="2265"/>
      <c r="C173" s="2265"/>
      <c r="D173" s="2265"/>
      <c r="E173" s="2265"/>
      <c r="F173" s="2265"/>
      <c r="G173" s="2266"/>
      <c r="H173" s="2265"/>
      <c r="I173" s="2266"/>
      <c r="J173" s="2265"/>
      <c r="K173" s="2265"/>
      <c r="L173" s="2266"/>
      <c r="M173" s="2265"/>
      <c r="N173" s="2265"/>
      <c r="O173" s="2266"/>
      <c r="P173" s="2265"/>
      <c r="Q173" s="2265"/>
      <c r="R173" s="2267"/>
    </row>
    <row r="174" spans="2:18" s="2252" customFormat="1">
      <c r="B174" s="2265"/>
      <c r="C174" s="2265"/>
      <c r="D174" s="2265"/>
      <c r="E174" s="2265"/>
      <c r="F174" s="2265"/>
      <c r="G174" s="2266"/>
      <c r="H174" s="2265"/>
      <c r="I174" s="2266"/>
      <c r="J174" s="2265"/>
      <c r="K174" s="2265"/>
      <c r="L174" s="2266"/>
      <c r="M174" s="2265"/>
      <c r="N174" s="2265"/>
      <c r="O174" s="2266"/>
      <c r="P174" s="2265"/>
      <c r="Q174" s="2265"/>
      <c r="R174" s="2267"/>
    </row>
    <row r="175" spans="2:18" s="2252" customFormat="1">
      <c r="B175" s="2265"/>
      <c r="C175" s="2265"/>
      <c r="D175" s="2265"/>
      <c r="E175" s="2265"/>
      <c r="F175" s="2265"/>
      <c r="G175" s="2266"/>
      <c r="H175" s="2265"/>
      <c r="I175" s="2266"/>
      <c r="J175" s="2265"/>
      <c r="K175" s="2265"/>
      <c r="L175" s="2266"/>
      <c r="M175" s="2265"/>
      <c r="N175" s="2265"/>
      <c r="O175" s="2266"/>
      <c r="P175" s="2265"/>
      <c r="Q175" s="2265"/>
      <c r="R175" s="2267"/>
    </row>
    <row r="176" spans="2:18" s="2252" customFormat="1">
      <c r="B176" s="2265"/>
      <c r="C176" s="2265"/>
      <c r="D176" s="2265"/>
      <c r="E176" s="2265"/>
      <c r="F176" s="2265"/>
      <c r="G176" s="2266"/>
      <c r="H176" s="2265"/>
      <c r="I176" s="2266"/>
      <c r="J176" s="2265"/>
      <c r="K176" s="2265"/>
      <c r="L176" s="2266"/>
      <c r="M176" s="2265"/>
      <c r="N176" s="2265"/>
      <c r="O176" s="2266"/>
      <c r="P176" s="2265"/>
      <c r="Q176" s="2265"/>
      <c r="R176" s="2267"/>
    </row>
    <row r="177" spans="1:18" s="2252" customFormat="1">
      <c r="B177" s="2265"/>
      <c r="C177" s="2265"/>
      <c r="D177" s="2265"/>
      <c r="E177" s="2265"/>
      <c r="F177" s="2265"/>
      <c r="G177" s="2266"/>
      <c r="H177" s="2265"/>
      <c r="I177" s="2266"/>
      <c r="J177" s="2265"/>
      <c r="K177" s="2265"/>
      <c r="L177" s="2266"/>
      <c r="M177" s="2265"/>
      <c r="N177" s="2265"/>
      <c r="O177" s="2266"/>
      <c r="P177" s="2265"/>
      <c r="Q177" s="2265"/>
      <c r="R177" s="2267"/>
    </row>
    <row r="178" spans="1:18" s="2252" customFormat="1">
      <c r="B178" s="2265"/>
      <c r="C178" s="2265"/>
      <c r="D178" s="2265"/>
      <c r="E178" s="2265"/>
      <c r="F178" s="2265"/>
      <c r="G178" s="2266"/>
      <c r="H178" s="2265"/>
      <c r="I178" s="2266"/>
      <c r="J178" s="2265"/>
      <c r="K178" s="2265"/>
      <c r="L178" s="2266"/>
      <c r="M178" s="2265"/>
      <c r="N178" s="2265"/>
      <c r="O178" s="2266"/>
      <c r="P178" s="2265"/>
      <c r="Q178" s="2265"/>
      <c r="R178" s="2267"/>
    </row>
    <row r="179" spans="1:18" s="2252" customFormat="1">
      <c r="B179" s="2265"/>
      <c r="C179" s="2265"/>
      <c r="D179" s="2265"/>
      <c r="E179" s="2265"/>
      <c r="F179" s="2265"/>
      <c r="G179" s="2266"/>
      <c r="H179" s="2265"/>
      <c r="I179" s="2266"/>
      <c r="J179" s="2265"/>
      <c r="K179" s="2265"/>
      <c r="L179" s="2266"/>
      <c r="M179" s="2265"/>
      <c r="N179" s="2265"/>
      <c r="O179" s="2266"/>
      <c r="P179" s="2265"/>
      <c r="Q179" s="2265"/>
      <c r="R179" s="2267"/>
    </row>
    <row r="180" spans="1:18" s="2252" customFormat="1">
      <c r="B180" s="2265"/>
      <c r="C180" s="2265"/>
      <c r="D180" s="2265"/>
      <c r="E180" s="2265"/>
      <c r="F180" s="2265"/>
      <c r="G180" s="2266"/>
      <c r="H180" s="2265"/>
      <c r="I180" s="2266"/>
      <c r="J180" s="2265"/>
      <c r="K180" s="2265"/>
      <c r="L180" s="2266"/>
      <c r="M180" s="2265"/>
      <c r="N180" s="2265"/>
      <c r="O180" s="2266"/>
      <c r="P180" s="2265"/>
      <c r="Q180" s="2265"/>
      <c r="R180" s="2267"/>
    </row>
    <row r="181" spans="1:18" s="2252" customFormat="1">
      <c r="B181" s="2265"/>
      <c r="C181" s="2265"/>
      <c r="D181" s="2265"/>
      <c r="E181" s="2265"/>
      <c r="F181" s="2265"/>
      <c r="G181" s="2266"/>
      <c r="H181" s="2265"/>
      <c r="I181" s="2266"/>
      <c r="J181" s="2265"/>
      <c r="K181" s="2265"/>
      <c r="L181" s="2266"/>
      <c r="M181" s="2265"/>
      <c r="N181" s="2265"/>
      <c r="O181" s="2266"/>
      <c r="P181" s="2265"/>
      <c r="Q181" s="2265"/>
      <c r="R181" s="2267"/>
    </row>
    <row r="182" spans="1:18" s="2252" customFormat="1">
      <c r="B182" s="2265"/>
      <c r="C182" s="2265"/>
      <c r="D182" s="2265"/>
      <c r="E182" s="2265"/>
      <c r="F182" s="2265"/>
      <c r="G182" s="2266"/>
      <c r="H182" s="2265"/>
      <c r="I182" s="2266"/>
      <c r="J182" s="2265"/>
      <c r="K182" s="2265"/>
      <c r="L182" s="2266"/>
      <c r="M182" s="2265"/>
      <c r="N182" s="2265"/>
      <c r="O182" s="2266"/>
      <c r="P182" s="2265"/>
      <c r="Q182" s="2265"/>
      <c r="R182" s="2267"/>
    </row>
    <row r="183" spans="1:18" s="2252" customFormat="1">
      <c r="B183" s="2265"/>
      <c r="C183" s="2265"/>
      <c r="D183" s="2265"/>
      <c r="E183" s="2265"/>
      <c r="F183" s="2265"/>
      <c r="G183" s="2266"/>
      <c r="H183" s="2265"/>
      <c r="I183" s="2266"/>
      <c r="J183" s="2265"/>
      <c r="K183" s="2265"/>
      <c r="L183" s="2266"/>
      <c r="M183" s="2265"/>
      <c r="N183" s="2265"/>
      <c r="O183" s="2266"/>
      <c r="P183" s="2265"/>
      <c r="Q183" s="2265"/>
      <c r="R183" s="2267"/>
    </row>
    <row r="184" spans="1:18" s="2252" customFormat="1">
      <c r="B184" s="2265"/>
      <c r="C184" s="2265"/>
      <c r="D184" s="2265"/>
      <c r="E184" s="2265"/>
      <c r="F184" s="2265"/>
      <c r="G184" s="2266"/>
      <c r="H184" s="2265"/>
      <c r="I184" s="2266"/>
      <c r="J184" s="2265"/>
      <c r="K184" s="2265"/>
      <c r="L184" s="2266"/>
      <c r="M184" s="2265"/>
      <c r="N184" s="2265"/>
      <c r="O184" s="2266"/>
      <c r="P184" s="2265"/>
      <c r="Q184" s="2265"/>
      <c r="R184" s="2267"/>
    </row>
    <row r="185" spans="1:18" s="2252" customFormat="1">
      <c r="B185" s="2265"/>
      <c r="C185" s="2265"/>
      <c r="D185" s="2265"/>
      <c r="E185" s="2265"/>
      <c r="F185" s="2265"/>
      <c r="G185" s="2266"/>
      <c r="H185" s="2265"/>
      <c r="I185" s="2266"/>
      <c r="J185" s="2265"/>
      <c r="K185" s="2265"/>
      <c r="L185" s="2266"/>
      <c r="M185" s="2265"/>
      <c r="N185" s="2265"/>
      <c r="O185" s="2266"/>
      <c r="P185" s="2265"/>
      <c r="Q185" s="2265"/>
      <c r="R185" s="2267"/>
    </row>
    <row r="186" spans="1:18">
      <c r="A186" s="2252"/>
      <c r="B186" s="2265"/>
      <c r="C186" s="2265"/>
      <c r="E186" s="2265"/>
      <c r="F186" s="2265"/>
      <c r="G186" s="2266"/>
    </row>
    <row r="187" spans="1:18">
      <c r="A187" s="2252"/>
      <c r="B187" s="2265"/>
      <c r="C187" s="2265"/>
      <c r="E187" s="2265"/>
      <c r="F187" s="2265"/>
      <c r="G187" s="2266"/>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J23"/>
  <sheetViews>
    <sheetView workbookViewId="0">
      <selection activeCell="G30" sqref="G30"/>
    </sheetView>
  </sheetViews>
  <sheetFormatPr defaultRowHeight="13.5"/>
  <cols>
    <col min="1" max="1" width="23.375" style="3247" customWidth="1"/>
    <col min="2" max="9" width="15.75" style="3247" customWidth="1"/>
    <col min="10" max="16384" width="9" style="3247"/>
  </cols>
  <sheetData>
    <row r="1" spans="1:10" ht="16.5">
      <c r="A1" s="3252" t="s">
        <v>2988</v>
      </c>
      <c r="B1" s="3252">
        <f>SUM(B14:B23)</f>
        <v>4043.7000000000003</v>
      </c>
      <c r="C1" s="3251"/>
      <c r="D1" s="3251"/>
      <c r="E1" s="3251"/>
      <c r="F1" s="3251"/>
      <c r="G1" s="3249"/>
    </row>
    <row r="2" spans="1:10" ht="16.5">
      <c r="A2" s="3252" t="s">
        <v>2976</v>
      </c>
      <c r="B2" s="3252">
        <f>SUM(C14:C23)</f>
        <v>1218.83</v>
      </c>
      <c r="C2" s="3251"/>
      <c r="D2" s="3251"/>
      <c r="E2" s="3251"/>
      <c r="F2" s="3251"/>
      <c r="G2" s="3249"/>
    </row>
    <row r="3" spans="1:10" ht="16.5">
      <c r="A3" s="3252" t="s">
        <v>2985</v>
      </c>
      <c r="B3" s="3253">
        <f>项目基本情况!D3</f>
        <v>42958</v>
      </c>
      <c r="C3" s="3251"/>
      <c r="D3" s="3251"/>
      <c r="E3" s="3251"/>
      <c r="F3" s="3251"/>
      <c r="G3" s="3249"/>
    </row>
    <row r="4" spans="1:10" ht="33">
      <c r="A4" s="3252" t="s">
        <v>2984</v>
      </c>
      <c r="B4" s="3252" t="s">
        <v>2983</v>
      </c>
      <c r="C4" s="3252" t="s">
        <v>2982</v>
      </c>
      <c r="D4" s="3252" t="s">
        <v>2981</v>
      </c>
      <c r="E4" s="3251"/>
      <c r="F4" s="3249"/>
      <c r="G4" s="3249"/>
    </row>
    <row r="5" spans="1:10" ht="16.5">
      <c r="A5" s="3252" t="s">
        <v>2980</v>
      </c>
      <c r="B5" s="3252">
        <f ca="1">SUM(D14:D23)</f>
        <v>1587</v>
      </c>
      <c r="C5" s="3252">
        <f ca="1">ROUND(B5*10000/$B$1,0)</f>
        <v>3925</v>
      </c>
      <c r="D5" s="3252">
        <f ca="1">ROUND(B5*10000/$B$2,0)</f>
        <v>13021</v>
      </c>
      <c r="E5" s="3251"/>
      <c r="F5" s="3249"/>
      <c r="G5" s="3249"/>
    </row>
    <row r="6" spans="1:10" ht="16.5">
      <c r="A6" s="3252" t="s">
        <v>2979</v>
      </c>
      <c r="B6" s="3252">
        <f ca="1">SUM(G14:G23)</f>
        <v>1587</v>
      </c>
      <c r="C6" s="3252">
        <f ca="1">ROUND(B6*10000/$B$1,0)</f>
        <v>3925</v>
      </c>
      <c r="D6" s="3252">
        <f ca="1">ROUND(B6*10000/$B$2,0)</f>
        <v>13021</v>
      </c>
      <c r="E6" s="3251"/>
      <c r="F6" s="3249"/>
      <c r="G6" s="3249"/>
    </row>
    <row r="7" spans="1:10" ht="16.5">
      <c r="A7" s="3252" t="s">
        <v>2987</v>
      </c>
      <c r="B7" s="3252">
        <f>SUM(H14:H23)</f>
        <v>0</v>
      </c>
      <c r="C7" s="3252">
        <f>ROUND(B7*10000/$B$1,0)</f>
        <v>0</v>
      </c>
      <c r="D7" s="3252">
        <f>ROUND(B7*10000/$B$2,0)</f>
        <v>0</v>
      </c>
      <c r="E7" s="3251"/>
      <c r="F7" s="3249"/>
      <c r="G7" s="3249"/>
    </row>
    <row r="8" spans="1:10" ht="16.5">
      <c r="A8" s="3252" t="s">
        <v>2876</v>
      </c>
      <c r="B8" s="3252">
        <f ca="1">SUM(I14:I23)</f>
        <v>1586</v>
      </c>
      <c r="C8" s="3252">
        <f ca="1">ROUND(B8*10000/$B$1,0)</f>
        <v>3922</v>
      </c>
      <c r="D8" s="3252">
        <f ca="1">ROUND(B8*10000/$B$2,0)</f>
        <v>13012</v>
      </c>
      <c r="E8" s="3251"/>
      <c r="F8" s="3249"/>
      <c r="G8" s="3249"/>
    </row>
    <row r="9" spans="1:10" ht="16.5">
      <c r="A9" s="3252" t="s">
        <v>2978</v>
      </c>
      <c r="B9" s="3254"/>
      <c r="C9" s="3251"/>
      <c r="D9" s="3251"/>
      <c r="E9" s="3251"/>
      <c r="F9" s="3249"/>
      <c r="G9" s="3249"/>
    </row>
    <row r="10" spans="1:10" ht="16.5">
      <c r="A10" s="3252" t="s">
        <v>2977</v>
      </c>
      <c r="B10" s="3254"/>
      <c r="C10" s="3251"/>
      <c r="D10" s="3251"/>
      <c r="E10" s="3251"/>
      <c r="F10" s="3249"/>
      <c r="G10" s="3249"/>
    </row>
    <row r="11" spans="1:10" ht="16.5">
      <c r="A11" s="3252" t="s">
        <v>2993</v>
      </c>
      <c r="B11" s="3254"/>
      <c r="C11" s="3251"/>
      <c r="D11" s="3251"/>
      <c r="E11" s="3251"/>
      <c r="F11" s="3249"/>
      <c r="G11" s="3249"/>
    </row>
    <row r="12" spans="1:10" ht="16.5">
      <c r="A12" s="3251"/>
      <c r="B12" s="3251"/>
      <c r="C12" s="3251"/>
      <c r="D12" s="3251"/>
      <c r="E12" s="3251"/>
      <c r="F12" s="3249"/>
      <c r="G12" s="3249"/>
    </row>
    <row r="13" spans="1:10" ht="33">
      <c r="A13" s="3257" t="s">
        <v>2992</v>
      </c>
      <c r="B13" s="3250" t="s">
        <v>2989</v>
      </c>
      <c r="C13" s="3250" t="s">
        <v>2991</v>
      </c>
      <c r="D13" s="3250" t="s">
        <v>2990</v>
      </c>
      <c r="E13" s="3252" t="s">
        <v>2982</v>
      </c>
      <c r="F13" s="3252" t="s">
        <v>2981</v>
      </c>
      <c r="G13" s="3250" t="s">
        <v>2975</v>
      </c>
      <c r="H13" s="3250" t="s">
        <v>2986</v>
      </c>
      <c r="I13" s="3250" t="s">
        <v>2974</v>
      </c>
      <c r="J13" s="3249"/>
    </row>
    <row r="14" spans="1:10" ht="16.5">
      <c r="A14" s="3248" t="s">
        <v>2973</v>
      </c>
      <c r="B14" s="3250">
        <f>'数据-汇总表'!E3</f>
        <v>4043.7000000000003</v>
      </c>
      <c r="C14" s="3250">
        <f>'数据-汇总表'!D3</f>
        <v>1218.83</v>
      </c>
      <c r="D14" s="3250">
        <f ca="1">结果表!H118</f>
        <v>1587</v>
      </c>
      <c r="E14" s="3250">
        <f ca="1">ROUND(D14*10000/B14,0)</f>
        <v>3925</v>
      </c>
      <c r="F14" s="3250">
        <f ca="1">ROUND(D14*10000/C14,0)</f>
        <v>13021</v>
      </c>
      <c r="G14" s="3250">
        <f ca="1">结果表!D122</f>
        <v>1587</v>
      </c>
      <c r="H14" s="3250" t="str">
        <f>结果表!D124</f>
        <v>——</v>
      </c>
      <c r="I14" s="3250">
        <f ca="1">结果表!D126</f>
        <v>1586</v>
      </c>
      <c r="J14" s="3249"/>
    </row>
    <row r="15" spans="1:10" ht="16.5">
      <c r="A15" s="3248" t="s">
        <v>2972</v>
      </c>
      <c r="B15" s="3255"/>
      <c r="C15" s="3255"/>
      <c r="D15" s="3255"/>
      <c r="E15" s="3250" t="e">
        <f t="shared" ref="E15:E23" si="0">ROUND(D15*10000/B15,0)</f>
        <v>#DIV/0!</v>
      </c>
      <c r="F15" s="3250" t="e">
        <f t="shared" ref="F15:F23" si="1">ROUND(D15*10000/C15,0)</f>
        <v>#DIV/0!</v>
      </c>
      <c r="G15" s="3256"/>
      <c r="H15" s="3256"/>
      <c r="I15" s="3255"/>
      <c r="J15" s="3249"/>
    </row>
    <row r="16" spans="1:10" ht="16.5">
      <c r="A16" s="3248" t="s">
        <v>2971</v>
      </c>
      <c r="B16" s="3255"/>
      <c r="C16" s="3255"/>
      <c r="D16" s="3255"/>
      <c r="E16" s="3250" t="e">
        <f t="shared" si="0"/>
        <v>#DIV/0!</v>
      </c>
      <c r="F16" s="3250" t="e">
        <f t="shared" si="1"/>
        <v>#DIV/0!</v>
      </c>
      <c r="G16" s="3256"/>
      <c r="H16" s="3256"/>
      <c r="I16" s="3255"/>
    </row>
    <row r="17" spans="1:9" ht="16.5">
      <c r="A17" s="3248" t="s">
        <v>2970</v>
      </c>
      <c r="B17" s="3255"/>
      <c r="C17" s="3255"/>
      <c r="D17" s="3255"/>
      <c r="E17" s="3250" t="e">
        <f t="shared" si="0"/>
        <v>#DIV/0!</v>
      </c>
      <c r="F17" s="3250" t="e">
        <f t="shared" si="1"/>
        <v>#DIV/0!</v>
      </c>
      <c r="G17" s="3256"/>
      <c r="H17" s="3256"/>
      <c r="I17" s="3255"/>
    </row>
    <row r="18" spans="1:9" ht="16.5">
      <c r="A18" s="3248" t="s">
        <v>2969</v>
      </c>
      <c r="B18" s="3255"/>
      <c r="C18" s="3255"/>
      <c r="D18" s="3255"/>
      <c r="E18" s="3250" t="e">
        <f t="shared" si="0"/>
        <v>#DIV/0!</v>
      </c>
      <c r="F18" s="3250" t="e">
        <f t="shared" si="1"/>
        <v>#DIV/0!</v>
      </c>
      <c r="G18" s="3255"/>
      <c r="H18" s="3255"/>
      <c r="I18" s="3255"/>
    </row>
    <row r="19" spans="1:9" ht="16.5">
      <c r="A19" s="3248" t="s">
        <v>2968</v>
      </c>
      <c r="B19" s="3255"/>
      <c r="C19" s="3255"/>
      <c r="D19" s="3255"/>
      <c r="E19" s="3250" t="e">
        <f t="shared" si="0"/>
        <v>#DIV/0!</v>
      </c>
      <c r="F19" s="3250" t="e">
        <f t="shared" si="1"/>
        <v>#DIV/0!</v>
      </c>
      <c r="G19" s="3255"/>
      <c r="H19" s="3255"/>
      <c r="I19" s="3255"/>
    </row>
    <row r="20" spans="1:9" ht="16.5">
      <c r="A20" s="3248" t="s">
        <v>2967</v>
      </c>
      <c r="B20" s="3255"/>
      <c r="C20" s="3255"/>
      <c r="D20" s="3255"/>
      <c r="E20" s="3250" t="e">
        <f t="shared" si="0"/>
        <v>#DIV/0!</v>
      </c>
      <c r="F20" s="3250" t="e">
        <f t="shared" si="1"/>
        <v>#DIV/0!</v>
      </c>
      <c r="G20" s="3255"/>
      <c r="H20" s="3255"/>
      <c r="I20" s="3255"/>
    </row>
    <row r="21" spans="1:9" ht="16.5">
      <c r="A21" s="3248" t="s">
        <v>2966</v>
      </c>
      <c r="B21" s="3255"/>
      <c r="C21" s="3255"/>
      <c r="D21" s="3255"/>
      <c r="E21" s="3250" t="e">
        <f t="shared" si="0"/>
        <v>#DIV/0!</v>
      </c>
      <c r="F21" s="3250" t="e">
        <f t="shared" si="1"/>
        <v>#DIV/0!</v>
      </c>
      <c r="G21" s="3255"/>
      <c r="H21" s="3255"/>
      <c r="I21" s="3255"/>
    </row>
    <row r="22" spans="1:9" ht="16.5">
      <c r="A22" s="3248" t="s">
        <v>2965</v>
      </c>
      <c r="B22" s="3255"/>
      <c r="C22" s="3255"/>
      <c r="D22" s="3255"/>
      <c r="E22" s="3250" t="e">
        <f t="shared" si="0"/>
        <v>#DIV/0!</v>
      </c>
      <c r="F22" s="3250" t="e">
        <f t="shared" si="1"/>
        <v>#DIV/0!</v>
      </c>
      <c r="G22" s="3255"/>
      <c r="H22" s="3255"/>
      <c r="I22" s="3255"/>
    </row>
    <row r="23" spans="1:9" ht="16.5">
      <c r="A23" s="3248" t="s">
        <v>2964</v>
      </c>
      <c r="B23" s="3255"/>
      <c r="C23" s="3255"/>
      <c r="D23" s="3255"/>
      <c r="E23" s="3252" t="e">
        <f t="shared" si="0"/>
        <v>#DIV/0!</v>
      </c>
      <c r="F23" s="3252" t="e">
        <f t="shared" si="1"/>
        <v>#DIV/0!</v>
      </c>
      <c r="G23" s="3255"/>
      <c r="H23" s="3255"/>
      <c r="I23" s="3255"/>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codeName="Sheet9">
    <tabColor rgb="FFFF0000"/>
  </sheetPr>
  <dimension ref="A1:AI512"/>
  <sheetViews>
    <sheetView view="pageBreakPreview" topLeftCell="A83" zoomScaleSheetLayoutView="100" zoomScalePageLayoutView="80" workbookViewId="0">
      <selection activeCell="K117" sqref="K117"/>
    </sheetView>
  </sheetViews>
  <sheetFormatPr defaultColWidth="12.625" defaultRowHeight="21.75" customHeight="1"/>
  <cols>
    <col min="1" max="2" width="12.625" style="1243"/>
    <col min="3" max="4" width="12.625" style="1243" customWidth="1"/>
    <col min="5" max="9" width="12.625" style="1243"/>
    <col min="10" max="11" width="12.625" style="1445" customWidth="1"/>
    <col min="12" max="12" width="12.625" style="1445"/>
    <col min="13" max="13" width="14.125" style="1445" bestFit="1" customWidth="1"/>
    <col min="14" max="26" width="12.625" style="1445"/>
    <col min="27" max="35" width="12.625" style="1433"/>
    <col min="36" max="16384" width="12.625" style="1243"/>
  </cols>
  <sheetData>
    <row r="1" spans="1:12" ht="21.75" customHeight="1" thickBot="1">
      <c r="A1" s="17" t="s">
        <v>763</v>
      </c>
      <c r="B1" s="1242"/>
      <c r="C1" s="2094"/>
      <c r="D1" s="1242"/>
      <c r="E1" s="1242"/>
      <c r="F1" s="2078" t="s">
        <v>2113</v>
      </c>
      <c r="G1" s="2051" t="s">
        <v>3083</v>
      </c>
      <c r="H1" s="2107" t="str">
        <f>IF(G1="现房","——","估价对象范围")</f>
        <v>——</v>
      </c>
      <c r="I1" s="2084"/>
    </row>
    <row r="2" spans="1:12" ht="21.75" customHeight="1" thickBot="1">
      <c r="A2" s="3606" t="str">
        <f>项目基本情况!S2</f>
        <v>西安市西安市未央区三桥街办昆明路立交以西房地产</v>
      </c>
      <c r="B2" s="3607"/>
      <c r="C2" s="3607"/>
      <c r="D2" s="3607"/>
      <c r="E2" s="3607"/>
      <c r="F2" s="3607"/>
      <c r="G2" s="3607"/>
      <c r="H2" s="3607"/>
      <c r="I2" s="3608"/>
    </row>
    <row r="3" spans="1:12" ht="12" hidden="1">
      <c r="A3" s="3610" t="s">
        <v>10</v>
      </c>
      <c r="B3" s="3611"/>
      <c r="C3" s="3611"/>
      <c r="D3" s="3611"/>
      <c r="E3" s="3611"/>
      <c r="F3" s="3611"/>
      <c r="G3" s="3611"/>
      <c r="H3" s="3611"/>
      <c r="I3" s="3611"/>
    </row>
    <row r="4" spans="1:12" ht="13.5" hidden="1">
      <c r="A4" s="429" t="s">
        <v>11</v>
      </c>
      <c r="B4" s="430" t="s">
        <v>12</v>
      </c>
      <c r="C4" s="431" t="s">
        <v>3134</v>
      </c>
      <c r="D4" s="431" t="s">
        <v>3274</v>
      </c>
      <c r="E4" s="3615" t="s">
        <v>764</v>
      </c>
      <c r="F4" s="3616"/>
      <c r="G4" s="3616"/>
      <c r="H4" s="3616"/>
      <c r="I4" s="3617"/>
      <c r="K4" s="2180" t="str">
        <f>IF(ISNUMBER(FIND("比较法",结果表!C4)),"比较法",IF(ISNUMBER(FIND("成本法",结果表!C4)),"成本法",IF(ISNUMBER(FIND("假设开发法",结果表!C4)),"假设开发法",IF(ISNUMBER(FIND("收益法",结果表!C4)),"收益法","基准地价系数修正法"))))</f>
        <v>比较法</v>
      </c>
      <c r="L4" s="2180" t="str">
        <f>IF(ISNUMBER(FIND("比较法",结果表!D4)),"比较法",IF(ISNUMBER(FIND("成本法",结果表!D4)),"成本法",IF(ISNUMBER(FIND("假设开发法",结果表!D4)),"假设开发法",IF(ISNUMBER(FIND("收益法",结果表!D4)),"收益法","基准地价系数修正法"))))</f>
        <v>收益法</v>
      </c>
    </row>
    <row r="5" spans="1:12" ht="12.75" hidden="1">
      <c r="A5" s="3581" t="s">
        <v>13</v>
      </c>
      <c r="B5" s="3609">
        <v>25</v>
      </c>
      <c r="C5" s="3612"/>
      <c r="D5" s="3599"/>
      <c r="E5" s="471" t="s">
        <v>808</v>
      </c>
      <c r="F5" s="432"/>
      <c r="G5" s="432"/>
      <c r="H5" s="432"/>
      <c r="I5" s="433"/>
    </row>
    <row r="6" spans="1:12" ht="12.75" hidden="1">
      <c r="A6" s="3581"/>
      <c r="B6" s="3609"/>
      <c r="C6" s="3614"/>
      <c r="D6" s="3599"/>
      <c r="E6" s="471" t="s">
        <v>809</v>
      </c>
      <c r="F6" s="432"/>
      <c r="G6" s="432"/>
      <c r="H6" s="432"/>
      <c r="I6" s="433"/>
    </row>
    <row r="7" spans="1:12" ht="12.75" hidden="1">
      <c r="A7" s="3581"/>
      <c r="B7" s="3609"/>
      <c r="C7" s="3613"/>
      <c r="D7" s="3599"/>
      <c r="E7" s="471" t="s">
        <v>810</v>
      </c>
      <c r="F7" s="432"/>
      <c r="G7" s="432"/>
      <c r="H7" s="432"/>
      <c r="I7" s="433"/>
    </row>
    <row r="8" spans="1:12" ht="12.75" hidden="1">
      <c r="A8" s="3581" t="s">
        <v>14</v>
      </c>
      <c r="B8" s="3609">
        <v>15</v>
      </c>
      <c r="C8" s="3612"/>
      <c r="D8" s="3599"/>
      <c r="E8" s="471" t="s">
        <v>811</v>
      </c>
      <c r="F8" s="432"/>
      <c r="G8" s="432"/>
      <c r="H8" s="432"/>
      <c r="I8" s="433"/>
    </row>
    <row r="9" spans="1:12" ht="12.75" hidden="1">
      <c r="A9" s="3581"/>
      <c r="B9" s="3609"/>
      <c r="C9" s="3613"/>
      <c r="D9" s="3599"/>
      <c r="E9" s="471" t="s">
        <v>812</v>
      </c>
      <c r="F9" s="432"/>
      <c r="G9" s="432"/>
      <c r="H9" s="432"/>
      <c r="I9" s="433"/>
    </row>
    <row r="10" spans="1:12" ht="12.75" hidden="1">
      <c r="A10" s="3581" t="s">
        <v>15</v>
      </c>
      <c r="B10" s="3609">
        <v>15</v>
      </c>
      <c r="C10" s="3612"/>
      <c r="D10" s="3599"/>
      <c r="E10" s="471" t="s">
        <v>813</v>
      </c>
      <c r="F10" s="432"/>
      <c r="G10" s="432"/>
      <c r="H10" s="432"/>
      <c r="I10" s="433"/>
    </row>
    <row r="11" spans="1:12" ht="12.75" hidden="1">
      <c r="A11" s="3581"/>
      <c r="B11" s="3609"/>
      <c r="C11" s="3613"/>
      <c r="D11" s="3599"/>
      <c r="E11" s="471" t="s">
        <v>814</v>
      </c>
      <c r="F11" s="432"/>
      <c r="G11" s="432"/>
      <c r="H11" s="432"/>
      <c r="I11" s="433"/>
    </row>
    <row r="12" spans="1:12" ht="12.75" hidden="1">
      <c r="A12" s="3581" t="s">
        <v>16</v>
      </c>
      <c r="B12" s="3609">
        <v>15</v>
      </c>
      <c r="C12" s="3612"/>
      <c r="D12" s="3599"/>
      <c r="E12" s="471" t="s">
        <v>815</v>
      </c>
      <c r="F12" s="432"/>
      <c r="G12" s="432"/>
      <c r="H12" s="432"/>
      <c r="I12" s="433"/>
    </row>
    <row r="13" spans="1:12" ht="12.75" hidden="1">
      <c r="A13" s="3581"/>
      <c r="B13" s="3609"/>
      <c r="C13" s="3613"/>
      <c r="D13" s="3599"/>
      <c r="E13" s="471" t="s">
        <v>816</v>
      </c>
      <c r="F13" s="432"/>
      <c r="G13" s="432"/>
      <c r="H13" s="432"/>
      <c r="I13" s="433"/>
    </row>
    <row r="14" spans="1:12" ht="12.75" hidden="1">
      <c r="A14" s="3581" t="s">
        <v>17</v>
      </c>
      <c r="B14" s="3609">
        <v>30</v>
      </c>
      <c r="C14" s="3612">
        <v>5</v>
      </c>
      <c r="D14" s="3599">
        <v>5</v>
      </c>
      <c r="E14" s="471" t="s">
        <v>817</v>
      </c>
      <c r="F14" s="432"/>
      <c r="G14" s="432"/>
      <c r="H14" s="432"/>
      <c r="I14" s="433"/>
    </row>
    <row r="15" spans="1:12" ht="12.75" hidden="1">
      <c r="A15" s="3581"/>
      <c r="B15" s="3609"/>
      <c r="C15" s="3614"/>
      <c r="D15" s="3599"/>
      <c r="E15" s="471" t="s">
        <v>818</v>
      </c>
      <c r="F15" s="432"/>
      <c r="G15" s="432"/>
      <c r="H15" s="432"/>
      <c r="I15" s="433"/>
    </row>
    <row r="16" spans="1:12" ht="12.75" hidden="1">
      <c r="A16" s="3581"/>
      <c r="B16" s="3609"/>
      <c r="C16" s="3613"/>
      <c r="D16" s="3599"/>
      <c r="E16" s="471" t="s">
        <v>819</v>
      </c>
      <c r="F16" s="432"/>
      <c r="G16" s="432"/>
      <c r="H16" s="432"/>
      <c r="I16" s="433"/>
    </row>
    <row r="17" spans="1:35" ht="14.25" hidden="1">
      <c r="A17" s="434" t="s">
        <v>18</v>
      </c>
      <c r="B17" s="38"/>
      <c r="C17" s="472">
        <f>SUM(C5:C16)</f>
        <v>5</v>
      </c>
      <c r="D17" s="472">
        <f>SUM(D5:D16)</f>
        <v>5</v>
      </c>
      <c r="E17" s="2273"/>
      <c r="F17" s="2273"/>
      <c r="G17" s="2273"/>
      <c r="H17" s="2273"/>
      <c r="I17" s="2273"/>
      <c r="K17" s="2180"/>
      <c r="L17" s="2181" t="s">
        <v>2321</v>
      </c>
      <c r="M17" s="2181" t="s">
        <v>2322</v>
      </c>
    </row>
    <row r="18" spans="1:35" ht="15" hidden="1" thickBot="1">
      <c r="A18" s="435" t="s">
        <v>19</v>
      </c>
      <c r="B18" s="18"/>
      <c r="C18" s="473">
        <f>ROUND(C17/SUM(C17:D17),2)</f>
        <v>0.5</v>
      </c>
      <c r="D18" s="473">
        <f>1-C18</f>
        <v>0.5</v>
      </c>
      <c r="E18" s="2273"/>
      <c r="F18" s="2273"/>
      <c r="G18" s="2273"/>
      <c r="H18" s="2273"/>
      <c r="I18" s="2273"/>
      <c r="K18" s="2180" t="s">
        <v>2135</v>
      </c>
      <c r="L18" s="2180">
        <f>IF(C1="",'数据-汇总表'!E3,SUMIF(项目类型,C1,'数据-汇总表'!E17:E26)+SUMIF(项目类型,C1,'数据-汇总表'!I17:I26))</f>
        <v>4043.7000000000003</v>
      </c>
      <c r="M18" s="2180">
        <f>IF(C1="",'数据-汇总表'!E3,SUMIF(项目类型,C1,'数据-汇总表'!E17:E26))</f>
        <v>4043.7000000000003</v>
      </c>
    </row>
    <row r="19" spans="1:35" ht="14.25" hidden="1">
      <c r="A19" s="436" t="s">
        <v>180</v>
      </c>
      <c r="B19" s="437" t="s">
        <v>20</v>
      </c>
      <c r="C19" s="474">
        <f ca="1">SUMIF(INDIRECT("'"&amp;C4&amp;"'"&amp;"!A:A"),结果表!B19,INDIRECT("'"&amp;C4&amp;"'"&amp;"!B:B"))</f>
        <v>44</v>
      </c>
      <c r="D19" s="475">
        <f ca="1">SUMIF(INDIRECT("'"&amp;D4&amp;"'"&amp;"!A:A"),结果表!B19,INDIRECT("'"&amp;D4&amp;"'"&amp;"!B:B"))</f>
        <v>45</v>
      </c>
      <c r="E19" s="436" t="s">
        <v>179</v>
      </c>
      <c r="F19" s="437" t="s">
        <v>20</v>
      </c>
      <c r="G19" s="476">
        <f ca="1">ROUND(C19*$C$18+D19*$D$18,0)</f>
        <v>45</v>
      </c>
      <c r="H19" s="438" t="s">
        <v>228</v>
      </c>
      <c r="I19" s="2273"/>
      <c r="K19" s="2180" t="s">
        <v>2136</v>
      </c>
      <c r="L19" s="2180">
        <f>IF(C1="",'数据-汇总表'!D3,SUMIF(项目类型,C1,'数据-汇总表'!D17:D26)+SUMIF(项目类型,C1,'数据-汇总表'!H17:H27))</f>
        <v>1218.83</v>
      </c>
      <c r="M19" s="2180">
        <f>IF(C1="",'数据-汇总表'!D3,SUMIF(项目类型,C1,'数据-汇总表'!D17:D26))</f>
        <v>1218.83</v>
      </c>
    </row>
    <row r="20" spans="1:35" ht="14.25" hidden="1">
      <c r="A20" s="439"/>
      <c r="B20" s="440" t="s">
        <v>21</v>
      </c>
      <c r="C20" s="477">
        <f ca="1">SUMIF(INDIRECT("'"&amp;C4&amp;"'"&amp;"!A:A"),结果表!B20,INDIRECT("'"&amp;C4&amp;"'"&amp;"!B:B"))</f>
        <v>4800</v>
      </c>
      <c r="D20" s="478">
        <f ca="1">SUMIF(INDIRECT("'"&amp;D4&amp;"'"&amp;"!A:A"),结果表!B20,INDIRECT("'"&amp;D4&amp;"'"&amp;"!B:B"))</f>
        <v>4608</v>
      </c>
      <c r="E20" s="439"/>
      <c r="F20" s="440" t="s">
        <v>21</v>
      </c>
      <c r="G20" s="479">
        <f ca="1">ROUND(C20*$C$18+D20*$D$18,0)</f>
        <v>4704</v>
      </c>
      <c r="H20" s="441" t="s">
        <v>227</v>
      </c>
      <c r="I20" s="2273"/>
      <c r="J20" s="1445">
        <f ca="1">'收益法-住宅'!B3-350</f>
        <v>4258</v>
      </c>
    </row>
    <row r="21" spans="1:35" ht="15" hidden="1" customHeight="1" thickBot="1">
      <c r="A21" s="443"/>
      <c r="B21" s="444" t="s">
        <v>22</v>
      </c>
      <c r="C21" s="1421">
        <f ca="1">ROUND(C19*10000/L19,0)</f>
        <v>361</v>
      </c>
      <c r="D21" s="1422">
        <f ca="1">ROUND(D19*10000/L19,0)</f>
        <v>369</v>
      </c>
      <c r="E21" s="443"/>
      <c r="F21" s="444" t="s">
        <v>22</v>
      </c>
      <c r="G21" s="480">
        <f ca="1">ROUND(G19*10000/L19,0)</f>
        <v>369</v>
      </c>
      <c r="H21" s="445" t="s">
        <v>227</v>
      </c>
      <c r="I21" s="2273"/>
      <c r="J21" s="3408">
        <f ca="1">ROUND(C20*0.5+J20*0.5,0)</f>
        <v>4529</v>
      </c>
      <c r="K21" s="3408" t="s">
        <v>3300</v>
      </c>
    </row>
    <row r="22" spans="1:35" ht="15" hidden="1" thickBot="1">
      <c r="A22" s="275" t="s">
        <v>181</v>
      </c>
      <c r="B22" s="1423"/>
      <c r="C22" s="1424"/>
      <c r="D22" s="1425">
        <f ca="1">IF(C19&lt;D19,D19/C19-1,C19/D19-1)</f>
        <v>2.2727272727272707E-2</v>
      </c>
      <c r="E22" s="2273"/>
      <c r="F22" s="2273"/>
      <c r="G22" s="2273"/>
      <c r="H22" s="2273"/>
      <c r="I22" s="2273"/>
      <c r="J22" s="3408">
        <f ca="1">ROUND(J21*'数据-基础表'!I13/10000,0)</f>
        <v>749</v>
      </c>
      <c r="K22" s="3408" t="s">
        <v>3301</v>
      </c>
    </row>
    <row r="23" spans="1:35" ht="12.75" hidden="1" thickBot="1">
      <c r="A23" s="1242"/>
      <c r="B23" s="1242"/>
      <c r="C23" s="1242"/>
      <c r="D23" s="1242"/>
      <c r="E23" s="2273"/>
      <c r="F23" s="2273"/>
      <c r="G23" s="2273"/>
      <c r="H23" s="2273"/>
      <c r="I23" s="2273"/>
    </row>
    <row r="24" spans="1:35" ht="14.25" hidden="1">
      <c r="A24" s="3624" t="s">
        <v>177</v>
      </c>
      <c r="B24" s="437" t="s">
        <v>20</v>
      </c>
      <c r="C24" s="476">
        <f>IF(B30=0,0,D30)</f>
        <v>0</v>
      </c>
      <c r="D24" s="446"/>
      <c r="E24" s="2273"/>
      <c r="F24" s="2273"/>
      <c r="G24" s="2273"/>
      <c r="H24" s="2273"/>
      <c r="I24" s="2273"/>
    </row>
    <row r="25" spans="1:35" ht="14.25" hidden="1">
      <c r="A25" s="3625"/>
      <c r="B25" s="440" t="s">
        <v>21</v>
      </c>
      <c r="C25" s="481">
        <f>IF(B30=0,0,C30)</f>
        <v>0</v>
      </c>
      <c r="D25" s="447"/>
      <c r="E25" s="2273"/>
      <c r="F25" s="2273"/>
      <c r="G25" s="2273"/>
      <c r="H25" s="2273"/>
      <c r="I25" s="2273"/>
    </row>
    <row r="26" spans="1:35" ht="13.5" hidden="1" customHeight="1">
      <c r="A26" s="448" t="s">
        <v>178</v>
      </c>
      <c r="B26" s="449" t="s">
        <v>120</v>
      </c>
      <c r="C26" s="449" t="s">
        <v>121</v>
      </c>
      <c r="D26" s="450" t="s">
        <v>122</v>
      </c>
      <c r="E26" s="2273"/>
      <c r="F26" s="2273"/>
      <c r="G26" s="2273"/>
      <c r="H26" s="2273"/>
      <c r="I26" s="2273"/>
    </row>
    <row r="27" spans="1:35" ht="14.25" hidden="1">
      <c r="A27" s="448"/>
      <c r="B27" s="482">
        <v>0</v>
      </c>
      <c r="C27" s="482">
        <v>0</v>
      </c>
      <c r="D27" s="483">
        <f>ROUND(C27*B27/10000,0)</f>
        <v>0</v>
      </c>
      <c r="E27" s="2273"/>
      <c r="F27" s="2273"/>
      <c r="G27" s="2273"/>
      <c r="H27" s="2273"/>
      <c r="I27" s="2273"/>
    </row>
    <row r="28" spans="1:35" ht="14.25" hidden="1">
      <c r="A28" s="448"/>
      <c r="B28" s="482"/>
      <c r="C28" s="482"/>
      <c r="D28" s="483"/>
      <c r="E28" s="2273"/>
      <c r="F28" s="2273"/>
      <c r="G28" s="2273"/>
      <c r="H28" s="2273"/>
      <c r="I28" s="2273"/>
    </row>
    <row r="29" spans="1:35" ht="14.25" hidden="1">
      <c r="A29" s="448"/>
      <c r="B29" s="482"/>
      <c r="C29" s="482"/>
      <c r="D29" s="483"/>
      <c r="E29" s="2273"/>
      <c r="F29" s="2273"/>
      <c r="G29" s="2273"/>
      <c r="H29" s="2273"/>
      <c r="I29" s="2273"/>
    </row>
    <row r="30" spans="1:35" ht="14.25" hidden="1">
      <c r="A30" s="451" t="s">
        <v>176</v>
      </c>
      <c r="B30" s="484">
        <f>SUM(B27:B29)</f>
        <v>0</v>
      </c>
      <c r="C30" s="484" t="e">
        <f>ROUND(D30*10000/B30,0)</f>
        <v>#DIV/0!</v>
      </c>
      <c r="D30" s="484">
        <f>SUM(D27:D29)</f>
        <v>0</v>
      </c>
      <c r="E30" s="2273"/>
      <c r="F30" s="2273"/>
      <c r="G30" s="2273"/>
      <c r="H30" s="2273"/>
      <c r="I30" s="2273"/>
    </row>
    <row r="31" spans="1:35" s="1244" customFormat="1" ht="14.25" hidden="1" thickBot="1">
      <c r="A31" s="452"/>
      <c r="B31" s="452"/>
      <c r="C31" s="452"/>
      <c r="D31" s="452"/>
      <c r="E31" s="2273"/>
      <c r="F31" s="2273"/>
      <c r="G31" s="2273"/>
      <c r="H31" s="2273"/>
      <c r="I31" s="2273"/>
      <c r="J31" s="1445"/>
      <c r="K31" s="1445"/>
      <c r="L31" s="1445"/>
      <c r="M31" s="1445"/>
      <c r="N31" s="1445"/>
      <c r="O31" s="1445"/>
      <c r="P31" s="1445"/>
      <c r="Q31" s="1445"/>
      <c r="R31" s="1445"/>
      <c r="S31" s="1445"/>
      <c r="T31" s="1445"/>
      <c r="U31" s="1445"/>
      <c r="V31" s="1445"/>
      <c r="W31" s="1445"/>
      <c r="X31" s="1445"/>
      <c r="Y31" s="1445"/>
      <c r="Z31" s="1445"/>
      <c r="AA31" s="1433"/>
      <c r="AB31" s="1433"/>
      <c r="AC31" s="1433"/>
      <c r="AD31" s="1433"/>
      <c r="AE31" s="1433"/>
      <c r="AF31" s="1433"/>
      <c r="AG31" s="1433"/>
      <c r="AH31" s="1433"/>
      <c r="AI31" s="1433"/>
    </row>
    <row r="32" spans="1:35" ht="15" hidden="1" thickBot="1">
      <c r="A32" s="453" t="s">
        <v>175</v>
      </c>
      <c r="B32" s="454"/>
      <c r="C32" s="485">
        <f ca="1">IF(D32="总价",G19-C24,G20-C25)</f>
        <v>45</v>
      </c>
      <c r="D32" s="2088" t="s">
        <v>210</v>
      </c>
      <c r="E32" s="2273"/>
      <c r="F32" s="2273"/>
      <c r="G32" s="2273"/>
      <c r="H32" s="2273"/>
      <c r="I32" s="2273"/>
    </row>
    <row r="33" spans="1:15" ht="13.5" hidden="1">
      <c r="A33" s="457" t="s">
        <v>765</v>
      </c>
      <c r="B33" s="2087"/>
      <c r="C33" s="2870" t="s">
        <v>3290</v>
      </c>
      <c r="D33" s="2873"/>
      <c r="E33" s="2085" t="s">
        <v>2115</v>
      </c>
      <c r="F33" s="2086" t="str">
        <f>IF(D32="楼面单价","取值（单价）","取值（总价）")</f>
        <v>取值（总价）</v>
      </c>
      <c r="G33" s="2273"/>
      <c r="H33" s="2273"/>
      <c r="I33" s="2273"/>
    </row>
    <row r="34" spans="1:15" ht="15" hidden="1">
      <c r="A34" s="458"/>
      <c r="B34" s="459" t="s">
        <v>768</v>
      </c>
      <c r="C34" s="489" t="e">
        <f ca="1">IF(C33="自定义",F34,C32-C35)</f>
        <v>#REF!</v>
      </c>
      <c r="D34" s="2089" t="e">
        <f ca="1">IF(C33="自定义",ROUND(C34/C32,3),IF(C33="收益比率",SUMIF(INDIRECT("'"&amp;D33&amp;"'"&amp;"!b:b"),"土地收益比率",INDIRECT("'"&amp;D33&amp;"'"&amp;"!c:c")),SUMIF(INDIRECT("'"&amp;D33&amp;"'"&amp;"!b:b"),"土地成本比率",INDIRECT("'"&amp;D33&amp;"'"&amp;"!c:c"))))</f>
        <v>#REF!</v>
      </c>
      <c r="E34" s="2871" t="s">
        <v>2116</v>
      </c>
      <c r="F34" s="3245"/>
      <c r="G34" s="2273"/>
      <c r="H34" s="2273"/>
      <c r="I34" s="2273"/>
    </row>
    <row r="35" spans="1:15" ht="15.75" hidden="1" thickBot="1">
      <c r="A35" s="461"/>
      <c r="B35" s="2874" t="s">
        <v>770</v>
      </c>
      <c r="C35" s="2875" t="e">
        <f ca="1">IF(C33="自定义",F35,ROUND(C32*D35,0))</f>
        <v>#REF!</v>
      </c>
      <c r="D35" s="2876" t="e">
        <f ca="1">IF(C33="自定义",ROUND(C35/C32,3),IF(C33="收益比率",SUMIF(INDIRECT("'"&amp;D33&amp;"'"&amp;"!b:b"),"建筑物收益比率",INDIRECT("'"&amp;D33&amp;"'"&amp;"!c:c")),SUMIF(INDIRECT("'"&amp;D33&amp;"'"&amp;"!b:b"),"建筑物成本比率",INDIRECT("'"&amp;D33&amp;"'"&amp;"!c:c"))))</f>
        <v>#REF!</v>
      </c>
      <c r="E35" s="2872" t="s">
        <v>2117</v>
      </c>
      <c r="F35" s="495"/>
      <c r="G35" s="2273"/>
      <c r="H35" s="2273"/>
      <c r="I35" s="2273"/>
    </row>
    <row r="36" spans="1:15" ht="15.75" hidden="1" thickBot="1">
      <c r="A36" s="3600" t="s">
        <v>766</v>
      </c>
      <c r="B36" s="455" t="s">
        <v>767</v>
      </c>
      <c r="C36" s="486"/>
      <c r="D36" s="456"/>
      <c r="E36" s="1245"/>
      <c r="F36" s="2274"/>
      <c r="G36" s="2273"/>
      <c r="H36" s="2273"/>
      <c r="I36" s="2273"/>
    </row>
    <row r="37" spans="1:15" ht="15.75" hidden="1" thickBot="1">
      <c r="A37" s="3601"/>
      <c r="B37" s="13" t="s">
        <v>769</v>
      </c>
      <c r="C37" s="488"/>
      <c r="D37" s="2222"/>
      <c r="E37" s="2222"/>
      <c r="F37" s="2274"/>
      <c r="G37" s="2273"/>
      <c r="H37" s="2273"/>
      <c r="I37" s="2273"/>
    </row>
    <row r="38" spans="1:15" ht="15.75" hidden="1" thickBot="1">
      <c r="A38" s="3602"/>
      <c r="B38" s="460" t="s">
        <v>771</v>
      </c>
      <c r="C38" s="1136"/>
      <c r="D38" s="1246" t="s">
        <v>772</v>
      </c>
      <c r="E38" s="2222"/>
      <c r="F38" s="2274"/>
      <c r="G38" s="2273"/>
      <c r="H38" s="2273"/>
      <c r="I38" s="2273"/>
    </row>
    <row r="39" spans="1:15" ht="13.5" hidden="1">
      <c r="A39" s="439" t="s">
        <v>773</v>
      </c>
      <c r="B39" s="462" t="s">
        <v>774</v>
      </c>
      <c r="C39" s="463" t="s">
        <v>775</v>
      </c>
      <c r="D39" s="463" t="s">
        <v>776</v>
      </c>
      <c r="E39" s="464" t="s">
        <v>777</v>
      </c>
      <c r="F39" s="2274"/>
      <c r="G39" s="2273"/>
      <c r="H39" s="2273"/>
      <c r="I39" s="2273"/>
    </row>
    <row r="40" spans="1:15" ht="13.5" hidden="1">
      <c r="A40" s="1247" t="s">
        <v>778</v>
      </c>
      <c r="B40" s="490"/>
      <c r="C40" s="491"/>
      <c r="D40" s="491"/>
      <c r="E40" s="492"/>
      <c r="F40" s="2274"/>
      <c r="G40" s="2273"/>
      <c r="H40" s="2273"/>
      <c r="I40" s="2273"/>
    </row>
    <row r="41" spans="1:15" ht="13.5" hidden="1">
      <c r="A41" s="1247" t="s">
        <v>779</v>
      </c>
      <c r="B41" s="490"/>
      <c r="C41" s="491"/>
      <c r="D41" s="491"/>
      <c r="E41" s="492"/>
      <c r="F41" s="2274"/>
      <c r="G41" s="2273"/>
      <c r="H41" s="2273"/>
      <c r="I41" s="2273"/>
    </row>
    <row r="42" spans="1:15" ht="14.25" hidden="1" thickBot="1">
      <c r="A42" s="1248"/>
      <c r="B42" s="493"/>
      <c r="C42" s="494"/>
      <c r="D42" s="494"/>
      <c r="E42" s="495"/>
      <c r="F42" s="2274"/>
      <c r="G42" s="2273"/>
      <c r="H42" s="2273"/>
      <c r="I42" s="2273"/>
    </row>
    <row r="43" spans="1:15" ht="12" hidden="1">
      <c r="A43" s="241"/>
      <c r="B43" s="241"/>
      <c r="C43" s="241"/>
      <c r="D43" s="241"/>
      <c r="E43" s="241"/>
      <c r="F43" s="1249"/>
      <c r="G43" s="1249"/>
      <c r="H43" s="1249"/>
      <c r="I43" s="1250"/>
    </row>
    <row r="44" spans="1:15" ht="18.75">
      <c r="A44" s="1251" t="s">
        <v>780</v>
      </c>
      <c r="B44" s="1252"/>
      <c r="C44" s="1252"/>
      <c r="D44" s="1253"/>
      <c r="E44" s="1253"/>
      <c r="F44" s="1254"/>
      <c r="G44" s="1254"/>
      <c r="H44" s="1254"/>
      <c r="I44" s="1254"/>
      <c r="J44" s="3262" t="s">
        <v>214</v>
      </c>
      <c r="K44" s="3263"/>
      <c r="L44" s="3263"/>
      <c r="M44" s="3263"/>
      <c r="N44" s="3263"/>
      <c r="O44" s="3263"/>
    </row>
    <row r="45" spans="1:15" ht="14.25" customHeight="1" thickBot="1">
      <c r="A45" s="3621" t="s">
        <v>800</v>
      </c>
      <c r="B45" s="3622"/>
      <c r="C45" s="3623"/>
      <c r="D45" s="496">
        <f ca="1">ROUND(H101*F45,0)</f>
        <v>1587</v>
      </c>
      <c r="E45" s="497" t="s">
        <v>801</v>
      </c>
      <c r="F45" s="498">
        <v>1</v>
      </c>
      <c r="G45" s="499" t="s">
        <v>802</v>
      </c>
      <c r="H45" s="2273"/>
      <c r="I45" s="2273"/>
      <c r="J45" s="3531" t="s">
        <v>215</v>
      </c>
      <c r="K45" s="3531"/>
      <c r="L45" s="3531"/>
      <c r="M45" s="3531"/>
      <c r="N45" s="3531"/>
      <c r="O45" s="3531"/>
    </row>
    <row r="46" spans="1:15" ht="14.25" customHeight="1">
      <c r="A46" s="3618" t="s">
        <v>287</v>
      </c>
      <c r="B46" s="3619"/>
      <c r="C46" s="3619"/>
      <c r="D46" s="3619"/>
      <c r="E46" s="3619"/>
      <c r="F46" s="3619"/>
      <c r="G46" s="3620"/>
      <c r="H46" s="2275"/>
      <c r="I46" s="2228"/>
      <c r="J46" s="1497">
        <v>1</v>
      </c>
      <c r="K46" s="3531" t="s">
        <v>216</v>
      </c>
      <c r="L46" s="3531"/>
      <c r="M46" s="3532"/>
      <c r="N46" s="3532"/>
      <c r="O46" s="3532"/>
    </row>
    <row r="47" spans="1:15" ht="12" customHeight="1">
      <c r="A47" s="501" t="s">
        <v>288</v>
      </c>
      <c r="B47" s="502"/>
      <c r="C47" s="503"/>
      <c r="D47" s="504" t="s">
        <v>289</v>
      </c>
      <c r="E47" s="313" t="s">
        <v>290</v>
      </c>
      <c r="F47" s="505" t="s">
        <v>803</v>
      </c>
      <c r="G47" s="506" t="s">
        <v>804</v>
      </c>
      <c r="H47" s="2275"/>
      <c r="I47" s="2228"/>
      <c r="J47" s="1497">
        <v>2</v>
      </c>
      <c r="K47" s="3531" t="s">
        <v>217</v>
      </c>
      <c r="L47" s="3531"/>
      <c r="M47" s="3533">
        <f>'数据-取费表'!B2</f>
        <v>42958</v>
      </c>
      <c r="N47" s="3533"/>
      <c r="O47" s="3533"/>
    </row>
    <row r="48" spans="1:15" ht="25.5">
      <c r="A48" s="3604" t="s">
        <v>291</v>
      </c>
      <c r="B48" s="3605"/>
      <c r="C48" s="3605"/>
      <c r="D48" s="471">
        <f>IF(H48="情况1",0,IF(H48="情况2",D52,IF(H48="情况3",D53,IF(H48="情况4",D54))))</f>
        <v>0</v>
      </c>
      <c r="E48" s="1920" t="str">
        <f>IF(H48="情况4","(销售额-原购置价)×税（费）率","销售额×税（费）率")</f>
        <v>销售额×税（费）率</v>
      </c>
      <c r="F48" s="507" t="str">
        <f>IF(H48="情况1","免征",'数据-取费表'!B41)</f>
        <v>免征</v>
      </c>
      <c r="G48" s="465" t="s">
        <v>781</v>
      </c>
      <c r="H48" s="1431" t="s">
        <v>2418</v>
      </c>
      <c r="I48" s="2275"/>
      <c r="J48" s="1497">
        <v>3</v>
      </c>
      <c r="K48" s="3531" t="s">
        <v>782</v>
      </c>
      <c r="L48" s="3531"/>
      <c r="M48" s="3534">
        <f ca="1">H101</f>
        <v>1587</v>
      </c>
      <c r="N48" s="3534"/>
      <c r="O48" s="3534"/>
    </row>
    <row r="49" spans="1:35" ht="25.5" customHeight="1">
      <c r="A49" s="508" t="s">
        <v>805</v>
      </c>
      <c r="B49" s="3584" t="s">
        <v>806</v>
      </c>
      <c r="C49" s="3584"/>
      <c r="D49" s="509">
        <v>0</v>
      </c>
      <c r="E49" s="312" t="s">
        <v>807</v>
      </c>
      <c r="F49" s="317" t="s">
        <v>171</v>
      </c>
      <c r="G49" s="3563"/>
      <c r="H49" s="2273"/>
      <c r="I49" s="2276"/>
      <c r="J49" s="1497">
        <v>4</v>
      </c>
      <c r="K49" s="3531" t="str">
        <f>IF(项目基本情况!E8="房地产抵押价值","房地产抵押价值","抵押担保权已注销时的房地产抵押价值")</f>
        <v>房地产抵押价值</v>
      </c>
      <c r="L49" s="3531"/>
      <c r="M49" s="3534">
        <f ca="1">IF(项目基本情况!E8="房地产抵押价值",H107,H109)</f>
        <v>1587</v>
      </c>
      <c r="N49" s="3534"/>
      <c r="O49" s="3534"/>
    </row>
    <row r="50" spans="1:35" ht="25.5" customHeight="1">
      <c r="A50" s="510"/>
      <c r="B50" s="3584" t="s">
        <v>294</v>
      </c>
      <c r="C50" s="3584"/>
      <c r="D50" s="511"/>
      <c r="E50" s="320"/>
      <c r="F50" s="512"/>
      <c r="G50" s="3564"/>
      <c r="H50" s="2273"/>
      <c r="I50" s="2276"/>
      <c r="J50" s="3531" t="s">
        <v>218</v>
      </c>
      <c r="K50" s="3531"/>
      <c r="L50" s="3531"/>
      <c r="M50" s="3531"/>
      <c r="N50" s="3531"/>
      <c r="O50" s="3531"/>
    </row>
    <row r="51" spans="1:35" ht="12" customHeight="1">
      <c r="A51" s="513"/>
      <c r="B51" s="3584" t="s">
        <v>295</v>
      </c>
      <c r="C51" s="3584"/>
      <c r="D51" s="514"/>
      <c r="E51" s="319"/>
      <c r="F51" s="512"/>
      <c r="G51" s="3565"/>
      <c r="H51" s="2273"/>
      <c r="I51" s="2276"/>
      <c r="J51" s="3264" t="s">
        <v>219</v>
      </c>
      <c r="K51" s="3531" t="s">
        <v>220</v>
      </c>
      <c r="L51" s="3531"/>
      <c r="M51" s="3264" t="s">
        <v>3001</v>
      </c>
      <c r="N51" s="3264" t="s">
        <v>221</v>
      </c>
      <c r="O51" s="3264" t="s">
        <v>222</v>
      </c>
    </row>
    <row r="52" spans="1:35" ht="24" customHeight="1">
      <c r="A52" s="515" t="s">
        <v>296</v>
      </c>
      <c r="B52" s="3584" t="s">
        <v>297</v>
      </c>
      <c r="C52" s="3584"/>
      <c r="D52" s="514">
        <f ca="1">ROUND(D45*'数据-取费表'!B41/(1+'数据-取费表'!C42),0)</f>
        <v>85</v>
      </c>
      <c r="E52" s="299" t="s">
        <v>298</v>
      </c>
      <c r="F52" s="516">
        <f>'数据-取费表'!B41</f>
        <v>5.6000000000000001E-2</v>
      </c>
      <c r="G52" s="466"/>
      <c r="H52" s="2273"/>
      <c r="I52" s="2276"/>
      <c r="J52" s="1497">
        <v>1</v>
      </c>
      <c r="K52" s="3557" t="s">
        <v>783</v>
      </c>
      <c r="L52" s="3557"/>
      <c r="M52" s="3265">
        <f>D48</f>
        <v>0</v>
      </c>
      <c r="N52" s="1496" t="str">
        <f>E48</f>
        <v>销售额×税（费）率</v>
      </c>
      <c r="O52" s="3266" t="str">
        <f>F48</f>
        <v>免征</v>
      </c>
    </row>
    <row r="53" spans="1:35" ht="12" customHeight="1">
      <c r="A53" s="515" t="s">
        <v>299</v>
      </c>
      <c r="B53" s="3585" t="s">
        <v>300</v>
      </c>
      <c r="C53" s="3586"/>
      <c r="D53" s="514">
        <f ca="1">ROUND(D45*'数据-取费表'!B41/(1+'数据-取费表'!C42),0)</f>
        <v>85</v>
      </c>
      <c r="E53" s="299" t="s">
        <v>298</v>
      </c>
      <c r="F53" s="516">
        <f>'数据-取费表'!B41</f>
        <v>5.6000000000000001E-2</v>
      </c>
      <c r="G53" s="466"/>
      <c r="H53" s="2273"/>
      <c r="I53" s="2276"/>
      <c r="J53" s="1497">
        <v>2</v>
      </c>
      <c r="K53" s="3557" t="s">
        <v>784</v>
      </c>
      <c r="L53" s="3557"/>
      <c r="M53" s="3265">
        <f t="shared" ref="M53:O54" ca="1" si="0">D55</f>
        <v>1</v>
      </c>
      <c r="N53" s="1496" t="str">
        <f t="shared" si="0"/>
        <v>销售额×税（费）率</v>
      </c>
      <c r="O53" s="3266">
        <f t="shared" si="0"/>
        <v>5.0000000000000001E-4</v>
      </c>
    </row>
    <row r="54" spans="1:35" ht="12" customHeight="1">
      <c r="A54" s="515" t="s">
        <v>301</v>
      </c>
      <c r="B54" s="3585" t="s">
        <v>302</v>
      </c>
      <c r="C54" s="3586"/>
      <c r="D54" s="514">
        <f ca="1">C68</f>
        <v>85</v>
      </c>
      <c r="E54" s="319" t="s">
        <v>303</v>
      </c>
      <c r="F54" s="516">
        <f>'数据-取费表'!B41</f>
        <v>5.6000000000000001E-2</v>
      </c>
      <c r="G54" s="466"/>
      <c r="H54" s="2277"/>
      <c r="I54" s="2276"/>
      <c r="J54" s="1497">
        <v>3</v>
      </c>
      <c r="K54" s="3557" t="s">
        <v>785</v>
      </c>
      <c r="L54" s="3557"/>
      <c r="M54" s="3265">
        <f t="shared" ca="1" si="0"/>
        <v>0</v>
      </c>
      <c r="N54" s="1496" t="str">
        <f t="shared" si="0"/>
        <v>增值额×税（费）率</v>
      </c>
      <c r="O54" s="3267" t="str">
        <f t="shared" si="0"/>
        <v>——</v>
      </c>
    </row>
    <row r="55" spans="1:35" ht="24" customHeight="1">
      <c r="A55" s="3627" t="s">
        <v>304</v>
      </c>
      <c r="B55" s="3605"/>
      <c r="C55" s="3605"/>
      <c r="D55" s="517">
        <f ca="1">IF(H55="个人住宅",0,ROUND(D45*I55,0))</f>
        <v>1</v>
      </c>
      <c r="E55" s="299" t="s">
        <v>305</v>
      </c>
      <c r="F55" s="516">
        <f>IF(H55="正常",I55,"免征")</f>
        <v>5.0000000000000001E-4</v>
      </c>
      <c r="G55" s="466"/>
      <c r="H55" s="1431" t="s">
        <v>155</v>
      </c>
      <c r="I55" s="518">
        <f>'数据-取费表'!B49</f>
        <v>5.0000000000000001E-4</v>
      </c>
      <c r="J55" s="1497" t="str">
        <f>IF(H59="非个人房产","",4)</f>
        <v/>
      </c>
      <c r="K55" s="3557" t="str">
        <f>IF(H59="非个人房产","——","个人所得税")</f>
        <v>——</v>
      </c>
      <c r="L55" s="3557"/>
      <c r="M55" s="3268" t="str">
        <f>D59</f>
        <v>——</v>
      </c>
      <c r="N55" s="3269" t="str">
        <f>E59</f>
        <v>——</v>
      </c>
      <c r="O55" s="3270" t="str">
        <f>F59</f>
        <v>——</v>
      </c>
    </row>
    <row r="56" spans="1:35" ht="24.75">
      <c r="A56" s="3627" t="s">
        <v>306</v>
      </c>
      <c r="B56" s="3605"/>
      <c r="C56" s="3605"/>
      <c r="D56" s="517">
        <f ca="1">IF(H56="个人住宅",D57,D58)</f>
        <v>0</v>
      </c>
      <c r="E56" s="299" t="s">
        <v>307</v>
      </c>
      <c r="F56" s="516" t="str">
        <f>IF(H56="正常",F58,"免征")</f>
        <v>——</v>
      </c>
      <c r="G56" s="1255" t="s">
        <v>786</v>
      </c>
      <c r="H56" s="1430" t="s">
        <v>155</v>
      </c>
      <c r="I56" s="2278"/>
      <c r="J56" s="1497" t="str">
        <f>IF(项目基本情况!K6="上海银行",IF(J55="",4,J55+1),"")</f>
        <v/>
      </c>
      <c r="K56" s="3537" t="str">
        <f>IF(项目基本情况!K6="上海银行","其他处置费用","")</f>
        <v/>
      </c>
      <c r="L56" s="3538"/>
      <c r="M56" s="3265" t="str">
        <f>IF(项目基本情况!K6="上海银行",M69,"")</f>
        <v/>
      </c>
      <c r="N56" s="3540" t="str">
        <f>IF(项目基本情况!K6="上海银行","包含处置中涉及的律师、诉讼、拍卖、评估等费用","")</f>
        <v/>
      </c>
      <c r="O56" s="3541"/>
    </row>
    <row r="57" spans="1:35" ht="12.75">
      <c r="A57" s="515" t="s">
        <v>292</v>
      </c>
      <c r="B57" s="3590" t="s">
        <v>308</v>
      </c>
      <c r="C57" s="3591"/>
      <c r="D57" s="519">
        <v>0</v>
      </c>
      <c r="E57" s="312" t="s">
        <v>293</v>
      </c>
      <c r="F57" s="487"/>
      <c r="G57" s="466"/>
      <c r="H57" s="2278"/>
      <c r="I57" s="2278"/>
      <c r="J57" s="3569">
        <f>IF(AND(J55="",J56=""),4,IF(项目基本情况!K6="上海银行",结果表!J56+1,结果表!J55+1))</f>
        <v>4</v>
      </c>
      <c r="K57" s="3557" t="s">
        <v>787</v>
      </c>
      <c r="L57" s="3271" t="s">
        <v>223</v>
      </c>
      <c r="M57" s="3272"/>
      <c r="N57" s="3273">
        <f ca="1">SUMIF(M52:M56,"&lt;9e307")</f>
        <v>1</v>
      </c>
      <c r="O57" s="3274"/>
      <c r="P57" s="3261">
        <f ca="1">N57/M49</f>
        <v>6.3011972274732201E-4</v>
      </c>
    </row>
    <row r="58" spans="1:35" ht="24.75">
      <c r="A58" s="515" t="s">
        <v>296</v>
      </c>
      <c r="B58" s="3590" t="s">
        <v>309</v>
      </c>
      <c r="C58" s="3603"/>
      <c r="D58" s="517">
        <f ca="1">IF(H58="转让取得",C81,C97)</f>
        <v>0</v>
      </c>
      <c r="E58" s="299" t="s">
        <v>307</v>
      </c>
      <c r="F58" s="313" t="s">
        <v>171</v>
      </c>
      <c r="G58" s="466"/>
      <c r="H58" s="1430" t="s">
        <v>1138</v>
      </c>
      <c r="I58" s="2278"/>
      <c r="J58" s="3569"/>
      <c r="K58" s="3557"/>
      <c r="L58" s="3271" t="s">
        <v>224</v>
      </c>
      <c r="M58" s="3275"/>
      <c r="N58" s="3276" t="str">
        <f ca="1">NUMBERSTRING(INT(N57*10000),2)&amp;"元整"</f>
        <v>壹万元整</v>
      </c>
      <c r="O58" s="3277"/>
    </row>
    <row r="59" spans="1:35" ht="24.75" thickBot="1">
      <c r="A59" s="3561" t="s">
        <v>310</v>
      </c>
      <c r="B59" s="3562"/>
      <c r="C59" s="3562"/>
      <c r="D59" s="520" t="str">
        <f>IF(H59="非个人房产","——",IF(H59="个人住宅",0,ROUND(D45*I59,0)))</f>
        <v>——</v>
      </c>
      <c r="E59" s="521" t="str">
        <f>IF(H59="非个人房产","——","销售额×税（费）率")</f>
        <v>——</v>
      </c>
      <c r="F59" s="522" t="str">
        <f>IF(H59="非个人房产","——",IF(H59="个人住宅","免征",I59))</f>
        <v>——</v>
      </c>
      <c r="G59" s="1256" t="s">
        <v>170</v>
      </c>
      <c r="H59" s="1430" t="s">
        <v>1137</v>
      </c>
      <c r="I59" s="523">
        <v>0.01</v>
      </c>
      <c r="J59" s="3559">
        <f>J57+1</f>
        <v>5</v>
      </c>
      <c r="K59" s="3557" t="s">
        <v>172</v>
      </c>
      <c r="L59" s="1496" t="s">
        <v>223</v>
      </c>
      <c r="M59" s="3278"/>
      <c r="N59" s="3279">
        <f ca="1">M49-N57</f>
        <v>1586</v>
      </c>
      <c r="O59" s="3280"/>
    </row>
    <row r="60" spans="1:35" ht="12" customHeight="1">
      <c r="A60" s="1257"/>
      <c r="B60" s="1242"/>
      <c r="C60" s="1242"/>
      <c r="D60" s="1242"/>
      <c r="E60" s="229"/>
      <c r="F60" s="2278"/>
      <c r="G60" s="2278"/>
      <c r="H60" s="2279"/>
      <c r="I60" s="2273"/>
      <c r="J60" s="3560"/>
      <c r="K60" s="3557"/>
      <c r="L60" s="3271" t="s">
        <v>224</v>
      </c>
      <c r="M60" s="3275"/>
      <c r="N60" s="3276" t="str">
        <f ca="1">NUMBERSTRING(INT(N59*10000),2)&amp;"元整"</f>
        <v>壹仟伍佰捌拾陆万元整</v>
      </c>
      <c r="O60" s="3277"/>
    </row>
    <row r="61" spans="1:35" ht="13.5" thickBot="1">
      <c r="A61" s="3626" t="s">
        <v>311</v>
      </c>
      <c r="B61" s="3626"/>
      <c r="C61" s="3626"/>
      <c r="D61" s="3626"/>
      <c r="E61" s="3626"/>
      <c r="F61" s="2278"/>
      <c r="G61" s="2278"/>
      <c r="H61" s="2279"/>
      <c r="I61" s="2273"/>
      <c r="J61" s="1497">
        <f>J59+1</f>
        <v>6</v>
      </c>
      <c r="K61" s="3557" t="s">
        <v>225</v>
      </c>
      <c r="L61" s="3557"/>
      <c r="M61" s="3281"/>
      <c r="N61" s="3282">
        <f ca="1">ROUND(N59*10000/'数据-汇总表'!E3,0)</f>
        <v>3922</v>
      </c>
      <c r="O61" s="3283"/>
    </row>
    <row r="62" spans="1:35" ht="12.75">
      <c r="A62" s="3578" t="s">
        <v>312</v>
      </c>
      <c r="B62" s="3579"/>
      <c r="C62" s="1914"/>
      <c r="D62" s="1914" t="s">
        <v>320</v>
      </c>
      <c r="E62" s="524" t="s">
        <v>321</v>
      </c>
      <c r="F62" s="2278"/>
      <c r="G62" s="2278"/>
      <c r="H62" s="2279"/>
      <c r="I62" s="2273"/>
    </row>
    <row r="63" spans="1:35" ht="12.75">
      <c r="A63" s="535" t="s">
        <v>1900</v>
      </c>
      <c r="B63" s="525" t="s">
        <v>313</v>
      </c>
      <c r="C63" s="526">
        <f ca="1">ROUND((C64+C65)/(1+'数据-取费表'!C42),0)</f>
        <v>1511</v>
      </c>
      <c r="D63" s="527"/>
      <c r="E63" s="528"/>
      <c r="F63" s="2278"/>
      <c r="G63" s="2278"/>
      <c r="H63" s="2279"/>
      <c r="I63" s="2273"/>
      <c r="J63" s="3539" t="s">
        <v>2994</v>
      </c>
      <c r="K63" s="3260" t="s">
        <v>2995</v>
      </c>
      <c r="L63" s="3258">
        <f ca="1">IF(M49&gt;10000,M49*0.5%,IF(AND(M49&gt;1000,M49&lt;=10000),M49*1%,IF(AND(M49&gt;100,M49&lt;=1000),M49*3%,IF(AND(M49&gt;10,M49&lt;=100),M49*5%,M49*8%))))</f>
        <v>15.870000000000001</v>
      </c>
      <c r="M63" s="313">
        <f ca="1">ROUND(L63,1)</f>
        <v>15.9</v>
      </c>
      <c r="Z63" s="1433"/>
      <c r="AI63" s="1243"/>
    </row>
    <row r="64" spans="1:35" ht="14.25" customHeight="1">
      <c r="A64" s="529" t="s">
        <v>1895</v>
      </c>
      <c r="B64" s="530" t="s">
        <v>314</v>
      </c>
      <c r="C64" s="531">
        <f ca="1">D45</f>
        <v>1587</v>
      </c>
      <c r="D64" s="532" t="s">
        <v>167</v>
      </c>
      <c r="E64" s="533"/>
      <c r="F64" s="2278"/>
      <c r="G64" s="2278"/>
      <c r="H64" s="2279"/>
      <c r="I64" s="2273"/>
      <c r="J64" s="3539"/>
      <c r="K64" s="3260" t="s">
        <v>2996</v>
      </c>
      <c r="L64" s="3258">
        <f ca="1">IF(M49&gt;2000,M49*0.5%,IF(AND(M49&gt;1000,M49&lt;=2000),M49*0.6%,IF(AND(M49&gt;500,M49&lt;=1000),M49*0.7%,IF(AND(M49&gt;200,M49&lt;=500),M49*0.8%,IF(AND(M49&gt;100,M49&lt;=200),M49*0.9%,IF(AND(M49&gt;50,M49&lt;=100),M49*1%,IF(AND(M49&gt;20,M49&lt;=50),M49*1.5%,IF(AND(M49&gt;10,M49&lt;=20),M49*2%,IF(AND(M49&gt;1,M49&lt;=10),M49*2.5%)))))))))</f>
        <v>9.5220000000000002</v>
      </c>
      <c r="M64" s="313">
        <f ca="1">ROUND(L64,1)</f>
        <v>9.5</v>
      </c>
      <c r="N64" s="469" t="s">
        <v>3002</v>
      </c>
      <c r="Z64" s="1433"/>
      <c r="AI64" s="1243"/>
    </row>
    <row r="65" spans="1:35" ht="14.25" customHeight="1">
      <c r="A65" s="529" t="s">
        <v>1896</v>
      </c>
      <c r="B65" s="530" t="s">
        <v>315</v>
      </c>
      <c r="C65" s="534"/>
      <c r="D65" s="532"/>
      <c r="E65" s="533"/>
      <c r="F65" s="2278"/>
      <c r="G65" s="2278"/>
      <c r="H65" s="2279"/>
      <c r="I65" s="2273"/>
      <c r="J65" s="3539"/>
      <c r="K65" s="3260" t="s">
        <v>2997</v>
      </c>
      <c r="L65" s="3258">
        <f ca="1">IF(M49&gt;1000,M49*0.1%,IF(AND(M49&gt;500,M49&lt;=1000),M49*0.5%,IF(AND(M49&gt;50,M49&lt;=500),M49*1%,IF(AND(M49&gt;1,M49&lt;=50),M49*1.5%))))</f>
        <v>1.587</v>
      </c>
      <c r="M65" s="313">
        <f ca="1">ROUND(L65,1)</f>
        <v>1.6</v>
      </c>
      <c r="N65" s="469" t="s">
        <v>3003</v>
      </c>
      <c r="Z65" s="1433"/>
      <c r="AI65" s="1243"/>
    </row>
    <row r="66" spans="1:35" ht="14.25" customHeight="1">
      <c r="A66" s="535" t="s">
        <v>1897</v>
      </c>
      <c r="B66" s="536" t="s">
        <v>316</v>
      </c>
      <c r="C66" s="537"/>
      <c r="D66" s="538" t="s">
        <v>167</v>
      </c>
      <c r="E66" s="3312" t="s">
        <v>3035</v>
      </c>
      <c r="F66" s="2278"/>
      <c r="G66" s="2278"/>
      <c r="H66" s="2279"/>
      <c r="I66" s="2273"/>
      <c r="J66" s="3539"/>
      <c r="K66" s="3260" t="s">
        <v>2998</v>
      </c>
      <c r="L66" s="3258">
        <f ca="1">M49*0.5%</f>
        <v>7.9350000000000005</v>
      </c>
      <c r="M66" s="313">
        <f ca="1">IF(L66&gt;0.5,0.5,ROUND(L66,0))</f>
        <v>0.5</v>
      </c>
      <c r="N66" s="469" t="s">
        <v>3004</v>
      </c>
      <c r="Z66" s="1433"/>
      <c r="AI66" s="1243"/>
    </row>
    <row r="67" spans="1:35" ht="14.25" customHeight="1">
      <c r="A67" s="535" t="s">
        <v>1898</v>
      </c>
      <c r="B67" s="536" t="s">
        <v>317</v>
      </c>
      <c r="C67" s="539">
        <f ca="1">C63-C66</f>
        <v>1511</v>
      </c>
      <c r="D67" s="532" t="s">
        <v>167</v>
      </c>
      <c r="E67" s="533"/>
      <c r="F67" s="2278"/>
      <c r="G67" s="2278"/>
      <c r="H67" s="2279"/>
      <c r="I67" s="2273"/>
      <c r="J67" s="3539"/>
      <c r="K67" s="3260" t="s">
        <v>2999</v>
      </c>
      <c r="L67" s="3258">
        <f ca="1">IF(M49&gt;=10000,(8.25+(M49-10000)*0.01%),IF(AND(M49&gt;=8000,M49&lt;10000),(7.85+(M49-8000)*0.02%),IF(AND(M49&gt;=5000,M49&lt;8000),(6.65+(M49-5000)*0.04%),IF(AND(M49&gt;=2000,M49&lt;5000),(4.25+(PM49-2000)*0.08%),IF(AND(M49&gt;=1000,M49&lt;2000),(2.75+(M49-1000)*0.15%),IF(AND(M49&gt;=100,M49&lt;1000),(0.5+(M49-100)*0.25%),IF(AND(M49&gt;0,M49&lt;100),M49*0.5%)))))))</f>
        <v>3.6305000000000001</v>
      </c>
      <c r="M67" s="313">
        <f ca="1">ROUND(L67*0.9,1)</f>
        <v>3.3</v>
      </c>
      <c r="Z67" s="1433"/>
      <c r="AI67" s="1243"/>
    </row>
    <row r="68" spans="1:35" ht="14.25" customHeight="1" thickBot="1">
      <c r="A68" s="540" t="s">
        <v>1899</v>
      </c>
      <c r="B68" s="541" t="s">
        <v>318</v>
      </c>
      <c r="C68" s="542">
        <f ca="1">IF(C67&lt;=0,0,ROUND(C67*D68,0))</f>
        <v>85</v>
      </c>
      <c r="D68" s="543">
        <f>'数据-取费表'!B41</f>
        <v>5.6000000000000001E-2</v>
      </c>
      <c r="E68" s="544"/>
      <c r="F68" s="2278"/>
      <c r="G68" s="2278"/>
      <c r="H68" s="2279"/>
      <c r="I68" s="2273"/>
      <c r="J68" s="3539"/>
      <c r="K68" s="3260" t="s">
        <v>3000</v>
      </c>
      <c r="L68" s="3258">
        <f ca="1">IF(M49&gt;10000,M49*0.5%,IF(AND(M49&gt;5000,M49&lt;=10000),M49*1%,IF(AND(M49&gt;1000,M49&lt;=5000),M49*2%,IF(AND(M49&gt;200,M49&lt;=1000),M49*3%,M49*5%))))</f>
        <v>31.740000000000002</v>
      </c>
      <c r="M68" s="313">
        <f ca="1">ROUND(L68,1)</f>
        <v>31.7</v>
      </c>
      <c r="Z68" s="1433"/>
      <c r="AI68" s="1243"/>
    </row>
    <row r="69" spans="1:35" s="1244" customFormat="1" ht="16.5" customHeight="1">
      <c r="A69" s="1258"/>
      <c r="B69" s="1259"/>
      <c r="C69" s="1260"/>
      <c r="D69" s="1261"/>
      <c r="E69" s="1262"/>
      <c r="F69" s="229"/>
      <c r="G69" s="229"/>
      <c r="H69" s="241"/>
      <c r="I69" s="1242"/>
      <c r="J69" s="3539"/>
      <c r="K69" s="3260" t="s">
        <v>187</v>
      </c>
      <c r="L69" s="3259"/>
      <c r="M69" s="313">
        <f ca="1">ROUND(SUM(M63:M68),0)</f>
        <v>63</v>
      </c>
      <c r="N69" s="3261">
        <f ca="1">M69/M49</f>
        <v>3.9697542533081283E-2</v>
      </c>
      <c r="O69" s="1445"/>
      <c r="P69" s="1445"/>
      <c r="Q69" s="1445"/>
      <c r="R69" s="1445"/>
      <c r="S69" s="1445"/>
      <c r="T69" s="1445"/>
      <c r="U69" s="1445"/>
      <c r="V69" s="1445"/>
      <c r="W69" s="1445"/>
      <c r="X69" s="1445"/>
      <c r="Y69" s="1445"/>
      <c r="Z69" s="1433"/>
      <c r="AA69" s="1433"/>
      <c r="AB69" s="1433"/>
      <c r="AC69" s="1433"/>
      <c r="AD69" s="1433"/>
      <c r="AE69" s="1433"/>
      <c r="AF69" s="1433"/>
      <c r="AG69" s="1433"/>
      <c r="AH69" s="1433"/>
    </row>
    <row r="70" spans="1:35" s="1264" customFormat="1" ht="14.25" thickBot="1">
      <c r="A70" s="3588" t="s">
        <v>319</v>
      </c>
      <c r="B70" s="3589"/>
      <c r="C70" s="3589"/>
      <c r="D70" s="3589"/>
      <c r="E70" s="3589"/>
      <c r="F70" s="3589"/>
      <c r="G70" s="3589"/>
      <c r="H70" s="3589"/>
      <c r="I70" s="1263"/>
      <c r="N70" s="2131"/>
      <c r="O70" s="2131"/>
      <c r="P70" s="2131"/>
      <c r="Q70" s="2131"/>
      <c r="R70" s="2131"/>
      <c r="S70" s="2131"/>
      <c r="T70" s="2131"/>
      <c r="U70" s="2131"/>
      <c r="V70" s="2131"/>
      <c r="W70" s="2131"/>
      <c r="X70" s="2131"/>
      <c r="Y70" s="2131"/>
      <c r="Z70" s="2131"/>
      <c r="AA70" s="1434"/>
      <c r="AB70" s="1434"/>
      <c r="AC70" s="1434"/>
      <c r="AD70" s="1434"/>
      <c r="AE70" s="1434"/>
      <c r="AF70" s="1434"/>
      <c r="AG70" s="1434"/>
      <c r="AH70" s="1434"/>
      <c r="AI70" s="1434"/>
    </row>
    <row r="71" spans="1:35" s="1264" customFormat="1" ht="14.25">
      <c r="A71" s="3578" t="s">
        <v>312</v>
      </c>
      <c r="B71" s="3579"/>
      <c r="C71" s="1914"/>
      <c r="D71" s="1914" t="s">
        <v>320</v>
      </c>
      <c r="E71" s="545" t="s">
        <v>321</v>
      </c>
      <c r="F71" s="546"/>
      <c r="G71" s="546"/>
      <c r="H71" s="547"/>
      <c r="I71" s="2280"/>
      <c r="N71" s="2131"/>
      <c r="O71" s="2131"/>
      <c r="P71" s="2131"/>
      <c r="Q71" s="2131"/>
      <c r="R71" s="2131"/>
      <c r="S71" s="2131"/>
      <c r="T71" s="2131"/>
      <c r="U71" s="2131"/>
      <c r="V71" s="2131"/>
      <c r="W71" s="2131"/>
      <c r="X71" s="2131"/>
      <c r="Y71" s="2131"/>
      <c r="Z71" s="2131"/>
      <c r="AA71" s="1434"/>
      <c r="AB71" s="1434"/>
      <c r="AC71" s="1434"/>
      <c r="AD71" s="1434"/>
      <c r="AE71" s="1434"/>
      <c r="AF71" s="1434"/>
      <c r="AG71" s="1434"/>
      <c r="AH71" s="1434"/>
      <c r="AI71" s="1434"/>
    </row>
    <row r="72" spans="1:35" s="1264" customFormat="1" ht="14.25">
      <c r="A72" s="535" t="s">
        <v>1900</v>
      </c>
      <c r="B72" s="536" t="s">
        <v>322</v>
      </c>
      <c r="C72" s="539">
        <f ca="1">ROUND(D45/(1+'数据-取费表'!C42),0)</f>
        <v>1511</v>
      </c>
      <c r="D72" s="532" t="s">
        <v>167</v>
      </c>
      <c r="E72" s="1917"/>
      <c r="F72" s="1918"/>
      <c r="G72" s="1918"/>
      <c r="H72" s="548"/>
      <c r="I72" s="2280"/>
      <c r="N72" s="2131"/>
      <c r="O72" s="2131"/>
      <c r="P72" s="2131"/>
      <c r="Q72" s="2131"/>
      <c r="R72" s="2131"/>
      <c r="S72" s="2131"/>
      <c r="T72" s="2131"/>
      <c r="U72" s="2131"/>
      <c r="V72" s="2131"/>
      <c r="W72" s="2131"/>
      <c r="X72" s="2131"/>
      <c r="Y72" s="2131"/>
      <c r="Z72" s="2131"/>
      <c r="AA72" s="1434"/>
      <c r="AB72" s="1434"/>
      <c r="AC72" s="1434"/>
      <c r="AD72" s="1434"/>
      <c r="AE72" s="1434"/>
      <c r="AF72" s="1434"/>
      <c r="AG72" s="1434"/>
      <c r="AH72" s="1434"/>
      <c r="AI72" s="1434"/>
    </row>
    <row r="73" spans="1:35" s="1264" customFormat="1" ht="14.25">
      <c r="A73" s="535" t="s">
        <v>1897</v>
      </c>
      <c r="B73" s="505" t="s">
        <v>323</v>
      </c>
      <c r="C73" s="539">
        <f ca="1">C74+C78</f>
        <v>9</v>
      </c>
      <c r="D73" s="532" t="s">
        <v>167</v>
      </c>
      <c r="E73" s="1917"/>
      <c r="F73" s="1918"/>
      <c r="G73" s="1918"/>
      <c r="H73" s="548"/>
      <c r="I73" s="2280"/>
      <c r="J73" s="2131"/>
      <c r="K73" s="2131"/>
      <c r="L73" s="2131"/>
      <c r="M73" s="2131"/>
      <c r="N73" s="2131"/>
      <c r="O73" s="2131"/>
      <c r="P73" s="2131"/>
      <c r="Q73" s="2131"/>
      <c r="R73" s="2131"/>
      <c r="S73" s="2131"/>
      <c r="T73" s="2131"/>
      <c r="U73" s="2131"/>
      <c r="V73" s="2131"/>
      <c r="W73" s="2131"/>
      <c r="X73" s="2131"/>
      <c r="Y73" s="2131"/>
      <c r="Z73" s="2131"/>
      <c r="AA73" s="1434"/>
      <c r="AB73" s="1434"/>
      <c r="AC73" s="1434"/>
      <c r="AD73" s="1434"/>
      <c r="AE73" s="1434"/>
      <c r="AF73" s="1434"/>
      <c r="AG73" s="1434"/>
      <c r="AH73" s="1434"/>
      <c r="AI73" s="1434"/>
    </row>
    <row r="74" spans="1:35" s="1264" customFormat="1" ht="24">
      <c r="A74" s="549" t="s">
        <v>1901</v>
      </c>
      <c r="B74" s="530" t="s">
        <v>324</v>
      </c>
      <c r="C74" s="532">
        <f>ROUND(IF(G77="2016年5月1日后购买",C75/(1+'数据-取费表'!C42)+C76+C77,C75+C76+C77),0)</f>
        <v>0</v>
      </c>
      <c r="D74" s="532" t="s">
        <v>167</v>
      </c>
      <c r="E74" s="1917"/>
      <c r="F74" s="1918"/>
      <c r="G74" s="1918"/>
      <c r="H74" s="548"/>
      <c r="I74" s="2280"/>
      <c r="J74" s="2131"/>
      <c r="K74" s="2131"/>
      <c r="L74" s="2131"/>
      <c r="M74" s="2131"/>
      <c r="N74" s="2131"/>
      <c r="O74" s="2131"/>
      <c r="P74" s="2131"/>
      <c r="Q74" s="2131"/>
      <c r="R74" s="2131"/>
      <c r="S74" s="2131"/>
      <c r="T74" s="2131"/>
      <c r="U74" s="2131"/>
      <c r="V74" s="2131"/>
      <c r="W74" s="2131"/>
      <c r="X74" s="2131"/>
      <c r="Y74" s="2131"/>
      <c r="Z74" s="2131"/>
      <c r="AA74" s="1434"/>
      <c r="AB74" s="1434"/>
      <c r="AC74" s="1434"/>
      <c r="AD74" s="1434"/>
      <c r="AE74" s="1434"/>
      <c r="AF74" s="1434"/>
      <c r="AG74" s="1434"/>
      <c r="AH74" s="1434"/>
      <c r="AI74" s="1434"/>
    </row>
    <row r="75" spans="1:35" s="1264" customFormat="1" ht="13.5">
      <c r="A75" s="549" t="s">
        <v>1902</v>
      </c>
      <c r="B75" s="530" t="s">
        <v>325</v>
      </c>
      <c r="C75" s="550"/>
      <c r="D75" s="532" t="s">
        <v>167</v>
      </c>
      <c r="E75" s="551" t="s">
        <v>326</v>
      </c>
      <c r="F75" s="1426" t="s">
        <v>2419</v>
      </c>
      <c r="G75" s="551" t="s">
        <v>797</v>
      </c>
      <c r="H75" s="552"/>
      <c r="I75" s="2281"/>
      <c r="J75" s="2131"/>
      <c r="K75" s="2131"/>
      <c r="L75" s="2131"/>
      <c r="M75" s="2131"/>
      <c r="N75" s="2131"/>
      <c r="O75" s="2131"/>
      <c r="P75" s="2131"/>
      <c r="Q75" s="2131"/>
      <c r="R75" s="2131"/>
      <c r="S75" s="2131"/>
      <c r="T75" s="2131"/>
      <c r="U75" s="2131"/>
      <c r="V75" s="2131"/>
      <c r="W75" s="2131"/>
      <c r="X75" s="2131"/>
      <c r="Y75" s="2131"/>
      <c r="Z75" s="2131"/>
      <c r="AA75" s="1434"/>
      <c r="AB75" s="1434"/>
      <c r="AC75" s="1434"/>
      <c r="AD75" s="1434"/>
      <c r="AE75" s="1434"/>
      <c r="AF75" s="1434"/>
      <c r="AG75" s="1434"/>
      <c r="AH75" s="1434"/>
      <c r="AI75" s="1434"/>
    </row>
    <row r="76" spans="1:35" s="1264" customFormat="1" ht="24.75" customHeight="1">
      <c r="A76" s="549" t="s">
        <v>1904</v>
      </c>
      <c r="B76" s="553" t="s">
        <v>327</v>
      </c>
      <c r="C76" s="532">
        <f>IF(F75="购房发票",ROUND(C75*H75*D76,0),0)</f>
        <v>0</v>
      </c>
      <c r="D76" s="554">
        <v>0.05</v>
      </c>
      <c r="E76" s="3585" t="s">
        <v>328</v>
      </c>
      <c r="F76" s="3584"/>
      <c r="G76" s="3584"/>
      <c r="H76" s="3587"/>
      <c r="I76" s="2280"/>
      <c r="J76" s="2131"/>
      <c r="K76" s="2131"/>
      <c r="L76" s="2131"/>
      <c r="M76" s="2131"/>
      <c r="N76" s="2131"/>
      <c r="O76" s="2131"/>
      <c r="P76" s="2131"/>
      <c r="Q76" s="2131"/>
      <c r="R76" s="2131"/>
      <c r="S76" s="2131"/>
      <c r="T76" s="2131"/>
      <c r="U76" s="2131"/>
      <c r="V76" s="2131"/>
      <c r="W76" s="2131"/>
      <c r="X76" s="2131"/>
      <c r="Y76" s="2131"/>
      <c r="Z76" s="2131"/>
      <c r="AA76" s="1434"/>
      <c r="AB76" s="1434"/>
      <c r="AC76" s="1434"/>
      <c r="AD76" s="1434"/>
      <c r="AE76" s="1434"/>
      <c r="AF76" s="1434"/>
      <c r="AG76" s="1434"/>
      <c r="AH76" s="1434"/>
      <c r="AI76" s="1434"/>
    </row>
    <row r="77" spans="1:35" s="1264" customFormat="1" ht="24.75" customHeight="1">
      <c r="A77" s="549" t="s">
        <v>1905</v>
      </c>
      <c r="B77" s="530" t="s">
        <v>329</v>
      </c>
      <c r="C77" s="532">
        <f>ROUND(IF(G77="个人住宅",0,IF(G77="2016年5月1日前购买",C75*D77,C75*D77/(1+'数据-取费表'!C42))),0)</f>
        <v>0</v>
      </c>
      <c r="D77" s="555">
        <f>'数据-取费表'!B48+'数据-取费表'!B49</f>
        <v>3.0499999999999999E-2</v>
      </c>
      <c r="E77" s="303" t="s">
        <v>798</v>
      </c>
      <c r="F77" s="556"/>
      <c r="G77" s="1427" t="s">
        <v>2510</v>
      </c>
      <c r="H77" s="1919" t="str">
        <f>IF(G77="个人买卖住房","免征印花税"," ")</f>
        <v/>
      </c>
      <c r="I77" s="2280"/>
      <c r="J77" s="2131"/>
      <c r="K77" s="2131"/>
      <c r="L77" s="2131"/>
      <c r="M77" s="2131"/>
      <c r="N77" s="2131"/>
      <c r="O77" s="2131"/>
      <c r="P77" s="2131"/>
      <c r="Q77" s="2131"/>
      <c r="R77" s="2131"/>
      <c r="S77" s="2131"/>
      <c r="T77" s="2131"/>
      <c r="U77" s="2131"/>
      <c r="V77" s="2131"/>
      <c r="W77" s="2131"/>
      <c r="X77" s="2131"/>
      <c r="Y77" s="2131"/>
      <c r="Z77" s="2131"/>
      <c r="AA77" s="1434"/>
      <c r="AB77" s="1434"/>
      <c r="AC77" s="1434"/>
      <c r="AD77" s="1434"/>
      <c r="AE77" s="1434"/>
      <c r="AF77" s="1434"/>
      <c r="AG77" s="1434"/>
      <c r="AH77" s="1434"/>
      <c r="AI77" s="1434"/>
    </row>
    <row r="78" spans="1:35" s="1264" customFormat="1" ht="24.75" customHeight="1">
      <c r="A78" s="549" t="s">
        <v>1903</v>
      </c>
      <c r="B78" s="530" t="s">
        <v>330</v>
      </c>
      <c r="C78" s="557">
        <f ca="1">ROUND(D45*D78/(1+'数据-取费表'!C42),0)</f>
        <v>9</v>
      </c>
      <c r="D78" s="558">
        <f>'数据-取费表'!B43</f>
        <v>6.000000000000001E-3</v>
      </c>
      <c r="E78" s="3580" t="s">
        <v>2511</v>
      </c>
      <c r="F78" s="3576"/>
      <c r="G78" s="3576"/>
      <c r="H78" s="3577"/>
      <c r="I78" s="2282"/>
      <c r="J78" s="2131"/>
      <c r="K78" s="2131"/>
      <c r="L78" s="2131"/>
      <c r="M78" s="2131"/>
      <c r="N78" s="2131"/>
      <c r="O78" s="2131"/>
      <c r="P78" s="2131"/>
      <c r="Q78" s="2131"/>
      <c r="R78" s="2131"/>
      <c r="S78" s="2131"/>
      <c r="T78" s="2131"/>
      <c r="U78" s="2131"/>
      <c r="V78" s="2131"/>
      <c r="W78" s="2131"/>
      <c r="X78" s="2131"/>
      <c r="Y78" s="2131"/>
      <c r="Z78" s="2131"/>
      <c r="AA78" s="1434"/>
      <c r="AB78" s="1434"/>
      <c r="AC78" s="1434"/>
      <c r="AD78" s="1434"/>
      <c r="AE78" s="1434"/>
      <c r="AF78" s="1434"/>
      <c r="AG78" s="1434"/>
      <c r="AH78" s="1434"/>
      <c r="AI78" s="1434"/>
    </row>
    <row r="79" spans="1:35" s="1264" customFormat="1" ht="14.25">
      <c r="A79" s="1796" t="s">
        <v>1906</v>
      </c>
      <c r="B79" s="536" t="s">
        <v>331</v>
      </c>
      <c r="C79" s="539">
        <f ca="1">C72-C73</f>
        <v>1502</v>
      </c>
      <c r="D79" s="532" t="s">
        <v>167</v>
      </c>
      <c r="E79" s="1917"/>
      <c r="F79" s="1918"/>
      <c r="G79" s="1918"/>
      <c r="H79" s="548"/>
      <c r="I79" s="2280"/>
      <c r="J79" s="2131"/>
      <c r="K79" s="2131"/>
      <c r="L79" s="2131"/>
      <c r="M79" s="2131"/>
      <c r="N79" s="2131"/>
      <c r="O79" s="2131"/>
      <c r="P79" s="2131"/>
      <c r="Q79" s="2131"/>
      <c r="R79" s="2131"/>
      <c r="S79" s="2131"/>
      <c r="T79" s="2131"/>
      <c r="U79" s="2131"/>
      <c r="V79" s="2131"/>
      <c r="W79" s="2131"/>
      <c r="X79" s="2131"/>
      <c r="Y79" s="2131"/>
      <c r="Z79" s="2131"/>
      <c r="AA79" s="1434"/>
      <c r="AB79" s="1434"/>
      <c r="AC79" s="1434"/>
      <c r="AD79" s="1434"/>
      <c r="AE79" s="1434"/>
      <c r="AF79" s="1434"/>
      <c r="AG79" s="1434"/>
      <c r="AH79" s="1434"/>
      <c r="AI79" s="1434"/>
    </row>
    <row r="80" spans="1:35" s="1264" customFormat="1" ht="24">
      <c r="A80" s="1796" t="s">
        <v>1907</v>
      </c>
      <c r="B80" s="536" t="s">
        <v>332</v>
      </c>
      <c r="C80" s="559">
        <f ca="1">IF(C79&lt;=0,0,C79/C73)</f>
        <v>166.88888888888889</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18"/>
      <c r="G80" s="1918"/>
      <c r="H80" s="548"/>
      <c r="I80" s="2280"/>
      <c r="J80" s="2131"/>
      <c r="K80" s="2131"/>
      <c r="L80" s="2131"/>
      <c r="M80" s="2131"/>
      <c r="N80" s="2131"/>
      <c r="O80" s="2131"/>
      <c r="P80" s="2131"/>
      <c r="Q80" s="2131"/>
      <c r="R80" s="2131"/>
      <c r="S80" s="2131"/>
      <c r="T80" s="2131"/>
      <c r="U80" s="2131"/>
      <c r="V80" s="2131"/>
      <c r="W80" s="2131"/>
      <c r="X80" s="2131"/>
      <c r="Y80" s="2131"/>
      <c r="Z80" s="2131"/>
      <c r="AA80" s="1434"/>
      <c r="AB80" s="1434"/>
      <c r="AC80" s="1434"/>
      <c r="AD80" s="1434"/>
      <c r="AE80" s="1434"/>
      <c r="AF80" s="1434"/>
      <c r="AG80" s="1434"/>
      <c r="AH80" s="1434"/>
      <c r="AI80" s="1434"/>
    </row>
    <row r="81" spans="1:35" s="1264" customFormat="1" ht="24.75" thickBot="1">
      <c r="A81" s="1797" t="s">
        <v>1908</v>
      </c>
      <c r="B81" s="541" t="s">
        <v>333</v>
      </c>
      <c r="C81" s="560">
        <f ca="1">ROUND(IF(C79&lt;=0,0,IF(C80&gt;=200%,C79*60%-C73*35%,IF(C80&gt;=100%,C79*50%-C73*15%,IF(C80&gt;=50%,C79*40%-C73*5%,IF(C80&lt;50%,C79*30%,0))))),0)</f>
        <v>898</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0"/>
      <c r="J81" s="2131"/>
      <c r="K81" s="2131"/>
      <c r="L81" s="2131"/>
      <c r="M81" s="2131"/>
      <c r="N81" s="2131"/>
      <c r="O81" s="2131"/>
      <c r="P81" s="2131"/>
      <c r="Q81" s="2131"/>
      <c r="R81" s="2131"/>
      <c r="S81" s="2131"/>
      <c r="T81" s="2131"/>
      <c r="U81" s="2131"/>
      <c r="V81" s="2131"/>
      <c r="W81" s="2131"/>
      <c r="X81" s="2131"/>
      <c r="Y81" s="2131"/>
      <c r="Z81" s="2131"/>
      <c r="AA81" s="1434"/>
      <c r="AB81" s="1434"/>
      <c r="AC81" s="1434"/>
      <c r="AD81" s="1434"/>
      <c r="AE81" s="1434"/>
      <c r="AF81" s="1434"/>
      <c r="AG81" s="1434"/>
      <c r="AH81" s="1434"/>
      <c r="AI81" s="1434"/>
    </row>
    <row r="82" spans="1:35" s="1264" customFormat="1" ht="7.5" customHeight="1">
      <c r="A82" s="1231"/>
      <c r="B82" s="1232"/>
      <c r="C82" s="294"/>
      <c r="D82" s="294"/>
      <c r="E82" s="1232"/>
      <c r="F82" s="1232"/>
      <c r="G82" s="1232"/>
      <c r="H82" s="1233"/>
      <c r="I82" s="2282"/>
      <c r="J82" s="2131"/>
      <c r="K82" s="2131"/>
      <c r="L82" s="2131"/>
      <c r="M82" s="2131"/>
      <c r="N82" s="2131"/>
      <c r="O82" s="2131"/>
      <c r="P82" s="2131"/>
      <c r="Q82" s="2131"/>
      <c r="R82" s="2131"/>
      <c r="S82" s="2131"/>
      <c r="T82" s="2131"/>
      <c r="U82" s="2131"/>
      <c r="V82" s="2131"/>
      <c r="W82" s="2131"/>
      <c r="X82" s="2131"/>
      <c r="Y82" s="2131"/>
      <c r="Z82" s="2131"/>
      <c r="AA82" s="1434"/>
      <c r="AB82" s="1434"/>
      <c r="AC82" s="1434"/>
      <c r="AD82" s="1434"/>
      <c r="AE82" s="1434"/>
      <c r="AF82" s="1434"/>
      <c r="AG82" s="1434"/>
      <c r="AH82" s="1434"/>
      <c r="AI82" s="1434"/>
    </row>
    <row r="83" spans="1:35" s="1264" customFormat="1" ht="14.25" thickBot="1">
      <c r="A83" s="3588" t="s">
        <v>334</v>
      </c>
      <c r="B83" s="3589"/>
      <c r="C83" s="3589"/>
      <c r="D83" s="3589"/>
      <c r="E83" s="3589"/>
      <c r="F83" s="3589"/>
      <c r="G83" s="3589"/>
      <c r="H83" s="3589"/>
      <c r="I83" s="2281"/>
      <c r="J83" s="2131">
        <v>2000</v>
      </c>
      <c r="K83" s="2131"/>
      <c r="L83" s="2131">
        <v>2818.2</v>
      </c>
      <c r="M83" s="2131"/>
      <c r="N83" s="2131"/>
      <c r="O83" s="2131"/>
      <c r="P83" s="2131"/>
      <c r="Q83" s="2131"/>
      <c r="R83" s="2131"/>
      <c r="S83" s="2131"/>
      <c r="T83" s="2131"/>
      <c r="U83" s="2131"/>
      <c r="V83" s="2131"/>
      <c r="W83" s="2131"/>
      <c r="X83" s="2131"/>
      <c r="Y83" s="2131"/>
      <c r="Z83" s="2131"/>
      <c r="AA83" s="1434"/>
      <c r="AB83" s="1434"/>
      <c r="AC83" s="1434"/>
      <c r="AD83" s="1434"/>
      <c r="AE83" s="1434"/>
      <c r="AF83" s="1434"/>
      <c r="AG83" s="1434"/>
      <c r="AH83" s="1434"/>
      <c r="AI83" s="1434"/>
    </row>
    <row r="84" spans="1:35" s="1264" customFormat="1" ht="13.5">
      <c r="A84" s="3578" t="s">
        <v>312</v>
      </c>
      <c r="B84" s="3579"/>
      <c r="C84" s="1914"/>
      <c r="D84" s="1914" t="s">
        <v>320</v>
      </c>
      <c r="E84" s="545" t="s">
        <v>321</v>
      </c>
      <c r="F84" s="546"/>
      <c r="G84" s="546"/>
      <c r="H84" s="565"/>
      <c r="I84" s="2281"/>
      <c r="J84" s="3403">
        <f ca="1">J83-C86</f>
        <v>419.15000000000009</v>
      </c>
      <c r="K84" s="2131"/>
      <c r="L84" s="2131"/>
      <c r="M84" s="2131"/>
      <c r="N84" s="2131"/>
      <c r="O84" s="2131"/>
      <c r="P84" s="2131"/>
      <c r="Q84" s="2131"/>
      <c r="R84" s="2131"/>
      <c r="S84" s="2131"/>
      <c r="T84" s="2131"/>
      <c r="U84" s="2131"/>
      <c r="V84" s="2131"/>
      <c r="W84" s="2131"/>
      <c r="X84" s="2131"/>
      <c r="Y84" s="2131"/>
      <c r="Z84" s="2131"/>
      <c r="AA84" s="1434"/>
      <c r="AB84" s="1434"/>
      <c r="AC84" s="1434"/>
      <c r="AD84" s="1434"/>
      <c r="AE84" s="1434"/>
      <c r="AF84" s="1434"/>
      <c r="AG84" s="1434"/>
      <c r="AH84" s="1434"/>
      <c r="AI84" s="1434"/>
    </row>
    <row r="85" spans="1:35" s="1264" customFormat="1" ht="13.5">
      <c r="A85" s="535" t="s">
        <v>1900</v>
      </c>
      <c r="B85" s="536" t="s">
        <v>322</v>
      </c>
      <c r="C85" s="539">
        <f ca="1">ROUND(D45/(1+'数据-取费表'!C42),0)</f>
        <v>1511</v>
      </c>
      <c r="D85" s="532" t="s">
        <v>167</v>
      </c>
      <c r="E85" s="1917"/>
      <c r="F85" s="1918"/>
      <c r="G85" s="1918"/>
      <c r="H85" s="566"/>
      <c r="I85" s="2281"/>
      <c r="J85" s="2131">
        <f ca="1">J84/C86</f>
        <v>0.26514217035139331</v>
      </c>
      <c r="K85" s="2131"/>
      <c r="L85" s="2131"/>
      <c r="M85" s="2131"/>
      <c r="N85" s="2131"/>
      <c r="O85" s="2131"/>
      <c r="P85" s="2131"/>
      <c r="Q85" s="2131"/>
      <c r="R85" s="2131"/>
      <c r="S85" s="2131"/>
      <c r="T85" s="2131"/>
      <c r="U85" s="2131"/>
      <c r="V85" s="2131"/>
      <c r="W85" s="2131"/>
      <c r="X85" s="2131"/>
      <c r="Y85" s="2131"/>
      <c r="Z85" s="2131"/>
      <c r="AA85" s="1434"/>
      <c r="AB85" s="1434"/>
      <c r="AC85" s="1434"/>
      <c r="AD85" s="1434"/>
      <c r="AE85" s="1434"/>
      <c r="AF85" s="1434"/>
      <c r="AG85" s="1434"/>
      <c r="AH85" s="1434"/>
      <c r="AI85" s="1434"/>
    </row>
    <row r="86" spans="1:35" s="1264" customFormat="1" ht="13.5">
      <c r="A86" s="535" t="s">
        <v>1897</v>
      </c>
      <c r="B86" s="505" t="s">
        <v>323</v>
      </c>
      <c r="C86" s="539">
        <f ca="1">IF(H88="仅含出让金",C87+C90+C91+C92+C93+C94,C87+C91+C92+C93+C94)</f>
        <v>1580.85</v>
      </c>
      <c r="D86" s="567"/>
      <c r="E86" s="1917"/>
      <c r="F86" s="1918"/>
      <c r="G86" s="1918"/>
      <c r="H86" s="566"/>
      <c r="I86" s="2281"/>
      <c r="J86" s="2131">
        <f ca="1">J84*0.3</f>
        <v>125.74500000000002</v>
      </c>
      <c r="K86" s="2131"/>
      <c r="L86" s="2131"/>
      <c r="M86" s="2131"/>
      <c r="N86" s="2131"/>
      <c r="O86" s="2131"/>
      <c r="P86" s="2131"/>
      <c r="Q86" s="2131"/>
      <c r="R86" s="2131"/>
      <c r="S86" s="2131"/>
      <c r="T86" s="2131"/>
      <c r="U86" s="2131"/>
      <c r="V86" s="2131"/>
      <c r="W86" s="2131"/>
      <c r="X86" s="2131"/>
      <c r="Y86" s="2131"/>
      <c r="Z86" s="2131"/>
      <c r="AA86" s="1434"/>
      <c r="AB86" s="1434"/>
      <c r="AC86" s="1434"/>
      <c r="AD86" s="1434"/>
      <c r="AE86" s="1434"/>
      <c r="AF86" s="1434"/>
      <c r="AG86" s="1434"/>
      <c r="AH86" s="1434"/>
      <c r="AI86" s="1434"/>
    </row>
    <row r="87" spans="1:35" s="1264" customFormat="1" ht="13.5">
      <c r="A87" s="549" t="s">
        <v>1901</v>
      </c>
      <c r="B87" s="530" t="s">
        <v>335</v>
      </c>
      <c r="C87" s="557">
        <f>C88+C89</f>
        <v>353</v>
      </c>
      <c r="D87" s="558"/>
      <c r="E87" s="1912"/>
      <c r="F87" s="1913"/>
      <c r="G87" s="1913"/>
      <c r="H87" s="1915"/>
      <c r="I87" s="2281"/>
      <c r="J87" s="2131"/>
      <c r="K87" s="2131"/>
      <c r="L87" s="2131"/>
      <c r="M87" s="2131"/>
      <c r="N87" s="2131"/>
      <c r="O87" s="2131"/>
      <c r="P87" s="2131"/>
      <c r="Q87" s="2131"/>
      <c r="R87" s="2131"/>
      <c r="S87" s="2131"/>
      <c r="T87" s="2131"/>
      <c r="U87" s="2131"/>
      <c r="V87" s="2131"/>
      <c r="W87" s="2131"/>
      <c r="X87" s="2131"/>
      <c r="Y87" s="2131"/>
      <c r="Z87" s="2131"/>
      <c r="AA87" s="1434"/>
      <c r="AB87" s="1434"/>
      <c r="AC87" s="1434"/>
      <c r="AD87" s="1434"/>
      <c r="AE87" s="1434"/>
      <c r="AF87" s="1434"/>
      <c r="AG87" s="1434"/>
      <c r="AH87" s="1434"/>
      <c r="AI87" s="1434"/>
    </row>
    <row r="88" spans="1:35" s="1264" customFormat="1" ht="13.5">
      <c r="A88" s="549" t="s">
        <v>1902</v>
      </c>
      <c r="B88" s="530" t="s">
        <v>336</v>
      </c>
      <c r="C88" s="568">
        <f>ROUND(L83*'数据-基础表'!A3/10000,0)</f>
        <v>343</v>
      </c>
      <c r="D88" s="558"/>
      <c r="E88" s="569" t="s">
        <v>337</v>
      </c>
      <c r="F88" s="1913"/>
      <c r="G88" s="570" t="s">
        <v>338</v>
      </c>
      <c r="H88" s="1428" t="s">
        <v>3289</v>
      </c>
      <c r="I88" s="2281"/>
      <c r="J88" s="2131"/>
      <c r="K88" s="2131">
        <v>1871</v>
      </c>
      <c r="L88" s="2131"/>
      <c r="M88" s="2131"/>
      <c r="N88" s="2131"/>
      <c r="O88" s="2131"/>
      <c r="P88" s="2131"/>
      <c r="Q88" s="2131"/>
      <c r="R88" s="2131"/>
      <c r="S88" s="2131"/>
      <c r="T88" s="2131"/>
      <c r="U88" s="2131"/>
      <c r="V88" s="2131"/>
      <c r="W88" s="2131"/>
      <c r="X88" s="2131"/>
      <c r="Y88" s="2131"/>
      <c r="Z88" s="2131"/>
      <c r="AA88" s="1434"/>
      <c r="AB88" s="1434"/>
      <c r="AC88" s="1434"/>
      <c r="AD88" s="1434"/>
      <c r="AE88" s="1434"/>
      <c r="AF88" s="1434"/>
      <c r="AG88" s="1434"/>
      <c r="AH88" s="1434"/>
      <c r="AI88" s="1434"/>
    </row>
    <row r="89" spans="1:35" s="1264" customFormat="1" ht="13.5">
      <c r="A89" s="549" t="s">
        <v>1904</v>
      </c>
      <c r="B89" s="530" t="s">
        <v>329</v>
      </c>
      <c r="C89" s="557">
        <f>ROUND(C88*D89,0)</f>
        <v>10</v>
      </c>
      <c r="D89" s="558">
        <f>'数据-取费表'!B48+'数据-取费表'!B49</f>
        <v>3.0499999999999999E-2</v>
      </c>
      <c r="E89" s="569" t="s">
        <v>339</v>
      </c>
      <c r="F89" s="1913"/>
      <c r="G89" s="1913"/>
      <c r="H89" s="1915"/>
      <c r="I89" s="2281"/>
      <c r="J89" s="2131"/>
      <c r="K89" s="2131">
        <f>ROUND(K88*10000/'数据-基础表'!B3,0)</f>
        <v>4627</v>
      </c>
      <c r="L89" s="2131"/>
      <c r="M89" s="2131"/>
      <c r="N89" s="2131"/>
      <c r="O89" s="2131"/>
      <c r="P89" s="2131"/>
      <c r="Q89" s="2131"/>
      <c r="R89" s="2131"/>
      <c r="S89" s="2131"/>
      <c r="T89" s="2131"/>
      <c r="U89" s="2131"/>
      <c r="V89" s="2131"/>
      <c r="W89" s="2131"/>
      <c r="X89" s="2131"/>
      <c r="Y89" s="2131"/>
      <c r="Z89" s="2131"/>
      <c r="AA89" s="1434"/>
      <c r="AB89" s="1434"/>
      <c r="AC89" s="1434"/>
      <c r="AD89" s="1434"/>
      <c r="AE89" s="1434"/>
      <c r="AF89" s="1434"/>
      <c r="AG89" s="1434"/>
      <c r="AH89" s="1434"/>
      <c r="AI89" s="1434"/>
    </row>
    <row r="90" spans="1:35" s="1264" customFormat="1" ht="13.5">
      <c r="A90" s="549" t="s">
        <v>1903</v>
      </c>
      <c r="B90" s="530" t="s">
        <v>340</v>
      </c>
      <c r="C90" s="568"/>
      <c r="D90" s="558"/>
      <c r="E90" s="569" t="str">
        <f>IF(H88="-","土地取得成本中已包含该笔费用"," ")</f>
        <v/>
      </c>
      <c r="F90" s="1913"/>
      <c r="G90" s="1913"/>
      <c r="H90" s="1915"/>
      <c r="I90" s="2281"/>
      <c r="J90" s="2131"/>
      <c r="K90" s="2131"/>
      <c r="L90" s="2131"/>
      <c r="M90" s="2131"/>
      <c r="N90" s="2131"/>
      <c r="O90" s="2131"/>
      <c r="P90" s="2131"/>
      <c r="Q90" s="2131"/>
      <c r="R90" s="2131"/>
      <c r="S90" s="2131"/>
      <c r="T90" s="2131"/>
      <c r="U90" s="2131"/>
      <c r="V90" s="2131"/>
      <c r="W90" s="2131"/>
      <c r="X90" s="2131"/>
      <c r="Y90" s="2131"/>
      <c r="Z90" s="2131"/>
      <c r="AA90" s="1434"/>
      <c r="AB90" s="1434"/>
      <c r="AC90" s="1434"/>
      <c r="AD90" s="1434"/>
      <c r="AE90" s="1434"/>
      <c r="AF90" s="1434"/>
      <c r="AG90" s="1434"/>
      <c r="AH90" s="1434"/>
      <c r="AI90" s="1434"/>
    </row>
    <row r="91" spans="1:35" s="1264" customFormat="1" ht="27.75" customHeight="1">
      <c r="A91" s="1798" t="s">
        <v>1909</v>
      </c>
      <c r="B91" s="530" t="s">
        <v>341</v>
      </c>
      <c r="C91" s="557">
        <f ca="1">IF(H91="——",成本法!C33,I91)</f>
        <v>855.85</v>
      </c>
      <c r="D91" s="558"/>
      <c r="E91" s="3575" t="s">
        <v>799</v>
      </c>
      <c r="F91" s="3576"/>
      <c r="G91" s="3576"/>
      <c r="H91" s="1429" t="s">
        <v>530</v>
      </c>
      <c r="I91" s="2178"/>
      <c r="J91" s="2131"/>
      <c r="K91" s="2131"/>
      <c r="L91" s="2131"/>
      <c r="M91" s="2131"/>
      <c r="N91" s="2131"/>
      <c r="O91" s="2131"/>
      <c r="P91" s="2131"/>
      <c r="Q91" s="2131"/>
      <c r="R91" s="2131"/>
      <c r="S91" s="2131"/>
      <c r="T91" s="2131"/>
      <c r="U91" s="2131"/>
      <c r="V91" s="2131"/>
      <c r="W91" s="2131"/>
      <c r="X91" s="2131"/>
      <c r="Y91" s="2131"/>
      <c r="Z91" s="2131"/>
      <c r="AA91" s="1434"/>
      <c r="AB91" s="1434"/>
      <c r="AC91" s="1434"/>
      <c r="AD91" s="1434"/>
      <c r="AE91" s="1434"/>
      <c r="AF91" s="1434"/>
      <c r="AG91" s="1434"/>
      <c r="AH91" s="1434"/>
      <c r="AI91" s="1434"/>
    </row>
    <row r="92" spans="1:35" s="1264" customFormat="1" ht="25.5" customHeight="1">
      <c r="A92" s="1798" t="s">
        <v>1910</v>
      </c>
      <c r="B92" s="530" t="s">
        <v>342</v>
      </c>
      <c r="C92" s="557">
        <f ca="1">ROUND((C87+C90+C91)*D92,0)</f>
        <v>121</v>
      </c>
      <c r="D92" s="558">
        <v>0.1</v>
      </c>
      <c r="E92" s="3575" t="s">
        <v>343</v>
      </c>
      <c r="F92" s="3576"/>
      <c r="G92" s="3576"/>
      <c r="H92" s="3577"/>
      <c r="I92" s="2281"/>
      <c r="J92" s="2131"/>
      <c r="K92" s="2131"/>
      <c r="L92" s="2131"/>
      <c r="M92" s="2131"/>
      <c r="N92" s="2131"/>
      <c r="O92" s="2131"/>
      <c r="P92" s="2131"/>
      <c r="Q92" s="2131"/>
      <c r="R92" s="2131"/>
      <c r="S92" s="2131"/>
      <c r="T92" s="2131"/>
      <c r="U92" s="2131"/>
      <c r="V92" s="2131"/>
      <c r="W92" s="2131"/>
      <c r="X92" s="2131"/>
      <c r="Y92" s="2131"/>
      <c r="Z92" s="2131"/>
      <c r="AA92" s="1434"/>
      <c r="AB92" s="1434"/>
      <c r="AC92" s="1434"/>
      <c r="AD92" s="1434"/>
      <c r="AE92" s="1434"/>
      <c r="AF92" s="1434"/>
      <c r="AG92" s="1434"/>
      <c r="AH92" s="1434"/>
      <c r="AI92" s="1434"/>
    </row>
    <row r="93" spans="1:35" s="1264" customFormat="1" ht="25.5" customHeight="1">
      <c r="A93" s="1798" t="s">
        <v>1911</v>
      </c>
      <c r="B93" s="530" t="s">
        <v>330</v>
      </c>
      <c r="C93" s="557">
        <f ca="1">ROUND(D45*D93/(1+'数据-取费表'!C42),0)</f>
        <v>9</v>
      </c>
      <c r="D93" s="558">
        <f>'数据-取费表'!B43</f>
        <v>6.000000000000001E-3</v>
      </c>
      <c r="E93" s="3580" t="s">
        <v>2511</v>
      </c>
      <c r="F93" s="3576"/>
      <c r="G93" s="3576"/>
      <c r="H93" s="3577"/>
      <c r="I93" s="2281"/>
      <c r="J93" s="2131"/>
      <c r="K93" s="2131"/>
      <c r="L93" s="2131"/>
      <c r="M93" s="2131"/>
      <c r="N93" s="2131"/>
      <c r="O93" s="2131"/>
      <c r="P93" s="2131"/>
      <c r="Q93" s="2131"/>
      <c r="R93" s="2131"/>
      <c r="S93" s="2131"/>
      <c r="T93" s="2131"/>
      <c r="U93" s="2131"/>
      <c r="V93" s="2131"/>
      <c r="W93" s="2131"/>
      <c r="X93" s="2131"/>
      <c r="Y93" s="2131"/>
      <c r="Z93" s="2131"/>
      <c r="AA93" s="1434"/>
      <c r="AB93" s="1434"/>
      <c r="AC93" s="1434"/>
      <c r="AD93" s="1434"/>
      <c r="AE93" s="1434"/>
      <c r="AF93" s="1434"/>
      <c r="AG93" s="1434"/>
      <c r="AH93" s="1434"/>
      <c r="AI93" s="1434"/>
    </row>
    <row r="94" spans="1:35" s="1264" customFormat="1" ht="36.75" customHeight="1">
      <c r="A94" s="1798" t="s">
        <v>1912</v>
      </c>
      <c r="B94" s="530" t="s">
        <v>344</v>
      </c>
      <c r="C94" s="568">
        <f ca="1">ROUND((C87+C90+C91)*D94,0)</f>
        <v>242</v>
      </c>
      <c r="D94" s="558">
        <v>0.2</v>
      </c>
      <c r="E94" s="3628" t="s">
        <v>3050</v>
      </c>
      <c r="F94" s="3629"/>
      <c r="G94" s="3629"/>
      <c r="H94" s="3630"/>
      <c r="I94" s="2281"/>
      <c r="J94" s="2131"/>
      <c r="K94" s="2131"/>
      <c r="L94" s="2131"/>
      <c r="M94" s="2131"/>
      <c r="N94" s="2131"/>
      <c r="O94" s="2131"/>
      <c r="P94" s="2131"/>
      <c r="Q94" s="2131"/>
      <c r="R94" s="2131"/>
      <c r="S94" s="2131"/>
      <c r="T94" s="2131"/>
      <c r="U94" s="2131"/>
      <c r="V94" s="2131"/>
      <c r="W94" s="2131"/>
      <c r="X94" s="2131"/>
      <c r="Y94" s="2131"/>
      <c r="Z94" s="2131"/>
      <c r="AA94" s="1434"/>
      <c r="AB94" s="1434"/>
      <c r="AC94" s="1434"/>
      <c r="AD94" s="1434"/>
      <c r="AE94" s="1434"/>
      <c r="AF94" s="1434"/>
      <c r="AG94" s="1434"/>
      <c r="AH94" s="1434"/>
      <c r="AI94" s="1434"/>
    </row>
    <row r="95" spans="1:35" s="1264" customFormat="1" ht="13.5">
      <c r="A95" s="1796" t="s">
        <v>1906</v>
      </c>
      <c r="B95" s="536" t="s">
        <v>331</v>
      </c>
      <c r="C95" s="539">
        <f ca="1">ROUND(C85-C86,0)</f>
        <v>-70</v>
      </c>
      <c r="D95" s="532" t="s">
        <v>167</v>
      </c>
      <c r="E95" s="1917"/>
      <c r="F95" s="1918"/>
      <c r="G95" s="1918"/>
      <c r="H95" s="566"/>
      <c r="I95" s="2281"/>
      <c r="J95" s="2131"/>
      <c r="K95" s="2131"/>
      <c r="L95" s="2131"/>
      <c r="M95" s="2131"/>
      <c r="N95" s="2131"/>
      <c r="O95" s="2131"/>
      <c r="P95" s="2131"/>
      <c r="Q95" s="2131"/>
      <c r="R95" s="2131"/>
      <c r="S95" s="2131"/>
      <c r="T95" s="2131"/>
      <c r="U95" s="2131"/>
      <c r="V95" s="2131"/>
      <c r="W95" s="2131"/>
      <c r="X95" s="2131"/>
      <c r="Y95" s="2131"/>
      <c r="Z95" s="2131"/>
      <c r="AA95" s="1434"/>
      <c r="AB95" s="1434"/>
      <c r="AC95" s="1434"/>
      <c r="AD95" s="1434"/>
      <c r="AE95" s="1434"/>
      <c r="AF95" s="1434"/>
      <c r="AG95" s="1434"/>
      <c r="AH95" s="1434"/>
      <c r="AI95" s="1434"/>
    </row>
    <row r="96" spans="1:35" s="1264" customFormat="1" ht="24">
      <c r="A96" s="1796" t="s">
        <v>1907</v>
      </c>
      <c r="B96" s="536" t="s">
        <v>332</v>
      </c>
      <c r="C96" s="559">
        <f ca="1">IF(C95&lt;=0,0,C95/C86)</f>
        <v>0</v>
      </c>
      <c r="D96" s="532" t="s">
        <v>167</v>
      </c>
      <c r="E96" s="303" t="str">
        <f ca="1">IF(C96&gt;=200%,"增值额超过扣除项目金额200%",IF(C96&gt;=100%,"增值额超过扣除项目金额100%，未超过200%",IF(C96&gt;=50%,"增值额超过扣除项目金额50%，未超过100%",IF(C96&lt;50%,"增值额未超过扣除项目金额50%"))))</f>
        <v>增值额未超过扣除项目金额50%</v>
      </c>
      <c r="F96" s="1918"/>
      <c r="G96" s="1918"/>
      <c r="H96" s="566"/>
      <c r="I96" s="2281"/>
      <c r="J96" s="2131"/>
      <c r="K96" s="2131"/>
      <c r="L96" s="2131"/>
      <c r="M96" s="2131"/>
      <c r="N96" s="2131"/>
      <c r="O96" s="2131"/>
      <c r="P96" s="2131"/>
      <c r="Q96" s="2131"/>
      <c r="R96" s="2131"/>
      <c r="S96" s="2131"/>
      <c r="T96" s="2131"/>
      <c r="U96" s="2131"/>
      <c r="V96" s="2131"/>
      <c r="W96" s="2131"/>
      <c r="X96" s="2131"/>
      <c r="Y96" s="2131"/>
      <c r="Z96" s="2131"/>
      <c r="AA96" s="1434"/>
      <c r="AB96" s="1434"/>
      <c r="AC96" s="1434"/>
      <c r="AD96" s="1434"/>
      <c r="AE96" s="1434"/>
      <c r="AF96" s="1434"/>
      <c r="AG96" s="1434"/>
      <c r="AH96" s="1434"/>
      <c r="AI96" s="1434"/>
    </row>
    <row r="97" spans="1:35" s="1264" customFormat="1" ht="24.75" thickBot="1">
      <c r="A97" s="1797" t="s">
        <v>1908</v>
      </c>
      <c r="B97" s="541" t="s">
        <v>333</v>
      </c>
      <c r="C97" s="560">
        <f ca="1">ROUND(IF(C95&lt;=0,0,IF(C96&gt;=200%,C95*60%-C86*35%,IF(C96&gt;=100%,C95*50%-C86*15%,IF(C96&gt;=50%,C95*40%-C86*5%,IF(C96&lt;50%,C95*30%,0))))),0)</f>
        <v>0</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563"/>
      <c r="G97" s="563"/>
      <c r="H97" s="571"/>
      <c r="I97" s="2281"/>
      <c r="J97" s="2131"/>
      <c r="K97" s="2131"/>
      <c r="L97" s="2131"/>
      <c r="M97" s="2131"/>
      <c r="N97" s="2131"/>
      <c r="O97" s="2131"/>
      <c r="P97" s="2131"/>
      <c r="Q97" s="2131"/>
      <c r="R97" s="2131"/>
      <c r="S97" s="2131"/>
      <c r="T97" s="2131"/>
      <c r="U97" s="2131"/>
      <c r="V97" s="2131"/>
      <c r="W97" s="2131"/>
      <c r="X97" s="2131"/>
      <c r="Y97" s="2131"/>
      <c r="Z97" s="2131"/>
      <c r="AA97" s="1434"/>
      <c r="AB97" s="1434"/>
      <c r="AC97" s="1434"/>
      <c r="AD97" s="1434"/>
      <c r="AE97" s="1434"/>
      <c r="AF97" s="1434"/>
      <c r="AG97" s="1434"/>
      <c r="AH97" s="1434"/>
      <c r="AI97" s="1434"/>
    </row>
    <row r="98" spans="1:35" ht="21.75" customHeight="1">
      <c r="A98" s="1257"/>
      <c r="B98" s="1242"/>
      <c r="C98" s="1242"/>
      <c r="D98" s="1242"/>
      <c r="E98" s="229"/>
      <c r="F98" s="229"/>
      <c r="G98" s="229"/>
      <c r="H98" s="241"/>
      <c r="I98" s="2273"/>
    </row>
    <row r="99" spans="1:35" ht="21.75" customHeight="1" thickBot="1">
      <c r="A99" s="1251" t="s">
        <v>229</v>
      </c>
      <c r="B99" s="1242"/>
      <c r="C99" s="1242"/>
      <c r="D99" s="1242"/>
      <c r="E99" s="229"/>
      <c r="F99" s="229"/>
      <c r="G99" s="229"/>
      <c r="H99" s="241"/>
      <c r="I99" s="2273"/>
    </row>
    <row r="100" spans="1:35" ht="18.75" customHeight="1">
      <c r="A100" s="3523" t="s">
        <v>230</v>
      </c>
      <c r="B100" s="3524"/>
      <c r="C100" s="3524"/>
      <c r="D100" s="3558"/>
      <c r="E100" s="3524" t="s">
        <v>2907</v>
      </c>
      <c r="F100" s="3524"/>
      <c r="G100" s="3524"/>
      <c r="H100" s="3558"/>
      <c r="I100" s="2273"/>
    </row>
    <row r="101" spans="1:35" ht="18.75" customHeight="1">
      <c r="A101" s="3566" t="s">
        <v>208</v>
      </c>
      <c r="B101" s="3567"/>
      <c r="C101" s="1265" t="str">
        <f>C4</f>
        <v>比较法-住宅</v>
      </c>
      <c r="D101" s="1266" t="str">
        <f>D4</f>
        <v>收益法-住宅</v>
      </c>
      <c r="E101" s="3535" t="s">
        <v>1914</v>
      </c>
      <c r="F101" s="3536"/>
      <c r="G101" s="1267" t="s">
        <v>210</v>
      </c>
      <c r="H101" s="1981">
        <f ca="1">H118</f>
        <v>1587</v>
      </c>
      <c r="I101" s="2273"/>
    </row>
    <row r="102" spans="1:35" ht="18.75" customHeight="1">
      <c r="A102" s="3568" t="s">
        <v>209</v>
      </c>
      <c r="B102" s="1267" t="s">
        <v>210</v>
      </c>
      <c r="C102" s="1234">
        <f ca="1">C19</f>
        <v>44</v>
      </c>
      <c r="D102" s="1235">
        <f ca="1">D19</f>
        <v>45</v>
      </c>
      <c r="E102" s="3535"/>
      <c r="F102" s="3536"/>
      <c r="G102" s="1267" t="s">
        <v>211</v>
      </c>
      <c r="H102" s="711">
        <f ca="1">I118</f>
        <v>3925</v>
      </c>
      <c r="I102" s="2273"/>
    </row>
    <row r="103" spans="1:35" ht="42.75" customHeight="1">
      <c r="A103" s="3568"/>
      <c r="B103" s="1267" t="s">
        <v>211</v>
      </c>
      <c r="C103" s="1236">
        <f ca="1">C20</f>
        <v>4800</v>
      </c>
      <c r="D103" s="1237">
        <f ca="1">D20</f>
        <v>4608</v>
      </c>
      <c r="E103" s="3529" t="s">
        <v>3016</v>
      </c>
      <c r="F103" s="3530"/>
      <c r="G103" s="1268" t="s">
        <v>213</v>
      </c>
      <c r="H103" s="1981">
        <f>IF(D36="正常操作",H104+H105+H106,H105+H106)</f>
        <v>0</v>
      </c>
      <c r="I103" s="2273"/>
    </row>
    <row r="104" spans="1:35" ht="18.75" customHeight="1">
      <c r="A104" s="3568" t="s">
        <v>212</v>
      </c>
      <c r="B104" s="1269" t="s">
        <v>210</v>
      </c>
      <c r="C104" s="1238">
        <f ca="1">H118</f>
        <v>1587</v>
      </c>
      <c r="D104" s="1239"/>
      <c r="E104" s="13" t="s">
        <v>1913</v>
      </c>
      <c r="F104" s="6"/>
      <c r="G104" s="1268" t="s">
        <v>213</v>
      </c>
      <c r="H104" s="1982">
        <f>IF(D36="同一抵押权人同一抵押物续贷",C36&amp;"（未扣减，详见特别提示）",C36)</f>
        <v>0</v>
      </c>
      <c r="I104" s="2273"/>
    </row>
    <row r="105" spans="1:35" ht="18.75" customHeight="1" thickBot="1">
      <c r="A105" s="3582"/>
      <c r="B105" s="1270" t="s">
        <v>211</v>
      </c>
      <c r="C105" s="1240">
        <f ca="1">I118</f>
        <v>3925</v>
      </c>
      <c r="D105" s="1241"/>
      <c r="E105" s="13" t="s">
        <v>1915</v>
      </c>
      <c r="F105" s="6"/>
      <c r="G105" s="1268" t="s">
        <v>213</v>
      </c>
      <c r="H105" s="1982">
        <f>C37</f>
        <v>0</v>
      </c>
      <c r="I105" s="2273"/>
    </row>
    <row r="106" spans="1:35" ht="18.75" customHeight="1">
      <c r="A106" s="1242" t="s">
        <v>2011</v>
      </c>
      <c r="B106" s="1242"/>
      <c r="C106" s="1242"/>
      <c r="D106" s="1242"/>
      <c r="E106" s="467" t="s">
        <v>1916</v>
      </c>
      <c r="F106" s="6"/>
      <c r="G106" s="1268" t="s">
        <v>213</v>
      </c>
      <c r="H106" s="1982">
        <f>C38</f>
        <v>0</v>
      </c>
      <c r="I106" s="2273"/>
    </row>
    <row r="107" spans="1:35" ht="18.75" customHeight="1">
      <c r="A107" s="2273"/>
      <c r="B107" s="2273"/>
      <c r="C107" s="2273"/>
      <c r="D107" s="2273"/>
      <c r="E107" s="3570" t="str">
        <f>IF(项目基本情况!E8="已注销","——","3.房地产抵押价值")</f>
        <v>3.房地产抵押价值</v>
      </c>
      <c r="F107" s="3536"/>
      <c r="G107" s="1267" t="s">
        <v>210</v>
      </c>
      <c r="H107" s="1981">
        <f ca="1">IF(E107="——","——",H101-H103)</f>
        <v>1587</v>
      </c>
      <c r="I107" s="2273"/>
    </row>
    <row r="108" spans="1:35" ht="18.75" customHeight="1">
      <c r="A108" s="2273"/>
      <c r="B108" s="2273"/>
      <c r="C108" s="2273"/>
      <c r="D108" s="2273"/>
      <c r="E108" s="3570"/>
      <c r="F108" s="3536"/>
      <c r="G108" s="1267" t="s">
        <v>211</v>
      </c>
      <c r="H108" s="711">
        <f ca="1">ROUND(H107*10000/'数据-汇总表'!E3,0)</f>
        <v>3925</v>
      </c>
      <c r="I108" s="2273"/>
    </row>
    <row r="109" spans="1:35" ht="18.75" customHeight="1">
      <c r="A109" s="2273"/>
      <c r="B109" s="2273"/>
      <c r="C109" s="2273"/>
      <c r="D109" s="2273"/>
      <c r="E109" s="3570" t="str">
        <f>IF(项目基本情况!E8="已注销及未注销","4.抵押担保权已注销时的房地产抵押价值",IF(项目基本情况!E8="已注销","3.抵押担保权已注销时的房地产抵押价值","——"))</f>
        <v>——</v>
      </c>
      <c r="F109" s="3536"/>
      <c r="G109" s="1267" t="s">
        <v>210</v>
      </c>
      <c r="H109" s="685" t="str">
        <f>IF(E109="——","——",H101-H105-H106)</f>
        <v>——</v>
      </c>
      <c r="I109" s="2273"/>
    </row>
    <row r="110" spans="1:35" ht="18.75" customHeight="1">
      <c r="A110" s="2273"/>
      <c r="B110" s="2273"/>
      <c r="C110" s="2273"/>
      <c r="D110" s="2273"/>
      <c r="E110" s="3570"/>
      <c r="F110" s="3536"/>
      <c r="G110" s="1267" t="s">
        <v>211</v>
      </c>
      <c r="H110" s="711" t="str">
        <f>IF(H109="——","——",ROUND(H109*10000/'数据-汇总表'!E3,0))</f>
        <v>——</v>
      </c>
      <c r="I110" s="2273"/>
    </row>
    <row r="111" spans="1:35" ht="18.75" customHeight="1">
      <c r="A111" s="2273"/>
      <c r="B111" s="2273"/>
      <c r="C111" s="2273"/>
      <c r="D111" s="2273"/>
      <c r="E111" s="3571" t="str">
        <f>IF(项目基本情况!E9="抵押净值",IF(OR(项目基本情况!E8="已注销",项目基本情况!E8="房地产抵押价值"),"4.抵押净值","5.抵押净值"),"——")</f>
        <v>4.抵押净值</v>
      </c>
      <c r="F111" s="3572"/>
      <c r="G111" s="1267" t="s">
        <v>210</v>
      </c>
      <c r="H111" s="1981">
        <f ca="1">IF(E111="——","——",N59)</f>
        <v>1586</v>
      </c>
      <c r="I111" s="2273"/>
    </row>
    <row r="112" spans="1:35" ht="18.75" customHeight="1" thickBot="1">
      <c r="A112" s="2273"/>
      <c r="B112" s="2273"/>
      <c r="C112" s="2273"/>
      <c r="D112" s="2273"/>
      <c r="E112" s="3573"/>
      <c r="F112" s="3574"/>
      <c r="G112" s="1271" t="s">
        <v>211</v>
      </c>
      <c r="H112" s="1422">
        <f ca="1">IF(E111="——","——",N61)</f>
        <v>3922</v>
      </c>
      <c r="I112" s="2273"/>
    </row>
    <row r="113" spans="1:11" ht="18.75" customHeight="1">
      <c r="A113" s="2273"/>
      <c r="B113" s="2273"/>
      <c r="C113" s="2273"/>
      <c r="D113" s="2273"/>
      <c r="E113" s="3583" t="s">
        <v>2011</v>
      </c>
      <c r="F113" s="3583"/>
      <c r="G113" s="3583"/>
      <c r="H113" s="3583"/>
      <c r="I113" s="2273"/>
    </row>
    <row r="114" spans="1:11" ht="3.75" customHeight="1">
      <c r="A114" s="1242"/>
      <c r="B114" s="1242"/>
      <c r="C114" s="1242"/>
      <c r="D114" s="1242"/>
      <c r="E114" s="1257"/>
      <c r="F114" s="1257"/>
      <c r="G114" s="1257"/>
      <c r="H114" s="1257"/>
      <c r="I114" s="1242"/>
    </row>
    <row r="115" spans="1:11" ht="18.75" customHeight="1">
      <c r="A115" s="3596" t="s">
        <v>226</v>
      </c>
      <c r="B115" s="3597"/>
      <c r="C115" s="3597"/>
      <c r="D115" s="3597"/>
      <c r="E115" s="3597"/>
      <c r="F115" s="3597"/>
      <c r="G115" s="3597"/>
      <c r="H115" s="3597"/>
      <c r="I115" s="3598"/>
    </row>
    <row r="116" spans="1:11" ht="27" customHeight="1">
      <c r="A116" s="3503" t="s">
        <v>5</v>
      </c>
      <c r="B116" s="3545" t="s">
        <v>788</v>
      </c>
      <c r="C116" s="3545" t="s">
        <v>789</v>
      </c>
      <c r="D116" s="3554" t="s">
        <v>206</v>
      </c>
      <c r="E116" s="3555"/>
      <c r="F116" s="3592" t="s">
        <v>2388</v>
      </c>
      <c r="G116" s="3592"/>
      <c r="H116" s="3503" t="s">
        <v>6</v>
      </c>
      <c r="I116" s="3503"/>
    </row>
    <row r="117" spans="1:11" ht="18.75" customHeight="1">
      <c r="A117" s="3503"/>
      <c r="B117" s="3546"/>
      <c r="C117" s="3546"/>
      <c r="D117" s="1911" t="s">
        <v>7</v>
      </c>
      <c r="E117" s="1911" t="s">
        <v>790</v>
      </c>
      <c r="F117" s="1911" t="s">
        <v>7</v>
      </c>
      <c r="G117" s="1911" t="s">
        <v>8</v>
      </c>
      <c r="H117" s="1911" t="s">
        <v>7</v>
      </c>
      <c r="I117" s="1911" t="s">
        <v>8</v>
      </c>
    </row>
    <row r="118" spans="1:11" ht="24.75" customHeight="1">
      <c r="A118" s="2028" t="str">
        <f>项目基本情况!S2</f>
        <v>西安市西安市未央区三桥街办昆明路立交以西房地产</v>
      </c>
      <c r="B118" s="1916">
        <f>M18</f>
        <v>4043.7000000000003</v>
      </c>
      <c r="C118" s="1916">
        <f>M19</f>
        <v>1218.83</v>
      </c>
      <c r="D118" s="1916" t="e">
        <f ca="1">ROUND(IF(D32="总价",C34,E118*B118/10000),0)</f>
        <v>#REF!</v>
      </c>
      <c r="E118" s="1916" t="e">
        <f ca="1">ROUND(IF(C33="自定义",IF(D32="楼面单价",C34,D118*10000/B118),I118-G118),0)</f>
        <v>#REF!</v>
      </c>
      <c r="F118" s="1916" t="e">
        <f ca="1">ROUND(IF(D32="总价",C35,G118*B118/10000),0)</f>
        <v>#REF!</v>
      </c>
      <c r="G118" s="1916" t="e">
        <f ca="1">ROUND(IF(D32="楼面单价",C35,F118*10000/B118),0)</f>
        <v>#REF!</v>
      </c>
      <c r="H118" s="1916">
        <f ca="1">'典型户型修正-住宅'!B20+'典型户型修正-车位'!B20</f>
        <v>1587</v>
      </c>
      <c r="I118" s="1916">
        <f ca="1">ROUND(IF(D32="楼面单价",C32,H118*10000/B118),0)</f>
        <v>3925</v>
      </c>
    </row>
    <row r="119" spans="1:11" ht="18.75" customHeight="1">
      <c r="A119" s="3503" t="s">
        <v>9</v>
      </c>
      <c r="B119" s="3503"/>
      <c r="C119" s="3503"/>
      <c r="D119" s="3547" t="e">
        <f ca="1">NUMBERSTRING(INT(D118*10000),2)&amp;"元整"</f>
        <v>#REF!</v>
      </c>
      <c r="E119" s="3548"/>
      <c r="F119" s="3547" t="e">
        <f ca="1">NUMBERSTRING(INT(F118*10000),2)&amp;"元整"</f>
        <v>#REF!</v>
      </c>
      <c r="G119" s="3548"/>
      <c r="H119" s="3547" t="str">
        <f ca="1">NUMBERSTRING(INT(H118*10000),2)&amp;"元整"</f>
        <v>壹仟伍佰捌拾柒万元整</v>
      </c>
      <c r="I119" s="3548"/>
    </row>
    <row r="120" spans="1:11" ht="18.75" customHeight="1">
      <c r="A120" s="3549" t="str">
        <f>IF(项目基本情况!B9="房地产市场价值","",MID(E103,3,LEN(E103)-2))</f>
        <v>估价师知悉的法定优先受偿款</v>
      </c>
      <c r="B120" s="3550"/>
      <c r="C120" s="3551"/>
      <c r="D120" s="3542">
        <f>H103</f>
        <v>0</v>
      </c>
      <c r="E120" s="3543"/>
      <c r="F120" s="3543"/>
      <c r="G120" s="3543"/>
      <c r="H120" s="3543"/>
      <c r="I120" s="3544"/>
      <c r="K120" s="1433" t="str">
        <f>IF(D120=0,"故，本次评估不存在"&amp;A120,"故，本次评估"&amp;A120&amp;"为人民币"&amp;D120&amp;"万元整。")</f>
        <v>故，本次评估不存在估价师知悉的法定优先受偿款</v>
      </c>
    </row>
    <row r="121" spans="1:11" ht="18.75" customHeight="1">
      <c r="A121" s="3593" t="s">
        <v>9</v>
      </c>
      <c r="B121" s="3594"/>
      <c r="C121" s="3595"/>
      <c r="D121" s="3547" t="str">
        <f>IF(D120=0,"零元整",NUMBERSTRING(INT(D120*10000),2)&amp;"元整")</f>
        <v>零元整</v>
      </c>
      <c r="E121" s="3552"/>
      <c r="F121" s="3552"/>
      <c r="G121" s="3552"/>
      <c r="H121" s="3552"/>
      <c r="I121" s="3548"/>
    </row>
    <row r="122" spans="1:11" ht="18.75" customHeight="1">
      <c r="A122" s="3556" t="str">
        <f>IF(项目基本情况!B9="房地产市场价值","",MID(E107,3,LEN(E107)-2))</f>
        <v>房地产抵押价值</v>
      </c>
      <c r="B122" s="3556"/>
      <c r="C122" s="3556"/>
      <c r="D122" s="3542">
        <f ca="1">H107</f>
        <v>1587</v>
      </c>
      <c r="E122" s="3543"/>
      <c r="F122" s="3543"/>
      <c r="G122" s="3543"/>
      <c r="H122" s="3543"/>
      <c r="I122" s="3544"/>
    </row>
    <row r="123" spans="1:11" ht="18.75" customHeight="1">
      <c r="A123" s="3503" t="s">
        <v>9</v>
      </c>
      <c r="B123" s="3503"/>
      <c r="C123" s="3503"/>
      <c r="D123" s="3547" t="str">
        <f ca="1">NUMBERSTRING(INT(D122*10000),2)&amp;"元整"</f>
        <v>壹仟伍佰捌拾柒万元整</v>
      </c>
      <c r="E123" s="3552"/>
      <c r="F123" s="3552"/>
      <c r="G123" s="3552"/>
      <c r="H123" s="3552"/>
      <c r="I123" s="3548"/>
    </row>
    <row r="124" spans="1:11" ht="18.75" customHeight="1">
      <c r="A124" s="3556" t="str">
        <f>IF(项目基本情况!B9="房地产市场价值","",MID(E109,3,LEN(E109)-2))</f>
        <v/>
      </c>
      <c r="B124" s="3556"/>
      <c r="C124" s="3556"/>
      <c r="D124" s="3542" t="str">
        <f>H109</f>
        <v>——</v>
      </c>
      <c r="E124" s="3543"/>
      <c r="F124" s="3543"/>
      <c r="G124" s="3543"/>
      <c r="H124" s="3543"/>
      <c r="I124" s="3544"/>
    </row>
    <row r="125" spans="1:11" ht="18.75" customHeight="1">
      <c r="A125" s="3503" t="s">
        <v>9</v>
      </c>
      <c r="B125" s="3503"/>
      <c r="C125" s="3503"/>
      <c r="D125" s="3547" t="e">
        <f>NUMBERSTRING(INT(D124*10000),2)&amp;"元整"</f>
        <v>#VALUE!</v>
      </c>
      <c r="E125" s="3552"/>
      <c r="F125" s="3552"/>
      <c r="G125" s="3552"/>
      <c r="H125" s="3552"/>
      <c r="I125" s="3548"/>
    </row>
    <row r="126" spans="1:11" ht="18.75" customHeight="1">
      <c r="A126" s="3556" t="str">
        <f>IF(项目基本情况!B9="房地产市场价值","",MID(E111,3,LEN(E111)-2))</f>
        <v>抵押净值</v>
      </c>
      <c r="B126" s="3556"/>
      <c r="C126" s="3556"/>
      <c r="D126" s="3542">
        <f ca="1">H111</f>
        <v>1586</v>
      </c>
      <c r="E126" s="3543"/>
      <c r="F126" s="3543"/>
      <c r="G126" s="3543"/>
      <c r="H126" s="3543"/>
      <c r="I126" s="3544"/>
    </row>
    <row r="127" spans="1:11" ht="18.75" customHeight="1">
      <c r="A127" s="3503" t="s">
        <v>9</v>
      </c>
      <c r="B127" s="3503"/>
      <c r="C127" s="3503"/>
      <c r="D127" s="3547" t="str">
        <f ca="1">NUMBERSTRING(INT(D126*10000),2)&amp;"元整"</f>
        <v>壹仟伍佰捌拾陆万元整</v>
      </c>
      <c r="E127" s="3552"/>
      <c r="F127" s="3552"/>
      <c r="G127" s="3552"/>
      <c r="H127" s="3552"/>
      <c r="I127" s="3548"/>
    </row>
    <row r="128" spans="1:11" ht="21.75" customHeight="1">
      <c r="A128" s="3553" t="s">
        <v>2010</v>
      </c>
      <c r="B128" s="3553"/>
      <c r="C128" s="3553"/>
      <c r="D128" s="3553"/>
      <c r="E128" s="3553"/>
      <c r="F128" s="3553"/>
      <c r="G128" s="3553"/>
      <c r="H128" s="3553"/>
      <c r="I128" s="3553"/>
    </row>
    <row r="129" spans="1:35" ht="21.75" customHeight="1">
      <c r="A129" s="2023" t="s">
        <v>791</v>
      </c>
      <c r="B129" s="2024"/>
      <c r="C129" s="468" t="s">
        <v>150</v>
      </c>
      <c r="D129" s="2025"/>
      <c r="E129" s="2025"/>
      <c r="F129" s="2025"/>
      <c r="G129" s="2025"/>
      <c r="H129" s="2026"/>
      <c r="I129" s="2027"/>
    </row>
    <row r="130" spans="1:35" ht="21.75" customHeight="1">
      <c r="A130" s="1435">
        <v>1</v>
      </c>
      <c r="B130" s="1436"/>
      <c r="C130" s="1436"/>
      <c r="D130" s="1437"/>
      <c r="E130" s="1437"/>
      <c r="F130" s="1437"/>
      <c r="G130" s="1437"/>
      <c r="H130" s="1438"/>
      <c r="I130" s="1439"/>
    </row>
    <row r="131" spans="1:35" ht="21.75" customHeight="1">
      <c r="A131" s="1435">
        <v>2</v>
      </c>
      <c r="B131" s="1436"/>
      <c r="C131" s="1436"/>
      <c r="D131" s="1437"/>
      <c r="E131" s="1437"/>
      <c r="F131" s="1437"/>
      <c r="G131" s="1437"/>
      <c r="H131" s="1438"/>
      <c r="I131" s="1439"/>
    </row>
    <row r="132" spans="1:35" ht="21.75" customHeight="1">
      <c r="A132" s="1435">
        <v>3</v>
      </c>
      <c r="B132" s="1436"/>
      <c r="C132" s="1436"/>
      <c r="D132" s="1437"/>
      <c r="E132" s="1437"/>
      <c r="F132" s="1437"/>
      <c r="G132" s="1437"/>
      <c r="H132" s="1438"/>
      <c r="I132" s="1439"/>
    </row>
    <row r="133" spans="1:35" ht="21.75" customHeight="1">
      <c r="A133" s="1440"/>
      <c r="B133" s="1441"/>
      <c r="C133" s="1441"/>
      <c r="D133" s="1442"/>
      <c r="E133" s="1442"/>
      <c r="F133" s="1442"/>
      <c r="G133" s="1442"/>
      <c r="H133" s="1443"/>
      <c r="I133" s="1444"/>
    </row>
    <row r="134" spans="1:35" ht="21.75" customHeight="1">
      <c r="A134" s="1436"/>
      <c r="B134" s="1436"/>
      <c r="C134" s="1436"/>
      <c r="D134" s="1437"/>
      <c r="E134" s="1437"/>
      <c r="F134" s="1437"/>
      <c r="G134" s="1437"/>
      <c r="H134" s="1438"/>
      <c r="I134" s="1445"/>
    </row>
    <row r="135" spans="1:35" ht="21.75" customHeight="1">
      <c r="A135" s="1445"/>
      <c r="B135" s="1445"/>
      <c r="C135" s="1445"/>
      <c r="D135" s="1445"/>
      <c r="E135" s="1445"/>
      <c r="F135" s="1446" t="s">
        <v>792</v>
      </c>
      <c r="G135" s="1447"/>
      <c r="H135" s="1447"/>
      <c r="I135" s="1448" t="s">
        <v>793</v>
      </c>
    </row>
    <row r="136" spans="1:35" ht="21.75" customHeight="1">
      <c r="A136" s="1445"/>
      <c r="B136" s="1449" t="s">
        <v>794</v>
      </c>
      <c r="C136" s="1445"/>
      <c r="D136" s="1445"/>
      <c r="E136" s="1445"/>
      <c r="F136" s="1445"/>
      <c r="G136" s="1445"/>
      <c r="H136" s="1445"/>
      <c r="I136" s="1445"/>
    </row>
    <row r="137" spans="1:35" ht="21.75" customHeight="1">
      <c r="A137" s="1445"/>
      <c r="B137" s="1445"/>
      <c r="C137" s="1445"/>
      <c r="D137" s="1445"/>
      <c r="E137" s="1445"/>
      <c r="F137" s="1445"/>
      <c r="G137" s="1445"/>
      <c r="H137" s="1445"/>
      <c r="I137" s="1445"/>
    </row>
    <row r="138" spans="1:35" ht="21.75" customHeight="1">
      <c r="A138" s="1445"/>
      <c r="B138" s="1447"/>
      <c r="C138" s="1447"/>
      <c r="D138" s="1447"/>
      <c r="E138" s="1447"/>
      <c r="F138" s="1447"/>
      <c r="G138" s="1447"/>
      <c r="H138" s="1447"/>
      <c r="I138" s="1448" t="s">
        <v>795</v>
      </c>
    </row>
    <row r="139" spans="1:35" ht="21.75" customHeight="1">
      <c r="A139" s="1445"/>
      <c r="B139" s="1449" t="s">
        <v>796</v>
      </c>
      <c r="C139" s="1445"/>
      <c r="D139" s="1445"/>
      <c r="E139" s="1445"/>
      <c r="F139" s="1445"/>
      <c r="G139" s="1445"/>
      <c r="H139" s="1445"/>
      <c r="I139" s="1445"/>
    </row>
    <row r="140" spans="1:35" ht="21.75" customHeight="1">
      <c r="A140" s="1445"/>
      <c r="B140" s="1449"/>
      <c r="C140" s="1445"/>
      <c r="D140" s="1445"/>
      <c r="E140" s="1445"/>
      <c r="F140" s="1445"/>
      <c r="G140" s="1445"/>
      <c r="H140" s="1445"/>
      <c r="I140" s="1445"/>
    </row>
    <row r="141" spans="1:35" ht="21.75" customHeight="1">
      <c r="A141" s="1445"/>
      <c r="B141" s="1447"/>
      <c r="C141" s="1447"/>
      <c r="D141" s="1447"/>
      <c r="E141" s="1447"/>
      <c r="F141" s="1447"/>
      <c r="G141" s="1447"/>
      <c r="H141" s="1447"/>
      <c r="I141" s="1448" t="s">
        <v>795</v>
      </c>
    </row>
    <row r="142" spans="1:35" ht="21.75" customHeight="1">
      <c r="A142" s="1445"/>
      <c r="B142" s="1449"/>
      <c r="C142" s="1450"/>
      <c r="D142" s="1451"/>
      <c r="E142" s="1451"/>
      <c r="F142" s="1452"/>
      <c r="G142" s="1445"/>
      <c r="H142" s="1445"/>
      <c r="I142" s="1445"/>
    </row>
    <row r="143" spans="1:35" s="428" customFormat="1" ht="21.75" customHeight="1">
      <c r="A143" s="1445"/>
      <c r="B143" s="1449"/>
      <c r="C143" s="1450"/>
      <c r="D143" s="1451"/>
      <c r="E143" s="1451"/>
      <c r="F143" s="1452"/>
      <c r="G143" s="1445"/>
      <c r="H143" s="1445"/>
      <c r="I143" s="1445"/>
      <c r="J143" s="1445"/>
      <c r="K143" s="1445"/>
      <c r="L143" s="1445"/>
      <c r="M143" s="1445"/>
      <c r="N143" s="1445"/>
      <c r="O143" s="1445"/>
      <c r="P143" s="1445"/>
      <c r="Q143" s="1445"/>
      <c r="R143" s="1445"/>
      <c r="S143" s="1445"/>
      <c r="T143" s="1445"/>
      <c r="U143" s="1445"/>
      <c r="V143" s="1445"/>
      <c r="W143" s="1445"/>
      <c r="X143" s="1445"/>
      <c r="Y143" s="1445"/>
      <c r="Z143" s="1445"/>
      <c r="AA143" s="1445"/>
      <c r="AB143" s="1445"/>
      <c r="AC143" s="1445"/>
      <c r="AD143" s="1445"/>
      <c r="AE143" s="1445"/>
      <c r="AF143" s="1445"/>
      <c r="AG143" s="1445"/>
      <c r="AH143" s="1445"/>
      <c r="AI143" s="1445"/>
    </row>
    <row r="144" spans="1:35" s="428" customFormat="1" ht="21.75" customHeight="1">
      <c r="A144" s="1445"/>
      <c r="B144" s="1445"/>
      <c r="C144" s="1445"/>
      <c r="D144" s="1445"/>
      <c r="E144" s="1445"/>
      <c r="F144" s="1445"/>
      <c r="G144" s="1445"/>
      <c r="H144" s="1445"/>
      <c r="I144" s="1445"/>
      <c r="J144" s="1445"/>
      <c r="K144" s="1445"/>
      <c r="L144" s="1445"/>
      <c r="M144" s="1445"/>
      <c r="N144" s="1445"/>
      <c r="O144" s="1445"/>
      <c r="P144" s="1445"/>
      <c r="Q144" s="1445"/>
      <c r="R144" s="1445"/>
      <c r="S144" s="1445"/>
      <c r="T144" s="1445"/>
      <c r="U144" s="1445"/>
      <c r="V144" s="1445"/>
      <c r="W144" s="1445"/>
      <c r="X144" s="1445"/>
      <c r="Y144" s="1445"/>
      <c r="Z144" s="1445"/>
      <c r="AA144" s="1445"/>
      <c r="AB144" s="1445"/>
      <c r="AC144" s="1445"/>
      <c r="AD144" s="1445"/>
      <c r="AE144" s="1445"/>
      <c r="AF144" s="1445"/>
      <c r="AG144" s="1445"/>
      <c r="AH144" s="1445"/>
      <c r="AI144" s="1445"/>
    </row>
    <row r="145" spans="1:35" s="428" customFormat="1" ht="21.75" customHeight="1">
      <c r="A145" s="1445"/>
      <c r="B145" s="1445"/>
      <c r="C145" s="1445"/>
      <c r="D145" s="1445"/>
      <c r="E145" s="1445"/>
      <c r="F145" s="1445"/>
      <c r="G145" s="1445"/>
      <c r="H145" s="1445"/>
      <c r="I145" s="1445"/>
      <c r="J145" s="1445"/>
      <c r="K145" s="1445"/>
      <c r="L145" s="1445"/>
      <c r="M145" s="1445"/>
      <c r="N145" s="1445"/>
      <c r="O145" s="1445"/>
      <c r="P145" s="1445"/>
      <c r="Q145" s="1445"/>
      <c r="R145" s="1445"/>
      <c r="S145" s="1445"/>
      <c r="T145" s="1445"/>
      <c r="U145" s="1445"/>
      <c r="V145" s="1445"/>
      <c r="W145" s="1445"/>
      <c r="X145" s="1445"/>
      <c r="Y145" s="1445"/>
      <c r="Z145" s="1445"/>
      <c r="AA145" s="1445"/>
      <c r="AB145" s="1445"/>
      <c r="AC145" s="1445"/>
      <c r="AD145" s="1445"/>
      <c r="AE145" s="1445"/>
      <c r="AF145" s="1445"/>
      <c r="AG145" s="1445"/>
      <c r="AH145" s="1445"/>
      <c r="AI145" s="1445"/>
    </row>
    <row r="146" spans="1:35" s="1445" customFormat="1" ht="21.75" customHeight="1"/>
    <row r="147" spans="1:35" s="1445" customFormat="1" ht="21.75" customHeight="1"/>
    <row r="148" spans="1:35" s="1445" customFormat="1" ht="21.75" customHeight="1"/>
    <row r="149" spans="1:35" s="1445" customFormat="1" ht="21.75" customHeight="1"/>
    <row r="150" spans="1:35" s="1445" customFormat="1" ht="21.75" customHeight="1"/>
    <row r="151" spans="1:35" s="1445" customFormat="1" ht="21.75" customHeight="1"/>
    <row r="152" spans="1:35" s="1445" customFormat="1" ht="21.75" customHeight="1"/>
    <row r="153" spans="1:35" s="1445" customFormat="1" ht="21.75" customHeight="1"/>
    <row r="154" spans="1:35" s="1445" customFormat="1" ht="21.75" customHeight="1"/>
    <row r="155" spans="1:35" s="1445" customFormat="1" ht="21.75" customHeight="1"/>
    <row r="156" spans="1:35" s="1445" customFormat="1" ht="21.75" customHeight="1"/>
    <row r="157" spans="1:35" s="1445" customFormat="1" ht="21.75" customHeight="1"/>
    <row r="158" spans="1:35" s="1445" customFormat="1" ht="21.75" customHeight="1"/>
    <row r="159" spans="1:35" s="1445" customFormat="1" ht="21.75" customHeight="1"/>
    <row r="160" spans="1:35" s="1445" customFormat="1" ht="21.75" customHeight="1"/>
    <row r="161" s="1445" customFormat="1" ht="21.75" customHeight="1"/>
    <row r="162" s="1445" customFormat="1" ht="21.75" customHeight="1"/>
    <row r="163" s="1445" customFormat="1" ht="21.75" customHeight="1"/>
    <row r="164" s="1445" customFormat="1" ht="21.75" customHeight="1"/>
    <row r="165" s="1445" customFormat="1" ht="21.75" customHeight="1"/>
    <row r="166" s="1445" customFormat="1" ht="21.75" customHeight="1"/>
    <row r="167" s="1445" customFormat="1" ht="21.75" customHeight="1"/>
    <row r="168" s="1445" customFormat="1" ht="21.75" customHeight="1"/>
    <row r="169" s="1445" customFormat="1" ht="21.75" customHeight="1"/>
    <row r="170" s="1445" customFormat="1" ht="21.75" customHeight="1"/>
    <row r="171" s="1445" customFormat="1" ht="21.75" customHeight="1"/>
    <row r="172" s="1445" customFormat="1" ht="21.75" customHeight="1"/>
    <row r="173" s="1445" customFormat="1" ht="21.75" customHeight="1"/>
    <row r="174" s="1445" customFormat="1" ht="21.75" customHeight="1"/>
    <row r="175" s="1445" customFormat="1" ht="21.75" customHeight="1"/>
    <row r="176" s="1445" customFormat="1" ht="21.75" customHeight="1"/>
    <row r="177" s="1445" customFormat="1" ht="21.75" customHeight="1"/>
    <row r="178" s="1445" customFormat="1" ht="21.75" customHeight="1"/>
    <row r="179" s="1445" customFormat="1" ht="21.75" customHeight="1"/>
    <row r="180" s="1445" customFormat="1" ht="21.75" customHeight="1"/>
    <row r="181" s="1445" customFormat="1" ht="21.75" customHeight="1"/>
    <row r="182" s="1445" customFormat="1" ht="21.75" customHeight="1"/>
    <row r="183" s="1445" customFormat="1" ht="21.75" customHeight="1"/>
    <row r="184" s="1445" customFormat="1" ht="21.75" customHeight="1"/>
    <row r="185" s="1445" customFormat="1" ht="21.75" customHeight="1"/>
    <row r="186" s="1445" customFormat="1" ht="21.75" customHeight="1"/>
    <row r="187" s="1445" customFormat="1" ht="21.75" customHeight="1"/>
    <row r="188" s="1445" customFormat="1" ht="21.75" customHeight="1"/>
    <row r="189" s="1445" customFormat="1" ht="21.75" customHeight="1"/>
    <row r="190" s="1445" customFormat="1" ht="21.75" customHeight="1"/>
    <row r="191" s="1445" customFormat="1" ht="21.75" customHeight="1"/>
    <row r="192" s="1445" customFormat="1" ht="21.75" customHeight="1"/>
    <row r="193" s="1445" customFormat="1" ht="21.75" customHeight="1"/>
    <row r="194" s="1445" customFormat="1" ht="21.75" customHeight="1"/>
    <row r="195" s="1445" customFormat="1" ht="21.75" customHeight="1"/>
    <row r="196" s="1445" customFormat="1" ht="21.75" customHeight="1"/>
    <row r="197" s="1445" customFormat="1" ht="21.75" customHeight="1"/>
    <row r="198" s="1445" customFormat="1" ht="21.75" customHeight="1"/>
    <row r="199" s="1445" customFormat="1" ht="21.75" customHeight="1"/>
    <row r="200" s="1445" customFormat="1" ht="21.75" customHeight="1"/>
    <row r="201" s="1445" customFormat="1" ht="21.75" customHeight="1"/>
    <row r="202" s="1445" customFormat="1" ht="21.75" customHeight="1"/>
    <row r="203" s="1445" customFormat="1" ht="21.75" customHeight="1"/>
    <row r="204" s="1445" customFormat="1" ht="21.75" customHeight="1"/>
    <row r="205" s="1445" customFormat="1" ht="21.75" customHeight="1"/>
    <row r="206" s="1445" customFormat="1" ht="21.75" customHeight="1"/>
    <row r="207" s="1445" customFormat="1" ht="21.75" customHeight="1"/>
    <row r="208" s="1445" customFormat="1" ht="21.75" customHeight="1"/>
    <row r="209" s="1445" customFormat="1" ht="21.75" customHeight="1"/>
    <row r="210" s="1445" customFormat="1" ht="21.75" customHeight="1"/>
    <row r="211" s="1445" customFormat="1" ht="21.75" customHeight="1"/>
    <row r="212" s="1445" customFormat="1" ht="21.75" customHeight="1"/>
    <row r="213" s="1445" customFormat="1" ht="21.75" customHeight="1"/>
    <row r="214" s="1445" customFormat="1" ht="21.75" customHeight="1"/>
    <row r="215" s="1445" customFormat="1" ht="21.75" customHeight="1"/>
    <row r="216" s="1445" customFormat="1" ht="21.75" customHeight="1"/>
    <row r="217" s="1445" customFormat="1" ht="21.75" customHeight="1"/>
    <row r="218" s="1445" customFormat="1" ht="21.75" customHeight="1"/>
    <row r="219" s="1445" customFormat="1" ht="21.75" customHeight="1"/>
    <row r="220" s="1445" customFormat="1" ht="21.75" customHeight="1"/>
    <row r="221" s="1445" customFormat="1" ht="21.75" customHeight="1"/>
    <row r="222" s="1445" customFormat="1" ht="21.75" customHeight="1"/>
    <row r="223" s="1445" customFormat="1" ht="21.75" customHeight="1"/>
    <row r="224" s="1445" customFormat="1" ht="21.75" customHeight="1"/>
    <row r="225" s="1445" customFormat="1" ht="21.75" customHeight="1"/>
    <row r="226" s="1445" customFormat="1" ht="21.75" customHeight="1"/>
    <row r="227" s="1445" customFormat="1" ht="21.75" customHeight="1"/>
    <row r="228" s="1445" customFormat="1" ht="21.75" customHeight="1"/>
    <row r="229" s="1445" customFormat="1" ht="21.75" customHeight="1"/>
    <row r="230" s="1445" customFormat="1" ht="21.75" customHeight="1"/>
    <row r="231" s="1445" customFormat="1" ht="21.75" customHeight="1"/>
    <row r="232" s="1445" customFormat="1" ht="21.75" customHeight="1"/>
    <row r="233" s="1445" customFormat="1" ht="21.75" customHeight="1"/>
    <row r="234" s="1445" customFormat="1" ht="21.75" customHeight="1"/>
    <row r="235" s="1445" customFormat="1" ht="21.75" customHeight="1"/>
    <row r="236" s="1445" customFormat="1" ht="21.75" customHeight="1"/>
    <row r="237" s="1445" customFormat="1" ht="21.75" customHeight="1"/>
    <row r="238" s="1445" customFormat="1" ht="21.75" customHeight="1"/>
    <row r="239" s="1445" customFormat="1" ht="21.75" customHeight="1"/>
    <row r="240" s="1445" customFormat="1" ht="21.75" customHeight="1"/>
    <row r="241" s="1445" customFormat="1" ht="21.75" customHeight="1"/>
    <row r="242" s="1445" customFormat="1" ht="21.75" customHeight="1"/>
    <row r="243" s="1445" customFormat="1" ht="21.75" customHeight="1"/>
    <row r="244" s="1445" customFormat="1" ht="21.75" customHeight="1"/>
    <row r="245" s="1445" customFormat="1" ht="21.75" customHeight="1"/>
    <row r="246" s="1445" customFormat="1" ht="21.75" customHeight="1"/>
    <row r="247" s="1445" customFormat="1" ht="21.75" customHeight="1"/>
    <row r="248" s="1445" customFormat="1" ht="21.75" customHeight="1"/>
    <row r="249" s="1445" customFormat="1" ht="21.75" customHeight="1"/>
    <row r="250" s="1445" customFormat="1" ht="21.75" customHeight="1"/>
    <row r="251" s="1445" customFormat="1" ht="21.75" customHeight="1"/>
    <row r="252" s="1445" customFormat="1" ht="21.75" customHeight="1"/>
    <row r="253" s="1445" customFormat="1" ht="21.75" customHeight="1"/>
    <row r="254" s="1445" customFormat="1" ht="21.75" customHeight="1"/>
    <row r="255" s="1445" customFormat="1" ht="21.75" customHeight="1"/>
    <row r="256" s="1445" customFormat="1" ht="21.75" customHeight="1"/>
    <row r="257" s="1445" customFormat="1" ht="21.75" customHeight="1"/>
    <row r="258" s="1445" customFormat="1" ht="21.75" customHeight="1"/>
    <row r="259" s="1445" customFormat="1" ht="21.75" customHeight="1"/>
    <row r="260" s="1445" customFormat="1" ht="21.75" customHeight="1"/>
    <row r="261" s="1445" customFormat="1" ht="21.75" customHeight="1"/>
    <row r="262" s="1445" customFormat="1" ht="21.75" customHeight="1"/>
    <row r="263" s="1445" customFormat="1" ht="21.75" customHeight="1"/>
    <row r="264" s="1445" customFormat="1" ht="21.75" customHeight="1"/>
    <row r="265" s="1445" customFormat="1" ht="21.75" customHeight="1"/>
    <row r="266" s="1445" customFormat="1" ht="21.75" customHeight="1"/>
    <row r="267" s="1445" customFormat="1" ht="21.75" customHeight="1"/>
    <row r="268" s="1445" customFormat="1" ht="21.75" customHeight="1"/>
    <row r="269" s="1445" customFormat="1" ht="21.75" customHeight="1"/>
    <row r="270" s="1445" customFormat="1" ht="21.75" customHeight="1"/>
    <row r="271" s="1445" customFormat="1" ht="21.75" customHeight="1"/>
    <row r="272" s="1445" customFormat="1" ht="21.75" customHeight="1"/>
    <row r="273" s="1445" customFormat="1" ht="21.75" customHeight="1"/>
    <row r="274" s="1445" customFormat="1" ht="21.75" customHeight="1"/>
    <row r="275" s="1445" customFormat="1" ht="21.75" customHeight="1"/>
    <row r="276" s="1445" customFormat="1" ht="21.75" customHeight="1"/>
    <row r="277" s="1445" customFormat="1" ht="21.75" customHeight="1"/>
    <row r="278" s="1445" customFormat="1" ht="21.75" customHeight="1"/>
    <row r="279" s="1445" customFormat="1" ht="21.75" customHeight="1"/>
    <row r="280" s="1445" customFormat="1" ht="21.75" customHeight="1"/>
    <row r="281" s="1445" customFormat="1" ht="21.75" customHeight="1"/>
    <row r="282" s="1445" customFormat="1" ht="21.75" customHeight="1"/>
    <row r="283" s="1445" customFormat="1" ht="21.75" customHeight="1"/>
    <row r="284" s="1445" customFormat="1" ht="21.75" customHeight="1"/>
    <row r="285" s="1445" customFormat="1" ht="21.75" customHeight="1"/>
    <row r="286" s="1445" customFormat="1" ht="21.75" customHeight="1"/>
    <row r="287" s="1445" customFormat="1" ht="21.75" customHeight="1"/>
    <row r="288" s="1445" customFormat="1" ht="21.75" customHeight="1"/>
    <row r="289" s="1445" customFormat="1" ht="21.75" customHeight="1"/>
    <row r="290" s="1445" customFormat="1" ht="21.75" customHeight="1"/>
    <row r="291" s="1445" customFormat="1" ht="21.75" customHeight="1"/>
    <row r="292" s="1445" customFormat="1" ht="21.75" customHeight="1"/>
    <row r="293" s="1445" customFormat="1" ht="21.75" customHeight="1"/>
    <row r="294" s="1445" customFormat="1" ht="21.75" customHeight="1"/>
    <row r="295" s="1445" customFormat="1" ht="21.75" customHeight="1"/>
    <row r="296" s="1445" customFormat="1" ht="21.75" customHeight="1"/>
    <row r="297" s="1445" customFormat="1" ht="21.75" customHeight="1"/>
    <row r="298" s="1445" customFormat="1" ht="21.75" customHeight="1"/>
    <row r="299" s="1445" customFormat="1" ht="21.75" customHeight="1"/>
    <row r="300" s="1445" customFormat="1" ht="21.75" customHeight="1"/>
    <row r="301" s="1445" customFormat="1" ht="21.75" customHeight="1"/>
    <row r="302" s="1445" customFormat="1" ht="21.75" customHeight="1"/>
    <row r="303" s="1445" customFormat="1" ht="21.75" customHeight="1"/>
    <row r="304" s="1445" customFormat="1" ht="21.75" customHeight="1"/>
    <row r="305" s="1445" customFormat="1" ht="21.75" customHeight="1"/>
    <row r="306" s="1445" customFormat="1" ht="21.75" customHeight="1"/>
    <row r="307" s="1445" customFormat="1" ht="21.75" customHeight="1"/>
    <row r="308" s="1445" customFormat="1" ht="21.75" customHeight="1"/>
    <row r="309" s="1445" customFormat="1" ht="21.75" customHeight="1"/>
    <row r="310" s="1445" customFormat="1" ht="21.75" customHeight="1"/>
    <row r="311" s="1445" customFormat="1" ht="21.75" customHeight="1"/>
    <row r="312" s="1445" customFormat="1" ht="21.75" customHeight="1"/>
    <row r="313" s="1445" customFormat="1" ht="21.75" customHeight="1"/>
    <row r="314" s="1445" customFormat="1" ht="21.75" customHeight="1"/>
    <row r="315" s="1445" customFormat="1" ht="21.75" customHeight="1"/>
    <row r="316" s="1445" customFormat="1" ht="21.75" customHeight="1"/>
    <row r="317" s="1445" customFormat="1" ht="21.75" customHeight="1"/>
    <row r="318" s="1445" customFormat="1" ht="21.75" customHeight="1"/>
    <row r="319" s="1445" customFormat="1" ht="21.75" customHeight="1"/>
    <row r="320" s="1445" customFormat="1" ht="21.75" customHeight="1"/>
    <row r="321" s="1445" customFormat="1" ht="21.75" customHeight="1"/>
    <row r="322" s="1445" customFormat="1" ht="21.75" customHeight="1"/>
    <row r="323" s="1445" customFormat="1" ht="21.75" customHeight="1"/>
    <row r="324" s="1445" customFormat="1" ht="21.75" customHeight="1"/>
    <row r="325" s="1445" customFormat="1" ht="21.75" customHeight="1"/>
    <row r="326" s="1445" customFormat="1" ht="21.75" customHeight="1"/>
    <row r="327" s="1445" customFormat="1" ht="21.75" customHeight="1"/>
    <row r="328" s="1445" customFormat="1" ht="21.75" customHeight="1"/>
    <row r="329" s="1445" customFormat="1" ht="21.75" customHeight="1"/>
    <row r="330" s="1445" customFormat="1" ht="21.75" customHeight="1"/>
    <row r="331" s="1445" customFormat="1" ht="21.75" customHeight="1"/>
    <row r="332" s="1445" customFormat="1" ht="21.75" customHeight="1"/>
    <row r="333" s="1445" customFormat="1" ht="21.75" customHeight="1"/>
    <row r="334" s="1445" customFormat="1" ht="21.75" customHeight="1"/>
    <row r="335" s="1445" customFormat="1" ht="21.75" customHeight="1"/>
    <row r="336" s="1445" customFormat="1" ht="21.75" customHeight="1"/>
    <row r="337" s="1445" customFormat="1" ht="21.75" customHeight="1"/>
    <row r="338" s="1445" customFormat="1" ht="21.75" customHeight="1"/>
    <row r="339" s="1445" customFormat="1" ht="21.75" customHeight="1"/>
    <row r="340" s="1445" customFormat="1" ht="21.75" customHeight="1"/>
    <row r="341" s="1445" customFormat="1" ht="21.75" customHeight="1"/>
    <row r="342" s="1445" customFormat="1" ht="21.75" customHeight="1"/>
    <row r="343" s="1445" customFormat="1" ht="21.75" customHeight="1"/>
    <row r="344" s="1445" customFormat="1" ht="21.75" customHeight="1"/>
    <row r="345" s="1445" customFormat="1" ht="21.75" customHeight="1"/>
    <row r="346" s="1445" customFormat="1" ht="21.75" customHeight="1"/>
    <row r="347" s="1445" customFormat="1" ht="21.75" customHeight="1"/>
    <row r="348" s="1445" customFormat="1" ht="21.75" customHeight="1"/>
    <row r="349" s="1445" customFormat="1" ht="21.75" customHeight="1"/>
    <row r="350" s="1445" customFormat="1" ht="21.75" customHeight="1"/>
    <row r="351" s="1445" customFormat="1" ht="21.75" customHeight="1"/>
    <row r="352" s="1445" customFormat="1" ht="21.75" customHeight="1"/>
    <row r="353" s="1445" customFormat="1" ht="21.75" customHeight="1"/>
    <row r="354" s="1445" customFormat="1" ht="21.75" customHeight="1"/>
    <row r="355" s="1445" customFormat="1" ht="21.75" customHeight="1"/>
    <row r="356" s="1445" customFormat="1" ht="21.75" customHeight="1"/>
    <row r="357" s="1445" customFormat="1" ht="21.75" customHeight="1"/>
    <row r="358" s="1445" customFormat="1" ht="21.75" customHeight="1"/>
    <row r="359" s="1445" customFormat="1" ht="21.75" customHeight="1"/>
    <row r="360" s="1445" customFormat="1" ht="21.75" customHeight="1"/>
    <row r="361" s="1445" customFormat="1" ht="21.75" customHeight="1"/>
    <row r="362" s="1445" customFormat="1" ht="21.75" customHeight="1"/>
    <row r="363" s="1445" customFormat="1" ht="21.75" customHeight="1"/>
    <row r="364" s="1445" customFormat="1" ht="21.75" customHeight="1"/>
    <row r="365" s="1445" customFormat="1" ht="21.75" customHeight="1"/>
    <row r="366" s="1445" customFormat="1" ht="21.75" customHeight="1"/>
    <row r="367" s="1445" customFormat="1" ht="21.75" customHeight="1"/>
    <row r="368" s="1445" customFormat="1" ht="21.75" customHeight="1"/>
    <row r="369" s="1445" customFormat="1" ht="21.75" customHeight="1"/>
    <row r="370" s="1445" customFormat="1" ht="21.75" customHeight="1"/>
    <row r="371" s="1445" customFormat="1" ht="21.75" customHeight="1"/>
    <row r="372" s="1445" customFormat="1" ht="21.75" customHeight="1"/>
    <row r="373" s="1445" customFormat="1" ht="21.75" customHeight="1"/>
    <row r="374" s="1445" customFormat="1" ht="21.75" customHeight="1"/>
    <row r="375" s="1445" customFormat="1" ht="21.75" customHeight="1"/>
    <row r="376" s="1445" customFormat="1" ht="21.75" customHeight="1"/>
    <row r="377" s="1445" customFormat="1" ht="21.75" customHeight="1"/>
    <row r="378" s="1445" customFormat="1" ht="21.75" customHeight="1"/>
    <row r="379" s="1445" customFormat="1" ht="21.75" customHeight="1"/>
    <row r="380" s="1445" customFormat="1" ht="21.75" customHeight="1"/>
    <row r="381" s="1445" customFormat="1" ht="21.75" customHeight="1"/>
    <row r="382" s="1445" customFormat="1" ht="21.75" customHeight="1"/>
    <row r="383" s="1445" customFormat="1" ht="21.75" customHeight="1"/>
    <row r="384" s="1445" customFormat="1" ht="21.75" customHeight="1"/>
    <row r="385" s="1445" customFormat="1" ht="21.75" customHeight="1"/>
    <row r="386" s="1445" customFormat="1" ht="21.75" customHeight="1"/>
    <row r="387" s="1445" customFormat="1" ht="21.75" customHeight="1"/>
    <row r="388" s="1445" customFormat="1" ht="21.75" customHeight="1"/>
    <row r="389" s="1445" customFormat="1" ht="21.75" customHeight="1"/>
    <row r="390" s="1445" customFormat="1" ht="21.75" customHeight="1"/>
    <row r="391" s="1445" customFormat="1" ht="21.75" customHeight="1"/>
    <row r="392" s="1445" customFormat="1" ht="21.75" customHeight="1"/>
    <row r="393" s="1445" customFormat="1" ht="21.75" customHeight="1"/>
    <row r="394" s="1445" customFormat="1" ht="21.75" customHeight="1"/>
    <row r="395" s="1445" customFormat="1" ht="21.75" customHeight="1"/>
    <row r="396" s="1445" customFormat="1" ht="21.75" customHeight="1"/>
    <row r="397" s="1445" customFormat="1" ht="21.75" customHeight="1"/>
    <row r="398" s="1445" customFormat="1" ht="21.75" customHeight="1"/>
    <row r="399" s="1445" customFormat="1" ht="21.75" customHeight="1"/>
    <row r="400" s="1445" customFormat="1" ht="21.75" customHeight="1"/>
    <row r="401" spans="10:26" s="1445" customFormat="1" ht="21.75" customHeight="1"/>
    <row r="402" spans="10:26" s="1445" customFormat="1" ht="21.75" customHeight="1"/>
    <row r="403" spans="10:26" s="1445" customFormat="1" ht="21.75" customHeight="1"/>
    <row r="404" spans="10:26" s="1445" customFormat="1" ht="21.75" customHeight="1"/>
    <row r="405" spans="10:26" s="1445" customFormat="1" ht="21.75" customHeight="1"/>
    <row r="406" spans="10:26" s="1445" customFormat="1" ht="21.75" customHeight="1"/>
    <row r="407" spans="10:26" s="1445" customFormat="1" ht="21.75" customHeight="1"/>
    <row r="408" spans="10:26" s="1445" customFormat="1" ht="21.75" customHeight="1"/>
    <row r="409" spans="10:26" s="1433" customFormat="1" ht="21.75" customHeight="1">
      <c r="J409" s="1445"/>
      <c r="K409" s="1445"/>
      <c r="L409" s="1445"/>
      <c r="M409" s="1445"/>
      <c r="N409" s="1445"/>
      <c r="O409" s="1445"/>
      <c r="P409" s="1445"/>
      <c r="Q409" s="1445"/>
      <c r="R409" s="1445"/>
      <c r="S409" s="1445"/>
      <c r="T409" s="1445"/>
      <c r="U409" s="1445"/>
      <c r="V409" s="1445"/>
      <c r="W409" s="1445"/>
      <c r="X409" s="1445"/>
      <c r="Y409" s="1445"/>
      <c r="Z409" s="1445"/>
    </row>
    <row r="410" spans="10:26" s="1433" customFormat="1" ht="21.75" customHeight="1">
      <c r="J410" s="1445"/>
      <c r="K410" s="1445"/>
      <c r="L410" s="1445"/>
      <c r="M410" s="1445"/>
      <c r="N410" s="1445"/>
      <c r="O410" s="1445"/>
      <c r="P410" s="1445"/>
      <c r="Q410" s="1445"/>
      <c r="R410" s="1445"/>
      <c r="S410" s="1445"/>
      <c r="T410" s="1445"/>
      <c r="U410" s="1445"/>
      <c r="V410" s="1445"/>
      <c r="W410" s="1445"/>
      <c r="X410" s="1445"/>
      <c r="Y410" s="1445"/>
      <c r="Z410" s="1445"/>
    </row>
    <row r="411" spans="10:26" s="1433" customFormat="1" ht="21.75" customHeight="1">
      <c r="J411" s="1445"/>
      <c r="K411" s="1445"/>
      <c r="L411" s="1445"/>
      <c r="M411" s="1445"/>
      <c r="N411" s="1445"/>
      <c r="O411" s="1445"/>
      <c r="P411" s="1445"/>
      <c r="Q411" s="1445"/>
      <c r="R411" s="1445"/>
      <c r="S411" s="1445"/>
      <c r="T411" s="1445"/>
      <c r="U411" s="1445"/>
      <c r="V411" s="1445"/>
      <c r="W411" s="1445"/>
      <c r="X411" s="1445"/>
      <c r="Y411" s="1445"/>
      <c r="Z411" s="1445"/>
    </row>
    <row r="412" spans="10:26" s="1433" customFormat="1" ht="21.75" customHeight="1">
      <c r="J412" s="1445"/>
      <c r="K412" s="1445"/>
      <c r="L412" s="1445"/>
      <c r="M412" s="1445"/>
      <c r="N412" s="1445"/>
      <c r="O412" s="1445"/>
      <c r="P412" s="1445"/>
      <c r="Q412" s="1445"/>
      <c r="R412" s="1445"/>
      <c r="S412" s="1445"/>
      <c r="T412" s="1445"/>
      <c r="U412" s="1445"/>
      <c r="V412" s="1445"/>
      <c r="W412" s="1445"/>
      <c r="X412" s="1445"/>
      <c r="Y412" s="1445"/>
      <c r="Z412" s="1445"/>
    </row>
    <row r="413" spans="10:26" s="1433" customFormat="1" ht="21.75" customHeight="1">
      <c r="J413" s="1445"/>
      <c r="K413" s="1445"/>
      <c r="L413" s="1445"/>
      <c r="M413" s="1445"/>
      <c r="N413" s="1445"/>
      <c r="O413" s="1445"/>
      <c r="P413" s="1445"/>
      <c r="Q413" s="1445"/>
      <c r="R413" s="1445"/>
      <c r="S413" s="1445"/>
      <c r="T413" s="1445"/>
      <c r="U413" s="1445"/>
      <c r="V413" s="1445"/>
      <c r="W413" s="1445"/>
      <c r="X413" s="1445"/>
      <c r="Y413" s="1445"/>
      <c r="Z413" s="1445"/>
    </row>
    <row r="414" spans="10:26" s="1433" customFormat="1" ht="21.75" customHeight="1">
      <c r="J414" s="1445"/>
      <c r="K414" s="1445"/>
      <c r="L414" s="1445"/>
      <c r="M414" s="1445"/>
      <c r="N414" s="1445"/>
      <c r="O414" s="1445"/>
      <c r="P414" s="1445"/>
      <c r="Q414" s="1445"/>
      <c r="R414" s="1445"/>
      <c r="S414" s="1445"/>
      <c r="T414" s="1445"/>
      <c r="U414" s="1445"/>
      <c r="V414" s="1445"/>
      <c r="W414" s="1445"/>
      <c r="X414" s="1445"/>
      <c r="Y414" s="1445"/>
      <c r="Z414" s="1445"/>
    </row>
    <row r="415" spans="10:26" s="1433" customFormat="1" ht="21.75" customHeight="1">
      <c r="J415" s="1445"/>
      <c r="K415" s="1445"/>
      <c r="L415" s="1445"/>
      <c r="M415" s="1445"/>
      <c r="N415" s="1445"/>
      <c r="O415" s="1445"/>
      <c r="P415" s="1445"/>
      <c r="Q415" s="1445"/>
      <c r="R415" s="1445"/>
      <c r="S415" s="1445"/>
      <c r="T415" s="1445"/>
      <c r="U415" s="1445"/>
      <c r="V415" s="1445"/>
      <c r="W415" s="1445"/>
      <c r="X415" s="1445"/>
      <c r="Y415" s="1445"/>
      <c r="Z415" s="1445"/>
    </row>
    <row r="416" spans="10:26" s="1433" customFormat="1" ht="21.75" customHeight="1">
      <c r="J416" s="1445"/>
      <c r="K416" s="1445"/>
      <c r="L416" s="1445"/>
      <c r="M416" s="1445"/>
      <c r="N416" s="1445"/>
      <c r="O416" s="1445"/>
      <c r="P416" s="1445"/>
      <c r="Q416" s="1445"/>
      <c r="R416" s="1445"/>
      <c r="S416" s="1445"/>
      <c r="T416" s="1445"/>
      <c r="U416" s="1445"/>
      <c r="V416" s="1445"/>
      <c r="W416" s="1445"/>
      <c r="X416" s="1445"/>
      <c r="Y416" s="1445"/>
      <c r="Z416" s="1445"/>
    </row>
    <row r="417" spans="10:26" s="1433" customFormat="1" ht="21.75" customHeight="1">
      <c r="J417" s="1445"/>
      <c r="K417" s="1445"/>
      <c r="L417" s="1445"/>
      <c r="M417" s="1445"/>
      <c r="N417" s="1445"/>
      <c r="O417" s="1445"/>
      <c r="P417" s="1445"/>
      <c r="Q417" s="1445"/>
      <c r="R417" s="1445"/>
      <c r="S417" s="1445"/>
      <c r="T417" s="1445"/>
      <c r="U417" s="1445"/>
      <c r="V417" s="1445"/>
      <c r="W417" s="1445"/>
      <c r="X417" s="1445"/>
      <c r="Y417" s="1445"/>
      <c r="Z417" s="1445"/>
    </row>
    <row r="418" spans="10:26" s="1433" customFormat="1" ht="21.75" customHeight="1">
      <c r="J418" s="1445"/>
      <c r="K418" s="1445"/>
      <c r="L418" s="1445"/>
      <c r="M418" s="1445"/>
      <c r="N418" s="1445"/>
      <c r="O418" s="1445"/>
      <c r="P418" s="1445"/>
      <c r="Q418" s="1445"/>
      <c r="R418" s="1445"/>
      <c r="S418" s="1445"/>
      <c r="T418" s="1445"/>
      <c r="U418" s="1445"/>
      <c r="V418" s="1445"/>
      <c r="W418" s="1445"/>
      <c r="X418" s="1445"/>
      <c r="Y418" s="1445"/>
      <c r="Z418" s="1445"/>
    </row>
    <row r="419" spans="10:26" s="1433" customFormat="1" ht="21.75" customHeight="1">
      <c r="J419" s="1445"/>
      <c r="K419" s="1445"/>
      <c r="L419" s="1445"/>
      <c r="M419" s="1445"/>
      <c r="N419" s="1445"/>
      <c r="O419" s="1445"/>
      <c r="P419" s="1445"/>
      <c r="Q419" s="1445"/>
      <c r="R419" s="1445"/>
      <c r="S419" s="1445"/>
      <c r="T419" s="1445"/>
      <c r="U419" s="1445"/>
      <c r="V419" s="1445"/>
      <c r="W419" s="1445"/>
      <c r="X419" s="1445"/>
      <c r="Y419" s="1445"/>
      <c r="Z419" s="1445"/>
    </row>
    <row r="420" spans="10:26" s="1433" customFormat="1" ht="21.75" customHeight="1">
      <c r="J420" s="1445"/>
      <c r="K420" s="1445"/>
      <c r="L420" s="1445"/>
      <c r="M420" s="1445"/>
      <c r="N420" s="1445"/>
      <c r="O420" s="1445"/>
      <c r="P420" s="1445"/>
      <c r="Q420" s="1445"/>
      <c r="R420" s="1445"/>
      <c r="S420" s="1445"/>
      <c r="T420" s="1445"/>
      <c r="U420" s="1445"/>
      <c r="V420" s="1445"/>
      <c r="W420" s="1445"/>
      <c r="X420" s="1445"/>
      <c r="Y420" s="1445"/>
      <c r="Z420" s="1445"/>
    </row>
    <row r="421" spans="10:26" s="1433" customFormat="1" ht="21.75" customHeight="1">
      <c r="J421" s="1445"/>
      <c r="K421" s="1445"/>
      <c r="L421" s="1445"/>
      <c r="M421" s="1445"/>
      <c r="N421" s="1445"/>
      <c r="O421" s="1445"/>
      <c r="P421" s="1445"/>
      <c r="Q421" s="1445"/>
      <c r="R421" s="1445"/>
      <c r="S421" s="1445"/>
      <c r="T421" s="1445"/>
      <c r="U421" s="1445"/>
      <c r="V421" s="1445"/>
      <c r="W421" s="1445"/>
      <c r="X421" s="1445"/>
      <c r="Y421" s="1445"/>
      <c r="Z421" s="1445"/>
    </row>
    <row r="422" spans="10:26" s="1433" customFormat="1" ht="21.75" customHeight="1">
      <c r="J422" s="1445"/>
      <c r="K422" s="1445"/>
      <c r="L422" s="1445"/>
      <c r="M422" s="1445"/>
      <c r="N422" s="1445"/>
      <c r="O422" s="1445"/>
      <c r="P422" s="1445"/>
      <c r="Q422" s="1445"/>
      <c r="R422" s="1445"/>
      <c r="S422" s="1445"/>
      <c r="T422" s="1445"/>
      <c r="U422" s="1445"/>
      <c r="V422" s="1445"/>
      <c r="W422" s="1445"/>
      <c r="X422" s="1445"/>
      <c r="Y422" s="1445"/>
      <c r="Z422" s="1445"/>
    </row>
    <row r="423" spans="10:26" s="1433" customFormat="1" ht="21.75" customHeight="1">
      <c r="J423" s="1445"/>
      <c r="K423" s="1445"/>
      <c r="L423" s="1445"/>
      <c r="M423" s="1445"/>
      <c r="N423" s="1445"/>
      <c r="O423" s="1445"/>
      <c r="P423" s="1445"/>
      <c r="Q423" s="1445"/>
      <c r="R423" s="1445"/>
      <c r="S423" s="1445"/>
      <c r="T423" s="1445"/>
      <c r="U423" s="1445"/>
      <c r="V423" s="1445"/>
      <c r="W423" s="1445"/>
      <c r="X423" s="1445"/>
      <c r="Y423" s="1445"/>
      <c r="Z423" s="1445"/>
    </row>
    <row r="424" spans="10:26" s="1433" customFormat="1" ht="21.75" customHeight="1">
      <c r="J424" s="1445"/>
      <c r="K424" s="1445"/>
      <c r="L424" s="1445"/>
      <c r="M424" s="1445"/>
      <c r="N424" s="1445"/>
      <c r="O424" s="1445"/>
      <c r="P424" s="1445"/>
      <c r="Q424" s="1445"/>
      <c r="R424" s="1445"/>
      <c r="S424" s="1445"/>
      <c r="T424" s="1445"/>
      <c r="U424" s="1445"/>
      <c r="V424" s="1445"/>
      <c r="W424" s="1445"/>
      <c r="X424" s="1445"/>
      <c r="Y424" s="1445"/>
      <c r="Z424" s="1445"/>
    </row>
    <row r="425" spans="10:26" s="1433" customFormat="1" ht="21.75" customHeight="1">
      <c r="J425" s="1445"/>
      <c r="K425" s="1445"/>
      <c r="L425" s="1445"/>
      <c r="M425" s="1445"/>
      <c r="N425" s="1445"/>
      <c r="O425" s="1445"/>
      <c r="P425" s="1445"/>
      <c r="Q425" s="1445"/>
      <c r="R425" s="1445"/>
      <c r="S425" s="1445"/>
      <c r="T425" s="1445"/>
      <c r="U425" s="1445"/>
      <c r="V425" s="1445"/>
      <c r="W425" s="1445"/>
      <c r="X425" s="1445"/>
      <c r="Y425" s="1445"/>
      <c r="Z425" s="1445"/>
    </row>
    <row r="426" spans="10:26" s="1433" customFormat="1" ht="21.75" customHeight="1">
      <c r="J426" s="1445"/>
      <c r="K426" s="1445"/>
      <c r="L426" s="1445"/>
      <c r="M426" s="1445"/>
      <c r="N426" s="1445"/>
      <c r="O426" s="1445"/>
      <c r="P426" s="1445"/>
      <c r="Q426" s="1445"/>
      <c r="R426" s="1445"/>
      <c r="S426" s="1445"/>
      <c r="T426" s="1445"/>
      <c r="U426" s="1445"/>
      <c r="V426" s="1445"/>
      <c r="W426" s="1445"/>
      <c r="X426" s="1445"/>
      <c r="Y426" s="1445"/>
      <c r="Z426" s="1445"/>
    </row>
    <row r="427" spans="10:26" s="1433" customFormat="1" ht="21.75" customHeight="1">
      <c r="J427" s="1445"/>
      <c r="K427" s="1445"/>
      <c r="L427" s="1445"/>
      <c r="M427" s="1445"/>
      <c r="N427" s="1445"/>
      <c r="O427" s="1445"/>
      <c r="P427" s="1445"/>
      <c r="Q427" s="1445"/>
      <c r="R427" s="1445"/>
      <c r="S427" s="1445"/>
      <c r="T427" s="1445"/>
      <c r="U427" s="1445"/>
      <c r="V427" s="1445"/>
      <c r="W427" s="1445"/>
      <c r="X427" s="1445"/>
      <c r="Y427" s="1445"/>
      <c r="Z427" s="1445"/>
    </row>
    <row r="428" spans="10:26" s="1433" customFormat="1" ht="21.75" customHeight="1">
      <c r="J428" s="1445"/>
      <c r="K428" s="1445"/>
      <c r="L428" s="1445"/>
      <c r="M428" s="1445"/>
      <c r="N428" s="1445"/>
      <c r="O428" s="1445"/>
      <c r="P428" s="1445"/>
      <c r="Q428" s="1445"/>
      <c r="R428" s="1445"/>
      <c r="S428" s="1445"/>
      <c r="T428" s="1445"/>
      <c r="U428" s="1445"/>
      <c r="V428" s="1445"/>
      <c r="W428" s="1445"/>
      <c r="X428" s="1445"/>
      <c r="Y428" s="1445"/>
      <c r="Z428" s="1445"/>
    </row>
    <row r="429" spans="10:26" s="1433" customFormat="1" ht="21.75" customHeight="1">
      <c r="J429" s="1445"/>
      <c r="K429" s="1445"/>
      <c r="L429" s="1445"/>
      <c r="M429" s="1445"/>
      <c r="N429" s="1445"/>
      <c r="O429" s="1445"/>
      <c r="P429" s="1445"/>
      <c r="Q429" s="1445"/>
      <c r="R429" s="1445"/>
      <c r="S429" s="1445"/>
      <c r="T429" s="1445"/>
      <c r="U429" s="1445"/>
      <c r="V429" s="1445"/>
      <c r="W429" s="1445"/>
      <c r="X429" s="1445"/>
      <c r="Y429" s="1445"/>
      <c r="Z429" s="1445"/>
    </row>
    <row r="430" spans="10:26" s="1433" customFormat="1" ht="21.75" customHeight="1">
      <c r="J430" s="1445"/>
      <c r="K430" s="1445"/>
      <c r="L430" s="1445"/>
      <c r="M430" s="1445"/>
      <c r="N430" s="1445"/>
      <c r="O430" s="1445"/>
      <c r="P430" s="1445"/>
      <c r="Q430" s="1445"/>
      <c r="R430" s="1445"/>
      <c r="S430" s="1445"/>
      <c r="T430" s="1445"/>
      <c r="U430" s="1445"/>
      <c r="V430" s="1445"/>
      <c r="W430" s="1445"/>
      <c r="X430" s="1445"/>
      <c r="Y430" s="1445"/>
      <c r="Z430" s="1445"/>
    </row>
    <row r="431" spans="10:26" s="1433" customFormat="1" ht="21.75" customHeight="1">
      <c r="J431" s="1445"/>
      <c r="K431" s="1445"/>
      <c r="L431" s="1445"/>
      <c r="M431" s="1445"/>
      <c r="N431" s="1445"/>
      <c r="O431" s="1445"/>
      <c r="P431" s="1445"/>
      <c r="Q431" s="1445"/>
      <c r="R431" s="1445"/>
      <c r="S431" s="1445"/>
      <c r="T431" s="1445"/>
      <c r="U431" s="1445"/>
      <c r="V431" s="1445"/>
      <c r="W431" s="1445"/>
      <c r="X431" s="1445"/>
      <c r="Y431" s="1445"/>
      <c r="Z431" s="1445"/>
    </row>
    <row r="432" spans="10:26" s="1433" customFormat="1" ht="21.75" customHeight="1">
      <c r="J432" s="1445"/>
      <c r="K432" s="1445"/>
      <c r="L432" s="1445"/>
      <c r="M432" s="1445"/>
      <c r="N432" s="1445"/>
      <c r="O432" s="1445"/>
      <c r="P432" s="1445"/>
      <c r="Q432" s="1445"/>
      <c r="R432" s="1445"/>
      <c r="S432" s="1445"/>
      <c r="T432" s="1445"/>
      <c r="U432" s="1445"/>
      <c r="V432" s="1445"/>
      <c r="W432" s="1445"/>
      <c r="X432" s="1445"/>
      <c r="Y432" s="1445"/>
      <c r="Z432" s="1445"/>
    </row>
    <row r="433" spans="10:26" s="1433" customFormat="1" ht="21.75" customHeight="1">
      <c r="J433" s="1445"/>
      <c r="K433" s="1445"/>
      <c r="L433" s="1445"/>
      <c r="M433" s="1445"/>
      <c r="N433" s="1445"/>
      <c r="O433" s="1445"/>
      <c r="P433" s="1445"/>
      <c r="Q433" s="1445"/>
      <c r="R433" s="1445"/>
      <c r="S433" s="1445"/>
      <c r="T433" s="1445"/>
      <c r="U433" s="1445"/>
      <c r="V433" s="1445"/>
      <c r="W433" s="1445"/>
      <c r="X433" s="1445"/>
      <c r="Y433" s="1445"/>
      <c r="Z433" s="1445"/>
    </row>
    <row r="434" spans="10:26" s="1433" customFormat="1" ht="21.75" customHeight="1">
      <c r="J434" s="1445"/>
      <c r="K434" s="1445"/>
      <c r="L434" s="1445"/>
      <c r="M434" s="1445"/>
      <c r="N434" s="1445"/>
      <c r="O434" s="1445"/>
      <c r="P434" s="1445"/>
      <c r="Q434" s="1445"/>
      <c r="R434" s="1445"/>
      <c r="S434" s="1445"/>
      <c r="T434" s="1445"/>
      <c r="U434" s="1445"/>
      <c r="V434" s="1445"/>
      <c r="W434" s="1445"/>
      <c r="X434" s="1445"/>
      <c r="Y434" s="1445"/>
      <c r="Z434" s="1445"/>
    </row>
    <row r="435" spans="10:26" s="1433" customFormat="1" ht="21.75" customHeight="1">
      <c r="J435" s="1445"/>
      <c r="K435" s="1445"/>
      <c r="L435" s="1445"/>
      <c r="M435" s="1445"/>
      <c r="N435" s="1445"/>
      <c r="O435" s="1445"/>
      <c r="P435" s="1445"/>
      <c r="Q435" s="1445"/>
      <c r="R435" s="1445"/>
      <c r="S435" s="1445"/>
      <c r="T435" s="1445"/>
      <c r="U435" s="1445"/>
      <c r="V435" s="1445"/>
      <c r="W435" s="1445"/>
      <c r="X435" s="1445"/>
      <c r="Y435" s="1445"/>
      <c r="Z435" s="1445"/>
    </row>
    <row r="436" spans="10:26" s="1433" customFormat="1" ht="21.75" customHeight="1">
      <c r="J436" s="1445"/>
      <c r="K436" s="1445"/>
      <c r="L436" s="1445"/>
      <c r="M436" s="1445"/>
      <c r="N436" s="1445"/>
      <c r="O436" s="1445"/>
      <c r="P436" s="1445"/>
      <c r="Q436" s="1445"/>
      <c r="R436" s="1445"/>
      <c r="S436" s="1445"/>
      <c r="T436" s="1445"/>
      <c r="U436" s="1445"/>
      <c r="V436" s="1445"/>
      <c r="W436" s="1445"/>
      <c r="X436" s="1445"/>
      <c r="Y436" s="1445"/>
      <c r="Z436" s="1445"/>
    </row>
    <row r="437" spans="10:26" s="1433" customFormat="1" ht="21.75" customHeight="1">
      <c r="J437" s="1445"/>
      <c r="K437" s="1445"/>
      <c r="L437" s="1445"/>
      <c r="M437" s="1445"/>
      <c r="N437" s="1445"/>
      <c r="O437" s="1445"/>
      <c r="P437" s="1445"/>
      <c r="Q437" s="1445"/>
      <c r="R437" s="1445"/>
      <c r="S437" s="1445"/>
      <c r="T437" s="1445"/>
      <c r="U437" s="1445"/>
      <c r="V437" s="1445"/>
      <c r="W437" s="1445"/>
      <c r="X437" s="1445"/>
      <c r="Y437" s="1445"/>
      <c r="Z437" s="1445"/>
    </row>
    <row r="438" spans="10:26" s="1433" customFormat="1" ht="21.75" customHeight="1">
      <c r="J438" s="1445"/>
      <c r="K438" s="1445"/>
      <c r="L438" s="1445"/>
      <c r="M438" s="1445"/>
      <c r="N438" s="1445"/>
      <c r="O438" s="1445"/>
      <c r="P438" s="1445"/>
      <c r="Q438" s="1445"/>
      <c r="R438" s="1445"/>
      <c r="S438" s="1445"/>
      <c r="T438" s="1445"/>
      <c r="U438" s="1445"/>
      <c r="V438" s="1445"/>
      <c r="W438" s="1445"/>
      <c r="X438" s="1445"/>
      <c r="Y438" s="1445"/>
      <c r="Z438" s="1445"/>
    </row>
    <row r="439" spans="10:26" s="1433" customFormat="1" ht="21.75" customHeight="1">
      <c r="J439" s="1445"/>
      <c r="K439" s="1445"/>
      <c r="L439" s="1445"/>
      <c r="M439" s="1445"/>
      <c r="N439" s="1445"/>
      <c r="O439" s="1445"/>
      <c r="P439" s="1445"/>
      <c r="Q439" s="1445"/>
      <c r="R439" s="1445"/>
      <c r="S439" s="1445"/>
      <c r="T439" s="1445"/>
      <c r="U439" s="1445"/>
      <c r="V439" s="1445"/>
      <c r="W439" s="1445"/>
      <c r="X439" s="1445"/>
      <c r="Y439" s="1445"/>
      <c r="Z439" s="1445"/>
    </row>
    <row r="440" spans="10:26" s="1433" customFormat="1" ht="21.75" customHeight="1">
      <c r="J440" s="1445"/>
      <c r="K440" s="1445"/>
      <c r="L440" s="1445"/>
      <c r="M440" s="1445"/>
      <c r="N440" s="1445"/>
      <c r="O440" s="1445"/>
      <c r="P440" s="1445"/>
      <c r="Q440" s="1445"/>
      <c r="R440" s="1445"/>
      <c r="S440" s="1445"/>
      <c r="T440" s="1445"/>
      <c r="U440" s="1445"/>
      <c r="V440" s="1445"/>
      <c r="W440" s="1445"/>
      <c r="X440" s="1445"/>
      <c r="Y440" s="1445"/>
      <c r="Z440" s="1445"/>
    </row>
    <row r="441" spans="10:26" s="1433" customFormat="1" ht="21.75" customHeight="1">
      <c r="J441" s="1445"/>
      <c r="K441" s="1445"/>
      <c r="L441" s="1445"/>
      <c r="M441" s="1445"/>
      <c r="N441" s="1445"/>
      <c r="O441" s="1445"/>
      <c r="P441" s="1445"/>
      <c r="Q441" s="1445"/>
      <c r="R441" s="1445"/>
      <c r="S441" s="1445"/>
      <c r="T441" s="1445"/>
      <c r="U441" s="1445"/>
      <c r="V441" s="1445"/>
      <c r="W441" s="1445"/>
      <c r="X441" s="1445"/>
      <c r="Y441" s="1445"/>
      <c r="Z441" s="1445"/>
    </row>
    <row r="442" spans="10:26" s="1433" customFormat="1" ht="21.75" customHeight="1">
      <c r="J442" s="1445"/>
      <c r="K442" s="1445"/>
      <c r="L442" s="1445"/>
      <c r="M442" s="1445"/>
      <c r="N442" s="1445"/>
      <c r="O442" s="1445"/>
      <c r="P442" s="1445"/>
      <c r="Q442" s="1445"/>
      <c r="R442" s="1445"/>
      <c r="S442" s="1445"/>
      <c r="T442" s="1445"/>
      <c r="U442" s="1445"/>
      <c r="V442" s="1445"/>
      <c r="W442" s="1445"/>
      <c r="X442" s="1445"/>
      <c r="Y442" s="1445"/>
      <c r="Z442" s="1445"/>
    </row>
    <row r="443" spans="10:26" s="1433" customFormat="1" ht="21.75" customHeight="1">
      <c r="J443" s="1445"/>
      <c r="K443" s="1445"/>
      <c r="L443" s="1445"/>
      <c r="M443" s="1445"/>
      <c r="N443" s="1445"/>
      <c r="O443" s="1445"/>
      <c r="P443" s="1445"/>
      <c r="Q443" s="1445"/>
      <c r="R443" s="1445"/>
      <c r="S443" s="1445"/>
      <c r="T443" s="1445"/>
      <c r="U443" s="1445"/>
      <c r="V443" s="1445"/>
      <c r="W443" s="1445"/>
      <c r="X443" s="1445"/>
      <c r="Y443" s="1445"/>
      <c r="Z443" s="1445"/>
    </row>
    <row r="444" spans="10:26" s="1433" customFormat="1" ht="21.75" customHeight="1">
      <c r="J444" s="1445"/>
      <c r="K444" s="1445"/>
      <c r="L444" s="1445"/>
      <c r="M444" s="1445"/>
      <c r="N444" s="1445"/>
      <c r="O444" s="1445"/>
      <c r="P444" s="1445"/>
      <c r="Q444" s="1445"/>
      <c r="R444" s="1445"/>
      <c r="S444" s="1445"/>
      <c r="T444" s="1445"/>
      <c r="U444" s="1445"/>
      <c r="V444" s="1445"/>
      <c r="W444" s="1445"/>
      <c r="X444" s="1445"/>
      <c r="Y444" s="1445"/>
      <c r="Z444" s="1445"/>
    </row>
    <row r="445" spans="10:26" s="1433" customFormat="1" ht="21.75" customHeight="1">
      <c r="J445" s="1445"/>
      <c r="K445" s="1445"/>
      <c r="L445" s="1445"/>
      <c r="M445" s="1445"/>
      <c r="N445" s="1445"/>
      <c r="O445" s="1445"/>
      <c r="P445" s="1445"/>
      <c r="Q445" s="1445"/>
      <c r="R445" s="1445"/>
      <c r="S445" s="1445"/>
      <c r="T445" s="1445"/>
      <c r="U445" s="1445"/>
      <c r="V445" s="1445"/>
      <c r="W445" s="1445"/>
      <c r="X445" s="1445"/>
      <c r="Y445" s="1445"/>
      <c r="Z445" s="1445"/>
    </row>
    <row r="446" spans="10:26" s="1433" customFormat="1" ht="21.75" customHeight="1">
      <c r="J446" s="1445"/>
      <c r="K446" s="1445"/>
      <c r="L446" s="1445"/>
      <c r="M446" s="1445"/>
      <c r="N446" s="1445"/>
      <c r="O446" s="1445"/>
      <c r="P446" s="1445"/>
      <c r="Q446" s="1445"/>
      <c r="R446" s="1445"/>
      <c r="S446" s="1445"/>
      <c r="T446" s="1445"/>
      <c r="U446" s="1445"/>
      <c r="V446" s="1445"/>
      <c r="W446" s="1445"/>
      <c r="X446" s="1445"/>
      <c r="Y446" s="1445"/>
      <c r="Z446" s="1445"/>
    </row>
    <row r="447" spans="10:26" s="1433" customFormat="1" ht="21.75" customHeight="1">
      <c r="J447" s="1445"/>
      <c r="K447" s="1445"/>
      <c r="L447" s="1445"/>
      <c r="M447" s="1445"/>
      <c r="N447" s="1445"/>
      <c r="O447" s="1445"/>
      <c r="P447" s="1445"/>
      <c r="Q447" s="1445"/>
      <c r="R447" s="1445"/>
      <c r="S447" s="1445"/>
      <c r="T447" s="1445"/>
      <c r="U447" s="1445"/>
      <c r="V447" s="1445"/>
      <c r="W447" s="1445"/>
      <c r="X447" s="1445"/>
      <c r="Y447" s="1445"/>
      <c r="Z447" s="1445"/>
    </row>
    <row r="448" spans="10:26" s="1433" customFormat="1" ht="21.75" customHeight="1">
      <c r="J448" s="1445"/>
      <c r="K448" s="1445"/>
      <c r="L448" s="1445"/>
      <c r="M448" s="1445"/>
      <c r="N448" s="1445"/>
      <c r="O448" s="1445"/>
      <c r="P448" s="1445"/>
      <c r="Q448" s="1445"/>
      <c r="R448" s="1445"/>
      <c r="S448" s="1445"/>
      <c r="T448" s="1445"/>
      <c r="U448" s="1445"/>
      <c r="V448" s="1445"/>
      <c r="W448" s="1445"/>
      <c r="X448" s="1445"/>
      <c r="Y448" s="1445"/>
      <c r="Z448" s="1445"/>
    </row>
    <row r="449" spans="10:26" s="1433" customFormat="1" ht="21.75" customHeight="1">
      <c r="J449" s="1445"/>
      <c r="K449" s="1445"/>
      <c r="L449" s="1445"/>
      <c r="M449" s="1445"/>
      <c r="N449" s="1445"/>
      <c r="O449" s="1445"/>
      <c r="P449" s="1445"/>
      <c r="Q449" s="1445"/>
      <c r="R449" s="1445"/>
      <c r="S449" s="1445"/>
      <c r="T449" s="1445"/>
      <c r="U449" s="1445"/>
      <c r="V449" s="1445"/>
      <c r="W449" s="1445"/>
      <c r="X449" s="1445"/>
      <c r="Y449" s="1445"/>
      <c r="Z449" s="1445"/>
    </row>
    <row r="450" spans="10:26" s="1433" customFormat="1" ht="21.75" customHeight="1">
      <c r="J450" s="1445"/>
      <c r="K450" s="1445"/>
      <c r="L450" s="1445"/>
      <c r="M450" s="1445"/>
      <c r="N450" s="1445"/>
      <c r="O450" s="1445"/>
      <c r="P450" s="1445"/>
      <c r="Q450" s="1445"/>
      <c r="R450" s="1445"/>
      <c r="S450" s="1445"/>
      <c r="T450" s="1445"/>
      <c r="U450" s="1445"/>
      <c r="V450" s="1445"/>
      <c r="W450" s="1445"/>
      <c r="X450" s="1445"/>
      <c r="Y450" s="1445"/>
      <c r="Z450" s="1445"/>
    </row>
    <row r="451" spans="10:26" s="1433" customFormat="1" ht="21.75" customHeight="1">
      <c r="J451" s="1445"/>
      <c r="K451" s="1445"/>
      <c r="L451" s="1445"/>
      <c r="M451" s="1445"/>
      <c r="N451" s="1445"/>
      <c r="O451" s="1445"/>
      <c r="P451" s="1445"/>
      <c r="Q451" s="1445"/>
      <c r="R451" s="1445"/>
      <c r="S451" s="1445"/>
      <c r="T451" s="1445"/>
      <c r="U451" s="1445"/>
      <c r="V451" s="1445"/>
      <c r="W451" s="1445"/>
      <c r="X451" s="1445"/>
      <c r="Y451" s="1445"/>
      <c r="Z451" s="1445"/>
    </row>
    <row r="452" spans="10:26" s="1433" customFormat="1" ht="21.75" customHeight="1">
      <c r="J452" s="1445"/>
      <c r="K452" s="1445"/>
      <c r="L452" s="1445"/>
      <c r="M452" s="1445"/>
      <c r="N452" s="1445"/>
      <c r="O452" s="1445"/>
      <c r="P452" s="1445"/>
      <c r="Q452" s="1445"/>
      <c r="R452" s="1445"/>
      <c r="S452" s="1445"/>
      <c r="T452" s="1445"/>
      <c r="U452" s="1445"/>
      <c r="V452" s="1445"/>
      <c r="W452" s="1445"/>
      <c r="X452" s="1445"/>
      <c r="Y452" s="1445"/>
      <c r="Z452" s="1445"/>
    </row>
    <row r="453" spans="10:26" s="1433" customFormat="1" ht="21.75" customHeight="1">
      <c r="J453" s="1445"/>
      <c r="K453" s="1445"/>
      <c r="L453" s="1445"/>
      <c r="M453" s="1445"/>
      <c r="N453" s="1445"/>
      <c r="O453" s="1445"/>
      <c r="P453" s="1445"/>
      <c r="Q453" s="1445"/>
      <c r="R453" s="1445"/>
      <c r="S453" s="1445"/>
      <c r="T453" s="1445"/>
      <c r="U453" s="1445"/>
      <c r="V453" s="1445"/>
      <c r="W453" s="1445"/>
      <c r="X453" s="1445"/>
      <c r="Y453" s="1445"/>
      <c r="Z453" s="1445"/>
    </row>
    <row r="454" spans="10:26" s="1433" customFormat="1" ht="21.75" customHeight="1">
      <c r="J454" s="1445"/>
      <c r="K454" s="1445"/>
      <c r="L454" s="1445"/>
      <c r="M454" s="1445"/>
      <c r="N454" s="1445"/>
      <c r="O454" s="1445"/>
      <c r="P454" s="1445"/>
      <c r="Q454" s="1445"/>
      <c r="R454" s="1445"/>
      <c r="S454" s="1445"/>
      <c r="T454" s="1445"/>
      <c r="U454" s="1445"/>
      <c r="V454" s="1445"/>
      <c r="W454" s="1445"/>
      <c r="X454" s="1445"/>
      <c r="Y454" s="1445"/>
      <c r="Z454" s="1445"/>
    </row>
    <row r="455" spans="10:26" s="1433" customFormat="1" ht="21.75" customHeight="1">
      <c r="J455" s="1445"/>
      <c r="K455" s="1445"/>
      <c r="L455" s="1445"/>
      <c r="M455" s="1445"/>
      <c r="N455" s="1445"/>
      <c r="O455" s="1445"/>
      <c r="P455" s="1445"/>
      <c r="Q455" s="1445"/>
      <c r="R455" s="1445"/>
      <c r="S455" s="1445"/>
      <c r="T455" s="1445"/>
      <c r="U455" s="1445"/>
      <c r="V455" s="1445"/>
      <c r="W455" s="1445"/>
      <c r="X455" s="1445"/>
      <c r="Y455" s="1445"/>
      <c r="Z455" s="1445"/>
    </row>
    <row r="456" spans="10:26" s="1433" customFormat="1" ht="21.75" customHeight="1">
      <c r="J456" s="1445"/>
      <c r="K456" s="1445"/>
      <c r="L456" s="1445"/>
      <c r="M456" s="1445"/>
      <c r="N456" s="1445"/>
      <c r="O456" s="1445"/>
      <c r="P456" s="1445"/>
      <c r="Q456" s="1445"/>
      <c r="R456" s="1445"/>
      <c r="S456" s="1445"/>
      <c r="T456" s="1445"/>
      <c r="U456" s="1445"/>
      <c r="V456" s="1445"/>
      <c r="W456" s="1445"/>
      <c r="X456" s="1445"/>
      <c r="Y456" s="1445"/>
      <c r="Z456" s="1445"/>
    </row>
    <row r="457" spans="10:26" s="1433" customFormat="1" ht="21.75" customHeight="1">
      <c r="J457" s="1445"/>
      <c r="K457" s="1445"/>
      <c r="L457" s="1445"/>
      <c r="M457" s="1445"/>
      <c r="N457" s="1445"/>
      <c r="O457" s="1445"/>
      <c r="P457" s="1445"/>
      <c r="Q457" s="1445"/>
      <c r="R457" s="1445"/>
      <c r="S457" s="1445"/>
      <c r="T457" s="1445"/>
      <c r="U457" s="1445"/>
      <c r="V457" s="1445"/>
      <c r="W457" s="1445"/>
      <c r="X457" s="1445"/>
      <c r="Y457" s="1445"/>
      <c r="Z457" s="1445"/>
    </row>
    <row r="458" spans="10:26" s="1433" customFormat="1" ht="21.75" customHeight="1">
      <c r="J458" s="1445"/>
      <c r="K458" s="1445"/>
      <c r="L458" s="1445"/>
      <c r="M458" s="1445"/>
      <c r="N458" s="1445"/>
      <c r="O458" s="1445"/>
      <c r="P458" s="1445"/>
      <c r="Q458" s="1445"/>
      <c r="R458" s="1445"/>
      <c r="S458" s="1445"/>
      <c r="T458" s="1445"/>
      <c r="U458" s="1445"/>
      <c r="V458" s="1445"/>
      <c r="W458" s="1445"/>
      <c r="X458" s="1445"/>
      <c r="Y458" s="1445"/>
      <c r="Z458" s="1445"/>
    </row>
    <row r="459" spans="10:26" s="1433" customFormat="1" ht="21.75" customHeight="1">
      <c r="J459" s="1445"/>
      <c r="K459" s="1445"/>
      <c r="L459" s="1445"/>
      <c r="M459" s="1445"/>
      <c r="N459" s="1445"/>
      <c r="O459" s="1445"/>
      <c r="P459" s="1445"/>
      <c r="Q459" s="1445"/>
      <c r="R459" s="1445"/>
      <c r="S459" s="1445"/>
      <c r="T459" s="1445"/>
      <c r="U459" s="1445"/>
      <c r="V459" s="1445"/>
      <c r="W459" s="1445"/>
      <c r="X459" s="1445"/>
      <c r="Y459" s="1445"/>
      <c r="Z459" s="1445"/>
    </row>
    <row r="460" spans="10:26" s="1433" customFormat="1" ht="21.75" customHeight="1">
      <c r="J460" s="1445"/>
      <c r="K460" s="1445"/>
      <c r="L460" s="1445"/>
      <c r="M460" s="1445"/>
      <c r="N460" s="1445"/>
      <c r="O460" s="1445"/>
      <c r="P460" s="1445"/>
      <c r="Q460" s="1445"/>
      <c r="R460" s="1445"/>
      <c r="S460" s="1445"/>
      <c r="T460" s="1445"/>
      <c r="U460" s="1445"/>
      <c r="V460" s="1445"/>
      <c r="W460" s="1445"/>
      <c r="X460" s="1445"/>
      <c r="Y460" s="1445"/>
      <c r="Z460" s="1445"/>
    </row>
    <row r="461" spans="10:26" s="1433" customFormat="1" ht="21.75" customHeight="1">
      <c r="J461" s="1445"/>
      <c r="K461" s="1445"/>
      <c r="L461" s="1445"/>
      <c r="M461" s="1445"/>
      <c r="N461" s="1445"/>
      <c r="O461" s="1445"/>
      <c r="P461" s="1445"/>
      <c r="Q461" s="1445"/>
      <c r="R461" s="1445"/>
      <c r="S461" s="1445"/>
      <c r="T461" s="1445"/>
      <c r="U461" s="1445"/>
      <c r="V461" s="1445"/>
      <c r="W461" s="1445"/>
      <c r="X461" s="1445"/>
      <c r="Y461" s="1445"/>
      <c r="Z461" s="1445"/>
    </row>
    <row r="462" spans="10:26" s="1433" customFormat="1" ht="21.75" customHeight="1">
      <c r="J462" s="1445"/>
      <c r="K462" s="1445"/>
      <c r="L462" s="1445"/>
      <c r="M462" s="1445"/>
      <c r="N462" s="1445"/>
      <c r="O462" s="1445"/>
      <c r="P462" s="1445"/>
      <c r="Q462" s="1445"/>
      <c r="R462" s="1445"/>
      <c r="S462" s="1445"/>
      <c r="T462" s="1445"/>
      <c r="U462" s="1445"/>
      <c r="V462" s="1445"/>
      <c r="W462" s="1445"/>
      <c r="X462" s="1445"/>
      <c r="Y462" s="1445"/>
      <c r="Z462" s="1445"/>
    </row>
    <row r="463" spans="10:26" s="1433" customFormat="1" ht="21.75" customHeight="1">
      <c r="J463" s="1445"/>
      <c r="K463" s="1445"/>
      <c r="L463" s="1445"/>
      <c r="M463" s="1445"/>
      <c r="N463" s="1445"/>
      <c r="O463" s="1445"/>
      <c r="P463" s="1445"/>
      <c r="Q463" s="1445"/>
      <c r="R463" s="1445"/>
      <c r="S463" s="1445"/>
      <c r="T463" s="1445"/>
      <c r="U463" s="1445"/>
      <c r="V463" s="1445"/>
      <c r="W463" s="1445"/>
      <c r="X463" s="1445"/>
      <c r="Y463" s="1445"/>
      <c r="Z463" s="1445"/>
    </row>
    <row r="464" spans="10:26" s="1433" customFormat="1" ht="21.75" customHeight="1">
      <c r="J464" s="1445"/>
      <c r="K464" s="1445"/>
      <c r="L464" s="1445"/>
      <c r="M464" s="1445"/>
      <c r="N464" s="1445"/>
      <c r="O464" s="1445"/>
      <c r="P464" s="1445"/>
      <c r="Q464" s="1445"/>
      <c r="R464" s="1445"/>
      <c r="S464" s="1445"/>
      <c r="T464" s="1445"/>
      <c r="U464" s="1445"/>
      <c r="V464" s="1445"/>
      <c r="W464" s="1445"/>
      <c r="X464" s="1445"/>
      <c r="Y464" s="1445"/>
      <c r="Z464" s="1445"/>
    </row>
    <row r="465" spans="10:26" s="1433" customFormat="1" ht="21.75" customHeight="1">
      <c r="J465" s="1445"/>
      <c r="K465" s="1445"/>
      <c r="L465" s="1445"/>
      <c r="M465" s="1445"/>
      <c r="N465" s="1445"/>
      <c r="O465" s="1445"/>
      <c r="P465" s="1445"/>
      <c r="Q465" s="1445"/>
      <c r="R465" s="1445"/>
      <c r="S465" s="1445"/>
      <c r="T465" s="1445"/>
      <c r="U465" s="1445"/>
      <c r="V465" s="1445"/>
      <c r="W465" s="1445"/>
      <c r="X465" s="1445"/>
      <c r="Y465" s="1445"/>
      <c r="Z465" s="1445"/>
    </row>
    <row r="466" spans="10:26" s="1433" customFormat="1" ht="21.75" customHeight="1">
      <c r="J466" s="1445"/>
      <c r="K466" s="1445"/>
      <c r="L466" s="1445"/>
      <c r="M466" s="1445"/>
      <c r="N466" s="1445"/>
      <c r="O466" s="1445"/>
      <c r="P466" s="1445"/>
      <c r="Q466" s="1445"/>
      <c r="R466" s="1445"/>
      <c r="S466" s="1445"/>
      <c r="T466" s="1445"/>
      <c r="U466" s="1445"/>
      <c r="V466" s="1445"/>
      <c r="W466" s="1445"/>
      <c r="X466" s="1445"/>
      <c r="Y466" s="1445"/>
      <c r="Z466" s="1445"/>
    </row>
    <row r="467" spans="10:26" s="1433" customFormat="1" ht="21.75" customHeight="1">
      <c r="J467" s="1445"/>
      <c r="K467" s="1445"/>
      <c r="L467" s="1445"/>
      <c r="M467" s="1445"/>
      <c r="N467" s="1445"/>
      <c r="O467" s="1445"/>
      <c r="P467" s="1445"/>
      <c r="Q467" s="1445"/>
      <c r="R467" s="1445"/>
      <c r="S467" s="1445"/>
      <c r="T467" s="1445"/>
      <c r="U467" s="1445"/>
      <c r="V467" s="1445"/>
      <c r="W467" s="1445"/>
      <c r="X467" s="1445"/>
      <c r="Y467" s="1445"/>
      <c r="Z467" s="1445"/>
    </row>
    <row r="468" spans="10:26" s="1433" customFormat="1" ht="21.75" customHeight="1">
      <c r="J468" s="1445"/>
      <c r="K468" s="1445"/>
      <c r="L468" s="1445"/>
      <c r="M468" s="1445"/>
      <c r="N468" s="1445"/>
      <c r="O468" s="1445"/>
      <c r="P468" s="1445"/>
      <c r="Q468" s="1445"/>
      <c r="R468" s="1445"/>
      <c r="S468" s="1445"/>
      <c r="T468" s="1445"/>
      <c r="U468" s="1445"/>
      <c r="V468" s="1445"/>
      <c r="W468" s="1445"/>
      <c r="X468" s="1445"/>
      <c r="Y468" s="1445"/>
      <c r="Z468" s="1445"/>
    </row>
    <row r="469" spans="10:26" s="1433" customFormat="1" ht="21.75" customHeight="1">
      <c r="J469" s="1445"/>
      <c r="K469" s="1445"/>
      <c r="L469" s="1445"/>
      <c r="M469" s="1445"/>
      <c r="N469" s="1445"/>
      <c r="O469" s="1445"/>
      <c r="P469" s="1445"/>
      <c r="Q469" s="1445"/>
      <c r="R469" s="1445"/>
      <c r="S469" s="1445"/>
      <c r="T469" s="1445"/>
      <c r="U469" s="1445"/>
      <c r="V469" s="1445"/>
      <c r="W469" s="1445"/>
      <c r="X469" s="1445"/>
      <c r="Y469" s="1445"/>
      <c r="Z469" s="1445"/>
    </row>
    <row r="470" spans="10:26" s="1433" customFormat="1" ht="21.75" customHeight="1">
      <c r="J470" s="1445"/>
      <c r="K470" s="1445"/>
      <c r="L470" s="1445"/>
      <c r="M470" s="1445"/>
      <c r="N470" s="1445"/>
      <c r="O470" s="1445"/>
      <c r="P470" s="1445"/>
      <c r="Q470" s="1445"/>
      <c r="R470" s="1445"/>
      <c r="S470" s="1445"/>
      <c r="T470" s="1445"/>
      <c r="U470" s="1445"/>
      <c r="V470" s="1445"/>
      <c r="W470" s="1445"/>
      <c r="X470" s="1445"/>
      <c r="Y470" s="1445"/>
      <c r="Z470" s="1445"/>
    </row>
    <row r="471" spans="10:26" s="1433" customFormat="1" ht="21.75" customHeight="1">
      <c r="J471" s="1445"/>
      <c r="K471" s="1445"/>
      <c r="L471" s="1445"/>
      <c r="M471" s="1445"/>
      <c r="N471" s="1445"/>
      <c r="O471" s="1445"/>
      <c r="P471" s="1445"/>
      <c r="Q471" s="1445"/>
      <c r="R471" s="1445"/>
      <c r="S471" s="1445"/>
      <c r="T471" s="1445"/>
      <c r="U471" s="1445"/>
      <c r="V471" s="1445"/>
      <c r="W471" s="1445"/>
      <c r="X471" s="1445"/>
      <c r="Y471" s="1445"/>
      <c r="Z471" s="1445"/>
    </row>
    <row r="472" spans="10:26" s="1433" customFormat="1" ht="21.75" customHeight="1">
      <c r="J472" s="1445"/>
      <c r="K472" s="1445"/>
      <c r="L472" s="1445"/>
      <c r="M472" s="1445"/>
      <c r="N472" s="1445"/>
      <c r="O472" s="1445"/>
      <c r="P472" s="1445"/>
      <c r="Q472" s="1445"/>
      <c r="R472" s="1445"/>
      <c r="S472" s="1445"/>
      <c r="T472" s="1445"/>
      <c r="U472" s="1445"/>
      <c r="V472" s="1445"/>
      <c r="W472" s="1445"/>
      <c r="X472" s="1445"/>
      <c r="Y472" s="1445"/>
      <c r="Z472" s="1445"/>
    </row>
    <row r="473" spans="10:26" s="1433" customFormat="1" ht="21.75" customHeight="1">
      <c r="J473" s="1445"/>
      <c r="K473" s="1445"/>
      <c r="L473" s="1445"/>
      <c r="M473" s="1445"/>
      <c r="N473" s="1445"/>
      <c r="O473" s="1445"/>
      <c r="P473" s="1445"/>
      <c r="Q473" s="1445"/>
      <c r="R473" s="1445"/>
      <c r="S473" s="1445"/>
      <c r="T473" s="1445"/>
      <c r="U473" s="1445"/>
      <c r="V473" s="1445"/>
      <c r="W473" s="1445"/>
      <c r="X473" s="1445"/>
      <c r="Y473" s="1445"/>
      <c r="Z473" s="1445"/>
    </row>
    <row r="474" spans="10:26" s="1433" customFormat="1" ht="21.75" customHeight="1">
      <c r="J474" s="1445"/>
      <c r="K474" s="1445"/>
      <c r="L474" s="1445"/>
      <c r="M474" s="1445"/>
      <c r="N474" s="1445"/>
      <c r="O474" s="1445"/>
      <c r="P474" s="1445"/>
      <c r="Q474" s="1445"/>
      <c r="R474" s="1445"/>
      <c r="S474" s="1445"/>
      <c r="T474" s="1445"/>
      <c r="U474" s="1445"/>
      <c r="V474" s="1445"/>
      <c r="W474" s="1445"/>
      <c r="X474" s="1445"/>
      <c r="Y474" s="1445"/>
      <c r="Z474" s="1445"/>
    </row>
    <row r="475" spans="10:26" s="1433" customFormat="1" ht="21.75" customHeight="1">
      <c r="J475" s="1445"/>
      <c r="K475" s="1445"/>
      <c r="L475" s="1445"/>
      <c r="M475" s="1445"/>
      <c r="N475" s="1445"/>
      <c r="O475" s="1445"/>
      <c r="P475" s="1445"/>
      <c r="Q475" s="1445"/>
      <c r="R475" s="1445"/>
      <c r="S475" s="1445"/>
      <c r="T475" s="1445"/>
      <c r="U475" s="1445"/>
      <c r="V475" s="1445"/>
      <c r="W475" s="1445"/>
      <c r="X475" s="1445"/>
      <c r="Y475" s="1445"/>
      <c r="Z475" s="1445"/>
    </row>
    <row r="476" spans="10:26" s="1433" customFormat="1" ht="21.75" customHeight="1">
      <c r="J476" s="1445"/>
      <c r="K476" s="1445"/>
      <c r="L476" s="1445"/>
      <c r="M476" s="1445"/>
      <c r="N476" s="1445"/>
      <c r="O476" s="1445"/>
      <c r="P476" s="1445"/>
      <c r="Q476" s="1445"/>
      <c r="R476" s="1445"/>
      <c r="S476" s="1445"/>
      <c r="T476" s="1445"/>
      <c r="U476" s="1445"/>
      <c r="V476" s="1445"/>
      <c r="W476" s="1445"/>
      <c r="X476" s="1445"/>
      <c r="Y476" s="1445"/>
      <c r="Z476" s="1445"/>
    </row>
    <row r="477" spans="10:26" s="1433" customFormat="1" ht="21.75" customHeight="1">
      <c r="J477" s="1445"/>
      <c r="K477" s="1445"/>
      <c r="L477" s="1445"/>
      <c r="M477" s="1445"/>
      <c r="N477" s="1445"/>
      <c r="O477" s="1445"/>
      <c r="P477" s="1445"/>
      <c r="Q477" s="1445"/>
      <c r="R477" s="1445"/>
      <c r="S477" s="1445"/>
      <c r="T477" s="1445"/>
      <c r="U477" s="1445"/>
      <c r="V477" s="1445"/>
      <c r="W477" s="1445"/>
      <c r="X477" s="1445"/>
      <c r="Y477" s="1445"/>
      <c r="Z477" s="1445"/>
    </row>
    <row r="478" spans="10:26" s="1433" customFormat="1" ht="21.75" customHeight="1">
      <c r="J478" s="1445"/>
      <c r="K478" s="1445"/>
      <c r="L478" s="1445"/>
      <c r="M478" s="1445"/>
      <c r="N478" s="1445"/>
      <c r="O478" s="1445"/>
      <c r="P478" s="1445"/>
      <c r="Q478" s="1445"/>
      <c r="R478" s="1445"/>
      <c r="S478" s="1445"/>
      <c r="T478" s="1445"/>
      <c r="U478" s="1445"/>
      <c r="V478" s="1445"/>
      <c r="W478" s="1445"/>
      <c r="X478" s="1445"/>
      <c r="Y478" s="1445"/>
      <c r="Z478" s="1445"/>
    </row>
    <row r="479" spans="10:26" s="1433" customFormat="1" ht="21.75" customHeight="1">
      <c r="J479" s="1445"/>
      <c r="K479" s="1445"/>
      <c r="L479" s="1445"/>
      <c r="M479" s="1445"/>
      <c r="N479" s="1445"/>
      <c r="O479" s="1445"/>
      <c r="P479" s="1445"/>
      <c r="Q479" s="1445"/>
      <c r="R479" s="1445"/>
      <c r="S479" s="1445"/>
      <c r="T479" s="1445"/>
      <c r="U479" s="1445"/>
      <c r="V479" s="1445"/>
      <c r="W479" s="1445"/>
      <c r="X479" s="1445"/>
      <c r="Y479" s="1445"/>
      <c r="Z479" s="1445"/>
    </row>
    <row r="480" spans="10:26" s="1433" customFormat="1" ht="21.75" customHeight="1">
      <c r="J480" s="1445"/>
      <c r="K480" s="1445"/>
      <c r="L480" s="1445"/>
      <c r="M480" s="1445"/>
      <c r="N480" s="1445"/>
      <c r="O480" s="1445"/>
      <c r="P480" s="1445"/>
      <c r="Q480" s="1445"/>
      <c r="R480" s="1445"/>
      <c r="S480" s="1445"/>
      <c r="T480" s="1445"/>
      <c r="U480" s="1445"/>
      <c r="V480" s="1445"/>
      <c r="W480" s="1445"/>
      <c r="X480" s="1445"/>
      <c r="Y480" s="1445"/>
      <c r="Z480" s="1445"/>
    </row>
    <row r="481" spans="10:26" s="1433" customFormat="1" ht="21.75" customHeight="1">
      <c r="J481" s="1445"/>
      <c r="K481" s="1445"/>
      <c r="L481" s="1445"/>
      <c r="M481" s="1445"/>
      <c r="N481" s="1445"/>
      <c r="O481" s="1445"/>
      <c r="P481" s="1445"/>
      <c r="Q481" s="1445"/>
      <c r="R481" s="1445"/>
      <c r="S481" s="1445"/>
      <c r="T481" s="1445"/>
      <c r="U481" s="1445"/>
      <c r="V481" s="1445"/>
      <c r="W481" s="1445"/>
      <c r="X481" s="1445"/>
      <c r="Y481" s="1445"/>
      <c r="Z481" s="1445"/>
    </row>
    <row r="482" spans="10:26" s="1433" customFormat="1" ht="21.75" customHeight="1">
      <c r="J482" s="1445"/>
      <c r="K482" s="1445"/>
      <c r="L482" s="1445"/>
      <c r="M482" s="1445"/>
      <c r="N482" s="1445"/>
      <c r="O482" s="1445"/>
      <c r="P482" s="1445"/>
      <c r="Q482" s="1445"/>
      <c r="R482" s="1445"/>
      <c r="S482" s="1445"/>
      <c r="T482" s="1445"/>
      <c r="U482" s="1445"/>
      <c r="V482" s="1445"/>
      <c r="W482" s="1445"/>
      <c r="X482" s="1445"/>
      <c r="Y482" s="1445"/>
      <c r="Z482" s="1445"/>
    </row>
    <row r="483" spans="10:26" s="1433" customFormat="1" ht="21.75" customHeight="1">
      <c r="J483" s="1445"/>
      <c r="K483" s="1445"/>
      <c r="L483" s="1445"/>
      <c r="M483" s="1445"/>
      <c r="N483" s="1445"/>
      <c r="O483" s="1445"/>
      <c r="P483" s="1445"/>
      <c r="Q483" s="1445"/>
      <c r="R483" s="1445"/>
      <c r="S483" s="1445"/>
      <c r="T483" s="1445"/>
      <c r="U483" s="1445"/>
      <c r="V483" s="1445"/>
      <c r="W483" s="1445"/>
      <c r="X483" s="1445"/>
      <c r="Y483" s="1445"/>
      <c r="Z483" s="1445"/>
    </row>
    <row r="484" spans="10:26" s="1433" customFormat="1" ht="21.75" customHeight="1">
      <c r="J484" s="1445"/>
      <c r="K484" s="1445"/>
      <c r="L484" s="1445"/>
      <c r="M484" s="1445"/>
      <c r="N484" s="1445"/>
      <c r="O484" s="1445"/>
      <c r="P484" s="1445"/>
      <c r="Q484" s="1445"/>
      <c r="R484" s="1445"/>
      <c r="S484" s="1445"/>
      <c r="T484" s="1445"/>
      <c r="U484" s="1445"/>
      <c r="V484" s="1445"/>
      <c r="W484" s="1445"/>
      <c r="X484" s="1445"/>
      <c r="Y484" s="1445"/>
      <c r="Z484" s="1445"/>
    </row>
    <row r="485" spans="10:26" s="1433" customFormat="1" ht="21.75" customHeight="1">
      <c r="J485" s="1445"/>
      <c r="K485" s="1445"/>
      <c r="L485" s="1445"/>
      <c r="M485" s="1445"/>
      <c r="N485" s="1445"/>
      <c r="O485" s="1445"/>
      <c r="P485" s="1445"/>
      <c r="Q485" s="1445"/>
      <c r="R485" s="1445"/>
      <c r="S485" s="1445"/>
      <c r="T485" s="1445"/>
      <c r="U485" s="1445"/>
      <c r="V485" s="1445"/>
      <c r="W485" s="1445"/>
      <c r="X485" s="1445"/>
      <c r="Y485" s="1445"/>
      <c r="Z485" s="1445"/>
    </row>
    <row r="486" spans="10:26" s="1433" customFormat="1" ht="21.75" customHeight="1">
      <c r="J486" s="1445"/>
      <c r="K486" s="1445"/>
      <c r="L486" s="1445"/>
      <c r="M486" s="1445"/>
      <c r="N486" s="1445"/>
      <c r="O486" s="1445"/>
      <c r="P486" s="1445"/>
      <c r="Q486" s="1445"/>
      <c r="R486" s="1445"/>
      <c r="S486" s="1445"/>
      <c r="T486" s="1445"/>
      <c r="U486" s="1445"/>
      <c r="V486" s="1445"/>
      <c r="W486" s="1445"/>
      <c r="X486" s="1445"/>
      <c r="Y486" s="1445"/>
      <c r="Z486" s="1445"/>
    </row>
    <row r="487" spans="10:26" s="1433" customFormat="1" ht="21.75" customHeight="1">
      <c r="J487" s="1445"/>
      <c r="K487" s="1445"/>
      <c r="L487" s="1445"/>
      <c r="M487" s="1445"/>
      <c r="N487" s="1445"/>
      <c r="O487" s="1445"/>
      <c r="P487" s="1445"/>
      <c r="Q487" s="1445"/>
      <c r="R487" s="1445"/>
      <c r="S487" s="1445"/>
      <c r="T487" s="1445"/>
      <c r="U487" s="1445"/>
      <c r="V487" s="1445"/>
      <c r="W487" s="1445"/>
      <c r="X487" s="1445"/>
      <c r="Y487" s="1445"/>
      <c r="Z487" s="1445"/>
    </row>
    <row r="488" spans="10:26" s="1433" customFormat="1" ht="21.75" customHeight="1">
      <c r="J488" s="1445"/>
      <c r="K488" s="1445"/>
      <c r="L488" s="1445"/>
      <c r="M488" s="1445"/>
      <c r="N488" s="1445"/>
      <c r="O488" s="1445"/>
      <c r="P488" s="1445"/>
      <c r="Q488" s="1445"/>
      <c r="R488" s="1445"/>
      <c r="S488" s="1445"/>
      <c r="T488" s="1445"/>
      <c r="U488" s="1445"/>
      <c r="V488" s="1445"/>
      <c r="W488" s="1445"/>
      <c r="X488" s="1445"/>
      <c r="Y488" s="1445"/>
      <c r="Z488" s="1445"/>
    </row>
    <row r="489" spans="10:26" s="1433" customFormat="1" ht="21.75" customHeight="1">
      <c r="J489" s="1445"/>
      <c r="K489" s="1445"/>
      <c r="L489" s="1445"/>
      <c r="M489" s="1445"/>
      <c r="N489" s="1445"/>
      <c r="O489" s="1445"/>
      <c r="P489" s="1445"/>
      <c r="Q489" s="1445"/>
      <c r="R489" s="1445"/>
      <c r="S489" s="1445"/>
      <c r="T489" s="1445"/>
      <c r="U489" s="1445"/>
      <c r="V489" s="1445"/>
      <c r="W489" s="1445"/>
      <c r="X489" s="1445"/>
      <c r="Y489" s="1445"/>
      <c r="Z489" s="1445"/>
    </row>
    <row r="490" spans="10:26" s="1433" customFormat="1" ht="21.75" customHeight="1">
      <c r="J490" s="1445"/>
      <c r="K490" s="1445"/>
      <c r="L490" s="1445"/>
      <c r="M490" s="1445"/>
      <c r="N490" s="1445"/>
      <c r="O490" s="1445"/>
      <c r="P490" s="1445"/>
      <c r="Q490" s="1445"/>
      <c r="R490" s="1445"/>
      <c r="S490" s="1445"/>
      <c r="T490" s="1445"/>
      <c r="U490" s="1445"/>
      <c r="V490" s="1445"/>
      <c r="W490" s="1445"/>
      <c r="X490" s="1445"/>
      <c r="Y490" s="1445"/>
      <c r="Z490" s="1445"/>
    </row>
    <row r="491" spans="10:26" s="1433" customFormat="1" ht="21.75" customHeight="1">
      <c r="J491" s="1445"/>
      <c r="K491" s="1445"/>
      <c r="L491" s="1445"/>
      <c r="M491" s="1445"/>
      <c r="N491" s="1445"/>
      <c r="O491" s="1445"/>
      <c r="P491" s="1445"/>
      <c r="Q491" s="1445"/>
      <c r="R491" s="1445"/>
      <c r="S491" s="1445"/>
      <c r="T491" s="1445"/>
      <c r="U491" s="1445"/>
      <c r="V491" s="1445"/>
      <c r="W491" s="1445"/>
      <c r="X491" s="1445"/>
      <c r="Y491" s="1445"/>
      <c r="Z491" s="1445"/>
    </row>
    <row r="492" spans="10:26" s="1433" customFormat="1" ht="21.75" customHeight="1">
      <c r="J492" s="1445"/>
      <c r="K492" s="1445"/>
      <c r="L492" s="1445"/>
      <c r="M492" s="1445"/>
      <c r="N492" s="1445"/>
      <c r="O492" s="1445"/>
      <c r="P492" s="1445"/>
      <c r="Q492" s="1445"/>
      <c r="R492" s="1445"/>
      <c r="S492" s="1445"/>
      <c r="T492" s="1445"/>
      <c r="U492" s="1445"/>
      <c r="V492" s="1445"/>
      <c r="W492" s="1445"/>
      <c r="X492" s="1445"/>
      <c r="Y492" s="1445"/>
      <c r="Z492" s="1445"/>
    </row>
    <row r="493" spans="10:26" s="1433" customFormat="1" ht="21.75" customHeight="1">
      <c r="J493" s="1445"/>
      <c r="K493" s="1445"/>
      <c r="L493" s="1445"/>
      <c r="M493" s="1445"/>
      <c r="N493" s="1445"/>
      <c r="O493" s="1445"/>
      <c r="P493" s="1445"/>
      <c r="Q493" s="1445"/>
      <c r="R493" s="1445"/>
      <c r="S493" s="1445"/>
      <c r="T493" s="1445"/>
      <c r="U493" s="1445"/>
      <c r="V493" s="1445"/>
      <c r="W493" s="1445"/>
      <c r="X493" s="1445"/>
      <c r="Y493" s="1445"/>
      <c r="Z493" s="1445"/>
    </row>
    <row r="494" spans="10:26" s="1433" customFormat="1" ht="21.75" customHeight="1">
      <c r="J494" s="1445"/>
      <c r="K494" s="1445"/>
      <c r="L494" s="1445"/>
      <c r="M494" s="1445"/>
      <c r="N494" s="1445"/>
      <c r="O494" s="1445"/>
      <c r="P494" s="1445"/>
      <c r="Q494" s="1445"/>
      <c r="R494" s="1445"/>
      <c r="S494" s="1445"/>
      <c r="T494" s="1445"/>
      <c r="U494" s="1445"/>
      <c r="V494" s="1445"/>
      <c r="W494" s="1445"/>
      <c r="X494" s="1445"/>
      <c r="Y494" s="1445"/>
      <c r="Z494" s="1445"/>
    </row>
    <row r="495" spans="10:26" s="1433" customFormat="1" ht="21.75" customHeight="1">
      <c r="J495" s="1445"/>
      <c r="K495" s="1445"/>
      <c r="L495" s="1445"/>
      <c r="M495" s="1445"/>
      <c r="N495" s="1445"/>
      <c r="O495" s="1445"/>
      <c r="P495" s="1445"/>
      <c r="Q495" s="1445"/>
      <c r="R495" s="1445"/>
      <c r="S495" s="1445"/>
      <c r="T495" s="1445"/>
      <c r="U495" s="1445"/>
      <c r="V495" s="1445"/>
      <c r="W495" s="1445"/>
      <c r="X495" s="1445"/>
      <c r="Y495" s="1445"/>
      <c r="Z495" s="1445"/>
    </row>
    <row r="496" spans="10:26" s="1433" customFormat="1" ht="21.75" customHeight="1">
      <c r="J496" s="1445"/>
      <c r="K496" s="1445"/>
      <c r="L496" s="1445"/>
      <c r="M496" s="1445"/>
      <c r="N496" s="1445"/>
      <c r="O496" s="1445"/>
      <c r="P496" s="1445"/>
      <c r="Q496" s="1445"/>
      <c r="R496" s="1445"/>
      <c r="S496" s="1445"/>
      <c r="T496" s="1445"/>
      <c r="U496" s="1445"/>
      <c r="V496" s="1445"/>
      <c r="W496" s="1445"/>
      <c r="X496" s="1445"/>
      <c r="Y496" s="1445"/>
      <c r="Z496" s="1445"/>
    </row>
    <row r="497" spans="10:26" s="1433" customFormat="1" ht="21.75" customHeight="1">
      <c r="J497" s="1445"/>
      <c r="K497" s="1445"/>
      <c r="L497" s="1445"/>
      <c r="M497" s="1445"/>
      <c r="N497" s="1445"/>
      <c r="O497" s="1445"/>
      <c r="P497" s="1445"/>
      <c r="Q497" s="1445"/>
      <c r="R497" s="1445"/>
      <c r="S497" s="1445"/>
      <c r="T497" s="1445"/>
      <c r="U497" s="1445"/>
      <c r="V497" s="1445"/>
      <c r="W497" s="1445"/>
      <c r="X497" s="1445"/>
      <c r="Y497" s="1445"/>
      <c r="Z497" s="1445"/>
    </row>
    <row r="498" spans="10:26" s="1433" customFormat="1" ht="21.75" customHeight="1">
      <c r="J498" s="1445"/>
      <c r="K498" s="1445"/>
      <c r="L498" s="1445"/>
      <c r="M498" s="1445"/>
      <c r="N498" s="1445"/>
      <c r="O498" s="1445"/>
      <c r="P498" s="1445"/>
      <c r="Q498" s="1445"/>
      <c r="R498" s="1445"/>
      <c r="S498" s="1445"/>
      <c r="T498" s="1445"/>
      <c r="U498" s="1445"/>
      <c r="V498" s="1445"/>
      <c r="W498" s="1445"/>
      <c r="X498" s="1445"/>
      <c r="Y498" s="1445"/>
      <c r="Z498" s="1445"/>
    </row>
    <row r="499" spans="10:26" s="1433" customFormat="1" ht="21.75" customHeight="1">
      <c r="J499" s="1445"/>
      <c r="K499" s="1445"/>
      <c r="L499" s="1445"/>
      <c r="M499" s="1445"/>
      <c r="N499" s="1445"/>
      <c r="O499" s="1445"/>
      <c r="P499" s="1445"/>
      <c r="Q499" s="1445"/>
      <c r="R499" s="1445"/>
      <c r="S499" s="1445"/>
      <c r="T499" s="1445"/>
      <c r="U499" s="1445"/>
      <c r="V499" s="1445"/>
      <c r="W499" s="1445"/>
      <c r="X499" s="1445"/>
      <c r="Y499" s="1445"/>
      <c r="Z499" s="1445"/>
    </row>
    <row r="500" spans="10:26" s="1433" customFormat="1" ht="21.75" customHeight="1">
      <c r="J500" s="1445"/>
      <c r="K500" s="1445"/>
      <c r="L500" s="1445"/>
      <c r="M500" s="1445"/>
      <c r="N500" s="1445"/>
      <c r="O500" s="1445"/>
      <c r="P500" s="1445"/>
      <c r="Q500" s="1445"/>
      <c r="R500" s="1445"/>
      <c r="S500" s="1445"/>
      <c r="T500" s="1445"/>
      <c r="U500" s="1445"/>
      <c r="V500" s="1445"/>
      <c r="W500" s="1445"/>
      <c r="X500" s="1445"/>
      <c r="Y500" s="1445"/>
      <c r="Z500" s="1445"/>
    </row>
    <row r="501" spans="10:26" s="1433" customFormat="1" ht="21.75" customHeight="1">
      <c r="J501" s="1445"/>
      <c r="K501" s="1445"/>
      <c r="L501" s="1445"/>
      <c r="M501" s="1445"/>
      <c r="N501" s="1445"/>
      <c r="O501" s="1445"/>
      <c r="P501" s="1445"/>
      <c r="Q501" s="1445"/>
      <c r="R501" s="1445"/>
      <c r="S501" s="1445"/>
      <c r="T501" s="1445"/>
      <c r="U501" s="1445"/>
      <c r="V501" s="1445"/>
      <c r="W501" s="1445"/>
      <c r="X501" s="1445"/>
      <c r="Y501" s="1445"/>
      <c r="Z501" s="1445"/>
    </row>
    <row r="502" spans="10:26" s="1433" customFormat="1" ht="21.75" customHeight="1">
      <c r="J502" s="1445"/>
      <c r="K502" s="1445"/>
      <c r="L502" s="1445"/>
      <c r="M502" s="1445"/>
      <c r="N502" s="1445"/>
      <c r="O502" s="1445"/>
      <c r="P502" s="1445"/>
      <c r="Q502" s="1445"/>
      <c r="R502" s="1445"/>
      <c r="S502" s="1445"/>
      <c r="T502" s="1445"/>
      <c r="U502" s="1445"/>
      <c r="V502" s="1445"/>
      <c r="W502" s="1445"/>
      <c r="X502" s="1445"/>
      <c r="Y502" s="1445"/>
      <c r="Z502" s="1445"/>
    </row>
    <row r="503" spans="10:26" s="1433" customFormat="1" ht="21.75" customHeight="1">
      <c r="J503" s="1445"/>
      <c r="K503" s="1445"/>
      <c r="L503" s="1445"/>
      <c r="M503" s="1445"/>
      <c r="N503" s="1445"/>
      <c r="O503" s="1445"/>
      <c r="P503" s="1445"/>
      <c r="Q503" s="1445"/>
      <c r="R503" s="1445"/>
      <c r="S503" s="1445"/>
      <c r="T503" s="1445"/>
      <c r="U503" s="1445"/>
      <c r="V503" s="1445"/>
      <c r="W503" s="1445"/>
      <c r="X503" s="1445"/>
      <c r="Y503" s="1445"/>
      <c r="Z503" s="1445"/>
    </row>
    <row r="504" spans="10:26" s="1433" customFormat="1" ht="21.75" customHeight="1">
      <c r="J504" s="1445"/>
      <c r="K504" s="1445"/>
      <c r="L504" s="1445"/>
      <c r="M504" s="1445"/>
      <c r="N504" s="1445"/>
      <c r="O504" s="1445"/>
      <c r="P504" s="1445"/>
      <c r="Q504" s="1445"/>
      <c r="R504" s="1445"/>
      <c r="S504" s="1445"/>
      <c r="T504" s="1445"/>
      <c r="U504" s="1445"/>
      <c r="V504" s="1445"/>
      <c r="W504" s="1445"/>
      <c r="X504" s="1445"/>
      <c r="Y504" s="1445"/>
      <c r="Z504" s="1445"/>
    </row>
    <row r="505" spans="10:26" s="1433" customFormat="1" ht="21.75" customHeight="1">
      <c r="J505" s="1445"/>
      <c r="K505" s="1445"/>
      <c r="L505" s="1445"/>
      <c r="M505" s="1445"/>
      <c r="N505" s="1445"/>
      <c r="O505" s="1445"/>
      <c r="P505" s="1445"/>
      <c r="Q505" s="1445"/>
      <c r="R505" s="1445"/>
      <c r="S505" s="1445"/>
      <c r="T505" s="1445"/>
      <c r="U505" s="1445"/>
      <c r="V505" s="1445"/>
      <c r="W505" s="1445"/>
      <c r="X505" s="1445"/>
      <c r="Y505" s="1445"/>
      <c r="Z505" s="1445"/>
    </row>
    <row r="506" spans="10:26" s="1433" customFormat="1" ht="21.75" customHeight="1">
      <c r="J506" s="1445"/>
      <c r="K506" s="1445"/>
      <c r="L506" s="1445"/>
      <c r="M506" s="1445"/>
      <c r="N506" s="1445"/>
      <c r="O506" s="1445"/>
      <c r="P506" s="1445"/>
      <c r="Q506" s="1445"/>
      <c r="R506" s="1445"/>
      <c r="S506" s="1445"/>
      <c r="T506" s="1445"/>
      <c r="U506" s="1445"/>
      <c r="V506" s="1445"/>
      <c r="W506" s="1445"/>
      <c r="X506" s="1445"/>
      <c r="Y506" s="1445"/>
      <c r="Z506" s="1445"/>
    </row>
    <row r="507" spans="10:26" s="1433" customFormat="1" ht="21.75" customHeight="1">
      <c r="J507" s="1445"/>
      <c r="K507" s="1445"/>
      <c r="L507" s="1445"/>
      <c r="M507" s="1445"/>
      <c r="N507" s="1445"/>
      <c r="O507" s="1445"/>
      <c r="P507" s="1445"/>
      <c r="Q507" s="1445"/>
      <c r="R507" s="1445"/>
      <c r="S507" s="1445"/>
      <c r="T507" s="1445"/>
      <c r="U507" s="1445"/>
      <c r="V507" s="1445"/>
      <c r="W507" s="1445"/>
      <c r="X507" s="1445"/>
      <c r="Y507" s="1445"/>
      <c r="Z507" s="1445"/>
    </row>
    <row r="508" spans="10:26" s="1433" customFormat="1" ht="21.75" customHeight="1">
      <c r="J508" s="1445"/>
      <c r="K508" s="1445"/>
      <c r="L508" s="1445"/>
      <c r="M508" s="1445"/>
      <c r="N508" s="1445"/>
      <c r="O508" s="1445"/>
      <c r="P508" s="1445"/>
      <c r="Q508" s="1445"/>
      <c r="R508" s="1445"/>
      <c r="S508" s="1445"/>
      <c r="T508" s="1445"/>
      <c r="U508" s="1445"/>
      <c r="V508" s="1445"/>
      <c r="W508" s="1445"/>
      <c r="X508" s="1445"/>
      <c r="Y508" s="1445"/>
      <c r="Z508" s="1445"/>
    </row>
    <row r="509" spans="10:26" s="1433" customFormat="1" ht="21.75" customHeight="1">
      <c r="J509" s="1445"/>
      <c r="K509" s="1445"/>
      <c r="L509" s="1445"/>
      <c r="M509" s="1445"/>
      <c r="N509" s="1445"/>
      <c r="O509" s="1445"/>
      <c r="P509" s="1445"/>
      <c r="Q509" s="1445"/>
      <c r="R509" s="1445"/>
      <c r="S509" s="1445"/>
      <c r="T509" s="1445"/>
      <c r="U509" s="1445"/>
      <c r="V509" s="1445"/>
      <c r="W509" s="1445"/>
      <c r="X509" s="1445"/>
      <c r="Y509" s="1445"/>
      <c r="Z509" s="1445"/>
    </row>
    <row r="510" spans="10:26" s="1433" customFormat="1" ht="21.75" customHeight="1">
      <c r="J510" s="1445"/>
      <c r="K510" s="1445"/>
      <c r="L510" s="1445"/>
      <c r="M510" s="1445"/>
      <c r="N510" s="1445"/>
      <c r="O510" s="1445"/>
      <c r="P510" s="1445"/>
      <c r="Q510" s="1445"/>
      <c r="R510" s="1445"/>
      <c r="S510" s="1445"/>
      <c r="T510" s="1445"/>
      <c r="U510" s="1445"/>
      <c r="V510" s="1445"/>
      <c r="W510" s="1445"/>
      <c r="X510" s="1445"/>
      <c r="Y510" s="1445"/>
      <c r="Z510" s="1445"/>
    </row>
    <row r="511" spans="10:26" s="1433" customFormat="1" ht="21.75" customHeight="1">
      <c r="J511" s="1445"/>
      <c r="K511" s="1445"/>
      <c r="L511" s="1445"/>
      <c r="M511" s="1445"/>
      <c r="N511" s="1445"/>
      <c r="O511" s="1445"/>
      <c r="P511" s="1445"/>
      <c r="Q511" s="1445"/>
      <c r="R511" s="1445"/>
      <c r="S511" s="1445"/>
      <c r="T511" s="1445"/>
      <c r="U511" s="1445"/>
      <c r="V511" s="1445"/>
      <c r="W511" s="1445"/>
      <c r="X511" s="1445"/>
      <c r="Y511" s="1445"/>
      <c r="Z511" s="1445"/>
    </row>
    <row r="512" spans="10:26" s="1433" customFormat="1" ht="21.75" customHeight="1">
      <c r="J512" s="1445"/>
      <c r="K512" s="1445"/>
      <c r="L512" s="1445"/>
      <c r="M512" s="1445"/>
      <c r="N512" s="1445"/>
      <c r="O512" s="1445"/>
      <c r="P512" s="1445"/>
      <c r="Q512" s="1445"/>
      <c r="R512" s="1445"/>
      <c r="S512" s="1445"/>
      <c r="T512" s="1445"/>
      <c r="U512" s="1445"/>
      <c r="V512" s="1445"/>
      <c r="W512" s="1445"/>
      <c r="X512" s="1445"/>
      <c r="Y512" s="1445"/>
      <c r="Z512" s="144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79" priority="21" stopIfTrue="1" operator="equal">
      <formula>25</formula>
    </cfRule>
  </conditionalFormatting>
  <conditionalFormatting sqref="C8:C9">
    <cfRule type="cellIs" dxfId="178" priority="19" stopIfTrue="1" operator="equal">
      <formula>15</formula>
    </cfRule>
  </conditionalFormatting>
  <conditionalFormatting sqref="C14:C16">
    <cfRule type="cellIs" dxfId="177" priority="13" stopIfTrue="1" operator="equal">
      <formula>30</formula>
    </cfRule>
  </conditionalFormatting>
  <conditionalFormatting sqref="D5:D7">
    <cfRule type="cellIs" dxfId="176" priority="10" stopIfTrue="1" operator="equal">
      <formula>25</formula>
    </cfRule>
  </conditionalFormatting>
  <conditionalFormatting sqref="D8:D9">
    <cfRule type="cellIs" dxfId="175" priority="9" stopIfTrue="1" operator="equal">
      <formula>15</formula>
    </cfRule>
  </conditionalFormatting>
  <conditionalFormatting sqref="C10:D13">
    <cfRule type="cellIs" dxfId="174" priority="8" stopIfTrue="1" operator="equal">
      <formula>15</formula>
    </cfRule>
  </conditionalFormatting>
  <conditionalFormatting sqref="D14:D16">
    <cfRule type="cellIs" dxfId="173" priority="6" stopIfTrue="1" operator="equal">
      <formula>30</formula>
    </cfRule>
  </conditionalFormatting>
  <conditionalFormatting sqref="C90">
    <cfRule type="expression" dxfId="172" priority="3" stopIfTrue="1">
      <formula>$H$88&lt;&gt;"仅含出让金"</formula>
    </cfRule>
  </conditionalFormatting>
  <conditionalFormatting sqref="C91">
    <cfRule type="expression" dxfId="171" priority="2" stopIfTrue="1">
      <formula>$H$91="由企业提供"</formula>
    </cfRule>
  </conditionalFormatting>
  <conditionalFormatting sqref="E36">
    <cfRule type="expression" dxfId="170"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sheetPr>
    <tabColor rgb="FF92D050"/>
    <pageSetUpPr fitToPage="1"/>
  </sheetPr>
  <dimension ref="A1:I57"/>
  <sheetViews>
    <sheetView workbookViewId="0">
      <selection activeCell="F30" sqref="F30"/>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820</v>
      </c>
      <c r="B1" s="2748"/>
      <c r="C1" s="574"/>
      <c r="D1" s="574"/>
      <c r="E1" s="574"/>
      <c r="F1" s="574"/>
      <c r="G1" s="2749">
        <f>MATCH(B1,'数据-取费表'!A6:A16,0)+5</f>
        <v>10</v>
      </c>
    </row>
    <row r="2" spans="1:9" s="576" customFormat="1" ht="18" customHeight="1">
      <c r="A2" s="577" t="s">
        <v>446</v>
      </c>
      <c r="B2" s="578">
        <f ca="1">IF(D2="——",C52,C52-E2)</f>
        <v>1140</v>
      </c>
      <c r="C2" s="85" t="s">
        <v>870</v>
      </c>
      <c r="D2" s="2866" t="s">
        <v>530</v>
      </c>
      <c r="E2" s="2864" t="e">
        <f ca="1">SUMIF(INDIRECT("'"&amp;G2&amp;"'"&amp;"!A:A"),"承租人权益价值",INDIRECT("'"&amp;G2&amp;"'"&amp;"!c:c"))</f>
        <v>#REF!</v>
      </c>
      <c r="F2" s="2862" t="s">
        <v>870</v>
      </c>
      <c r="G2" s="2865"/>
    </row>
    <row r="3" spans="1:9" s="576" customFormat="1" ht="18" customHeight="1" thickBot="1">
      <c r="A3" s="579" t="s">
        <v>447</v>
      </c>
      <c r="B3" s="580">
        <f ca="1">ROUND(B2*10000/(IF(B1="",'数据-汇总表'!E3,INDIRECT("'数据-取费表'!k"&amp;$G$1))),0)</f>
        <v>2819</v>
      </c>
      <c r="C3" s="85" t="s">
        <v>871</v>
      </c>
      <c r="D3" s="575"/>
      <c r="E3" s="575"/>
      <c r="F3" s="575"/>
      <c r="G3" s="575"/>
    </row>
    <row r="4" spans="1:9" s="584" customFormat="1" ht="15.75">
      <c r="A4" s="581" t="s">
        <v>823</v>
      </c>
      <c r="B4" s="582"/>
      <c r="C4" s="582"/>
      <c r="D4" s="582"/>
      <c r="E4" s="582"/>
      <c r="F4" s="582"/>
      <c r="G4" s="583"/>
    </row>
    <row r="5" spans="1:9" s="590" customFormat="1" ht="13.5" customHeight="1">
      <c r="A5" s="631" t="s">
        <v>2512</v>
      </c>
      <c r="B5" s="586" t="s">
        <v>824</v>
      </c>
      <c r="C5" s="587">
        <f>C6+C7+C8</f>
        <v>0</v>
      </c>
      <c r="D5" s="587" t="s">
        <v>825</v>
      </c>
      <c r="E5" s="588" t="s">
        <v>826</v>
      </c>
      <c r="F5" s="588" t="s">
        <v>827</v>
      </c>
      <c r="G5" s="589"/>
    </row>
    <row r="6" spans="1:9" s="590" customFormat="1" ht="13.5" customHeight="1">
      <c r="A6" s="1800" t="s">
        <v>1926</v>
      </c>
      <c r="B6" s="591" t="s">
        <v>828</v>
      </c>
      <c r="C6" s="592"/>
      <c r="D6" s="593"/>
      <c r="E6" s="594"/>
      <c r="F6" s="594"/>
      <c r="G6" s="595"/>
    </row>
    <row r="7" spans="1:9" s="590" customFormat="1" ht="13.5" customHeight="1">
      <c r="A7" s="1800" t="s">
        <v>1927</v>
      </c>
      <c r="B7" s="591" t="s">
        <v>347</v>
      </c>
      <c r="C7" s="596">
        <f>ROUND(C6*F7,0)</f>
        <v>0</v>
      </c>
      <c r="D7" s="596"/>
      <c r="E7" s="594"/>
      <c r="F7" s="597">
        <f>'数据-取费表'!B48+'数据-取费表'!B49</f>
        <v>3.0499999999999999E-2</v>
      </c>
      <c r="G7" s="595"/>
    </row>
    <row r="8" spans="1:9" s="599" customFormat="1">
      <c r="A8" s="1800" t="s">
        <v>1928</v>
      </c>
      <c r="B8" s="591" t="s">
        <v>829</v>
      </c>
      <c r="C8" s="596">
        <f>IF(G8="已包含在土地购买价格中","0",IF(B1="",'数据-取费表'!B29,IF(G9="全部缴纳",C9+C10,H9)))</f>
        <v>0</v>
      </c>
      <c r="D8" s="598"/>
      <c r="E8" s="596"/>
      <c r="F8" s="597"/>
      <c r="G8" s="84"/>
    </row>
    <row r="9" spans="1:9" s="590" customFormat="1" ht="13.5" customHeight="1">
      <c r="A9" s="1801" t="s">
        <v>1935</v>
      </c>
      <c r="B9" s="600" t="s">
        <v>830</v>
      </c>
      <c r="C9" s="601">
        <f ca="1">ROUND(D9*E9/10000,0)</f>
        <v>40</v>
      </c>
      <c r="D9" s="1905">
        <f ca="1">IF(B1="",'数据-汇总表'!E5,IF(INDIRECT("'数据-取费表'!c"&amp;$G$1)="住宅",INDIRECT("'数据-取费表'!k"&amp;$G$1),0))</f>
        <v>1653.4</v>
      </c>
      <c r="E9" s="601">
        <f>'数据-取费表'!B27</f>
        <v>240</v>
      </c>
      <c r="F9" s="597"/>
      <c r="G9" s="2796"/>
      <c r="H9" s="2797"/>
      <c r="I9" s="2798" t="s">
        <v>2693</v>
      </c>
    </row>
    <row r="10" spans="1:9" s="590" customFormat="1" ht="13.5" customHeight="1">
      <c r="A10" s="1801" t="s">
        <v>1936</v>
      </c>
      <c r="B10" s="600" t="s">
        <v>831</v>
      </c>
      <c r="C10" s="601">
        <f ca="1">ROUND(D10*E10/10000,0)</f>
        <v>57</v>
      </c>
      <c r="D10" s="1905">
        <f ca="1">IF(B1="",'数据-汇总表'!E6,IF(INDIRECT("'数据-取费表'!c"&amp;$G$1)="住宅",INDIRECT("'数据-取费表'!s"&amp;$G$1),INDIRECT("'数据-取费表'!k"&amp;$G$1)+INDIRECT("'数据-取费表'!s"&amp;$G$1)))</f>
        <v>2390.3000000000002</v>
      </c>
      <c r="E10" s="601">
        <f>'数据-取费表'!B28</f>
        <v>240</v>
      </c>
      <c r="F10" s="597"/>
      <c r="G10" s="602"/>
    </row>
    <row r="11" spans="1:9" s="590" customFormat="1" ht="13.5" hidden="1" customHeight="1">
      <c r="A11" s="603" t="s">
        <v>42</v>
      </c>
      <c r="B11" s="591" t="s">
        <v>832</v>
      </c>
      <c r="C11" s="587"/>
      <c r="D11" s="1907"/>
      <c r="E11" s="594"/>
      <c r="F11" s="594"/>
      <c r="G11" s="595"/>
    </row>
    <row r="12" spans="1:9" s="590" customFormat="1" ht="13.5" hidden="1" customHeight="1">
      <c r="A12" s="603" t="s">
        <v>43</v>
      </c>
      <c r="B12" s="591" t="s">
        <v>833</v>
      </c>
      <c r="C12" s="587">
        <v>0</v>
      </c>
      <c r="D12" s="1907"/>
      <c r="E12" s="604"/>
      <c r="F12" s="597">
        <v>3.0499999999999999E-2</v>
      </c>
      <c r="G12" s="595"/>
    </row>
    <row r="13" spans="1:9" s="590" customFormat="1" ht="13.5" hidden="1" customHeight="1">
      <c r="A13" s="603" t="s">
        <v>44</v>
      </c>
      <c r="B13" s="591" t="s">
        <v>834</v>
      </c>
      <c r="C13" s="587"/>
      <c r="D13" s="1907"/>
      <c r="E13" s="594"/>
      <c r="F13" s="594"/>
      <c r="G13" s="595"/>
    </row>
    <row r="14" spans="1:9" s="590" customFormat="1" ht="13.5" hidden="1" customHeight="1">
      <c r="A14" s="603" t="s">
        <v>45</v>
      </c>
      <c r="B14" s="591" t="s">
        <v>829</v>
      </c>
      <c r="C14" s="587"/>
      <c r="D14" s="1907"/>
      <c r="E14" s="594"/>
      <c r="F14" s="594"/>
      <c r="G14" s="595" t="s">
        <v>835</v>
      </c>
    </row>
    <row r="15" spans="1:9" s="590" customFormat="1" ht="13.5" hidden="1" customHeight="1">
      <c r="A15" s="603" t="s">
        <v>46</v>
      </c>
      <c r="B15" s="591" t="s">
        <v>836</v>
      </c>
      <c r="C15" s="596"/>
      <c r="D15" s="1907"/>
      <c r="E15" s="594"/>
      <c r="F15" s="594"/>
      <c r="G15" s="595" t="s">
        <v>837</v>
      </c>
    </row>
    <row r="16" spans="1:9" s="590" customFormat="1" ht="13.5" hidden="1" customHeight="1">
      <c r="A16" s="603" t="s">
        <v>47</v>
      </c>
      <c r="B16" s="591" t="s">
        <v>829</v>
      </c>
      <c r="C16" s="596"/>
      <c r="D16" s="1907"/>
      <c r="E16" s="594"/>
      <c r="F16" s="594"/>
      <c r="G16" s="595"/>
    </row>
    <row r="17" spans="1:7" s="590" customFormat="1" ht="13.5" hidden="1" customHeight="1">
      <c r="A17" s="603" t="s">
        <v>48</v>
      </c>
      <c r="B17" s="591" t="s">
        <v>838</v>
      </c>
      <c r="C17" s="605"/>
      <c r="D17" s="1908"/>
      <c r="E17" s="605"/>
      <c r="F17" s="605"/>
      <c r="G17" s="595" t="s">
        <v>837</v>
      </c>
    </row>
    <row r="18" spans="1:7" s="590" customFormat="1" ht="13.5" hidden="1" customHeight="1">
      <c r="A18" s="603" t="s">
        <v>49</v>
      </c>
      <c r="B18" s="591" t="s">
        <v>839</v>
      </c>
      <c r="C18" s="596">
        <v>0</v>
      </c>
      <c r="D18" s="1907"/>
      <c r="E18" s="594"/>
      <c r="F18" s="597">
        <v>3.0499999999999999E-2</v>
      </c>
      <c r="G18" s="595" t="s">
        <v>840</v>
      </c>
    </row>
    <row r="19" spans="1:7" s="599" customFormat="1" ht="13.5" customHeight="1">
      <c r="A19" s="1799" t="s">
        <v>2513</v>
      </c>
      <c r="B19" s="586" t="s">
        <v>848</v>
      </c>
      <c r="C19" s="587">
        <f ca="1">IF(G19="已包含在土地取得成本中","0",ROUND(D19*E19/10000,0))</f>
        <v>81</v>
      </c>
      <c r="D19" s="1909">
        <f ca="1">D9+D10</f>
        <v>4043.7000000000003</v>
      </c>
      <c r="E19" s="587">
        <f>'数据-取费表'!B31</f>
        <v>200</v>
      </c>
      <c r="F19" s="607"/>
      <c r="G19" s="84"/>
    </row>
    <row r="20" spans="1:7" s="590" customFormat="1" ht="13.5" customHeight="1">
      <c r="A20" s="1799" t="s">
        <v>2515</v>
      </c>
      <c r="B20" s="586" t="s">
        <v>841</v>
      </c>
      <c r="C20" s="608">
        <f ca="1">ROUND((C5+C19)*F20,0)</f>
        <v>1</v>
      </c>
      <c r="D20" s="608"/>
      <c r="E20" s="608"/>
      <c r="F20" s="609">
        <f>'数据-取费表'!B37</f>
        <v>1.4999999999999999E-2</v>
      </c>
      <c r="G20" s="2616" t="s">
        <v>2526</v>
      </c>
    </row>
    <row r="21" spans="1:7" s="590" customFormat="1" ht="13.5" customHeight="1">
      <c r="A21" s="1799" t="s">
        <v>2517</v>
      </c>
      <c r="B21" s="586" t="s">
        <v>842</v>
      </c>
      <c r="C21" s="611">
        <f>F21</f>
        <v>1.4999999999999999E-2</v>
      </c>
      <c r="D21" s="612" t="s">
        <v>863</v>
      </c>
      <c r="E21" s="608"/>
      <c r="F21" s="609">
        <f>'数据-取费表'!B38</f>
        <v>1.4999999999999999E-2</v>
      </c>
      <c r="G21" s="610" t="s">
        <v>843</v>
      </c>
    </row>
    <row r="22" spans="1:7" s="590" customFormat="1" ht="13.5" customHeight="1">
      <c r="A22" s="1799" t="s">
        <v>1921</v>
      </c>
      <c r="B22" s="586" t="s">
        <v>844</v>
      </c>
      <c r="C22" s="2695">
        <f ca="1">ROUND(SUM(C23:C25),0)</f>
        <v>10</v>
      </c>
      <c r="D22" s="611">
        <f ca="1">C26</f>
        <v>8.9999999999999998E-4</v>
      </c>
      <c r="E22" s="612" t="s">
        <v>863</v>
      </c>
      <c r="F22" s="613">
        <f ca="1">'数据-取费表'!B40</f>
        <v>4.7500000000000001E-2</v>
      </c>
      <c r="G22" s="2616" t="str">
        <f>IF('数据-取费表'!B22&lt;=1,"单利计息","复利计息")</f>
        <v>复利计息</v>
      </c>
    </row>
    <row r="23" spans="1:7" s="590" customFormat="1" ht="13.5" customHeight="1">
      <c r="A23" s="1802" t="s">
        <v>1926</v>
      </c>
      <c r="B23" s="591" t="s">
        <v>2519</v>
      </c>
      <c r="C23" s="2696">
        <f ca="1">ROUND(IF('数据-取费表'!B22&lt;=1,C5*F22*'数据-取费表'!B23,C5*(POWER((1+F22),'数据-取费表'!B23)-1)),0)</f>
        <v>0</v>
      </c>
      <c r="D23" s="614"/>
      <c r="E23" s="614"/>
      <c r="F23" s="615"/>
      <c r="G23" s="616" t="s">
        <v>845</v>
      </c>
    </row>
    <row r="24" spans="1:7" s="590" customFormat="1" ht="13.5" customHeight="1">
      <c r="A24" s="1802" t="s">
        <v>1927</v>
      </c>
      <c r="B24" s="591" t="s">
        <v>2514</v>
      </c>
      <c r="C24" s="2696">
        <f ca="1">ROUND(IF('数据-取费表'!B22&lt;=1,C19*F22*('数据-取费表'!B19/2+'数据-取费表'!B21),C19*(POWER((1+F22),('数据-取费表'!B19/2+'数据-取费表'!B21))-1)),0)</f>
        <v>10</v>
      </c>
      <c r="D24" s="614"/>
      <c r="E24" s="614"/>
      <c r="F24" s="615"/>
      <c r="G24" s="616" t="s">
        <v>846</v>
      </c>
    </row>
    <row r="25" spans="1:7" s="590" customFormat="1" ht="24">
      <c r="A25" s="1802" t="s">
        <v>1928</v>
      </c>
      <c r="B25" s="591" t="s">
        <v>2516</v>
      </c>
      <c r="C25" s="2696">
        <f ca="1">ROUND(IF('数据-取费表'!B22&lt;=1,C20*F22*'数据-取费表'!B23/2,C20*(POWER((1+F22),'数据-取费表'!B23/2)-1)),0)</f>
        <v>0</v>
      </c>
      <c r="D25" s="614"/>
      <c r="E25" s="617"/>
      <c r="F25" s="615"/>
      <c r="G25" s="618" t="s">
        <v>847</v>
      </c>
    </row>
    <row r="26" spans="1:7" s="590" customFormat="1">
      <c r="A26" s="1802" t="s">
        <v>1930</v>
      </c>
      <c r="B26" s="591" t="s">
        <v>2518</v>
      </c>
      <c r="C26" s="614">
        <f ca="1">ROUND(IF('数据-取费表'!B22&lt;=1,F21*F22*'数据-取费表'!B23/2,F21*(POWER((1+F22),'数据-取费表'!B23/2)-1)),4)</f>
        <v>8.9999999999999998E-4</v>
      </c>
      <c r="D26" s="614"/>
      <c r="E26" s="617"/>
      <c r="F26" s="615"/>
      <c r="G26" s="619"/>
    </row>
    <row r="27" spans="1:7" s="590" customFormat="1" ht="24.75">
      <c r="A27" s="1799" t="s">
        <v>1922</v>
      </c>
      <c r="B27" s="620" t="s">
        <v>849</v>
      </c>
      <c r="C27" s="621">
        <f ca="1">C28</f>
        <v>7</v>
      </c>
      <c r="D27" s="611">
        <f ca="1">C29</f>
        <v>1.1999999999999999E-3</v>
      </c>
      <c r="E27" s="612" t="s">
        <v>863</v>
      </c>
      <c r="F27" s="622">
        <f ca="1">IF(B1="",'数据-取费表'!Q16,INDIRECT("'数据-取费表'!q"&amp;$G$1))</f>
        <v>0.08</v>
      </c>
      <c r="G27" s="623" t="s">
        <v>2527</v>
      </c>
    </row>
    <row r="28" spans="1:7" s="590" customFormat="1" ht="13.5" customHeight="1">
      <c r="A28" s="1802" t="s">
        <v>1926</v>
      </c>
      <c r="B28" s="624" t="s">
        <v>2520</v>
      </c>
      <c r="C28" s="625">
        <f ca="1">ROUND((C5+C19+C20)*F27*'数据-取费表'!B21/'数据-取费表'!B20,0)</f>
        <v>7</v>
      </c>
      <c r="D28" s="611"/>
      <c r="E28" s="612"/>
      <c r="F28" s="622"/>
      <c r="G28" s="623"/>
    </row>
    <row r="29" spans="1:7" s="590" customFormat="1" ht="13.5" customHeight="1">
      <c r="A29" s="1802" t="s">
        <v>1927</v>
      </c>
      <c r="B29" s="624" t="s">
        <v>2521</v>
      </c>
      <c r="C29" s="614">
        <f ca="1">ROUND(C21*F27*'数据-取费表'!B21/'数据-取费表'!B20,4)</f>
        <v>1.1999999999999999E-3</v>
      </c>
      <c r="D29" s="611"/>
      <c r="E29" s="612"/>
      <c r="F29" s="622"/>
      <c r="G29" s="623"/>
    </row>
    <row r="30" spans="1:7" s="590" customFormat="1" ht="13.5" customHeight="1">
      <c r="A30" s="1799" t="s">
        <v>1923</v>
      </c>
      <c r="B30" s="586" t="s">
        <v>348</v>
      </c>
      <c r="C30" s="611">
        <f>ROUND(F30/(1+'数据-取费表'!C42),4)</f>
        <v>5.33E-2</v>
      </c>
      <c r="D30" s="612" t="s">
        <v>2944</v>
      </c>
      <c r="E30" s="617"/>
      <c r="F30" s="613">
        <f>'数据-取费表'!B41</f>
        <v>5.6000000000000001E-2</v>
      </c>
      <c r="G30" s="2616" t="s">
        <v>2945</v>
      </c>
    </row>
    <row r="31" spans="1:7" ht="16.5" customHeight="1">
      <c r="A31" s="585">
        <v>1</v>
      </c>
      <c r="B31" s="586" t="s">
        <v>865</v>
      </c>
      <c r="C31" s="587">
        <f ca="1">ROUND((C5+C19+C20+C22+C27)/(1-C21-D22-D27-C30),0)</f>
        <v>106</v>
      </c>
      <c r="D31" s="606"/>
      <c r="E31" s="587"/>
      <c r="F31" s="626"/>
      <c r="G31" s="610" t="s">
        <v>2528</v>
      </c>
    </row>
    <row r="32" spans="1:7" s="584" customFormat="1" ht="15.75">
      <c r="A32" s="628" t="s">
        <v>851</v>
      </c>
      <c r="B32" s="629"/>
      <c r="C32" s="629"/>
      <c r="D32" s="629"/>
      <c r="E32" s="629"/>
      <c r="F32" s="629"/>
      <c r="G32" s="630"/>
    </row>
    <row r="33" spans="1:7" s="590" customFormat="1" ht="13.5" customHeight="1">
      <c r="A33" s="631" t="s">
        <v>1917</v>
      </c>
      <c r="B33" s="586" t="s">
        <v>852</v>
      </c>
      <c r="C33" s="632">
        <f ca="1">SUM(C34:C38)</f>
        <v>855.85</v>
      </c>
      <c r="D33" s="608"/>
      <c r="E33" s="588"/>
      <c r="F33" s="617"/>
      <c r="G33" s="610"/>
    </row>
    <row r="34" spans="1:7" s="634" customFormat="1" ht="13.5" customHeight="1">
      <c r="A34" s="1802" t="s">
        <v>1926</v>
      </c>
      <c r="B34" s="591" t="s">
        <v>349</v>
      </c>
      <c r="C34" s="596">
        <f ca="1">IF(B1="",IF(F34=100%,'数据-取费表'!M16,'数据-取费表'!O16),IF(F34=100%,INDIRECT("'数据-取费表'!m"&amp;$G$1)+INDIRECT("'数据-取费表'!t"&amp;$G$1),INDIRECT("'数据-取费表'!o"&amp;$G$1)+INDIRECT("'数据-取费表'!aq"&amp;$G$1)))</f>
        <v>727</v>
      </c>
      <c r="D34" s="593"/>
      <c r="E34" s="596"/>
      <c r="F34" s="633">
        <f ca="1">IF('数据-取费表'!B24=0,1,IF(B1="",'数据-取费表'!N16,INDIRECT("'数据-取费表'!n"&amp;$G$1)))</f>
        <v>1</v>
      </c>
      <c r="G34" s="595" t="s">
        <v>853</v>
      </c>
    </row>
    <row r="35" spans="1:7" ht="13.5" customHeight="1">
      <c r="A35" s="1802" t="s">
        <v>1931</v>
      </c>
      <c r="B35" s="591" t="s">
        <v>350</v>
      </c>
      <c r="C35" s="596">
        <f ca="1">ROUND(C34*F35,0)</f>
        <v>22</v>
      </c>
      <c r="D35" s="596"/>
      <c r="E35" s="596"/>
      <c r="F35" s="635">
        <f>'数据-取费表'!B33</f>
        <v>0.03</v>
      </c>
      <c r="G35" s="595" t="s">
        <v>854</v>
      </c>
    </row>
    <row r="36" spans="1:7" ht="24">
      <c r="A36" s="1802" t="s">
        <v>1932</v>
      </c>
      <c r="B36" s="591" t="s">
        <v>351</v>
      </c>
      <c r="C36" s="596">
        <f ca="1">IF(B1="",SUMIF('数据-取费表'!C:C,"住宅",IF(F34=100%,'数据-取费表'!M:M,'数据-取费表'!O:O))*F36,IF(INDIRECT("'数据-取费表'!c"&amp;$G$1)="住宅",IF(F34=100%,INDIRECT("'数据-取费表'!m"&amp;$G$1)*F36,INDIRECT("'数据-取费表'!o"&amp;$G$1)*F36),0))</f>
        <v>14.850000000000001</v>
      </c>
      <c r="D36" s="596"/>
      <c r="E36" s="596"/>
      <c r="F36" s="635">
        <f>'数据-取费表'!B34</f>
        <v>0.05</v>
      </c>
      <c r="G36" s="636" t="s">
        <v>352</v>
      </c>
    </row>
    <row r="37" spans="1:7" s="634" customFormat="1" ht="13.5" customHeight="1">
      <c r="A37" s="1802" t="s">
        <v>1933</v>
      </c>
      <c r="B37" s="591" t="s">
        <v>855</v>
      </c>
      <c r="C37" s="625">
        <f ca="1">ROUND(E37*D37*F34/10000,0)</f>
        <v>81</v>
      </c>
      <c r="D37" s="593">
        <f ca="1">D19</f>
        <v>4043.7000000000003</v>
      </c>
      <c r="E37" s="625">
        <f>'数据-取费表'!B35</f>
        <v>200</v>
      </c>
      <c r="F37" s="635"/>
      <c r="G37" s="637" t="s">
        <v>856</v>
      </c>
    </row>
    <row r="38" spans="1:7" ht="13.5" customHeight="1">
      <c r="A38" s="1802" t="s">
        <v>1934</v>
      </c>
      <c r="B38" s="591" t="s">
        <v>353</v>
      </c>
      <c r="C38" s="596">
        <f ca="1">ROUND(C34*F38,0)</f>
        <v>11</v>
      </c>
      <c r="D38" s="596"/>
      <c r="E38" s="596"/>
      <c r="F38" s="635">
        <f>'数据-取费表'!B36</f>
        <v>1.4999999999999999E-2</v>
      </c>
      <c r="G38" s="595" t="s">
        <v>854</v>
      </c>
    </row>
    <row r="39" spans="1:7" s="590" customFormat="1" ht="13.5" customHeight="1">
      <c r="A39" s="1799" t="s">
        <v>1918</v>
      </c>
      <c r="B39" s="586" t="s">
        <v>841</v>
      </c>
      <c r="C39" s="608">
        <f ca="1">ROUND(C33*F20,0)</f>
        <v>13</v>
      </c>
      <c r="D39" s="608"/>
      <c r="E39" s="608"/>
      <c r="F39" s="609"/>
      <c r="G39" s="2616" t="s">
        <v>2529</v>
      </c>
    </row>
    <row r="40" spans="1:7" s="590" customFormat="1" ht="13.5" customHeight="1">
      <c r="A40" s="1799" t="s">
        <v>1919</v>
      </c>
      <c r="B40" s="586" t="s">
        <v>842</v>
      </c>
      <c r="C40" s="3230">
        <f>F21</f>
        <v>1.4999999999999999E-2</v>
      </c>
      <c r="D40" s="612" t="s">
        <v>866</v>
      </c>
      <c r="E40" s="608"/>
      <c r="F40" s="609"/>
      <c r="G40" s="610" t="s">
        <v>857</v>
      </c>
    </row>
    <row r="41" spans="1:7" s="590" customFormat="1" ht="13.5" customHeight="1">
      <c r="A41" s="1799" t="s">
        <v>1920</v>
      </c>
      <c r="B41" s="586" t="s">
        <v>844</v>
      </c>
      <c r="C41" s="608">
        <f ca="1">ROUND(SUM(C42:C43),0)</f>
        <v>52</v>
      </c>
      <c r="D41" s="611">
        <f ca="1">C44</f>
        <v>8.9999999999999998E-4</v>
      </c>
      <c r="E41" s="612" t="s">
        <v>866</v>
      </c>
      <c r="F41" s="613"/>
      <c r="G41" s="2616" t="str">
        <f>IF('数据-取费表'!B22&lt;=1,"单利计息","复利计息")</f>
        <v>复利计息</v>
      </c>
    </row>
    <row r="42" spans="1:7" ht="13.5" customHeight="1">
      <c r="A42" s="1802" t="s">
        <v>1926</v>
      </c>
      <c r="B42" s="591" t="s">
        <v>2519</v>
      </c>
      <c r="C42" s="614">
        <f ca="1">ROUND(IF('数据-取费表'!B22&lt;=1,C33*F22*'数据-取费表'!B21/2,C33*(POWER((1+F22),'数据-取费表'!B21/2)-1)),0)</f>
        <v>51</v>
      </c>
      <c r="D42" s="614"/>
      <c r="E42" s="614"/>
      <c r="F42" s="615"/>
      <c r="G42" s="3631" t="s">
        <v>858</v>
      </c>
    </row>
    <row r="43" spans="1:7" ht="13.5" customHeight="1">
      <c r="A43" s="1802" t="s">
        <v>1927</v>
      </c>
      <c r="B43" s="591" t="s">
        <v>2522</v>
      </c>
      <c r="C43" s="614">
        <f ca="1">ROUND(IF('数据-取费表'!B22&lt;=1,C39*F22*'数据-取费表'!B21/2,C39*(POWER((1+F22),'数据-取费表'!B21/2)-1)),0)</f>
        <v>1</v>
      </c>
      <c r="D43" s="614"/>
      <c r="E43" s="614"/>
      <c r="F43" s="615"/>
      <c r="G43" s="3632"/>
    </row>
    <row r="44" spans="1:7" ht="13.5" customHeight="1">
      <c r="A44" s="1802" t="s">
        <v>1928</v>
      </c>
      <c r="B44" s="591" t="s">
        <v>2524</v>
      </c>
      <c r="C44" s="614">
        <f ca="1">ROUND(IF('数据-取费表'!B22&lt;=1,C40*F22*'数据-取费表'!B21/2,C40*(POWER((1+F22),'数据-取费表'!B21/2)-1)),4)</f>
        <v>8.9999999999999998E-4</v>
      </c>
      <c r="D44" s="614"/>
      <c r="E44" s="614"/>
      <c r="F44" s="615"/>
      <c r="G44" s="3633"/>
    </row>
    <row r="45" spans="1:7" s="590" customFormat="1" ht="13.5" customHeight="1">
      <c r="A45" s="1799" t="s">
        <v>1921</v>
      </c>
      <c r="B45" s="620" t="s">
        <v>849</v>
      </c>
      <c r="C45" s="621">
        <f ca="1">C46</f>
        <v>70</v>
      </c>
      <c r="D45" s="611">
        <f ca="1">C47</f>
        <v>1.1999999999999999E-3</v>
      </c>
      <c r="E45" s="612" t="s">
        <v>866</v>
      </c>
      <c r="F45" s="622"/>
      <c r="G45" s="623" t="s">
        <v>2530</v>
      </c>
    </row>
    <row r="46" spans="1:7" s="590" customFormat="1" ht="13.5" customHeight="1">
      <c r="A46" s="1802" t="s">
        <v>1926</v>
      </c>
      <c r="B46" s="624" t="s">
        <v>2523</v>
      </c>
      <c r="C46" s="625">
        <f ca="1">ROUND((C33+C39)*F27,0)</f>
        <v>70</v>
      </c>
      <c r="D46" s="639"/>
      <c r="E46" s="612"/>
      <c r="F46" s="622"/>
      <c r="G46" s="623"/>
    </row>
    <row r="47" spans="1:7" s="590" customFormat="1" ht="13.5" customHeight="1">
      <c r="A47" s="1802" t="s">
        <v>1927</v>
      </c>
      <c r="B47" s="624" t="s">
        <v>2525</v>
      </c>
      <c r="C47" s="614">
        <f ca="1">ROUND(C40*F27,4)</f>
        <v>1.1999999999999999E-3</v>
      </c>
      <c r="D47" s="639"/>
      <c r="E47" s="612"/>
      <c r="F47" s="622"/>
      <c r="G47" s="623"/>
    </row>
    <row r="48" spans="1:7" s="590" customFormat="1" ht="13.5" customHeight="1">
      <c r="A48" s="1799" t="s">
        <v>1922</v>
      </c>
      <c r="B48" s="586" t="s">
        <v>859</v>
      </c>
      <c r="C48" s="3230">
        <f>ROUND(F30/(1+'数据-取费表'!C42),4)</f>
        <v>5.33E-2</v>
      </c>
      <c r="D48" s="612" t="s">
        <v>2946</v>
      </c>
      <c r="E48" s="608"/>
      <c r="F48" s="613"/>
      <c r="G48" s="2616" t="s">
        <v>2947</v>
      </c>
    </row>
    <row r="49" spans="1:7" ht="16.5" customHeight="1">
      <c r="A49" s="1799" t="s">
        <v>1923</v>
      </c>
      <c r="B49" s="586" t="s">
        <v>868</v>
      </c>
      <c r="C49" s="608">
        <f ca="1">ROUND((C33+C39+C41+C45)/(1-C40-D41-D45-C48),0)</f>
        <v>1066</v>
      </c>
      <c r="D49" s="608"/>
      <c r="E49" s="608"/>
      <c r="F49" s="640"/>
      <c r="G49" s="610" t="s">
        <v>2531</v>
      </c>
    </row>
    <row r="50" spans="1:7" s="634" customFormat="1" ht="24">
      <c r="A50" s="1799" t="s">
        <v>1924</v>
      </c>
      <c r="B50" s="586" t="s">
        <v>861</v>
      </c>
      <c r="C50" s="608"/>
      <c r="D50" s="608"/>
      <c r="E50" s="608"/>
      <c r="F50" s="640">
        <f>IF('数据-取费表'!B24=0,'数据-取费表'!N16,1)</f>
        <v>0.97</v>
      </c>
      <c r="G50" s="623" t="s">
        <v>862</v>
      </c>
    </row>
    <row r="51" spans="1:7" ht="16.5" customHeight="1">
      <c r="A51" s="1799" t="s">
        <v>1925</v>
      </c>
      <c r="B51" s="586" t="s">
        <v>869</v>
      </c>
      <c r="C51" s="608">
        <f ca="1">ROUND(C49*F50,0)</f>
        <v>1034</v>
      </c>
      <c r="D51" s="608"/>
      <c r="E51" s="608"/>
      <c r="F51" s="640"/>
      <c r="G51" s="610" t="s">
        <v>354</v>
      </c>
    </row>
    <row r="52" spans="1:7" s="584" customFormat="1" ht="16.5" thickBot="1">
      <c r="A52" s="641" t="s">
        <v>355</v>
      </c>
      <c r="B52" s="642"/>
      <c r="C52" s="643">
        <f ca="1">C31+C51</f>
        <v>1140</v>
      </c>
      <c r="D52" s="642"/>
      <c r="E52" s="642"/>
      <c r="F52" s="642"/>
      <c r="G52" s="644"/>
    </row>
    <row r="55" spans="1:7" ht="15">
      <c r="B55" s="646" t="s">
        <v>356</v>
      </c>
      <c r="C55" s="647"/>
    </row>
    <row r="56" spans="1:7">
      <c r="B56" s="2868" t="s">
        <v>2704</v>
      </c>
      <c r="C56" s="651">
        <f ca="1">1-C57</f>
        <v>9.2999999999999972E-2</v>
      </c>
    </row>
    <row r="57" spans="1:7">
      <c r="B57" s="2868" t="s">
        <v>2703</v>
      </c>
      <c r="C57" s="650">
        <f ca="1">ROUND(C51/C52,3)</f>
        <v>0.90700000000000003</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2" zoomScale="80" zoomScaleSheetLayoutView="100" zoomScalePageLayoutView="80" workbookViewId="0">
      <selection activeCell="B49" sqref="B49"/>
    </sheetView>
  </sheetViews>
  <sheetFormatPr defaultRowHeight="13.5"/>
  <cols>
    <col min="1" max="1" width="3.5" style="1885" customWidth="1"/>
    <col min="2" max="9" width="10" style="1885" customWidth="1"/>
    <col min="10" max="16384" width="9" style="1885"/>
  </cols>
  <sheetData>
    <row r="36" spans="1:9">
      <c r="A36" s="1884" t="s">
        <v>1967</v>
      </c>
      <c r="B36" s="1884" t="s">
        <v>1968</v>
      </c>
    </row>
    <row r="37" spans="1:9" ht="27.75" customHeight="1">
      <c r="A37" s="1884"/>
      <c r="B37" s="3438" t="str">
        <f>项目基本情况!B1</f>
        <v>西安市西安市未央区三桥街办昆明路立交以西房地产抵押价值预评估</v>
      </c>
      <c r="C37" s="3438"/>
      <c r="D37" s="3438"/>
      <c r="E37" s="3438"/>
      <c r="F37" s="3438"/>
      <c r="G37" s="3438"/>
      <c r="H37" s="3438"/>
      <c r="I37" s="3438"/>
    </row>
    <row r="38" spans="1:9">
      <c r="A38" s="1886"/>
      <c r="B38" s="1886"/>
    </row>
    <row r="39" spans="1:9">
      <c r="A39" s="1884" t="s">
        <v>1967</v>
      </c>
      <c r="B39" s="1884" t="s">
        <v>1969</v>
      </c>
    </row>
    <row r="40" spans="1:9">
      <c r="A40" s="1884"/>
      <c r="B40" s="1884" t="str">
        <f>项目基本情况!B5</f>
        <v>西安御润房地产开发有限公司</v>
      </c>
    </row>
    <row r="41" spans="1:9">
      <c r="A41" s="1884"/>
      <c r="B41" s="1884"/>
    </row>
    <row r="42" spans="1:9">
      <c r="A42" s="1884" t="s">
        <v>1967</v>
      </c>
      <c r="B42" s="1884" t="s">
        <v>1970</v>
      </c>
    </row>
    <row r="43" spans="1:9">
      <c r="A43" s="1884"/>
      <c r="B43" s="1884" t="s">
        <v>1971</v>
      </c>
    </row>
    <row r="44" spans="1:9">
      <c r="A44" s="1884"/>
      <c r="B44" s="1884"/>
    </row>
    <row r="45" spans="1:9">
      <c r="A45" s="1884" t="s">
        <v>1967</v>
      </c>
      <c r="B45" s="1884" t="s">
        <v>1972</v>
      </c>
    </row>
    <row r="46" spans="1:9" s="1884" customFormat="1" ht="12.75">
      <c r="B46" s="1884" t="str">
        <f ca="1">项目基本情况!K4</f>
        <v>梁津（注册号：1119970066)、郑燚（注册号：1120070131)</v>
      </c>
    </row>
    <row r="47" spans="1:9">
      <c r="A47" s="1884"/>
      <c r="B47" s="1884" t="str">
        <f ca="1">项目基本情况!K5</f>
        <v>王萌（注册号：1120130048)</v>
      </c>
    </row>
    <row r="48" spans="1:9">
      <c r="A48" s="1884" t="s">
        <v>1967</v>
      </c>
      <c r="B48" s="1884" t="s">
        <v>1973</v>
      </c>
    </row>
    <row r="49" spans="2:2">
      <c r="B49" s="1884" t="str">
        <f>"康正预评字"&amp;项目基本情况!B2&amp;"号"</f>
        <v>康正预评字2017-1-0739号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820</v>
      </c>
      <c r="B1" s="2748"/>
      <c r="C1" s="2753" t="s">
        <v>2635</v>
      </c>
      <c r="D1" s="574"/>
      <c r="E1" s="574"/>
      <c r="F1" s="574"/>
      <c r="G1" s="2749">
        <f>MATCH(B1,'数据-取费表'!A6:A16,0)+5</f>
        <v>10</v>
      </c>
      <c r="H1" s="2580" t="str">
        <f>IF(ISERROR(FIND("住宅",B1)),"非住宅","住宅")</f>
        <v>非住宅</v>
      </c>
    </row>
    <row r="2" spans="1:8" s="576" customFormat="1" ht="18" customHeight="1">
      <c r="A2" s="577" t="s">
        <v>345</v>
      </c>
      <c r="B2" s="578">
        <f ca="1">ROUND(IF(D2="——",C52/10000,C52/10000-E2),0)</f>
        <v>1267</v>
      </c>
      <c r="C2" s="85" t="s">
        <v>870</v>
      </c>
      <c r="D2" s="2866" t="s">
        <v>530</v>
      </c>
      <c r="E2" s="2864" t="e">
        <f ca="1">SUMIF(INDIRECT("'"&amp;G2&amp;"'"&amp;"!A:A"),"承租人权益价值",INDIRECT("'"&amp;G2&amp;"'"&amp;"!c:c"))</f>
        <v>#REF!</v>
      </c>
      <c r="F2" s="2862" t="s">
        <v>870</v>
      </c>
      <c r="G2" s="2865"/>
    </row>
    <row r="3" spans="1:8" s="576" customFormat="1" ht="18" customHeight="1" thickBot="1">
      <c r="A3" s="579" t="s">
        <v>346</v>
      </c>
      <c r="B3" s="580">
        <f ca="1">ROUND(B2*10000/(IF(B1="",'数据-汇总表'!E3,INDIRECT("'数据-取费表'!k"&amp;$G$1))),0)</f>
        <v>3133</v>
      </c>
      <c r="C3" s="85" t="s">
        <v>871</v>
      </c>
      <c r="D3" s="575"/>
      <c r="E3" s="575"/>
      <c r="F3" s="575"/>
      <c r="G3" s="575"/>
    </row>
    <row r="4" spans="1:8" s="584" customFormat="1" ht="15.75">
      <c r="A4" s="581" t="s">
        <v>823</v>
      </c>
      <c r="B4" s="582"/>
      <c r="C4" s="582"/>
      <c r="D4" s="582"/>
      <c r="E4" s="582"/>
      <c r="F4" s="582"/>
      <c r="G4" s="583"/>
    </row>
    <row r="5" spans="1:8" s="590" customFormat="1" ht="13.5" customHeight="1">
      <c r="A5" s="631" t="s">
        <v>1917</v>
      </c>
      <c r="B5" s="586" t="s">
        <v>824</v>
      </c>
      <c r="C5" s="587">
        <f ca="1">C6+C7+C8</f>
        <v>970488</v>
      </c>
      <c r="D5" s="587" t="s">
        <v>825</v>
      </c>
      <c r="E5" s="588" t="s">
        <v>826</v>
      </c>
      <c r="F5" s="588" t="s">
        <v>827</v>
      </c>
      <c r="G5" s="589"/>
    </row>
    <row r="6" spans="1:8" s="590" customFormat="1" ht="13.5" customHeight="1">
      <c r="A6" s="1800" t="s">
        <v>1926</v>
      </c>
      <c r="B6" s="591" t="s">
        <v>828</v>
      </c>
      <c r="C6" s="592"/>
      <c r="D6" s="593"/>
      <c r="E6" s="594"/>
      <c r="F6" s="594"/>
      <c r="G6" s="595"/>
    </row>
    <row r="7" spans="1:8" s="590" customFormat="1" ht="13.5" customHeight="1">
      <c r="A7" s="1800" t="s">
        <v>1927</v>
      </c>
      <c r="B7" s="591" t="s">
        <v>347</v>
      </c>
      <c r="C7" s="596">
        <f>ROUND(C6*F7,0)</f>
        <v>0</v>
      </c>
      <c r="D7" s="596"/>
      <c r="E7" s="594"/>
      <c r="F7" s="597">
        <f>'数据-取费表'!B48+'数据-取费表'!B49</f>
        <v>3.0499999999999999E-2</v>
      </c>
      <c r="G7" s="595"/>
    </row>
    <row r="8" spans="1:8" s="599" customFormat="1">
      <c r="A8" s="1800" t="s">
        <v>1928</v>
      </c>
      <c r="B8" s="591" t="s">
        <v>829</v>
      </c>
      <c r="C8" s="596">
        <f ca="1">IF(G8="已包含在土地购买价格中",0,C9+C10)</f>
        <v>970488</v>
      </c>
      <c r="D8" s="598"/>
      <c r="E8" s="596"/>
      <c r="F8" s="597"/>
      <c r="G8" s="84"/>
    </row>
    <row r="9" spans="1:8" s="590" customFormat="1" ht="13.5" customHeight="1">
      <c r="A9" s="1801" t="s">
        <v>1935</v>
      </c>
      <c r="B9" s="600" t="s">
        <v>830</v>
      </c>
      <c r="C9" s="601">
        <f ca="1">ROUND(D9*E9,0)</f>
        <v>396816</v>
      </c>
      <c r="D9" s="1905">
        <f ca="1">IF(B1="",'数据-汇总表'!E5,IF(INDIRECT("'数据-取费表'!c"&amp;$G$1)="住宅",INDIRECT("'数据-取费表'!k"&amp;$G$1),0))</f>
        <v>1653.4</v>
      </c>
      <c r="E9" s="601">
        <f>'数据-取费表'!B27</f>
        <v>240</v>
      </c>
      <c r="F9" s="597"/>
      <c r="G9" s="602"/>
    </row>
    <row r="10" spans="1:8" s="590" customFormat="1" ht="13.5" customHeight="1">
      <c r="A10" s="1801" t="s">
        <v>1936</v>
      </c>
      <c r="B10" s="600" t="s">
        <v>831</v>
      </c>
      <c r="C10" s="601">
        <f ca="1">ROUND(D10*E10,0)</f>
        <v>573672</v>
      </c>
      <c r="D10" s="1905">
        <f ca="1">IF(B1="",'数据-汇总表'!E6,IF(INDIRECT("'数据-取费表'!c"&amp;$G$1)="住宅",INDIRECT("'数据-取费表'!s"&amp;$G$1),INDIRECT("'数据-取费表'!k"&amp;$G$1)+INDIRECT("'数据-取费表'!s"&amp;$G$1)))</f>
        <v>2390.3000000000002</v>
      </c>
      <c r="E10" s="601">
        <f>'数据-取费表'!B28</f>
        <v>240</v>
      </c>
      <c r="F10" s="597"/>
      <c r="G10" s="602"/>
    </row>
    <row r="11" spans="1:8" s="590" customFormat="1" ht="13.5" hidden="1" customHeight="1">
      <c r="A11" s="603" t="s">
        <v>42</v>
      </c>
      <c r="B11" s="591" t="s">
        <v>832</v>
      </c>
      <c r="C11" s="587"/>
      <c r="D11" s="1907"/>
      <c r="E11" s="594"/>
      <c r="F11" s="594"/>
      <c r="G11" s="595"/>
    </row>
    <row r="12" spans="1:8" s="590" customFormat="1" ht="13.5" hidden="1" customHeight="1">
      <c r="A12" s="603" t="s">
        <v>43</v>
      </c>
      <c r="B12" s="591" t="s">
        <v>833</v>
      </c>
      <c r="C12" s="587">
        <v>0</v>
      </c>
      <c r="D12" s="1907"/>
      <c r="E12" s="604"/>
      <c r="F12" s="597">
        <v>3.0499999999999999E-2</v>
      </c>
      <c r="G12" s="595"/>
    </row>
    <row r="13" spans="1:8" s="590" customFormat="1" ht="13.5" hidden="1" customHeight="1">
      <c r="A13" s="603" t="s">
        <v>44</v>
      </c>
      <c r="B13" s="591" t="s">
        <v>834</v>
      </c>
      <c r="C13" s="587"/>
      <c r="D13" s="1907"/>
      <c r="E13" s="594"/>
      <c r="F13" s="594"/>
      <c r="G13" s="595"/>
    </row>
    <row r="14" spans="1:8" s="590" customFormat="1" ht="13.5" hidden="1" customHeight="1">
      <c r="A14" s="603" t="s">
        <v>45</v>
      </c>
      <c r="B14" s="591" t="s">
        <v>829</v>
      </c>
      <c r="C14" s="587"/>
      <c r="D14" s="1907"/>
      <c r="E14" s="594"/>
      <c r="F14" s="594"/>
      <c r="G14" s="595" t="s">
        <v>835</v>
      </c>
    </row>
    <row r="15" spans="1:8" s="590" customFormat="1" ht="13.5" hidden="1" customHeight="1">
      <c r="A15" s="603" t="s">
        <v>46</v>
      </c>
      <c r="B15" s="591" t="s">
        <v>836</v>
      </c>
      <c r="C15" s="596"/>
      <c r="D15" s="1907"/>
      <c r="E15" s="594"/>
      <c r="F15" s="594"/>
      <c r="G15" s="595" t="s">
        <v>837</v>
      </c>
    </row>
    <row r="16" spans="1:8" s="590" customFormat="1" ht="13.5" hidden="1" customHeight="1">
      <c r="A16" s="603" t="s">
        <v>47</v>
      </c>
      <c r="B16" s="591" t="s">
        <v>829</v>
      </c>
      <c r="C16" s="596"/>
      <c r="D16" s="1907"/>
      <c r="E16" s="594"/>
      <c r="F16" s="594"/>
      <c r="G16" s="595"/>
    </row>
    <row r="17" spans="1:7" s="590" customFormat="1" ht="13.5" hidden="1" customHeight="1">
      <c r="A17" s="603" t="s">
        <v>48</v>
      </c>
      <c r="B17" s="591" t="s">
        <v>838</v>
      </c>
      <c r="C17" s="605"/>
      <c r="D17" s="1908"/>
      <c r="E17" s="605"/>
      <c r="F17" s="605"/>
      <c r="G17" s="595" t="s">
        <v>837</v>
      </c>
    </row>
    <row r="18" spans="1:7" s="590" customFormat="1" ht="13.5" hidden="1" customHeight="1">
      <c r="A18" s="603" t="s">
        <v>49</v>
      </c>
      <c r="B18" s="591" t="s">
        <v>839</v>
      </c>
      <c r="C18" s="596">
        <v>0</v>
      </c>
      <c r="D18" s="1907"/>
      <c r="E18" s="594"/>
      <c r="F18" s="597">
        <v>3.0499999999999999E-2</v>
      </c>
      <c r="G18" s="595" t="s">
        <v>840</v>
      </c>
    </row>
    <row r="19" spans="1:7" s="599" customFormat="1" ht="13.5" customHeight="1">
      <c r="A19" s="1799" t="s">
        <v>1918</v>
      </c>
      <c r="B19" s="586" t="s">
        <v>848</v>
      </c>
      <c r="C19" s="587">
        <f ca="1">IF(G19="已包含在土地取得成本中","0",ROUND(D19*E19,0))</f>
        <v>808740</v>
      </c>
      <c r="D19" s="1909">
        <f ca="1">D9+D10</f>
        <v>4043.7000000000003</v>
      </c>
      <c r="E19" s="587">
        <f>'数据-取费表'!B31</f>
        <v>200</v>
      </c>
      <c r="F19" s="607"/>
      <c r="G19" s="84"/>
    </row>
    <row r="20" spans="1:7" s="590" customFormat="1" ht="13.5" customHeight="1">
      <c r="A20" s="1799" t="s">
        <v>1919</v>
      </c>
      <c r="B20" s="586" t="s">
        <v>841</v>
      </c>
      <c r="C20" s="608">
        <f ca="1">ROUND((C5+C19)*F20,0)</f>
        <v>26688</v>
      </c>
      <c r="D20" s="608"/>
      <c r="E20" s="608"/>
      <c r="F20" s="609">
        <f>'数据-取费表'!B37</f>
        <v>1.4999999999999999E-2</v>
      </c>
      <c r="G20" s="2616" t="s">
        <v>2526</v>
      </c>
    </row>
    <row r="21" spans="1:7" s="590" customFormat="1" ht="13.5" customHeight="1">
      <c r="A21" s="1799" t="s">
        <v>1920</v>
      </c>
      <c r="B21" s="586" t="s">
        <v>842</v>
      </c>
      <c r="C21" s="611">
        <f>F21</f>
        <v>1.4999999999999999E-2</v>
      </c>
      <c r="D21" s="612" t="s">
        <v>863</v>
      </c>
      <c r="E21" s="608"/>
      <c r="F21" s="609">
        <f>'数据-取费表'!B38</f>
        <v>1.4999999999999999E-2</v>
      </c>
      <c r="G21" s="610" t="s">
        <v>843</v>
      </c>
    </row>
    <row r="22" spans="1:7" s="590" customFormat="1" ht="13.5" customHeight="1">
      <c r="A22" s="1799" t="s">
        <v>1921</v>
      </c>
      <c r="B22" s="586" t="s">
        <v>844</v>
      </c>
      <c r="C22" s="2750">
        <f ca="1">ROUND(SUM(C23:C25),0)</f>
        <v>220463</v>
      </c>
      <c r="D22" s="611">
        <f ca="1">C26</f>
        <v>8.9999999999999998E-4</v>
      </c>
      <c r="E22" s="612" t="s">
        <v>863</v>
      </c>
      <c r="F22" s="613">
        <f ca="1">'数据-取费表'!B40</f>
        <v>4.7500000000000001E-2</v>
      </c>
      <c r="G22" s="2616" t="str">
        <f>IF('数据-取费表'!B22&lt;=1,"单利计息","复利计息")</f>
        <v>复利计息</v>
      </c>
    </row>
    <row r="23" spans="1:7" s="590" customFormat="1" ht="13.5" customHeight="1">
      <c r="A23" s="1802" t="s">
        <v>1926</v>
      </c>
      <c r="B23" s="591" t="s">
        <v>2519</v>
      </c>
      <c r="C23" s="2751">
        <f ca="1">ROUND(IF('数据-取费表'!B22&lt;=1,C5*F22*'数据-取费表'!B22,C5*(POWER((1+F22),'数据-取费表'!B22)-1)),0)</f>
        <v>119383</v>
      </c>
      <c r="D23" s="614"/>
      <c r="E23" s="614"/>
      <c r="F23" s="615"/>
      <c r="G23" s="616" t="s">
        <v>845</v>
      </c>
    </row>
    <row r="24" spans="1:7" s="590" customFormat="1" ht="13.5" customHeight="1">
      <c r="A24" s="1802" t="s">
        <v>1927</v>
      </c>
      <c r="B24" s="591" t="s">
        <v>2514</v>
      </c>
      <c r="C24" s="2751">
        <f ca="1">ROUND(IF('数据-取费表'!B22&lt;=1,C19*F22*('数据-取费表'!B19/2+'数据-取费表'!B20),C19*(POWER((1+F22),('数据-取费表'!B19/2+'数据-取费表'!B20))-1)),0)</f>
        <v>99486</v>
      </c>
      <c r="D24" s="614"/>
      <c r="E24" s="614"/>
      <c r="F24" s="615"/>
      <c r="G24" s="616" t="s">
        <v>846</v>
      </c>
    </row>
    <row r="25" spans="1:7" s="590" customFormat="1" ht="24">
      <c r="A25" s="1802" t="s">
        <v>1928</v>
      </c>
      <c r="B25" s="591" t="s">
        <v>2516</v>
      </c>
      <c r="C25" s="2751">
        <f ca="1">ROUND(IF('数据-取费表'!B22&lt;=1,C20*F22*'数据-取费表'!B22/2,C20*(POWER((1+F22),'数据-取费表'!B22/2)-1)),0)</f>
        <v>1594</v>
      </c>
      <c r="D25" s="614"/>
      <c r="E25" s="617"/>
      <c r="F25" s="615"/>
      <c r="G25" s="618" t="s">
        <v>847</v>
      </c>
    </row>
    <row r="26" spans="1:7" s="590" customFormat="1">
      <c r="A26" s="1802" t="s">
        <v>1930</v>
      </c>
      <c r="B26" s="591" t="s">
        <v>2518</v>
      </c>
      <c r="C26" s="614">
        <f ca="1">ROUND(IF('数据-取费表'!B22&lt;=1,F21*F22*'数据-取费表'!B22/2,F21*(POWER((1+F22),'数据-取费表'!B22/2)-1)),4)</f>
        <v>8.9999999999999998E-4</v>
      </c>
      <c r="D26" s="614"/>
      <c r="E26" s="617"/>
      <c r="F26" s="615"/>
      <c r="G26" s="619"/>
    </row>
    <row r="27" spans="1:7" s="590" customFormat="1" ht="24.75">
      <c r="A27" s="1799" t="s">
        <v>1922</v>
      </c>
      <c r="B27" s="620" t="s">
        <v>849</v>
      </c>
      <c r="C27" s="621">
        <f ca="1">C28</f>
        <v>144473</v>
      </c>
      <c r="D27" s="611">
        <f ca="1">C29</f>
        <v>1.1999999999999999E-3</v>
      </c>
      <c r="E27" s="612" t="s">
        <v>863</v>
      </c>
      <c r="F27" s="622">
        <f ca="1">IF(B1="",'数据-取费表'!Q16,INDIRECT("'数据-取费表'!q"&amp;$G$1))</f>
        <v>0.08</v>
      </c>
      <c r="G27" s="623" t="s">
        <v>2527</v>
      </c>
    </row>
    <row r="28" spans="1:7" s="590" customFormat="1" ht="13.5" customHeight="1">
      <c r="A28" s="1802" t="s">
        <v>1926</v>
      </c>
      <c r="B28" s="624" t="s">
        <v>2520</v>
      </c>
      <c r="C28" s="625">
        <f ca="1">ROUND((C5+C19+C20)*F27,0)</f>
        <v>144473</v>
      </c>
      <c r="D28" s="611"/>
      <c r="E28" s="612"/>
      <c r="F28" s="622"/>
      <c r="G28" s="623"/>
    </row>
    <row r="29" spans="1:7" s="590" customFormat="1" ht="13.5" customHeight="1">
      <c r="A29" s="1802" t="s">
        <v>1927</v>
      </c>
      <c r="B29" s="624" t="s">
        <v>2521</v>
      </c>
      <c r="C29" s="614">
        <f ca="1">ROUND(C21*F27,4)</f>
        <v>1.1999999999999999E-3</v>
      </c>
      <c r="D29" s="611"/>
      <c r="E29" s="612"/>
      <c r="F29" s="622"/>
      <c r="G29" s="623"/>
    </row>
    <row r="30" spans="1:7" s="590" customFormat="1" ht="13.5" customHeight="1">
      <c r="A30" s="1799" t="s">
        <v>1923</v>
      </c>
      <c r="B30" s="586" t="s">
        <v>348</v>
      </c>
      <c r="C30" s="611">
        <f>ROUND(F30/(1+'数据-取费表'!C42),4)</f>
        <v>5.33E-2</v>
      </c>
      <c r="D30" s="612" t="s">
        <v>2948</v>
      </c>
      <c r="E30" s="617"/>
      <c r="F30" s="613">
        <f>'数据-取费表'!B41</f>
        <v>5.6000000000000001E-2</v>
      </c>
      <c r="G30" s="2616" t="s">
        <v>2949</v>
      </c>
    </row>
    <row r="31" spans="1:7" ht="16.5" customHeight="1">
      <c r="A31" s="585">
        <v>1</v>
      </c>
      <c r="B31" s="586" t="s">
        <v>865</v>
      </c>
      <c r="C31" s="587">
        <f ca="1">ROUND((C5+C19+C20+C22+C27)/(1-C21-D22-D27-C30),0)</f>
        <v>2335254</v>
      </c>
      <c r="D31" s="606"/>
      <c r="E31" s="587"/>
      <c r="F31" s="626"/>
      <c r="G31" s="610" t="s">
        <v>2528</v>
      </c>
    </row>
    <row r="32" spans="1:7" s="584" customFormat="1" ht="15.75">
      <c r="A32" s="628" t="s">
        <v>2630</v>
      </c>
      <c r="B32" s="629"/>
      <c r="C32" s="629"/>
      <c r="D32" s="629"/>
      <c r="E32" s="629"/>
      <c r="F32" s="629"/>
      <c r="G32" s="630"/>
    </row>
    <row r="33" spans="1:7" s="590" customFormat="1" ht="13.5" customHeight="1">
      <c r="A33" s="631" t="s">
        <v>1917</v>
      </c>
      <c r="B33" s="2752" t="s">
        <v>2631</v>
      </c>
      <c r="C33" s="632">
        <f ca="1">SUM(C34:C38)</f>
        <v>8563746</v>
      </c>
      <c r="D33" s="608"/>
      <c r="E33" s="588"/>
      <c r="F33" s="617"/>
      <c r="G33" s="610"/>
    </row>
    <row r="34" spans="1:7" s="634" customFormat="1" ht="13.5" customHeight="1">
      <c r="A34" s="1802" t="s">
        <v>1926</v>
      </c>
      <c r="B34" s="591" t="s">
        <v>349</v>
      </c>
      <c r="C34" s="596">
        <f ca="1">ROUND(IF(B1="",SUMPRODUCT('数据-取费表'!K6:K14,'数据-取费表'!L6:L14),INDIRECT("'数据-取费表'!l"&amp;$G$1)*INDIRECT("'数据-取费表'!k"&amp;$G$1)+'数据-取费表'!L14*INDIRECT("'数据-取费表'!S"&amp;$G$1)),0)</f>
        <v>7278660</v>
      </c>
      <c r="D34" s="593"/>
      <c r="E34" s="596"/>
      <c r="F34" s="633"/>
      <c r="G34" s="595"/>
    </row>
    <row r="35" spans="1:7" ht="13.5" customHeight="1">
      <c r="A35" s="1802" t="s">
        <v>1931</v>
      </c>
      <c r="B35" s="591" t="s">
        <v>350</v>
      </c>
      <c r="C35" s="596">
        <f ca="1">ROUND(C34*F35,0)</f>
        <v>218360</v>
      </c>
      <c r="D35" s="596"/>
      <c r="E35" s="596"/>
      <c r="F35" s="635">
        <f>'数据-取费表'!B33</f>
        <v>0.03</v>
      </c>
      <c r="G35" s="595" t="s">
        <v>854</v>
      </c>
    </row>
    <row r="36" spans="1:7" ht="24">
      <c r="A36" s="1802" t="s">
        <v>1932</v>
      </c>
      <c r="B36" s="591" t="s">
        <v>351</v>
      </c>
      <c r="C36" s="596">
        <f ca="1">ROUND(IF(B1="",SUM('数据-取费表'!AP6:AP13)*F36,IF(INDIRECT("'数据-取费表'!c"&amp;$G$1)="住宅",INDIRECT("'数据-取费表'!k"&amp;$G$1)*INDIRECT("'数据-取费表'!l"&amp;$G$1)*F36,0)),0)</f>
        <v>148806</v>
      </c>
      <c r="D36" s="596"/>
      <c r="E36" s="596"/>
      <c r="F36" s="635">
        <f>'数据-取费表'!B34</f>
        <v>0.05</v>
      </c>
      <c r="G36" s="636" t="s">
        <v>352</v>
      </c>
    </row>
    <row r="37" spans="1:7" s="634" customFormat="1" ht="13.5" customHeight="1">
      <c r="A37" s="1802" t="s">
        <v>1933</v>
      </c>
      <c r="B37" s="591" t="s">
        <v>855</v>
      </c>
      <c r="C37" s="625">
        <f ca="1">ROUND(E37*D37,0)</f>
        <v>808740</v>
      </c>
      <c r="D37" s="593">
        <f ca="1">D19</f>
        <v>4043.7000000000003</v>
      </c>
      <c r="E37" s="625">
        <f>'数据-取费表'!B35</f>
        <v>200</v>
      </c>
      <c r="F37" s="635"/>
      <c r="G37" s="637"/>
    </row>
    <row r="38" spans="1:7" ht="13.5" customHeight="1">
      <c r="A38" s="1802" t="s">
        <v>1934</v>
      </c>
      <c r="B38" s="591" t="s">
        <v>353</v>
      </c>
      <c r="C38" s="596">
        <f ca="1">ROUND(C34*F38,0)</f>
        <v>109180</v>
      </c>
      <c r="D38" s="596"/>
      <c r="E38" s="596"/>
      <c r="F38" s="635">
        <f>'数据-取费表'!B36</f>
        <v>1.4999999999999999E-2</v>
      </c>
      <c r="G38" s="595" t="s">
        <v>854</v>
      </c>
    </row>
    <row r="39" spans="1:7" s="590" customFormat="1" ht="13.5" customHeight="1">
      <c r="A39" s="1799" t="s">
        <v>1918</v>
      </c>
      <c r="B39" s="586" t="s">
        <v>841</v>
      </c>
      <c r="C39" s="608">
        <f ca="1">ROUND(C33*F20,0)</f>
        <v>128456</v>
      </c>
      <c r="D39" s="608"/>
      <c r="E39" s="608"/>
      <c r="F39" s="609"/>
      <c r="G39" s="2616" t="s">
        <v>2529</v>
      </c>
    </row>
    <row r="40" spans="1:7" s="590" customFormat="1" ht="13.5" customHeight="1">
      <c r="A40" s="1799" t="s">
        <v>1919</v>
      </c>
      <c r="B40" s="586" t="s">
        <v>842</v>
      </c>
      <c r="C40" s="3230">
        <f>F21</f>
        <v>1.4999999999999999E-2</v>
      </c>
      <c r="D40" s="612" t="s">
        <v>866</v>
      </c>
      <c r="E40" s="608"/>
      <c r="F40" s="609"/>
      <c r="G40" s="610" t="s">
        <v>857</v>
      </c>
    </row>
    <row r="41" spans="1:7" s="590" customFormat="1" ht="13.5" customHeight="1">
      <c r="A41" s="1799" t="s">
        <v>1920</v>
      </c>
      <c r="B41" s="586" t="s">
        <v>844</v>
      </c>
      <c r="C41" s="608">
        <f ca="1">ROUND(SUM(C42:C43),0)</f>
        <v>519128</v>
      </c>
      <c r="D41" s="611">
        <f ca="1">C44</f>
        <v>8.9999999999999998E-4</v>
      </c>
      <c r="E41" s="612" t="s">
        <v>866</v>
      </c>
      <c r="F41" s="613"/>
      <c r="G41" s="2616" t="str">
        <f>IF('数据-取费表'!B22&lt;=1,"单利计息","复利计息")</f>
        <v>复利计息</v>
      </c>
    </row>
    <row r="42" spans="1:7" ht="13.5" customHeight="1">
      <c r="A42" s="1802" t="s">
        <v>1926</v>
      </c>
      <c r="B42" s="591" t="s">
        <v>2519</v>
      </c>
      <c r="C42" s="614">
        <f ca="1">ROUND(IF('数据-取费表'!B22&lt;=1,C33*F22*'数据-取费表'!B20/2,C33*(POWER((1+F22),'数据-取费表'!B20/2)-1)),0)</f>
        <v>511456</v>
      </c>
      <c r="D42" s="614"/>
      <c r="E42" s="614"/>
      <c r="F42" s="615"/>
      <c r="G42" s="3634" t="s">
        <v>2634</v>
      </c>
    </row>
    <row r="43" spans="1:7" ht="13.5" customHeight="1">
      <c r="A43" s="1802" t="s">
        <v>1927</v>
      </c>
      <c r="B43" s="591" t="s">
        <v>2514</v>
      </c>
      <c r="C43" s="614">
        <f ca="1">ROUND(IF('数据-取费表'!B22&lt;=1,C39*F22*'数据-取费表'!B20/2,C39*(POWER((1+F22),'数据-取费表'!B20/2)-1)),0)</f>
        <v>7672</v>
      </c>
      <c r="D43" s="614"/>
      <c r="E43" s="614"/>
      <c r="F43" s="615"/>
      <c r="G43" s="3632"/>
    </row>
    <row r="44" spans="1:7" ht="13.5" customHeight="1">
      <c r="A44" s="1802" t="s">
        <v>1928</v>
      </c>
      <c r="B44" s="591" t="s">
        <v>2516</v>
      </c>
      <c r="C44" s="614">
        <f ca="1">ROUND(IF('数据-取费表'!B22&lt;=1,C40*F22*'数据-取费表'!B20/2,C40*(POWER((1+F22),'数据-取费表'!B20/2)-1)),4)</f>
        <v>8.9999999999999998E-4</v>
      </c>
      <c r="D44" s="614"/>
      <c r="E44" s="614"/>
      <c r="F44" s="615"/>
      <c r="G44" s="3633"/>
    </row>
    <row r="45" spans="1:7" s="590" customFormat="1" ht="13.5" customHeight="1">
      <c r="A45" s="1799" t="s">
        <v>1921</v>
      </c>
      <c r="B45" s="620" t="s">
        <v>849</v>
      </c>
      <c r="C45" s="621">
        <f ca="1">C46</f>
        <v>695376</v>
      </c>
      <c r="D45" s="611">
        <f ca="1">C47</f>
        <v>1.1999999999999999E-3</v>
      </c>
      <c r="E45" s="612" t="s">
        <v>866</v>
      </c>
      <c r="F45" s="622"/>
      <c r="G45" s="623" t="s">
        <v>2530</v>
      </c>
    </row>
    <row r="46" spans="1:7" s="590" customFormat="1" ht="13.5" customHeight="1">
      <c r="A46" s="1802" t="s">
        <v>1926</v>
      </c>
      <c r="B46" s="624" t="s">
        <v>2523</v>
      </c>
      <c r="C46" s="625">
        <f ca="1">ROUND((C33+C39)*F27,0)</f>
        <v>695376</v>
      </c>
      <c r="D46" s="639"/>
      <c r="E46" s="612"/>
      <c r="F46" s="622"/>
      <c r="G46" s="623"/>
    </row>
    <row r="47" spans="1:7" s="590" customFormat="1" ht="13.5" customHeight="1">
      <c r="A47" s="1802" t="s">
        <v>1927</v>
      </c>
      <c r="B47" s="624" t="s">
        <v>2525</v>
      </c>
      <c r="C47" s="614">
        <f ca="1">ROUND(C40*F27,4)</f>
        <v>1.1999999999999999E-3</v>
      </c>
      <c r="D47" s="639"/>
      <c r="E47" s="612"/>
      <c r="F47" s="622"/>
      <c r="G47" s="623"/>
    </row>
    <row r="48" spans="1:7" s="590" customFormat="1" ht="13.5" customHeight="1">
      <c r="A48" s="1799" t="s">
        <v>1922</v>
      </c>
      <c r="B48" s="586" t="s">
        <v>859</v>
      </c>
      <c r="C48" s="638">
        <f>ROUND(F30/(1+'数据-取费表'!C42),4)</f>
        <v>5.33E-2</v>
      </c>
      <c r="D48" s="612" t="s">
        <v>2946</v>
      </c>
      <c r="E48" s="608"/>
      <c r="F48" s="613"/>
      <c r="G48" s="2616" t="s">
        <v>2947</v>
      </c>
    </row>
    <row r="49" spans="1:7" ht="16.5" customHeight="1">
      <c r="A49" s="1799" t="s">
        <v>1923</v>
      </c>
      <c r="B49" s="586" t="s">
        <v>2632</v>
      </c>
      <c r="C49" s="608">
        <f ca="1">ROUND((C33+C39+C41+C45)/(1-C40-D41-D45-C48),0)</f>
        <v>10656956</v>
      </c>
      <c r="D49" s="608"/>
      <c r="E49" s="608"/>
      <c r="F49" s="640"/>
      <c r="G49" s="610" t="s">
        <v>2531</v>
      </c>
    </row>
    <row r="50" spans="1:7" s="634" customFormat="1">
      <c r="A50" s="1799" t="s">
        <v>1924</v>
      </c>
      <c r="B50" s="586" t="s">
        <v>861</v>
      </c>
      <c r="C50" s="608"/>
      <c r="D50" s="608"/>
      <c r="E50" s="608"/>
      <c r="F50" s="640">
        <f>IF('数据-取费表'!B24=0,'数据-取费表'!N16,1)</f>
        <v>0.97</v>
      </c>
      <c r="G50" s="623"/>
    </row>
    <row r="51" spans="1:7" ht="16.5" customHeight="1">
      <c r="A51" s="1799" t="s">
        <v>1925</v>
      </c>
      <c r="B51" s="586" t="s">
        <v>2633</v>
      </c>
      <c r="C51" s="608">
        <f ca="1">ROUND(C49*F50,0)</f>
        <v>10337247</v>
      </c>
      <c r="D51" s="608"/>
      <c r="E51" s="608"/>
      <c r="F51" s="640"/>
      <c r="G51" s="610" t="s">
        <v>354</v>
      </c>
    </row>
    <row r="52" spans="1:7" s="584" customFormat="1" ht="16.5" thickBot="1">
      <c r="A52" s="641" t="s">
        <v>355</v>
      </c>
      <c r="B52" s="642"/>
      <c r="C52" s="643">
        <f ca="1">C31+C51</f>
        <v>12672501</v>
      </c>
      <c r="D52" s="642"/>
      <c r="E52" s="642"/>
      <c r="F52" s="642"/>
      <c r="G52" s="644"/>
    </row>
    <row r="55" spans="1:7" ht="15">
      <c r="B55" s="646" t="s">
        <v>356</v>
      </c>
      <c r="C55" s="647"/>
    </row>
    <row r="56" spans="1:7">
      <c r="B56" s="2868" t="s">
        <v>2704</v>
      </c>
      <c r="C56" s="651">
        <f ca="1">1-C57</f>
        <v>0.18400000000000005</v>
      </c>
    </row>
    <row r="57" spans="1:7">
      <c r="B57" s="2868" t="s">
        <v>2703</v>
      </c>
      <c r="C57" s="650">
        <f ca="1">ROUND(C51/C52,3)</f>
        <v>0.81599999999999995</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5" customWidth="1"/>
    <col min="2" max="2" width="25.75" style="1803" customWidth="1"/>
    <col min="3" max="3" width="10.375" style="1847" customWidth="1"/>
    <col min="4" max="4" width="9.875" style="1803" customWidth="1"/>
    <col min="5" max="5" width="9.5" style="1465" customWidth="1"/>
    <col min="6" max="6" width="10.125" style="1803" customWidth="1"/>
    <col min="7" max="7" width="10.75" style="1803" customWidth="1"/>
    <col min="8" max="8" width="10" style="1803" customWidth="1"/>
    <col min="9" max="11" width="9.5" style="1803" customWidth="1"/>
    <col min="12" max="12" width="9" style="1803" customWidth="1"/>
    <col min="13" max="13" width="10.5" style="1803" bestFit="1" customWidth="1"/>
    <col min="14" max="254" width="9" style="1803" customWidth="1"/>
    <col min="255" max="16384" width="6.625" style="1803"/>
  </cols>
  <sheetData>
    <row r="1" spans="1:33" ht="20.25">
      <c r="A1" s="572" t="s">
        <v>872</v>
      </c>
      <c r="B1" s="3046"/>
      <c r="C1" s="3047"/>
      <c r="D1" s="3045"/>
      <c r="E1" s="652"/>
      <c r="F1" s="652"/>
      <c r="G1" s="3046"/>
      <c r="H1" s="652"/>
      <c r="I1" s="652"/>
      <c r="J1" s="652"/>
      <c r="K1" s="652">
        <f>MATCH(C1,'数据-取费表'!A6:A16,0)+5</f>
        <v>10</v>
      </c>
    </row>
    <row r="2" spans="1:33" ht="18" customHeight="1">
      <c r="A2" s="577" t="s">
        <v>821</v>
      </c>
      <c r="B2" s="580">
        <f ca="1">C32</f>
        <v>-103</v>
      </c>
      <c r="C2" s="88" t="s">
        <v>1104</v>
      </c>
      <c r="D2" s="652"/>
      <c r="E2" s="652"/>
      <c r="F2" s="652"/>
      <c r="G2" s="652"/>
      <c r="H2" s="652"/>
      <c r="I2" s="652"/>
      <c r="J2" s="652"/>
      <c r="K2" s="652"/>
    </row>
    <row r="3" spans="1:33" ht="18" customHeight="1" thickBot="1">
      <c r="A3" s="579" t="s">
        <v>822</v>
      </c>
      <c r="B3" s="580">
        <f ca="1">ROUND(B2*10000/IF(C1="",'数据-汇总表'!E3,INDIRECT("'数据-取费表'!K"&amp;$K$1)),0)</f>
        <v>-255</v>
      </c>
      <c r="C3" s="88" t="s">
        <v>871</v>
      </c>
      <c r="D3" s="652"/>
      <c r="E3" s="652"/>
      <c r="F3" s="652"/>
      <c r="G3" s="652"/>
      <c r="H3" s="652"/>
      <c r="I3" s="652"/>
      <c r="J3" s="652"/>
      <c r="K3" s="652"/>
    </row>
    <row r="4" spans="1:33" s="1807" customFormat="1" ht="16.5" customHeight="1">
      <c r="A4" s="1804" t="s">
        <v>873</v>
      </c>
      <c r="B4" s="1805"/>
      <c r="C4" s="1848">
        <f>SUM(C8:K8)</f>
        <v>0</v>
      </c>
      <c r="D4" s="1805"/>
      <c r="E4" s="1805"/>
      <c r="F4" s="1805"/>
      <c r="G4" s="1805"/>
      <c r="H4" s="1805"/>
      <c r="I4" s="1805"/>
      <c r="J4" s="1805"/>
      <c r="K4" s="1806"/>
    </row>
    <row r="5" spans="1:33" s="1811" customFormat="1" ht="24">
      <c r="A5" s="1808" t="s">
        <v>874</v>
      </c>
      <c r="B5" s="1809" t="s">
        <v>875</v>
      </c>
      <c r="C5" s="1272" t="s">
        <v>204</v>
      </c>
      <c r="D5" s="1272" t="s">
        <v>205</v>
      </c>
      <c r="E5" s="1272" t="s">
        <v>195</v>
      </c>
      <c r="F5" s="1272"/>
      <c r="G5" s="1272"/>
      <c r="H5" s="1272"/>
      <c r="I5" s="1272"/>
      <c r="J5" s="1272"/>
      <c r="K5" s="1272"/>
      <c r="L5" s="1810"/>
      <c r="M5" s="1810"/>
      <c r="N5" s="1810"/>
      <c r="O5" s="1810"/>
      <c r="P5" s="1810"/>
      <c r="Q5" s="1810"/>
      <c r="R5" s="1810"/>
      <c r="S5" s="1810"/>
      <c r="T5" s="1810"/>
      <c r="U5" s="1810"/>
      <c r="V5" s="1810"/>
      <c r="W5" s="1810"/>
      <c r="X5" s="1810"/>
      <c r="Y5" s="1810"/>
      <c r="Z5" s="1810"/>
      <c r="AA5" s="1810"/>
      <c r="AB5" s="1810"/>
      <c r="AC5" s="1810"/>
      <c r="AD5" s="1810"/>
      <c r="AE5" s="1810"/>
      <c r="AF5" s="1810"/>
      <c r="AG5" s="1810"/>
    </row>
    <row r="6" spans="1:33" s="1816" customFormat="1" ht="13.5" customHeight="1">
      <c r="A6" s="1812" t="s">
        <v>1937</v>
      </c>
      <c r="B6" s="471" t="s">
        <v>876</v>
      </c>
      <c r="C6" s="1813"/>
      <c r="D6" s="1813"/>
      <c r="E6" s="1813"/>
      <c r="F6" s="1813"/>
      <c r="G6" s="1813"/>
      <c r="H6" s="1813"/>
      <c r="I6" s="1813"/>
      <c r="J6" s="1813"/>
      <c r="K6" s="1814"/>
      <c r="L6" s="1815"/>
      <c r="M6" s="1815"/>
      <c r="N6" s="1815"/>
      <c r="O6" s="1815"/>
      <c r="P6" s="1815"/>
      <c r="Q6" s="1815"/>
      <c r="R6" s="1815"/>
      <c r="S6" s="1815"/>
      <c r="T6" s="1815"/>
      <c r="U6" s="1815"/>
      <c r="V6" s="1815"/>
      <c r="W6" s="1815"/>
      <c r="X6" s="1815"/>
      <c r="Y6" s="1815"/>
      <c r="Z6" s="1815"/>
      <c r="AA6" s="1815"/>
      <c r="AB6" s="1815"/>
      <c r="AC6" s="1815"/>
      <c r="AD6" s="1815"/>
      <c r="AE6" s="1815"/>
      <c r="AF6" s="1815"/>
      <c r="AG6" s="1815"/>
    </row>
    <row r="7" spans="1:33" s="1816" customFormat="1" ht="13.5" customHeight="1">
      <c r="A7" s="1817" t="s">
        <v>1918</v>
      </c>
      <c r="B7" s="471" t="s">
        <v>877</v>
      </c>
      <c r="C7" s="653">
        <f>SUMIF('数据-汇总表'!$C19:$C33,假设开发法!C5,'数据-汇总表'!$E19:$E33)</f>
        <v>0</v>
      </c>
      <c r="D7" s="653">
        <f>SUMIF('数据-汇总表'!$C19:$C33,假设开发法!D5,'数据-汇总表'!$E19:$E33)</f>
        <v>0</v>
      </c>
      <c r="E7" s="653">
        <f>SUMIF('数据-汇总表'!$C19:$C33,假设开发法!E5,'数据-汇总表'!$E19:$E33)</f>
        <v>2360.79</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5"/>
      <c r="M7" s="1815"/>
      <c r="N7" s="1815"/>
      <c r="O7" s="1815"/>
      <c r="P7" s="1815"/>
      <c r="Q7" s="1815"/>
      <c r="R7" s="1815"/>
      <c r="S7" s="1815"/>
      <c r="T7" s="1815"/>
      <c r="U7" s="1815"/>
      <c r="V7" s="1815"/>
      <c r="W7" s="1815"/>
      <c r="X7" s="1815"/>
      <c r="Y7" s="1815"/>
      <c r="Z7" s="1815"/>
      <c r="AA7" s="1815"/>
      <c r="AB7" s="1815"/>
      <c r="AC7" s="1815"/>
      <c r="AD7" s="1815"/>
      <c r="AE7" s="1815"/>
      <c r="AF7" s="1815"/>
      <c r="AG7" s="1815"/>
    </row>
    <row r="8" spans="1:33" s="1816" customFormat="1" ht="13.5" customHeight="1" thickBot="1">
      <c r="A8" s="1849" t="s">
        <v>1919</v>
      </c>
      <c r="B8" s="509" t="s">
        <v>878</v>
      </c>
      <c r="C8" s="1850"/>
      <c r="D8" s="1850"/>
      <c r="E8" s="1850"/>
      <c r="F8" s="1851"/>
      <c r="G8" s="1851"/>
      <c r="H8" s="1851"/>
      <c r="I8" s="1851"/>
      <c r="J8" s="1851"/>
      <c r="K8" s="1852"/>
      <c r="L8" s="1815"/>
      <c r="M8" s="1815"/>
      <c r="N8" s="1815"/>
      <c r="O8" s="1815"/>
      <c r="P8" s="1815"/>
      <c r="Q8" s="1815"/>
      <c r="R8" s="1815"/>
      <c r="S8" s="1815"/>
      <c r="T8" s="1815"/>
      <c r="U8" s="1815"/>
      <c r="V8" s="1815"/>
      <c r="W8" s="1815"/>
      <c r="X8" s="1815"/>
      <c r="Y8" s="1815"/>
      <c r="Z8" s="1815"/>
      <c r="AA8" s="1815"/>
      <c r="AB8" s="1815"/>
      <c r="AC8" s="1815"/>
      <c r="AD8" s="1815"/>
      <c r="AE8" s="1815"/>
      <c r="AF8" s="1815"/>
      <c r="AG8" s="1815"/>
    </row>
    <row r="9" spans="1:33" s="1807" customFormat="1" ht="16.5" customHeight="1">
      <c r="A9" s="1804" t="s">
        <v>879</v>
      </c>
      <c r="B9" s="1805"/>
      <c r="C9" s="1805"/>
      <c r="D9" s="1805"/>
      <c r="E9" s="1805"/>
      <c r="F9" s="1805"/>
      <c r="G9" s="1805"/>
      <c r="H9" s="1805"/>
      <c r="I9" s="1805"/>
      <c r="J9" s="1805"/>
      <c r="K9" s="1806"/>
    </row>
    <row r="10" spans="1:33" s="1822" customFormat="1" ht="13.5" customHeight="1">
      <c r="A10" s="1808" t="s">
        <v>874</v>
      </c>
      <c r="B10" s="295" t="s">
        <v>875</v>
      </c>
      <c r="C10" s="1818" t="s">
        <v>880</v>
      </c>
      <c r="D10" s="1819" t="s">
        <v>881</v>
      </c>
      <c r="E10" s="1819" t="s">
        <v>882</v>
      </c>
      <c r="F10" s="1819" t="s">
        <v>883</v>
      </c>
      <c r="G10" s="295"/>
      <c r="H10" s="1820"/>
      <c r="I10" s="1820"/>
      <c r="J10" s="1820"/>
      <c r="K10" s="1821"/>
    </row>
    <row r="11" spans="1:33" s="1827" customFormat="1" ht="13.5" customHeight="1">
      <c r="A11" s="1823" t="s">
        <v>2952</v>
      </c>
      <c r="B11" s="1824" t="s">
        <v>884</v>
      </c>
      <c r="C11" s="655">
        <f ca="1">IF(C1="",'数据-取费表'!P16,INDIRECT("'数据-取费表'!p"&amp;$K$1)+INDIRECT("'数据-取费表'!ar"&amp;$K$1))</f>
        <v>0</v>
      </c>
      <c r="D11" s="1825"/>
      <c r="E11" s="715"/>
      <c r="F11" s="1826">
        <f ca="1">1-IF('数据-取费表'!B24=0,1,IF(C1="",'数据-取费表'!N16,INDIRECT("'数据-取费表'!n"&amp;$K$1)))</f>
        <v>0</v>
      </c>
      <c r="G11" s="295"/>
      <c r="H11" s="1820"/>
      <c r="I11" s="1820"/>
      <c r="J11" s="1820"/>
      <c r="K11" s="1821"/>
    </row>
    <row r="12" spans="1:33" s="1827" customFormat="1" ht="13.5" customHeight="1">
      <c r="A12" s="1823" t="s">
        <v>2953</v>
      </c>
      <c r="B12" s="1824" t="s">
        <v>885</v>
      </c>
      <c r="C12" s="313">
        <f ca="1">ROUND(C11*F12,0)</f>
        <v>0</v>
      </c>
      <c r="D12" s="1825"/>
      <c r="E12" s="715"/>
      <c r="F12" s="1828">
        <f>'数据-取费表'!B33</f>
        <v>0.03</v>
      </c>
      <c r="G12" s="295" t="s">
        <v>886</v>
      </c>
      <c r="H12" s="1820"/>
      <c r="I12" s="1820"/>
      <c r="J12" s="1820"/>
      <c r="K12" s="1821"/>
    </row>
    <row r="13" spans="1:33" s="1827" customFormat="1" ht="13.5" customHeight="1">
      <c r="A13" s="1823" t="s">
        <v>2954</v>
      </c>
      <c r="B13" s="1824" t="s">
        <v>887</v>
      </c>
      <c r="C13" s="313">
        <f ca="1">ROUND(IF(C1="",SUMIF('数据-取费表'!C:C,"住宅",'数据-取费表'!P:P)*F13,IF(INDIRECT("'数据-取费表'!c"&amp;$K$1)="住宅",INDIRECT("'数据-取费表'!P"&amp;$K$1)*F13,0)),0)</f>
        <v>0</v>
      </c>
      <c r="D13" s="1906"/>
      <c r="E13" s="715"/>
      <c r="F13" s="1828">
        <f>'数据-取费表'!B34</f>
        <v>0.05</v>
      </c>
      <c r="G13" s="295" t="s">
        <v>888</v>
      </c>
      <c r="H13" s="1820"/>
      <c r="I13" s="1820"/>
      <c r="J13" s="1820"/>
      <c r="K13" s="1821"/>
    </row>
    <row r="14" spans="1:33" s="1829" customFormat="1" ht="13.5" customHeight="1">
      <c r="A14" s="1823" t="s">
        <v>2955</v>
      </c>
      <c r="B14" s="1824" t="s">
        <v>889</v>
      </c>
      <c r="C14" s="313">
        <f ca="1">ROUND(D14*E14*F11/10000,0)</f>
        <v>0</v>
      </c>
      <c r="D14" s="1906">
        <f ca="1">IF(C1="",'数据-汇总表'!E3,INDIRECT("'数据-取费表'!K"&amp;$K$1)+INDIRECT("'数据-取费表'!S"&amp;$K$1))</f>
        <v>4043.7000000000003</v>
      </c>
      <c r="E14" s="313">
        <f>'数据-取费表'!B35</f>
        <v>200</v>
      </c>
      <c r="F14" s="1828"/>
      <c r="G14" s="295" t="s">
        <v>890</v>
      </c>
      <c r="H14" s="1820"/>
      <c r="I14" s="1820"/>
      <c r="J14" s="1820"/>
      <c r="K14" s="1821"/>
      <c r="L14" s="1827"/>
      <c r="M14" s="1827"/>
      <c r="N14" s="1827"/>
      <c r="O14" s="1827"/>
      <c r="P14" s="1827"/>
      <c r="Q14" s="1827"/>
      <c r="R14" s="1827"/>
      <c r="S14" s="1827"/>
      <c r="T14" s="1827"/>
      <c r="U14" s="1827"/>
      <c r="V14" s="1827"/>
      <c r="W14" s="1827"/>
      <c r="X14" s="1827"/>
      <c r="Y14" s="1827"/>
      <c r="Z14" s="1827"/>
      <c r="AA14" s="1827"/>
      <c r="AB14" s="1827"/>
      <c r="AC14" s="1827"/>
      <c r="AD14" s="1827"/>
      <c r="AE14" s="1827"/>
      <c r="AF14" s="1827"/>
      <c r="AG14" s="1827"/>
    </row>
    <row r="15" spans="1:33" s="1829" customFormat="1" ht="13.5" customHeight="1">
      <c r="A15" s="1823" t="s">
        <v>2956</v>
      </c>
      <c r="B15" s="1824" t="s">
        <v>896</v>
      </c>
      <c r="C15" s="1835">
        <f ca="1">ROUND(C11*F15,0)</f>
        <v>0</v>
      </c>
      <c r="D15" s="1830"/>
      <c r="E15" s="1835"/>
      <c r="F15" s="1836">
        <f>'数据-取费表'!B36</f>
        <v>1.4999999999999999E-2</v>
      </c>
      <c r="G15" s="471" t="s">
        <v>897</v>
      </c>
      <c r="H15" s="1831"/>
      <c r="I15" s="1831"/>
      <c r="J15" s="1831"/>
      <c r="K15" s="1832"/>
      <c r="L15" s="1827"/>
      <c r="M15" s="1827"/>
      <c r="N15" s="1827"/>
      <c r="O15" s="1827"/>
      <c r="P15" s="1827"/>
      <c r="Q15" s="1827"/>
      <c r="R15" s="1827"/>
      <c r="S15" s="1827"/>
      <c r="T15" s="1827"/>
      <c r="U15" s="1827"/>
      <c r="V15" s="1827"/>
      <c r="W15" s="1827"/>
      <c r="X15" s="1827"/>
      <c r="Y15" s="1827"/>
      <c r="Z15" s="1827"/>
      <c r="AA15" s="1827"/>
      <c r="AB15" s="1827"/>
      <c r="AC15" s="1827"/>
      <c r="AD15" s="1827"/>
      <c r="AE15" s="1827"/>
      <c r="AF15" s="1827"/>
      <c r="AG15" s="1827"/>
    </row>
    <row r="16" spans="1:33" s="1829" customFormat="1" ht="13.5" customHeight="1">
      <c r="A16" s="1823" t="s">
        <v>1938</v>
      </c>
      <c r="B16" s="3231" t="s">
        <v>2957</v>
      </c>
      <c r="C16" s="1835">
        <f ca="1">SUM(C11:C15)</f>
        <v>0</v>
      </c>
      <c r="D16" s="1830"/>
      <c r="E16" s="1835"/>
      <c r="F16" s="1836"/>
      <c r="G16" s="471"/>
      <c r="H16" s="3043"/>
      <c r="I16" s="1831"/>
      <c r="J16" s="1831"/>
      <c r="K16" s="1832"/>
      <c r="L16" s="1827"/>
      <c r="M16" s="1827"/>
      <c r="N16" s="1827"/>
      <c r="O16" s="1827"/>
      <c r="P16" s="1827"/>
      <c r="Q16" s="1827"/>
      <c r="R16" s="1827"/>
      <c r="S16" s="1827"/>
      <c r="T16" s="1827"/>
      <c r="U16" s="1827"/>
      <c r="V16" s="1827"/>
      <c r="W16" s="1827"/>
      <c r="X16" s="1827"/>
      <c r="Y16" s="1827"/>
      <c r="Z16" s="1827"/>
      <c r="AA16" s="1827"/>
      <c r="AB16" s="1827"/>
      <c r="AC16" s="1827"/>
      <c r="AD16" s="1827"/>
      <c r="AE16" s="1827"/>
      <c r="AF16" s="1827"/>
      <c r="AG16" s="1827"/>
    </row>
    <row r="17" spans="1:33" s="1829" customFormat="1" ht="13.5" customHeight="1">
      <c r="A17" s="1823" t="s">
        <v>1939</v>
      </c>
      <c r="B17" s="1824" t="s">
        <v>891</v>
      </c>
      <c r="C17" s="313">
        <f ca="1">ROUND(D17*E17/10000,0)</f>
        <v>0</v>
      </c>
      <c r="D17" s="1906">
        <f ca="1">D14</f>
        <v>4043.7000000000003</v>
      </c>
      <c r="E17" s="313">
        <f>'数据-取费表'!B32</f>
        <v>0</v>
      </c>
      <c r="F17" s="1830"/>
      <c r="G17" s="471" t="s">
        <v>892</v>
      </c>
      <c r="H17" s="3043"/>
      <c r="I17" s="1831"/>
      <c r="J17" s="1831"/>
      <c r="K17" s="1832"/>
      <c r="L17" s="1827"/>
      <c r="M17" s="1827"/>
      <c r="N17" s="1827"/>
      <c r="O17" s="1827"/>
      <c r="P17" s="1827"/>
      <c r="Q17" s="1827"/>
      <c r="R17" s="1827"/>
      <c r="S17" s="1827"/>
      <c r="T17" s="1827"/>
      <c r="U17" s="1827"/>
      <c r="V17" s="1827"/>
      <c r="W17" s="1827"/>
      <c r="X17" s="1827"/>
      <c r="Y17" s="1827"/>
      <c r="Z17" s="1827"/>
      <c r="AA17" s="1827"/>
      <c r="AB17" s="1827"/>
      <c r="AC17" s="1827"/>
      <c r="AD17" s="1827"/>
      <c r="AE17" s="1827"/>
      <c r="AF17" s="1827"/>
      <c r="AG17" s="1827"/>
    </row>
    <row r="18" spans="1:33" s="1827" customFormat="1" ht="13.5" customHeight="1">
      <c r="A18" s="1823" t="s">
        <v>2958</v>
      </c>
      <c r="B18" s="1824" t="s">
        <v>893</v>
      </c>
      <c r="C18" s="313">
        <f ca="1">C19+C20-IF(C1="",'数据-取费表'!B29,IF(G18="已全部缴纳",C19+C20,H18))</f>
        <v>97</v>
      </c>
      <c r="D18" s="1906"/>
      <c r="E18" s="313"/>
      <c r="F18" s="1828"/>
      <c r="G18" s="3042"/>
      <c r="H18" s="3040"/>
      <c r="I18" s="3041" t="s">
        <v>2803</v>
      </c>
      <c r="J18" s="1831"/>
      <c r="K18" s="1832"/>
    </row>
    <row r="19" spans="1:33" s="1827" customFormat="1" ht="13.5" customHeight="1">
      <c r="A19" s="1823" t="s">
        <v>1940</v>
      </c>
      <c r="B19" s="1824" t="s">
        <v>894</v>
      </c>
      <c r="C19" s="313">
        <f ca="1">ROUND(D19*E19/10000,0)</f>
        <v>40</v>
      </c>
      <c r="D19" s="1906">
        <f ca="1">IF(C1="",'数据-汇总表'!E5,IF(INDIRECT("'数据-取费表'!c"&amp;$K$1)="住宅",INDIRECT("'数据-取费表'!k"&amp;$K$1),0))</f>
        <v>1653.4</v>
      </c>
      <c r="E19" s="313">
        <f>'数据-取费表'!B27</f>
        <v>240</v>
      </c>
      <c r="F19" s="1828"/>
      <c r="G19" s="303"/>
      <c r="H19" s="3044"/>
      <c r="I19" s="1833"/>
      <c r="J19" s="1833"/>
      <c r="K19" s="1834"/>
    </row>
    <row r="20" spans="1:33" s="1827" customFormat="1" ht="13.5" customHeight="1">
      <c r="A20" s="1823" t="s">
        <v>1941</v>
      </c>
      <c r="B20" s="1824" t="s">
        <v>895</v>
      </c>
      <c r="C20" s="313">
        <f ca="1">ROUND(D20*E20/10000,0)</f>
        <v>57</v>
      </c>
      <c r="D20" s="1906">
        <f ca="1">IF(C1="",'数据-汇总表'!E6,IF(INDIRECT("'数据-取费表'!c"&amp;$K$1)="住宅",INDIRECT("'数据-取费表'!s"&amp;$K$1),INDIRECT("'数据-取费表'!k"&amp;$K$1)+INDIRECT("'数据-取费表'!s"&amp;$K$1)))</f>
        <v>2390.3000000000002</v>
      </c>
      <c r="E20" s="313">
        <f>'数据-取费表'!B28</f>
        <v>240</v>
      </c>
      <c r="F20" s="1828"/>
      <c r="G20" s="303"/>
      <c r="H20" s="1833"/>
      <c r="I20" s="1833"/>
      <c r="J20" s="1833"/>
      <c r="K20" s="1834"/>
    </row>
    <row r="21" spans="1:33" s="1827" customFormat="1" ht="13.5" customHeight="1">
      <c r="A21" s="1812" t="s">
        <v>1937</v>
      </c>
      <c r="B21" s="1837" t="s">
        <v>898</v>
      </c>
      <c r="C21" s="1838">
        <f ca="1">C16+C17+C18</f>
        <v>97</v>
      </c>
      <c r="D21" s="1839"/>
      <c r="E21" s="657"/>
      <c r="F21" s="657"/>
      <c r="G21" s="471" t="s">
        <v>2532</v>
      </c>
      <c r="H21" s="1831"/>
      <c r="I21" s="1831"/>
      <c r="J21" s="1831"/>
      <c r="K21" s="1832"/>
    </row>
    <row r="22" spans="1:33" s="1827" customFormat="1" ht="13.5" customHeight="1">
      <c r="A22" s="1817" t="s">
        <v>1918</v>
      </c>
      <c r="B22" s="1837" t="s">
        <v>899</v>
      </c>
      <c r="C22" s="1838">
        <f ca="1">ROUND(C21*F22,0)</f>
        <v>1</v>
      </c>
      <c r="D22" s="657"/>
      <c r="E22" s="657"/>
      <c r="F22" s="1840">
        <f>'数据-取费表'!B37</f>
        <v>1.4999999999999999E-2</v>
      </c>
      <c r="G22" s="295" t="s">
        <v>900</v>
      </c>
      <c r="H22" s="1820"/>
      <c r="I22" s="1820"/>
      <c r="J22" s="1820"/>
      <c r="K22" s="1821"/>
    </row>
    <row r="23" spans="1:33" s="1827" customFormat="1" ht="13.5" customHeight="1">
      <c r="A23" s="1817" t="s">
        <v>1919</v>
      </c>
      <c r="B23" s="1837" t="s">
        <v>901</v>
      </c>
      <c r="C23" s="1838">
        <f ca="1">ROUND(C4*F23*F11,0)</f>
        <v>0</v>
      </c>
      <c r="D23" s="657"/>
      <c r="E23" s="657"/>
      <c r="F23" s="1840">
        <f>'数据-取费表'!B38</f>
        <v>1.4999999999999999E-2</v>
      </c>
      <c r="G23" s="295" t="s">
        <v>902</v>
      </c>
      <c r="H23" s="1820"/>
      <c r="I23" s="1820"/>
      <c r="J23" s="1820"/>
      <c r="K23" s="1821"/>
    </row>
    <row r="24" spans="1:33" s="1827" customFormat="1" ht="13.5" customHeight="1">
      <c r="A24" s="1817" t="s">
        <v>1920</v>
      </c>
      <c r="B24" s="1837" t="s">
        <v>903</v>
      </c>
      <c r="C24" s="656">
        <f>ROUND(F24/(1+'数据-取费表'!C42),4)</f>
        <v>2.9000000000000001E-2</v>
      </c>
      <c r="D24" s="657" t="s">
        <v>50</v>
      </c>
      <c r="E24" s="657"/>
      <c r="F24" s="1840">
        <f>'数据-取费表'!B48+'数据-取费表'!B49</f>
        <v>3.0499999999999999E-2</v>
      </c>
      <c r="G24" s="2018" t="s">
        <v>2950</v>
      </c>
      <c r="H24" s="1842"/>
      <c r="I24" s="1842"/>
      <c r="J24" s="1842"/>
      <c r="K24" s="1843"/>
    </row>
    <row r="25" spans="1:33" s="1827" customFormat="1" ht="13.5" customHeight="1">
      <c r="A25" s="1817" t="s">
        <v>1921</v>
      </c>
      <c r="B25" s="1839" t="s">
        <v>904</v>
      </c>
      <c r="C25" s="2698">
        <f ca="1">C27</f>
        <v>0</v>
      </c>
      <c r="D25" s="656">
        <f ca="1">C26</f>
        <v>0</v>
      </c>
      <c r="E25" s="658" t="s">
        <v>50</v>
      </c>
      <c r="F25" s="659">
        <f ca="1">'数据-取费表'!B40</f>
        <v>4.7500000000000001E-2</v>
      </c>
      <c r="G25" s="2697" t="str">
        <f>IF('数据-取费表'!B22&lt;=1,"单利计息。","复利计息。")&amp;"后续开发成本、管理费用及销售费用产生的利息。"</f>
        <v>复利计息。后续开发成本、管理费用及销售费用产生的利息。</v>
      </c>
      <c r="H25" s="1842"/>
      <c r="I25" s="1842"/>
      <c r="J25" s="1842"/>
      <c r="K25" s="1843"/>
    </row>
    <row r="26" spans="1:33" s="1845" customFormat="1" ht="13.5" customHeight="1">
      <c r="A26" s="1823" t="s">
        <v>1938</v>
      </c>
      <c r="B26" s="1844" t="s">
        <v>905</v>
      </c>
      <c r="C26" s="2699">
        <f ca="1">ROUND(IF('数据-取费表'!B22&lt;=1,(1+C24)*F25*'数据-取费表'!B24,(1+C24)*(POWER((1+F25),'数据-取费表'!B24)-1)),4)</f>
        <v>0</v>
      </c>
      <c r="D26" s="660"/>
      <c r="E26" s="661"/>
      <c r="F26" s="662"/>
      <c r="G26" s="2704" t="str">
        <f>IF('数据-取费表'!B22&lt;=1,"（(1)+取得税费率/(1+5%)）×年利率×建设期","（(1)+取得税费率）/(1+5%)×((1+年利率)^建设期-1)")</f>
        <v>（(1)+取得税费率）/(1+5%)×((1+年利率)^建设期-1)</v>
      </c>
      <c r="H26" s="1831"/>
      <c r="I26" s="1831"/>
      <c r="J26" s="1831"/>
      <c r="K26" s="1832"/>
    </row>
    <row r="27" spans="1:33" s="1845" customFormat="1" ht="13.5" customHeight="1">
      <c r="A27" s="1823" t="s">
        <v>1939</v>
      </c>
      <c r="B27" s="1844" t="s">
        <v>2622</v>
      </c>
      <c r="C27" s="2700">
        <f ca="1">ROUND(IF('数据-取费表'!B22&lt;=1,(C21+C22+C23)*F25*'数据-取费表'!B24/2,(C21+C22+C23)*(POWER((1+F25),'数据-取费表'!B24/2)-1)),0)</f>
        <v>0</v>
      </c>
      <c r="D27" s="660"/>
      <c r="E27" s="661"/>
      <c r="F27" s="662"/>
      <c r="G27" s="2704" t="str">
        <f>IF('数据-取费表'!B22&lt;=1,"（1）-（3）项×年利率×建设期÷2","（1）-（3）项×((1+年利率)^(建设期÷2)-1)")</f>
        <v>（1）-（3）项×((1+年利率)^(建设期÷2)-1)</v>
      </c>
      <c r="H27" s="1831"/>
      <c r="I27" s="1831"/>
      <c r="J27" s="1831"/>
      <c r="K27" s="1832"/>
    </row>
    <row r="28" spans="1:33" s="665" customFormat="1" ht="13.5" customHeight="1">
      <c r="A28" s="1817" t="s">
        <v>1922</v>
      </c>
      <c r="B28" s="3232" t="s">
        <v>2959</v>
      </c>
      <c r="C28" s="663">
        <f ca="1">C30</f>
        <v>8</v>
      </c>
      <c r="D28" s="656">
        <f ca="1">C29</f>
        <v>0</v>
      </c>
      <c r="E28" s="658" t="s">
        <v>50</v>
      </c>
      <c r="F28" s="664">
        <f ca="1">IF(C1="",'数据-取费表'!Q16,INDIRECT("'数据-取费表'!q"&amp;$K$1))</f>
        <v>0.08</v>
      </c>
      <c r="G28" s="1841"/>
      <c r="H28" s="1842"/>
      <c r="I28" s="1842"/>
      <c r="J28" s="1842"/>
      <c r="K28" s="1843"/>
    </row>
    <row r="29" spans="1:33" s="667" customFormat="1" ht="13.5" customHeight="1">
      <c r="A29" s="1823" t="s">
        <v>1938</v>
      </c>
      <c r="B29" s="1846" t="s">
        <v>906</v>
      </c>
      <c r="C29" s="660">
        <f ca="1">ROUND((1+C24)*F28*'数据-取费表'!B24/'数据-取费表'!B20,4)</f>
        <v>0</v>
      </c>
      <c r="D29" s="660"/>
      <c r="E29" s="661"/>
      <c r="F29" s="666"/>
      <c r="G29" s="471" t="s">
        <v>907</v>
      </c>
      <c r="H29" s="1831"/>
      <c r="I29" s="1831"/>
      <c r="J29" s="1831"/>
      <c r="K29" s="1832"/>
    </row>
    <row r="30" spans="1:33" s="667" customFormat="1" ht="13.5" customHeight="1">
      <c r="A30" s="1823" t="s">
        <v>1939</v>
      </c>
      <c r="B30" s="2705" t="s">
        <v>2623</v>
      </c>
      <c r="C30" s="668">
        <f ca="1">ROUND((C21+C22+C23)*F28,0)</f>
        <v>8</v>
      </c>
      <c r="D30" s="660"/>
      <c r="E30" s="661"/>
      <c r="F30" s="666"/>
      <c r="G30" s="471"/>
      <c r="H30" s="1831"/>
      <c r="I30" s="1831"/>
      <c r="J30" s="1831"/>
      <c r="K30" s="1832"/>
    </row>
    <row r="31" spans="1:33" s="1827" customFormat="1" ht="13.5" customHeight="1" thickBot="1">
      <c r="A31" s="1858" t="s">
        <v>1923</v>
      </c>
      <c r="B31" s="1859" t="s">
        <v>908</v>
      </c>
      <c r="C31" s="1860">
        <f>ROUND(C4*F31/(1+'数据-取费表'!C42),0)</f>
        <v>0</v>
      </c>
      <c r="D31" s="1861"/>
      <c r="E31" s="1862"/>
      <c r="F31" s="1863">
        <f>'数据-取费表'!B41</f>
        <v>5.6000000000000001E-2</v>
      </c>
      <c r="G31" s="1864" t="s">
        <v>909</v>
      </c>
      <c r="H31" s="1865"/>
      <c r="I31" s="1865"/>
      <c r="J31" s="1865"/>
      <c r="K31" s="1866"/>
    </row>
    <row r="32" spans="1:33" s="1822" customFormat="1" ht="13.5" customHeight="1" thickBot="1">
      <c r="A32" s="1853" t="s">
        <v>2951</v>
      </c>
      <c r="B32" s="1854"/>
      <c r="C32" s="1855">
        <f ca="1">ROUND((C4-C21-C22-C23-C25-C28-C31)/(1+C24+D25+D28),0)</f>
        <v>-103</v>
      </c>
      <c r="D32" s="1854"/>
      <c r="E32" s="1854"/>
      <c r="F32" s="1854"/>
      <c r="G32" s="1856" t="s">
        <v>910</v>
      </c>
      <c r="H32" s="1854"/>
      <c r="I32" s="1854"/>
      <c r="J32" s="1854"/>
      <c r="K32" s="1857"/>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sheetPr codeName="Sheet7">
    <tabColor rgb="FF92D050"/>
  </sheetPr>
  <dimension ref="A1:AK83"/>
  <sheetViews>
    <sheetView zoomScale="80" zoomScaleNormal="80" zoomScaleSheetLayoutView="90" workbookViewId="0">
      <selection activeCell="I16" sqref="I16"/>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4"/>
  </cols>
  <sheetData>
    <row r="1" spans="1:37" s="671" customFormat="1" ht="21">
      <c r="A1" s="669" t="s">
        <v>911</v>
      </c>
      <c r="B1" s="670"/>
      <c r="C1" s="2388" t="s">
        <v>3129</v>
      </c>
      <c r="D1" s="1273"/>
      <c r="E1" s="2581" t="s">
        <v>2450</v>
      </c>
      <c r="F1" s="2582">
        <f>J53</f>
        <v>58</v>
      </c>
      <c r="G1" s="672">
        <f>MATCH(C1,'数据-取费表'!A6:A16,0)+5</f>
        <v>7</v>
      </c>
      <c r="H1" s="1296"/>
      <c r="I1" s="676"/>
      <c r="J1" s="676"/>
      <c r="K1" s="1297"/>
      <c r="L1" s="676"/>
      <c r="M1" s="676"/>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7" t="s">
        <v>821</v>
      </c>
      <c r="B2" s="1406">
        <f ca="1">C40+J29+L46</f>
        <v>38</v>
      </c>
      <c r="C2" s="1299" t="s">
        <v>1105</v>
      </c>
      <c r="D2" s="1275"/>
      <c r="E2" s="2571"/>
      <c r="F2" s="1276"/>
      <c r="G2" s="2283"/>
      <c r="H2" s="1274"/>
      <c r="I2" s="1274"/>
      <c r="J2" s="1274"/>
      <c r="K2" s="1298"/>
      <c r="L2" s="1274"/>
      <c r="M2" s="1274"/>
    </row>
    <row r="3" spans="1:37" ht="18" customHeight="1" thickBot="1">
      <c r="A3" s="675" t="s">
        <v>822</v>
      </c>
      <c r="B3" s="1407">
        <f ca="1">IF(ISERROR(B2*10000/F43),0,ROUND(B2*10000/F43,0))</f>
        <v>4171</v>
      </c>
      <c r="C3" s="1299" t="s">
        <v>1106</v>
      </c>
      <c r="D3" s="1275"/>
      <c r="E3" s="2571"/>
      <c r="F3" s="1276"/>
      <c r="G3" s="2283"/>
      <c r="H3" s="676" t="s">
        <v>912</v>
      </c>
      <c r="I3" s="1274"/>
      <c r="J3" s="1274"/>
      <c r="K3" s="1298"/>
      <c r="L3" s="1274"/>
      <c r="M3" s="1274"/>
    </row>
    <row r="4" spans="1:37" ht="18" customHeight="1">
      <c r="A4" s="677" t="s">
        <v>913</v>
      </c>
      <c r="B4" s="678" t="s">
        <v>914</v>
      </c>
      <c r="C4" s="678" t="s">
        <v>915</v>
      </c>
      <c r="D4" s="678" t="s">
        <v>916</v>
      </c>
      <c r="E4" s="679" t="s">
        <v>917</v>
      </c>
      <c r="F4" s="680"/>
      <c r="G4" s="2284"/>
      <c r="H4" s="677" t="s">
        <v>913</v>
      </c>
      <c r="I4" s="678" t="s">
        <v>914</v>
      </c>
      <c r="J4" s="678" t="s">
        <v>915</v>
      </c>
      <c r="K4" s="678" t="s">
        <v>916</v>
      </c>
      <c r="L4" s="679" t="s">
        <v>917</v>
      </c>
      <c r="M4" s="680"/>
    </row>
    <row r="5" spans="1:37" ht="18" customHeight="1">
      <c r="A5" s="681">
        <v>1</v>
      </c>
      <c r="B5" s="682" t="s">
        <v>2540</v>
      </c>
      <c r="C5" s="2622">
        <f ca="1">C6+C10+C12</f>
        <v>2</v>
      </c>
      <c r="D5" s="2632" t="s">
        <v>2542</v>
      </c>
      <c r="E5" s="2623"/>
      <c r="F5" s="2624"/>
      <c r="G5" s="2284"/>
      <c r="H5" s="681">
        <v>1</v>
      </c>
      <c r="I5" s="682" t="s">
        <v>2540</v>
      </c>
      <c r="J5" s="2622">
        <f ca="1">J6+J10+J12</f>
        <v>0</v>
      </c>
      <c r="K5" s="2625" t="s">
        <v>2542</v>
      </c>
      <c r="L5" s="2623"/>
      <c r="M5" s="2624"/>
    </row>
    <row r="6" spans="1:37" ht="18" customHeight="1">
      <c r="A6" s="2618" t="s">
        <v>2547</v>
      </c>
      <c r="B6" s="3637" t="s">
        <v>2541</v>
      </c>
      <c r="C6" s="2627">
        <f ca="1">ROUND(F6*F8*F7*(1-F9)/10000,0)</f>
        <v>2</v>
      </c>
      <c r="D6" s="2621" t="s">
        <v>2543</v>
      </c>
      <c r="E6" s="684" t="s">
        <v>918</v>
      </c>
      <c r="F6" s="685">
        <f ca="1">INDIRECT("'数据-取费表'!u"&amp;$G$1)</f>
        <v>1800</v>
      </c>
      <c r="G6" s="2284"/>
      <c r="H6" s="2618" t="s">
        <v>2550</v>
      </c>
      <c r="I6" s="3637" t="s">
        <v>2541</v>
      </c>
      <c r="J6" s="683">
        <f ca="1">ROUND(M6*M8*M7*(1-M9)/10000,0)</f>
        <v>0</v>
      </c>
      <c r="K6" s="2621" t="s">
        <v>2543</v>
      </c>
      <c r="L6" s="684" t="s">
        <v>918</v>
      </c>
      <c r="M6" s="685">
        <f ca="1">INDIRECT("'数据-取费表'!z"&amp;$G$1)</f>
        <v>0</v>
      </c>
    </row>
    <row r="7" spans="1:37" ht="18" customHeight="1">
      <c r="A7" s="2626"/>
      <c r="B7" s="3638"/>
      <c r="C7" s="2628"/>
      <c r="D7" s="2057"/>
      <c r="E7" s="2629" t="s">
        <v>919</v>
      </c>
      <c r="F7" s="685">
        <f ca="1">IF(INDIRECT("'数据-取费表'!ah"&amp;$G$1)="",INDIRECT("'数据-取费表'!k"&amp;$G$1),INDIRECT("'数据-取费表'!ah"&amp;$G$1))</f>
        <v>1</v>
      </c>
      <c r="G7" s="2284"/>
      <c r="H7" s="686"/>
      <c r="I7" s="3638"/>
      <c r="J7" s="688"/>
      <c r="K7" s="689"/>
      <c r="L7" s="684" t="s">
        <v>919</v>
      </c>
      <c r="M7" s="685">
        <f ca="1">F7</f>
        <v>1</v>
      </c>
    </row>
    <row r="8" spans="1:37" ht="18" customHeight="1">
      <c r="A8" s="686"/>
      <c r="B8" s="3638"/>
      <c r="C8" s="688"/>
      <c r="D8" s="689"/>
      <c r="E8" s="684" t="s">
        <v>920</v>
      </c>
      <c r="F8" s="685">
        <f ca="1">INDIRECT("'数据-取费表'!ai"&amp;$G$1)</f>
        <v>12</v>
      </c>
      <c r="G8" s="2284"/>
      <c r="H8" s="686"/>
      <c r="I8" s="3638"/>
      <c r="J8" s="688"/>
      <c r="K8" s="689"/>
      <c r="L8" s="684" t="s">
        <v>920</v>
      </c>
      <c r="M8" s="685">
        <f ca="1">INDIRECT("'数据-取费表'!ai"&amp;$G$1)</f>
        <v>12</v>
      </c>
    </row>
    <row r="9" spans="1:37" ht="18" customHeight="1">
      <c r="A9" s="686"/>
      <c r="B9" s="3639"/>
      <c r="C9" s="688"/>
      <c r="D9" s="689"/>
      <c r="E9" s="684" t="s">
        <v>921</v>
      </c>
      <c r="F9" s="694">
        <f ca="1">INDIRECT("'数据-取费表'!w"&amp;$G$1)</f>
        <v>0.1</v>
      </c>
      <c r="G9" s="2284"/>
      <c r="H9" s="686"/>
      <c r="I9" s="3639"/>
      <c r="J9" s="688"/>
      <c r="K9" s="689"/>
      <c r="L9" s="695" t="s">
        <v>921</v>
      </c>
      <c r="M9" s="696">
        <f ca="1">INDIRECT("'数据-取费表'!ab"&amp;$G$1)</f>
        <v>0</v>
      </c>
    </row>
    <row r="10" spans="1:37" ht="18" customHeight="1">
      <c r="A10" s="2618" t="s">
        <v>2548</v>
      </c>
      <c r="B10" s="2619" t="s">
        <v>2536</v>
      </c>
      <c r="C10" s="698">
        <f ca="1">ROUND(IF(F10="押一",F6*F8*F7/12*F11,IF(F10="押二",F6*F8*F7/12*2*F11,IF(F10="押三",F6*F8*F7/12*3*F11,C11*F11)))/10000,0)</f>
        <v>0</v>
      </c>
      <c r="D10" s="2630" t="s">
        <v>2544</v>
      </c>
      <c r="E10" s="2093" t="s">
        <v>2538</v>
      </c>
      <c r="F10" s="2824" t="s">
        <v>3130</v>
      </c>
      <c r="G10" s="2284"/>
      <c r="H10" s="2618" t="s">
        <v>2551</v>
      </c>
      <c r="I10" s="2619" t="s">
        <v>2536</v>
      </c>
      <c r="J10" s="683">
        <f ca="1">ROUND(IF(M10="押一",M6*M8*M7/12*M11,IF(M10="押二",M6*M8*M7/12*2*M11,IF(M10="押三",M6*M8*M7/12*3*M11,J11*M11)))/10000,0)</f>
        <v>0</v>
      </c>
      <c r="K10" s="2630" t="s">
        <v>2544</v>
      </c>
      <c r="L10" s="2093" t="s">
        <v>2538</v>
      </c>
      <c r="M10" s="2725" t="s">
        <v>3130</v>
      </c>
    </row>
    <row r="11" spans="1:37" ht="18" customHeight="1">
      <c r="A11" s="690"/>
      <c r="B11" s="2620" t="s">
        <v>2701</v>
      </c>
      <c r="C11" s="2411"/>
      <c r="D11" s="2863"/>
      <c r="E11" s="2093" t="s">
        <v>2539</v>
      </c>
      <c r="F11" s="696">
        <f ca="1">'数据-取费表'!B39</f>
        <v>1.4999999999999999E-2</v>
      </c>
      <c r="G11" s="2284"/>
      <c r="H11" s="2631"/>
      <c r="I11" s="2620" t="s">
        <v>2701</v>
      </c>
      <c r="J11" s="2411"/>
      <c r="K11" s="1280"/>
      <c r="L11" s="2093" t="s">
        <v>2539</v>
      </c>
      <c r="M11" s="2092">
        <f ca="1">'数据-取费表'!B39</f>
        <v>1.4999999999999999E-2</v>
      </c>
    </row>
    <row r="12" spans="1:37" ht="18" customHeight="1" thickBot="1">
      <c r="A12" s="2666" t="s">
        <v>2549</v>
      </c>
      <c r="B12" s="2667" t="s">
        <v>2537</v>
      </c>
      <c r="C12" s="2668"/>
      <c r="D12" s="2669"/>
      <c r="E12" s="2670"/>
      <c r="F12" s="2671"/>
      <c r="G12" s="2284"/>
      <c r="H12" s="2666" t="s">
        <v>2552</v>
      </c>
      <c r="I12" s="2667" t="s">
        <v>2537</v>
      </c>
      <c r="J12" s="2668"/>
      <c r="K12" s="2685"/>
      <c r="L12" s="2670"/>
      <c r="M12" s="2686"/>
    </row>
    <row r="13" spans="1:37" ht="18" customHeight="1" thickTop="1">
      <c r="A13" s="2662">
        <v>2</v>
      </c>
      <c r="B13" s="2663" t="s">
        <v>922</v>
      </c>
      <c r="C13" s="692">
        <f ca="1">ROUND(C29*F13,0)</f>
        <v>22</v>
      </c>
      <c r="D13" s="2664" t="s">
        <v>923</v>
      </c>
      <c r="E13" s="2664" t="s">
        <v>924</v>
      </c>
      <c r="F13" s="2665">
        <f ca="1">INDIRECT("'数据-取费表'!y"&amp;$G$1)</f>
        <v>0.95</v>
      </c>
      <c r="G13" s="2284"/>
      <c r="H13" s="2662">
        <v>2</v>
      </c>
      <c r="I13" s="2663" t="s">
        <v>922</v>
      </c>
      <c r="J13" s="2617">
        <f ca="1">ROUND(J14*J15,0)</f>
        <v>0</v>
      </c>
      <c r="K13" s="2672" t="s">
        <v>923</v>
      </c>
      <c r="L13" s="2683"/>
      <c r="M13" s="2684"/>
    </row>
    <row r="14" spans="1:37" ht="18" customHeight="1">
      <c r="A14" s="2434" t="s">
        <v>2377</v>
      </c>
      <c r="B14" s="684" t="s">
        <v>359</v>
      </c>
      <c r="C14" s="702">
        <f ca="1">INDIRECT("'数据-取费表'!m"&amp;$G$1)+INDIRECT("'数据-取费表'!t"&amp;$G$1)</f>
        <v>16</v>
      </c>
      <c r="D14" s="2211" t="s">
        <v>925</v>
      </c>
      <c r="E14" s="2210"/>
      <c r="F14" s="703"/>
      <c r="G14" s="2284"/>
      <c r="H14" s="2434" t="s">
        <v>2380</v>
      </c>
      <c r="I14" s="684" t="s">
        <v>926</v>
      </c>
      <c r="J14" s="313">
        <f ca="1">C29</f>
        <v>23</v>
      </c>
      <c r="K14" s="303"/>
      <c r="L14" s="700"/>
      <c r="M14" s="701"/>
    </row>
    <row r="15" spans="1:37" s="706" customFormat="1" ht="18" customHeight="1" thickBot="1">
      <c r="A15" s="2434" t="s">
        <v>2613</v>
      </c>
      <c r="B15" s="684" t="s">
        <v>360</v>
      </c>
      <c r="C15" s="313">
        <f ca="1">ROUND(C14*F15,0)</f>
        <v>0</v>
      </c>
      <c r="D15" s="704" t="s">
        <v>927</v>
      </c>
      <c r="E15" s="704" t="s">
        <v>928</v>
      </c>
      <c r="F15" s="705">
        <f>'数据-取费表'!B33</f>
        <v>0.03</v>
      </c>
      <c r="G15" s="2285"/>
      <c r="H15" s="2674" t="s">
        <v>2387</v>
      </c>
      <c r="I15" s="2675" t="s">
        <v>924</v>
      </c>
      <c r="J15" s="2686">
        <f ca="1">INDIRECT("'数据-取费表'!ad"&amp;$G$1)</f>
        <v>0</v>
      </c>
      <c r="K15" s="2687"/>
      <c r="L15" s="2688"/>
      <c r="M15" s="2689"/>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4" t="s">
        <v>2614</v>
      </c>
      <c r="B16" s="684" t="s">
        <v>361</v>
      </c>
      <c r="C16" s="313">
        <f ca="1">ROUND(INDIRECT("'数据-取费表'!m"&amp;$G$1)*F16,0)</f>
        <v>1</v>
      </c>
      <c r="D16" s="684" t="s">
        <v>927</v>
      </c>
      <c r="E16" s="684" t="s">
        <v>928</v>
      </c>
      <c r="F16" s="707">
        <f ca="1">IF(INDIRECT("'数据-取费表'!c"&amp;$G$1)="住宅",'数据-取费表'!B34,0)</f>
        <v>0.05</v>
      </c>
      <c r="G16" s="2284"/>
      <c r="H16" s="2662" t="s">
        <v>2345</v>
      </c>
      <c r="I16" s="2663" t="s">
        <v>929</v>
      </c>
      <c r="J16" s="692">
        <f ca="1">ROUND(J17+J22+J23+J24,0)</f>
        <v>1</v>
      </c>
      <c r="K16" s="2672" t="s">
        <v>930</v>
      </c>
      <c r="L16" s="2673"/>
      <c r="M16" s="2624"/>
    </row>
    <row r="17" spans="1:37" s="706" customFormat="1" ht="18" customHeight="1">
      <c r="A17" s="2434" t="s">
        <v>2615</v>
      </c>
      <c r="B17" s="684" t="s">
        <v>362</v>
      </c>
      <c r="C17" s="313">
        <f ca="1">ROUND(F17*(F43+INDIRECT("'数据-取费表'!S"&amp;$G$1))/10000,0)</f>
        <v>2</v>
      </c>
      <c r="D17" s="684" t="s">
        <v>931</v>
      </c>
      <c r="E17" s="684" t="s">
        <v>932</v>
      </c>
      <c r="F17" s="315">
        <f>'数据-取费表'!B35</f>
        <v>200</v>
      </c>
      <c r="G17" s="2285"/>
      <c r="H17" s="2434" t="s">
        <v>2380</v>
      </c>
      <c r="I17" s="684" t="s">
        <v>363</v>
      </c>
      <c r="J17" s="313">
        <f ca="1">ROUND(IF(项目基本情况!B11="自然人",J5*M17,J18+J19+J20),1)</f>
        <v>0.2</v>
      </c>
      <c r="K17" s="2211" t="s">
        <v>933</v>
      </c>
      <c r="L17" s="2209" t="s">
        <v>934</v>
      </c>
      <c r="M17" s="708"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6" customFormat="1" ht="18" customHeight="1">
      <c r="A18" s="2434" t="s">
        <v>2616</v>
      </c>
      <c r="B18" s="684" t="s">
        <v>364</v>
      </c>
      <c r="C18" s="313">
        <f ca="1">ROUND(C14*F18,0)</f>
        <v>0</v>
      </c>
      <c r="D18" s="684" t="s">
        <v>927</v>
      </c>
      <c r="E18" s="684" t="s">
        <v>928</v>
      </c>
      <c r="F18" s="707">
        <f>'数据-取费表'!B36</f>
        <v>1.4999999999999999E-2</v>
      </c>
      <c r="G18" s="2285"/>
      <c r="H18" s="2434" t="s">
        <v>2377</v>
      </c>
      <c r="I18" s="684" t="s">
        <v>935</v>
      </c>
      <c r="J18" s="313">
        <f ca="1">ROUND(J5*M18/(1+'数据-取费表'!C42),2)</f>
        <v>0</v>
      </c>
      <c r="K18" s="2209" t="s">
        <v>936</v>
      </c>
      <c r="L18" s="684" t="s">
        <v>928</v>
      </c>
      <c r="M18" s="707">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4" t="s">
        <v>2547</v>
      </c>
      <c r="B19" s="684" t="s">
        <v>366</v>
      </c>
      <c r="C19" s="313">
        <f ca="1">SUM(C14:C18)</f>
        <v>19</v>
      </c>
      <c r="D19" s="471" t="s">
        <v>937</v>
      </c>
      <c r="E19" s="2219"/>
      <c r="F19" s="315"/>
      <c r="G19" s="2284"/>
      <c r="H19" s="2434" t="s">
        <v>2613</v>
      </c>
      <c r="I19" s="684" t="s">
        <v>938</v>
      </c>
      <c r="J19" s="313">
        <f ca="1">IF(K19="按租金收入计税",ROUND(J5*M19,2),ROUND(C29*M19*0.7,2))</f>
        <v>0.19</v>
      </c>
      <c r="K19" s="1300" t="s">
        <v>2420</v>
      </c>
      <c r="L19" s="684" t="s">
        <v>928</v>
      </c>
      <c r="M19" s="707">
        <f>IF(K19="按租金收入计税",'数据-取费表'!B51,'数据-取费表'!B50)</f>
        <v>1.2E-2</v>
      </c>
    </row>
    <row r="20" spans="1:37" s="706" customFormat="1" ht="18" customHeight="1">
      <c r="A20" s="2434" t="s">
        <v>2617</v>
      </c>
      <c r="B20" s="684" t="s">
        <v>367</v>
      </c>
      <c r="C20" s="313">
        <f ca="1">ROUND(C19*F20,0)</f>
        <v>0</v>
      </c>
      <c r="D20" s="709" t="s">
        <v>939</v>
      </c>
      <c r="E20" s="684" t="s">
        <v>928</v>
      </c>
      <c r="F20" s="707">
        <f>'数据-取费表'!B37</f>
        <v>1.4999999999999999E-2</v>
      </c>
      <c r="G20" s="2285"/>
      <c r="H20" s="2434" t="s">
        <v>2614</v>
      </c>
      <c r="I20" s="496" t="s">
        <v>940</v>
      </c>
      <c r="J20" s="314">
        <f ca="1">ROUND(M20*M21/10000,2)</f>
        <v>0.03</v>
      </c>
      <c r="K20" s="710" t="s">
        <v>941</v>
      </c>
      <c r="L20" s="684" t="s">
        <v>942</v>
      </c>
      <c r="M20" s="711">
        <f>'数据-取费表'!B52</f>
        <v>10</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6" customFormat="1" ht="18" customHeight="1">
      <c r="A21" s="2434" t="s">
        <v>2618</v>
      </c>
      <c r="B21" s="684" t="s">
        <v>943</v>
      </c>
      <c r="C21" s="313" t="s">
        <v>71</v>
      </c>
      <c r="D21" s="709" t="s">
        <v>944</v>
      </c>
      <c r="E21" s="684" t="s">
        <v>945</v>
      </c>
      <c r="F21" s="707">
        <f>'数据-取费表'!B38</f>
        <v>1.4999999999999999E-2</v>
      </c>
      <c r="G21" s="2285"/>
      <c r="H21" s="712"/>
      <c r="I21" s="693"/>
      <c r="J21" s="318"/>
      <c r="K21" s="713"/>
      <c r="L21" s="684" t="s">
        <v>946</v>
      </c>
      <c r="M21" s="685">
        <f ca="1">INDIRECT("'数据-取费表'!r"&amp;$G$1)</f>
        <v>27.46</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4" t="s">
        <v>2619</v>
      </c>
      <c r="B22" s="684" t="s">
        <v>947</v>
      </c>
      <c r="C22" s="313"/>
      <c r="D22" s="2697" t="str">
        <f>IF(F23&lt;=1,"单利计息。","复利计息。")&amp;"建造成本、管理费用、销售费用产生的利息。"</f>
        <v>复利计息。建造成本、管理费用、销售费用产生的利息。</v>
      </c>
      <c r="E22" s="2219"/>
      <c r="F22" s="315"/>
      <c r="G22" s="2284"/>
      <c r="H22" s="2434" t="s">
        <v>2387</v>
      </c>
      <c r="I22" s="684" t="s">
        <v>948</v>
      </c>
      <c r="J22" s="313">
        <f ca="1">ROUND(J14*M22,1)</f>
        <v>0.3</v>
      </c>
      <c r="K22" s="2209" t="s">
        <v>949</v>
      </c>
      <c r="L22" s="684" t="s">
        <v>928</v>
      </c>
      <c r="M22" s="714">
        <f ca="1">INDIRECT("'数据-取费表'!Ak"&amp;$G$1)</f>
        <v>1.4999999999999999E-2</v>
      </c>
    </row>
    <row r="23" spans="1:37" s="706" customFormat="1" ht="18" customHeight="1">
      <c r="A23" s="2434" t="s">
        <v>2377</v>
      </c>
      <c r="B23" s="684" t="s">
        <v>2533</v>
      </c>
      <c r="C23" s="313">
        <f ca="1">IF('数据-取费表'!B22&lt;=1,ROUND(C19*F24*F23/2,0)+ROUND(C20*F24*F23/2,0),ROUND(C19*(POWER((1+F24),F23/2)-1),0)+ROUND(C20*(POWER((1+F24),F23/2)-1),0))</f>
        <v>1</v>
      </c>
      <c r="D23" s="2701" t="str">
        <f>IF(F23&lt;=1,"(建造成本+管理费用)×利率×(建设周期÷2)","(建造成本+管理费用)×((1+利率)^(建设周期÷2)-1)")</f>
        <v>(建造成本+管理费用)×((1+利率)^(建设周期÷2)-1)</v>
      </c>
      <c r="E23" s="684" t="s">
        <v>950</v>
      </c>
      <c r="F23" s="711">
        <f>'数据-取费表'!B20</f>
        <v>2.5</v>
      </c>
      <c r="G23" s="2285"/>
      <c r="H23" s="2434" t="s">
        <v>2618</v>
      </c>
      <c r="I23" s="684" t="s">
        <v>368</v>
      </c>
      <c r="J23" s="313">
        <f ca="1">ROUND(J13*M23,1)</f>
        <v>0</v>
      </c>
      <c r="K23" s="2209" t="s">
        <v>951</v>
      </c>
      <c r="L23" s="684" t="s">
        <v>928</v>
      </c>
      <c r="M23" s="716">
        <f ca="1">INDIRECT("'数据-取费表'!Al"&amp;$G$1)</f>
        <v>2E-3</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6" customFormat="1" ht="18" customHeight="1" thickBot="1">
      <c r="A24" s="2434" t="s">
        <v>2383</v>
      </c>
      <c r="B24" s="684" t="s">
        <v>952</v>
      </c>
      <c r="C24" s="313">
        <f ca="1">ROUND(IF('数据-取费表'!B22&lt;=1,F21*F24*F23/2,F21*(POWER((1+F24),F23/2)-1)),4)</f>
        <v>8.9999999999999998E-4</v>
      </c>
      <c r="D24" s="2701" t="str">
        <f>IF(F23&lt;=1,"销售费用×利率×(建设周期÷2)","销售费用×((1+利率)^(建设周期÷2)-1)")</f>
        <v>销售费用×((1+利率)^(建设周期÷2)-1)</v>
      </c>
      <c r="E24" s="684" t="s">
        <v>953</v>
      </c>
      <c r="F24" s="717">
        <f ca="1">'数据-取费表'!B40</f>
        <v>4.7500000000000001E-2</v>
      </c>
      <c r="G24" s="2285"/>
      <c r="H24" s="2674" t="s">
        <v>2619</v>
      </c>
      <c r="I24" s="2675" t="s">
        <v>367</v>
      </c>
      <c r="J24" s="2676">
        <f ca="1">ROUND(J5*M24,1)</f>
        <v>0</v>
      </c>
      <c r="K24" s="2677" t="s">
        <v>954</v>
      </c>
      <c r="L24" s="2675" t="s">
        <v>928</v>
      </c>
      <c r="M24" s="2671">
        <f ca="1">INDIRECT("'数据-取费表'!Am"&amp;$G$1)</f>
        <v>0.01</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4" t="s">
        <v>2384</v>
      </c>
      <c r="B25" s="684" t="s">
        <v>372</v>
      </c>
      <c r="C25" s="313"/>
      <c r="D25" s="471" t="s">
        <v>955</v>
      </c>
      <c r="E25" s="2219"/>
      <c r="F25" s="315"/>
      <c r="G25" s="2284"/>
      <c r="H25" s="2662" t="s">
        <v>2360</v>
      </c>
      <c r="I25" s="2679" t="s">
        <v>956</v>
      </c>
      <c r="J25" s="692">
        <f ca="1">J5-J16</f>
        <v>-1</v>
      </c>
      <c r="K25" s="2680" t="s">
        <v>957</v>
      </c>
      <c r="L25" s="2681"/>
      <c r="M25" s="2682"/>
    </row>
    <row r="26" spans="1:37" ht="18" customHeight="1">
      <c r="A26" s="2434" t="s">
        <v>2377</v>
      </c>
      <c r="B26" s="684" t="s">
        <v>2534</v>
      </c>
      <c r="C26" s="313">
        <f ca="1">ROUND((C19+C20)*F26,0)</f>
        <v>1</v>
      </c>
      <c r="D26" s="709" t="s">
        <v>958</v>
      </c>
      <c r="E26" s="695" t="s">
        <v>959</v>
      </c>
      <c r="F26" s="694">
        <f ca="1">INDIRECT("'数据-取费表'!q"&amp;$G$1)</f>
        <v>0.05</v>
      </c>
      <c r="G26" s="2284"/>
      <c r="H26" s="681" t="s">
        <v>2363</v>
      </c>
      <c r="I26" s="682" t="s">
        <v>960</v>
      </c>
      <c r="J26" s="683">
        <f ca="1">IF(J5&lt;&gt;0,ROUND(J25*(1-((1+M28)/(1+M26))^M27)/(M26-M28),0),0)</f>
        <v>0</v>
      </c>
      <c r="K26" s="710" t="s">
        <v>961</v>
      </c>
      <c r="L26" s="684" t="s">
        <v>967</v>
      </c>
      <c r="M26" s="694">
        <f ca="1">INDIRECT("'数据-取费表'!I"&amp;$G$1)</f>
        <v>0.04</v>
      </c>
    </row>
    <row r="27" spans="1:37" ht="18" customHeight="1">
      <c r="A27" s="2434" t="s">
        <v>2383</v>
      </c>
      <c r="B27" s="684" t="s">
        <v>375</v>
      </c>
      <c r="C27" s="313">
        <f ca="1">ROUND(F21*F26,4)</f>
        <v>8.0000000000000004E-4</v>
      </c>
      <c r="D27" s="709" t="s">
        <v>962</v>
      </c>
      <c r="E27" s="704"/>
      <c r="F27" s="705"/>
      <c r="G27" s="2284"/>
      <c r="H27" s="686"/>
      <c r="I27" s="687"/>
      <c r="J27" s="688"/>
      <c r="K27" s="718" t="s">
        <v>963</v>
      </c>
      <c r="L27" s="684" t="s">
        <v>968</v>
      </c>
      <c r="M27" s="719">
        <f ca="1">INDIRECT("'数据-取费表'!ag"&amp;$G$1)</f>
        <v>0</v>
      </c>
    </row>
    <row r="28" spans="1:37" s="706" customFormat="1" ht="18" customHeight="1">
      <c r="A28" s="2434" t="s">
        <v>2385</v>
      </c>
      <c r="B28" s="684" t="s">
        <v>376</v>
      </c>
      <c r="C28" s="313">
        <f>ROUND(F28/(1+'数据-取费表'!C42),4)</f>
        <v>5.33E-2</v>
      </c>
      <c r="D28" s="709" t="s">
        <v>969</v>
      </c>
      <c r="E28" s="684" t="s">
        <v>928</v>
      </c>
      <c r="F28" s="707">
        <f>'数据-取费表'!B41</f>
        <v>5.6000000000000001E-2</v>
      </c>
      <c r="G28" s="2285"/>
      <c r="H28" s="690"/>
      <c r="I28" s="691"/>
      <c r="J28" s="692"/>
      <c r="K28" s="713"/>
      <c r="L28" s="684" t="s">
        <v>970</v>
      </c>
      <c r="M28" s="694">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6" customFormat="1" ht="18" customHeight="1" thickBot="1">
      <c r="A29" s="2674" t="s">
        <v>2386</v>
      </c>
      <c r="B29" s="2675" t="s">
        <v>971</v>
      </c>
      <c r="C29" s="2676">
        <f ca="1">ROUND((C19+C20+C23+C26)/(1-F21-C24-C27-C28),0)</f>
        <v>23</v>
      </c>
      <c r="D29" s="2677"/>
      <c r="E29" s="2675"/>
      <c r="F29" s="2678"/>
      <c r="G29" s="2285"/>
      <c r="H29" s="720" t="s">
        <v>2370</v>
      </c>
      <c r="I29" s="721" t="s">
        <v>964</v>
      </c>
      <c r="J29" s="722">
        <f ca="1">ROUND(J26/(1+F40)^F41,0)</f>
        <v>0</v>
      </c>
      <c r="K29" s="723" t="s">
        <v>965</v>
      </c>
      <c r="L29" s="724"/>
      <c r="M29" s="725">
        <f ca="1">INDIRECT("'数据-取费表'!k"&amp;$G$1)</f>
        <v>91.1</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2" t="s">
        <v>2345</v>
      </c>
      <c r="B30" s="2663" t="s">
        <v>929</v>
      </c>
      <c r="C30" s="692">
        <f ca="1">ROUND(C31+C36+C37+C38,0)</f>
        <v>1</v>
      </c>
      <c r="D30" s="2672" t="s">
        <v>930</v>
      </c>
      <c r="E30" s="2673"/>
      <c r="F30" s="2624"/>
      <c r="G30" s="2284"/>
      <c r="H30" s="1277"/>
      <c r="I30" s="1278"/>
      <c r="J30" s="1279"/>
      <c r="K30" s="1280"/>
      <c r="L30" s="1281"/>
      <c r="M30" s="1282"/>
    </row>
    <row r="31" spans="1:37" ht="18" customHeight="1">
      <c r="A31" s="2434" t="s">
        <v>2547</v>
      </c>
      <c r="B31" s="684" t="s">
        <v>363</v>
      </c>
      <c r="C31" s="313">
        <f ca="1">ROUND(IF(项目基本情况!B11="自然人",C5*F31,C32+C33+C34),1)</f>
        <v>0.3</v>
      </c>
      <c r="D31" s="2211" t="s">
        <v>933</v>
      </c>
      <c r="E31" s="2209" t="s">
        <v>972</v>
      </c>
      <c r="F31" s="708" t="str">
        <f ca="1">IF(项目基本情况!B11="企业","",IF(INDIRECT("'数据-取费表'!c"&amp;$G$1)="住宅",5%,IF(F6*F7*F8/12/(1+'数据-取费表'!C42)&gt;20000,12%,7%)))</f>
        <v/>
      </c>
      <c r="G31" s="2284"/>
      <c r="H31" s="1277"/>
      <c r="I31" s="1278"/>
      <c r="J31" s="1279"/>
      <c r="K31" s="1280"/>
      <c r="L31" s="1281"/>
      <c r="M31" s="1282"/>
    </row>
    <row r="32" spans="1:37" ht="18" customHeight="1">
      <c r="A32" s="2434" t="s">
        <v>2612</v>
      </c>
      <c r="B32" s="684" t="s">
        <v>935</v>
      </c>
      <c r="C32" s="313">
        <f ca="1">IF(项目基本情况!B11="自然人","——",ROUND(C5*F32/(1+'数据-取费表'!C42),2))</f>
        <v>0.11</v>
      </c>
      <c r="D32" s="2209" t="s">
        <v>936</v>
      </c>
      <c r="E32" s="684" t="s">
        <v>928</v>
      </c>
      <c r="F32" s="717">
        <f>'数据-取费表'!B41</f>
        <v>5.6000000000000001E-2</v>
      </c>
      <c r="G32" s="2284"/>
      <c r="H32" s="1283"/>
      <c r="I32" s="1284"/>
      <c r="J32" s="1285"/>
      <c r="K32" s="1286"/>
      <c r="L32" s="1287"/>
      <c r="M32" s="1288"/>
    </row>
    <row r="33" spans="1:18" ht="18" customHeight="1">
      <c r="A33" s="2434" t="s">
        <v>2613</v>
      </c>
      <c r="B33" s="684" t="s">
        <v>938</v>
      </c>
      <c r="C33" s="313">
        <f ca="1">IF(项目基本情况!B11="自然人","——",IF(D33="按租金收入计税",ROUND(C5*F33,2),IF(D33="按房产原值计税",ROUND(C29*F33*0.7,2),INDIRECT("'数据-取费表'!Aj"&amp;$G$1))))</f>
        <v>0.19</v>
      </c>
      <c r="D33" s="1300" t="s">
        <v>2420</v>
      </c>
      <c r="E33" s="684" t="s">
        <v>365</v>
      </c>
      <c r="F33" s="707">
        <f>IF(D33="按票据","——",IF(D33="按租金收入计税",'数据-取费表'!B51,'数据-取费表'!B50))</f>
        <v>1.2E-2</v>
      </c>
      <c r="G33" s="2284"/>
      <c r="H33" s="1289"/>
      <c r="I33" s="2877"/>
      <c r="J33" s="2878"/>
      <c r="K33" s="1290"/>
      <c r="L33" s="1289"/>
      <c r="M33" s="1289"/>
    </row>
    <row r="34" spans="1:18" ht="18" customHeight="1">
      <c r="A34" s="2618" t="s">
        <v>2614</v>
      </c>
      <c r="B34" s="496" t="s">
        <v>973</v>
      </c>
      <c r="C34" s="314">
        <f ca="1">IF(项目基本情况!B11="自然人","——",ROUND(F34*F35/10000,2))</f>
        <v>0.03</v>
      </c>
      <c r="D34" s="710" t="s">
        <v>974</v>
      </c>
      <c r="E34" s="684" t="s">
        <v>975</v>
      </c>
      <c r="F34" s="711">
        <f>'数据-取费表'!B52</f>
        <v>10</v>
      </c>
      <c r="G34" s="2284"/>
      <c r="H34" s="1277"/>
      <c r="I34" s="2877"/>
      <c r="J34" s="2878"/>
      <c r="K34" s="1291"/>
      <c r="L34" s="1292"/>
      <c r="M34" s="1292"/>
    </row>
    <row r="35" spans="1:18" ht="18" customHeight="1">
      <c r="A35" s="2692"/>
      <c r="B35" s="2690"/>
      <c r="C35" s="318"/>
      <c r="D35" s="713"/>
      <c r="E35" s="684" t="s">
        <v>946</v>
      </c>
      <c r="F35" s="685">
        <f ca="1">INDIRECT("'数据-取费表'!r"&amp;$G$1)</f>
        <v>27.46</v>
      </c>
      <c r="G35" s="2284"/>
      <c r="H35" s="1277"/>
      <c r="I35" s="2877"/>
      <c r="J35" s="2878"/>
      <c r="K35" s="1290"/>
      <c r="L35" s="1289"/>
      <c r="M35" s="1289"/>
    </row>
    <row r="36" spans="1:18" ht="18" customHeight="1">
      <c r="A36" s="2691" t="s">
        <v>2387</v>
      </c>
      <c r="B36" s="684" t="s">
        <v>948</v>
      </c>
      <c r="C36" s="313">
        <f ca="1">ROUND(C29*F36,1)</f>
        <v>0.3</v>
      </c>
      <c r="D36" s="2209" t="s">
        <v>978</v>
      </c>
      <c r="E36" s="684" t="s">
        <v>979</v>
      </c>
      <c r="F36" s="714">
        <f ca="1">INDIRECT("'数据-取费表'!Ak"&amp;$G$1)</f>
        <v>1.4999999999999999E-2</v>
      </c>
      <c r="G36" s="2284"/>
      <c r="H36" s="1289"/>
      <c r="I36" s="2877"/>
      <c r="J36" s="2878"/>
      <c r="K36" s="1293"/>
      <c r="L36" s="1289"/>
      <c r="M36" s="1289"/>
    </row>
    <row r="37" spans="1:18" ht="18" customHeight="1">
      <c r="A37" s="2434" t="s">
        <v>2618</v>
      </c>
      <c r="B37" s="684" t="s">
        <v>368</v>
      </c>
      <c r="C37" s="313">
        <f ca="1">ROUND(C13*F37,1)</f>
        <v>0</v>
      </c>
      <c r="D37" s="2209" t="s">
        <v>369</v>
      </c>
      <c r="E37" s="684" t="s">
        <v>370</v>
      </c>
      <c r="F37" s="716">
        <f ca="1">INDIRECT("'数据-取费表'!Al"&amp;$G$1)</f>
        <v>2E-3</v>
      </c>
      <c r="G37" s="2284"/>
      <c r="H37" s="1289"/>
      <c r="I37" s="2877"/>
      <c r="J37" s="2878"/>
      <c r="K37" s="1293"/>
      <c r="L37" s="1289"/>
      <c r="M37" s="1289"/>
    </row>
    <row r="38" spans="1:18" ht="18" customHeight="1" thickBot="1">
      <c r="A38" s="2674" t="s">
        <v>2619</v>
      </c>
      <c r="B38" s="2675" t="s">
        <v>367</v>
      </c>
      <c r="C38" s="2676">
        <f ca="1">ROUND(C5*F38,1)</f>
        <v>0</v>
      </c>
      <c r="D38" s="2677" t="s">
        <v>371</v>
      </c>
      <c r="E38" s="2675" t="s">
        <v>370</v>
      </c>
      <c r="F38" s="2671">
        <f ca="1">INDIRECT("'数据-取费表'!Am"&amp;$G$1)</f>
        <v>0.01</v>
      </c>
      <c r="G38" s="2284"/>
      <c r="H38" s="1289"/>
      <c r="I38" s="2877"/>
      <c r="J38" s="2878"/>
      <c r="K38" s="1294"/>
      <c r="L38" s="1289"/>
      <c r="M38" s="1289"/>
    </row>
    <row r="39" spans="1:18" ht="24.6" customHeight="1" thickTop="1">
      <c r="A39" s="2662" t="s">
        <v>2360</v>
      </c>
      <c r="B39" s="2679" t="s">
        <v>377</v>
      </c>
      <c r="C39" s="692">
        <f ca="1">C5-C30</f>
        <v>1</v>
      </c>
      <c r="D39" s="2680" t="s">
        <v>378</v>
      </c>
      <c r="E39" s="2681"/>
      <c r="F39" s="2682"/>
      <c r="G39" s="2284"/>
      <c r="H39" s="1289"/>
      <c r="I39" s="2877"/>
      <c r="J39" s="2878"/>
      <c r="K39" s="1294"/>
      <c r="L39" s="1289"/>
      <c r="M39" s="1289"/>
    </row>
    <row r="40" spans="1:18" ht="18" customHeight="1">
      <c r="A40" s="681" t="s">
        <v>2363</v>
      </c>
      <c r="B40" s="682" t="s">
        <v>379</v>
      </c>
      <c r="C40" s="683">
        <f ca="1">ROUND(C39*(1-((1+F42)/(1+F40))^F41)/(F40-F42),0)</f>
        <v>38</v>
      </c>
      <c r="D40" s="710" t="s">
        <v>373</v>
      </c>
      <c r="E40" s="684" t="s">
        <v>374</v>
      </c>
      <c r="F40" s="694">
        <f ca="1">INDIRECT("'数据-取费表'!I"&amp;$G$1)</f>
        <v>0.04</v>
      </c>
      <c r="G40" s="2284"/>
      <c r="H40" s="1295"/>
      <c r="I40" s="2877"/>
      <c r="J40" s="2878"/>
      <c r="K40" s="1294"/>
      <c r="L40" s="1295"/>
      <c r="M40" s="1295"/>
    </row>
    <row r="41" spans="1:18" ht="18" customHeight="1">
      <c r="A41" s="686"/>
      <c r="B41" s="687"/>
      <c r="C41" s="688"/>
      <c r="D41" s="718" t="s">
        <v>380</v>
      </c>
      <c r="E41" s="684" t="s">
        <v>381</v>
      </c>
      <c r="F41" s="719">
        <f ca="1">IF(INDIRECT("'数据-取费表'!af"&amp;$G$1)=0,INDIRECT("'数据-取费表'!ae"&amp;$G$1),INDIRECT("'数据-取费表'!af"&amp;$G$1))</f>
        <v>58</v>
      </c>
      <c r="G41" s="2284"/>
      <c r="H41" s="1191"/>
      <c r="I41" s="2877"/>
      <c r="J41" s="2878"/>
      <c r="K41" s="1293"/>
      <c r="L41" s="1191"/>
      <c r="M41" s="1191"/>
    </row>
    <row r="42" spans="1:18" ht="18" customHeight="1">
      <c r="A42" s="690"/>
      <c r="B42" s="691"/>
      <c r="C42" s="692"/>
      <c r="D42" s="713"/>
      <c r="E42" s="684" t="s">
        <v>382</v>
      </c>
      <c r="F42" s="694">
        <f ca="1">INDIRECT("'数据-取费表'!v"&amp;$G$1)</f>
        <v>2.5000000000000001E-2</v>
      </c>
      <c r="G42" s="2284"/>
      <c r="H42" s="1191"/>
      <c r="I42" s="2877"/>
      <c r="J42" s="2878"/>
      <c r="K42" s="1293"/>
      <c r="L42" s="1191"/>
      <c r="M42" s="1191"/>
    </row>
    <row r="43" spans="1:18" ht="18" customHeight="1" thickBot="1">
      <c r="A43" s="720" t="s">
        <v>2370</v>
      </c>
      <c r="B43" s="721" t="s">
        <v>383</v>
      </c>
      <c r="C43" s="722">
        <f ca="1">ROUND(C40*10000/F43,0)</f>
        <v>4171</v>
      </c>
      <c r="D43" s="723" t="s">
        <v>384</v>
      </c>
      <c r="E43" s="724" t="s">
        <v>385</v>
      </c>
      <c r="F43" s="725">
        <f ca="1">INDIRECT("'数据-取费表'!k"&amp;$G$1)</f>
        <v>91.1</v>
      </c>
      <c r="G43" s="2284"/>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1453"/>
      <c r="D45" s="1432"/>
      <c r="E45" s="1432"/>
      <c r="F45" s="1432"/>
      <c r="O45" s="2587" t="s">
        <v>2493</v>
      </c>
      <c r="P45" s="1295"/>
      <c r="Q45" s="1295"/>
      <c r="R45" s="1295"/>
    </row>
    <row r="46" spans="1:18" s="1454" customFormat="1" ht="21" thickBot="1">
      <c r="A46" s="2392" t="s">
        <v>2332</v>
      </c>
      <c r="B46" s="2393"/>
      <c r="C46" s="2721">
        <f ca="1">C68-C40</f>
        <v>-60</v>
      </c>
      <c r="D46" s="2722" t="str">
        <f>C2</f>
        <v>万元</v>
      </c>
      <c r="E46" s="1432"/>
      <c r="F46" s="1432"/>
      <c r="I46" s="2574" t="s">
        <v>2428</v>
      </c>
      <c r="J46" s="2575"/>
      <c r="K46" s="2576"/>
      <c r="L46" s="2578">
        <f>IF(M47="住宅",0,IF(L48&gt;J51,L60,J60))</f>
        <v>0</v>
      </c>
      <c r="O46" s="2590" t="s">
        <v>2471</v>
      </c>
      <c r="P46" s="2591" t="s">
        <v>2472</v>
      </c>
      <c r="Q46" s="2592" t="s">
        <v>2470</v>
      </c>
      <c r="R46" s="2592" t="s">
        <v>2473</v>
      </c>
    </row>
    <row r="47" spans="1:18" s="1454" customFormat="1" ht="15.75" thickBot="1">
      <c r="A47" s="2394" t="s">
        <v>2334</v>
      </c>
      <c r="B47" s="2430" t="s">
        <v>2335</v>
      </c>
      <c r="C47" s="2726" t="s">
        <v>2336</v>
      </c>
      <c r="D47" s="2430" t="s">
        <v>2337</v>
      </c>
      <c r="E47" s="2533" t="s">
        <v>2338</v>
      </c>
      <c r="F47" s="2534"/>
      <c r="G47" s="1456"/>
      <c r="I47" s="2549" t="s">
        <v>2421</v>
      </c>
      <c r="J47" s="2550" t="s">
        <v>3131</v>
      </c>
      <c r="K47" s="2559" t="s">
        <v>2444</v>
      </c>
      <c r="L47" s="2560">
        <f ca="1">INDIRECT("'数据-取费表'!d"&amp;$G$1)</f>
        <v>0</v>
      </c>
      <c r="M47" s="2580" t="str">
        <f>IF(ISNUMBER(FIND("住宅",C1)),"住宅","非住宅")</f>
        <v>住宅</v>
      </c>
      <c r="O47" s="2583" t="s">
        <v>2456</v>
      </c>
      <c r="P47" s="2593" t="s">
        <v>2474</v>
      </c>
      <c r="Q47" s="2584">
        <f ca="1">C40+J29</f>
        <v>38</v>
      </c>
      <c r="R47" s="2584" t="s">
        <v>2475</v>
      </c>
    </row>
    <row r="48" spans="1:18" s="1454" customFormat="1" ht="47.25" thickBot="1">
      <c r="A48" s="2707" t="s">
        <v>2624</v>
      </c>
      <c r="B48" s="682" t="s">
        <v>2339</v>
      </c>
      <c r="C48" s="2717">
        <f ca="1">C49+C53+C55</f>
        <v>0</v>
      </c>
      <c r="D48" s="2711"/>
      <c r="E48" s="2712"/>
      <c r="F48" s="2414"/>
      <c r="G48" s="1456"/>
      <c r="H48" s="1457"/>
      <c r="I48" s="2540" t="s">
        <v>2422</v>
      </c>
      <c r="J48" s="2551" t="s">
        <v>2423</v>
      </c>
      <c r="K48" s="2561" t="s">
        <v>2445</v>
      </c>
      <c r="L48" s="2164">
        <f ca="1">INDIRECT("'数据-取费表'!f"&amp;$G$1)</f>
        <v>64.08</v>
      </c>
      <c r="O48" s="2583" t="s">
        <v>2457</v>
      </c>
      <c r="P48" s="2593" t="s">
        <v>2476</v>
      </c>
      <c r="Q48" s="2584" t="str">
        <f ca="1">J60</f>
        <v>0</v>
      </c>
      <c r="R48" s="2584" t="s">
        <v>2484</v>
      </c>
    </row>
    <row r="49" spans="1:18" s="1454" customFormat="1" ht="15.75" thickBot="1">
      <c r="A49" s="2427" t="s">
        <v>2625</v>
      </c>
      <c r="B49" s="2710" t="s">
        <v>2627</v>
      </c>
      <c r="C49" s="2719">
        <f ca="1">ROUND(F49*F51*F50*(1-F52)/10000,0)</f>
        <v>0</v>
      </c>
      <c r="D49" s="2529" t="s">
        <v>2340</v>
      </c>
      <c r="E49" s="2532" t="s">
        <v>2333</v>
      </c>
      <c r="F49" s="2535"/>
      <c r="G49" s="1458"/>
      <c r="H49" s="1457"/>
      <c r="I49" s="2540" t="s">
        <v>2442</v>
      </c>
      <c r="J49" s="2552">
        <v>2015</v>
      </c>
      <c r="K49" s="2562" t="s">
        <v>2447</v>
      </c>
      <c r="L49" s="2563"/>
      <c r="O49" s="2585" t="s">
        <v>2458</v>
      </c>
      <c r="P49" s="2593" t="s">
        <v>2477</v>
      </c>
      <c r="Q49" s="2584">
        <f ca="1">C29</f>
        <v>23</v>
      </c>
      <c r="R49" s="2584" t="s">
        <v>2475</v>
      </c>
    </row>
    <row r="50" spans="1:18" s="1454" customFormat="1" ht="15.75" thickBot="1">
      <c r="A50" s="2428"/>
      <c r="B50" s="2431"/>
      <c r="C50" s="2727"/>
      <c r="D50" s="2401"/>
      <c r="E50" s="2530" t="s">
        <v>2341</v>
      </c>
      <c r="F50" s="2531">
        <f ca="1">F7</f>
        <v>1</v>
      </c>
      <c r="H50" s="1457"/>
      <c r="I50" s="2540" t="s">
        <v>2424</v>
      </c>
      <c r="J50" s="2553">
        <f>SUMPRODUCT((I63:I65=J47)*(J62:L62=J48)*(J63:L65))</f>
        <v>60</v>
      </c>
      <c r="K50" s="2562" t="s">
        <v>2448</v>
      </c>
      <c r="L50" s="2563"/>
      <c r="M50" s="2557"/>
      <c r="O50" s="2585" t="s">
        <v>2459</v>
      </c>
      <c r="P50" s="2593" t="s">
        <v>2485</v>
      </c>
      <c r="Q50" s="2586" t="e">
        <f ca="1">J58</f>
        <v>#VALUE!</v>
      </c>
      <c r="R50" s="2584"/>
    </row>
    <row r="51" spans="1:18" s="1454" customFormat="1" ht="15.75" thickBot="1">
      <c r="A51" s="2429"/>
      <c r="B51" s="2431"/>
      <c r="C51" s="2432"/>
      <c r="D51" s="2401"/>
      <c r="E51" s="2433" t="s">
        <v>2342</v>
      </c>
      <c r="F51" s="685">
        <f ca="1">F8</f>
        <v>12</v>
      </c>
      <c r="I51" s="2554" t="s">
        <v>2429</v>
      </c>
      <c r="J51" s="2555">
        <f>IF(J49="",J50,J49+J50-YEAR('数据-取费表'!B2))</f>
        <v>58</v>
      </c>
      <c r="K51" s="2564" t="s">
        <v>2449</v>
      </c>
      <c r="L51" s="2577">
        <f ca="1">ROUND(-PV(INDIRECT("'数据-取费表'!h"&amp;$G$1),L48,(C39-C13*C76),0),0)</f>
        <v>-11</v>
      </c>
      <c r="M51" s="2558"/>
      <c r="O51" s="2585" t="s">
        <v>2460</v>
      </c>
      <c r="P51" s="2593" t="s">
        <v>2486</v>
      </c>
      <c r="Q51" s="2586">
        <f>J52</f>
        <v>5.5E-2</v>
      </c>
      <c r="R51" s="2584"/>
    </row>
    <row r="52" spans="1:18" s="1454" customFormat="1" ht="15.75" thickBot="1">
      <c r="A52" s="2429"/>
      <c r="B52" s="2431"/>
      <c r="C52" s="2432"/>
      <c r="D52" s="2401"/>
      <c r="E52" s="2433" t="s">
        <v>2343</v>
      </c>
      <c r="F52" s="2528"/>
      <c r="I52" s="2556" t="s">
        <v>2452</v>
      </c>
      <c r="J52" s="2570">
        <v>5.5E-2</v>
      </c>
      <c r="K52" s="2556" t="s">
        <v>2437</v>
      </c>
      <c r="L52" s="2570">
        <v>0.04</v>
      </c>
      <c r="M52" s="2393"/>
      <c r="O52" s="2585" t="s">
        <v>2461</v>
      </c>
      <c r="P52" s="2593" t="s">
        <v>2478</v>
      </c>
      <c r="Q52" s="2584">
        <f>J53</f>
        <v>58</v>
      </c>
      <c r="R52" s="2584" t="s">
        <v>2479</v>
      </c>
    </row>
    <row r="53" spans="1:18" s="1454" customFormat="1" ht="43.5" thickBot="1">
      <c r="A53" s="2822" t="s">
        <v>2626</v>
      </c>
      <c r="B53" s="433" t="s">
        <v>2536</v>
      </c>
      <c r="C53" s="698">
        <f ca="1">ROUND(IF(F53="押一",F49*F51*F50/12*F11,IF(F53="押二",F49*F51*F50/12*2*F11,IF(F53="押三",F49*F51*F50/12*3*F11,C54*F11)))/10000,0)</f>
        <v>0</v>
      </c>
      <c r="D53" s="2630" t="s">
        <v>2544</v>
      </c>
      <c r="E53" s="2093" t="s">
        <v>2538</v>
      </c>
      <c r="F53" s="2824"/>
      <c r="I53" s="2566" t="s">
        <v>2454</v>
      </c>
      <c r="J53" s="2567">
        <f>IF(M47="住宅",J51,MIN(J51,L48))</f>
        <v>58</v>
      </c>
      <c r="K53" s="3635"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636"/>
      <c r="O53" s="2583" t="s">
        <v>2462</v>
      </c>
      <c r="P53" s="2593" t="s">
        <v>2480</v>
      </c>
      <c r="Q53" s="2584">
        <f ca="1">Q47+Q48</f>
        <v>38</v>
      </c>
      <c r="R53" s="2584" t="s">
        <v>2463</v>
      </c>
    </row>
    <row r="54" spans="1:18" s="1454" customFormat="1" ht="16.5" thickBot="1">
      <c r="A54" s="2823"/>
      <c r="B54" s="2620" t="s">
        <v>2701</v>
      </c>
      <c r="C54" s="2411"/>
      <c r="D54" s="2630"/>
      <c r="E54" s="2774"/>
      <c r="F54" s="2536"/>
      <c r="I54" s="2408"/>
      <c r="J54" s="2565"/>
      <c r="K54" s="2565"/>
      <c r="L54" s="2565"/>
      <c r="M54" s="1458"/>
      <c r="O54" s="2587" t="s">
        <v>2487</v>
      </c>
      <c r="P54" s="1295"/>
      <c r="Q54" s="1295"/>
      <c r="R54" s="1295"/>
    </row>
    <row r="55" spans="1:18" s="1454" customFormat="1" ht="15.75" thickBot="1">
      <c r="A55" s="2666" t="s">
        <v>2549</v>
      </c>
      <c r="B55" s="2667" t="s">
        <v>2537</v>
      </c>
      <c r="C55" s="2668"/>
      <c r="D55" s="2630"/>
      <c r="E55" s="2706"/>
      <c r="F55" s="2536"/>
      <c r="I55" s="3314" t="s">
        <v>2430</v>
      </c>
      <c r="J55" s="3313" t="e">
        <f ca="1">ROUND(IF(J47="钢混",J57/J50,1-(1-2%)*(J50-J57)/J50),3)</f>
        <v>#VALUE!</v>
      </c>
      <c r="K55" s="2547" t="s">
        <v>2431</v>
      </c>
      <c r="L55" s="2569" t="s">
        <v>3132</v>
      </c>
      <c r="O55" s="2590" t="s">
        <v>2471</v>
      </c>
      <c r="P55" s="2591" t="s">
        <v>2472</v>
      </c>
      <c r="Q55" s="2592" t="s">
        <v>2470</v>
      </c>
      <c r="R55" s="2592" t="s">
        <v>2473</v>
      </c>
    </row>
    <row r="56" spans="1:18" s="1454" customFormat="1" ht="44.25" thickTop="1" thickBot="1">
      <c r="A56" s="2405">
        <v>2</v>
      </c>
      <c r="B56" s="2406" t="s">
        <v>2344</v>
      </c>
      <c r="C56" s="608">
        <f ca="1">C13</f>
        <v>22</v>
      </c>
      <c r="D56" s="2694"/>
      <c r="E56" s="2407"/>
      <c r="F56" s="2536"/>
      <c r="I56" s="2539" t="s">
        <v>2432</v>
      </c>
      <c r="J56" s="2568" t="s">
        <v>3053</v>
      </c>
      <c r="K56" s="2540" t="s">
        <v>2436</v>
      </c>
      <c r="L56" s="2164">
        <f ca="1">IF(L48&lt;J51,"——",L48-J51)</f>
        <v>6.0799999999999983</v>
      </c>
      <c r="O56" s="2583" t="s">
        <v>2456</v>
      </c>
      <c r="P56" s="2593" t="s">
        <v>2474</v>
      </c>
      <c r="Q56" s="2584">
        <f ca="1">C40+J29</f>
        <v>38</v>
      </c>
      <c r="R56" s="2584" t="s">
        <v>2475</v>
      </c>
    </row>
    <row r="57" spans="1:18" s="1454" customFormat="1" ht="29.25" thickBot="1">
      <c r="A57" s="2537"/>
      <c r="B57" s="2398" t="s">
        <v>2374</v>
      </c>
      <c r="C57" s="614">
        <f ca="1">C29</f>
        <v>23</v>
      </c>
      <c r="D57" s="2409"/>
      <c r="E57" s="2410"/>
      <c r="F57" s="2538"/>
      <c r="I57" s="2541" t="s">
        <v>2453</v>
      </c>
      <c r="J57" s="2545" t="str">
        <f ca="1">IF(OR(M47="住宅",J51&lt;L48,J56="是"),"——",J51-L48)</f>
        <v>——</v>
      </c>
      <c r="K57" s="2540" t="s">
        <v>2904</v>
      </c>
      <c r="L57" s="2164">
        <f ca="1">IF(L48&lt;J51,"——",IF(L55="比较法",L49,IF(L55="基准地价",L50,L51)))</f>
        <v>0</v>
      </c>
      <c r="O57" s="2583" t="s">
        <v>2457</v>
      </c>
      <c r="P57" s="2593" t="s">
        <v>2481</v>
      </c>
      <c r="Q57" s="2584">
        <f ca="1">L60</f>
        <v>0</v>
      </c>
      <c r="R57" s="2584" t="s">
        <v>2496</v>
      </c>
    </row>
    <row r="58" spans="1:18" s="1454" customFormat="1" ht="29.25" thickBot="1">
      <c r="A58" s="697" t="s">
        <v>2345</v>
      </c>
      <c r="B58" s="2406" t="s">
        <v>2375</v>
      </c>
      <c r="C58" s="698">
        <f ca="1">ROUND(C59+C64+C65+C66,0)</f>
        <v>1</v>
      </c>
      <c r="D58" s="2412" t="s">
        <v>2376</v>
      </c>
      <c r="E58" s="2413"/>
      <c r="F58" s="2414"/>
      <c r="I58" s="2541" t="s">
        <v>2433</v>
      </c>
      <c r="J58" s="3315" t="e">
        <f ca="1">IF(J55&lt;0.4,0.4,J55)</f>
        <v>#VALUE!</v>
      </c>
      <c r="K58" s="2564" t="s">
        <v>2905</v>
      </c>
      <c r="L58" s="2164">
        <f ca="1">IF(ISERROR(POWER(1+L52,L47-L48)*(POWER(1+L52,L48)-1)/(POWER(1+L52,L47)-1)),0,POWER(1+L52,L47-L48)*(POWER(1+L52,L48)-1)/(POWER(1+L52,L47)-1))</f>
        <v>0</v>
      </c>
      <c r="O58" s="2585" t="s">
        <v>2458</v>
      </c>
      <c r="P58" s="2593" t="s">
        <v>2488</v>
      </c>
      <c r="Q58" s="2584">
        <f>IF(L55="比较法",L49,IF(L55="基准地价",L50,0))</f>
        <v>0</v>
      </c>
      <c r="R58" s="2584" t="s">
        <v>2475</v>
      </c>
    </row>
    <row r="59" spans="1:18" s="1454" customFormat="1" ht="29.25" thickBot="1">
      <c r="A59" s="2434" t="s">
        <v>2380</v>
      </c>
      <c r="B59" s="2398" t="s">
        <v>363</v>
      </c>
      <c r="C59" s="313">
        <f ca="1">ROUND(IF(项目基本情况!B11="自然人",C48*F59,C60+C61+C62),1)</f>
        <v>0.2</v>
      </c>
      <c r="D59" s="2415" t="s">
        <v>2346</v>
      </c>
      <c r="E59" s="2416" t="s">
        <v>2347</v>
      </c>
      <c r="F59" s="708" t="str">
        <f ca="1">IF(项目基本情况!B11="企业","",IF(INDIRECT("'数据-取费表'!c"&amp;$G$1)="住宅",5%,IF(F49*F50*F51/12/(1+'数据-取费表'!C42)&gt;20000,12%,7%)))</f>
        <v/>
      </c>
      <c r="I59" s="2541" t="s">
        <v>2434</v>
      </c>
      <c r="J59" s="2545" t="str">
        <f ca="1">IF(OR(M47="住宅",J51&lt;L48,J56="是"),"——",ROUND(C29*J58,0))</f>
        <v>——</v>
      </c>
      <c r="K59" s="2564" t="s">
        <v>2906</v>
      </c>
      <c r="L59" s="2164">
        <f ca="1">IF(ISERROR(POWER(1+L52,L47-J51)*(POWER(1+L52,J51)-1)/(POWER(1+L52,L47)-1)),0,POWER(1+L52,L47-J51)*(POWER(1+L52,J51)-1)/(POWER(1+L52,L47)-1))</f>
        <v>0</v>
      </c>
      <c r="O59" s="2585" t="s">
        <v>2459</v>
      </c>
      <c r="P59" s="2593" t="s">
        <v>2489</v>
      </c>
      <c r="Q59" s="2586">
        <f>L52</f>
        <v>0.04</v>
      </c>
      <c r="R59" s="2584"/>
    </row>
    <row r="60" spans="1:18" s="1454" customFormat="1" ht="20.25" thickBot="1">
      <c r="A60" s="2434" t="s">
        <v>2377</v>
      </c>
      <c r="B60" s="2398" t="s">
        <v>2348</v>
      </c>
      <c r="C60" s="313">
        <f ca="1">IF(项目基本情况!B11="自然人","——",ROUND(C48*F60/(1+'数据-取费表'!C42),2))</f>
        <v>0</v>
      </c>
      <c r="D60" s="2416" t="s">
        <v>2349</v>
      </c>
      <c r="E60" s="2398" t="s">
        <v>2350</v>
      </c>
      <c r="F60" s="717">
        <f t="shared" ref="F60:F66" si="0">F32</f>
        <v>5.6000000000000001E-2</v>
      </c>
      <c r="I60" s="2542" t="s">
        <v>2435</v>
      </c>
      <c r="J60" s="2546" t="str">
        <f ca="1">IF(OR(M47="住宅",J51&lt;L48,J56="是"),"0",ROUND(J59/(1+J52)^J53,0))</f>
        <v>0</v>
      </c>
      <c r="K60" s="2548" t="s">
        <v>2438</v>
      </c>
      <c r="L60" s="2546">
        <f ca="1">IF(OR(M47="住宅",L48&lt;J51),0,ROUND(L57*(L58/L59-1),0))</f>
        <v>0</v>
      </c>
      <c r="O60" s="2585" t="s">
        <v>2460</v>
      </c>
      <c r="P60" s="2593" t="s">
        <v>2490</v>
      </c>
      <c r="Q60" s="2584">
        <f ca="1">L58</f>
        <v>0</v>
      </c>
      <c r="R60" s="2584" t="s">
        <v>2465</v>
      </c>
    </row>
    <row r="61" spans="1:18" s="1454" customFormat="1" ht="20.25" thickBot="1">
      <c r="A61" s="2434" t="s">
        <v>2378</v>
      </c>
      <c r="B61" s="2398" t="s">
        <v>2351</v>
      </c>
      <c r="C61" s="313">
        <f ca="1">IF(项目基本情况!B11="自然人","——",IF(D61="按租金收入计税",ROUND(C48*F61,2),IF(D61="按房产原值计税",ROUND(C57*F61*0.7,2),INDIRECT("'数据-取费表'!Aj"&amp;$G$1))))</f>
        <v>0.19</v>
      </c>
      <c r="D61" s="1300" t="s">
        <v>2420</v>
      </c>
      <c r="E61" s="2398" t="s">
        <v>2350</v>
      </c>
      <c r="F61" s="707">
        <f t="shared" si="0"/>
        <v>1.2E-2</v>
      </c>
      <c r="I61" s="2408"/>
      <c r="J61" s="2408"/>
      <c r="K61" s="2408"/>
      <c r="L61" s="2408"/>
      <c r="O61" s="2585" t="s">
        <v>2461</v>
      </c>
      <c r="P61" s="2593" t="s">
        <v>2491</v>
      </c>
      <c r="Q61" s="2584">
        <f ca="1">L59</f>
        <v>0</v>
      </c>
      <c r="R61" s="2584" t="s">
        <v>2466</v>
      </c>
    </row>
    <row r="62" spans="1:18" s="1454" customFormat="1" ht="15.75" thickBot="1">
      <c r="A62" s="2434" t="s">
        <v>2379</v>
      </c>
      <c r="B62" s="2397" t="s">
        <v>2352</v>
      </c>
      <c r="C62" s="314">
        <f ca="1">IF(项目基本情况!B11="自然人","——",ROUND(F62*F63/10000,2))</f>
        <v>0.03</v>
      </c>
      <c r="D62" s="2417" t="s">
        <v>2353</v>
      </c>
      <c r="E62" s="2398" t="s">
        <v>2354</v>
      </c>
      <c r="F62" s="711">
        <f t="shared" si="0"/>
        <v>10</v>
      </c>
      <c r="I62" s="2543" t="s">
        <v>2425</v>
      </c>
      <c r="J62" s="2544" t="s">
        <v>2426</v>
      </c>
      <c r="K62" s="2544" t="s">
        <v>2427</v>
      </c>
      <c r="L62" s="2544" t="s">
        <v>2423</v>
      </c>
      <c r="M62" s="3316" t="s">
        <v>3036</v>
      </c>
      <c r="O62" s="2583" t="s">
        <v>2462</v>
      </c>
      <c r="P62" s="2593" t="s">
        <v>2480</v>
      </c>
      <c r="Q62" s="2584">
        <f ca="1">Q56+Q57</f>
        <v>38</v>
      </c>
      <c r="R62" s="2584" t="s">
        <v>2463</v>
      </c>
    </row>
    <row r="63" spans="1:18" s="1454" customFormat="1" ht="16.5" thickBot="1">
      <c r="A63" s="712"/>
      <c r="B63" s="2404"/>
      <c r="C63" s="318"/>
      <c r="D63" s="2418"/>
      <c r="E63" s="2398" t="s">
        <v>2355</v>
      </c>
      <c r="F63" s="685">
        <f t="shared" ca="1" si="0"/>
        <v>27.46</v>
      </c>
      <c r="I63" s="2543" t="s">
        <v>2439</v>
      </c>
      <c r="J63" s="3319">
        <v>70</v>
      </c>
      <c r="K63" s="3319">
        <v>50</v>
      </c>
      <c r="L63" s="3319">
        <v>80</v>
      </c>
      <c r="M63" s="3317">
        <v>0.02</v>
      </c>
      <c r="O63" s="2587" t="s">
        <v>2494</v>
      </c>
      <c r="P63" s="1295"/>
      <c r="Q63" s="1295"/>
      <c r="R63" s="1295"/>
    </row>
    <row r="64" spans="1:18" s="1454" customFormat="1" ht="15.75" thickBot="1">
      <c r="A64" s="2434" t="s">
        <v>2387</v>
      </c>
      <c r="B64" s="2398" t="s">
        <v>2356</v>
      </c>
      <c r="C64" s="313">
        <f ca="1">ROUND(C57*F64,1)</f>
        <v>0.3</v>
      </c>
      <c r="D64" s="2416" t="s">
        <v>2357</v>
      </c>
      <c r="E64" s="2398" t="s">
        <v>2350</v>
      </c>
      <c r="F64" s="714">
        <f t="shared" ca="1" si="0"/>
        <v>1.4999999999999999E-2</v>
      </c>
      <c r="I64" s="2543" t="s">
        <v>2440</v>
      </c>
      <c r="J64" s="3319">
        <v>50</v>
      </c>
      <c r="K64" s="3319">
        <v>35</v>
      </c>
      <c r="L64" s="3319">
        <v>60</v>
      </c>
      <c r="M64" s="3318">
        <v>0</v>
      </c>
      <c r="O64" s="2590" t="s">
        <v>2471</v>
      </c>
      <c r="P64" s="2591" t="s">
        <v>2472</v>
      </c>
      <c r="Q64" s="2592" t="s">
        <v>2470</v>
      </c>
      <c r="R64" s="2592" t="s">
        <v>2473</v>
      </c>
    </row>
    <row r="65" spans="1:18" s="1454" customFormat="1" ht="15.75" thickBot="1">
      <c r="A65" s="2434" t="s">
        <v>2381</v>
      </c>
      <c r="B65" s="2398" t="s">
        <v>368</v>
      </c>
      <c r="C65" s="313">
        <f ca="1">ROUND(C56*F65,1)</f>
        <v>0</v>
      </c>
      <c r="D65" s="2416" t="s">
        <v>2358</v>
      </c>
      <c r="E65" s="2398" t="s">
        <v>2350</v>
      </c>
      <c r="F65" s="716">
        <f t="shared" ca="1" si="0"/>
        <v>2E-3</v>
      </c>
      <c r="I65" s="2543" t="s">
        <v>2441</v>
      </c>
      <c r="J65" s="3319">
        <v>40</v>
      </c>
      <c r="K65" s="3319">
        <v>30</v>
      </c>
      <c r="L65" s="3319">
        <v>50</v>
      </c>
      <c r="M65" s="3317">
        <v>0.02</v>
      </c>
      <c r="O65" s="2583" t="s">
        <v>2456</v>
      </c>
      <c r="P65" s="2593" t="s">
        <v>2474</v>
      </c>
      <c r="Q65" s="2584">
        <f ca="1">C40+J29</f>
        <v>38</v>
      </c>
      <c r="R65" s="2584" t="s">
        <v>2475</v>
      </c>
    </row>
    <row r="66" spans="1:18" s="1454" customFormat="1" ht="20.25" thickBot="1">
      <c r="A66" s="2434" t="s">
        <v>2382</v>
      </c>
      <c r="B66" s="2398" t="s">
        <v>367</v>
      </c>
      <c r="C66" s="313">
        <f ca="1">ROUND(C48*F66,1)</f>
        <v>0</v>
      </c>
      <c r="D66" s="2416" t="s">
        <v>2359</v>
      </c>
      <c r="E66" s="2398" t="s">
        <v>2350</v>
      </c>
      <c r="F66" s="694">
        <f t="shared" ca="1" si="0"/>
        <v>0.01</v>
      </c>
      <c r="O66" s="2583" t="s">
        <v>2457</v>
      </c>
      <c r="P66" s="2593" t="s">
        <v>2481</v>
      </c>
      <c r="Q66" s="2584">
        <f ca="1">L60</f>
        <v>0</v>
      </c>
      <c r="R66" s="2584" t="s">
        <v>2464</v>
      </c>
    </row>
    <row r="67" spans="1:18" s="1454" customFormat="1" ht="24.75" thickBot="1">
      <c r="A67" s="2405" t="s">
        <v>2360</v>
      </c>
      <c r="B67" s="2419" t="s">
        <v>2361</v>
      </c>
      <c r="C67" s="698">
        <f ca="1">C48-C58</f>
        <v>-1</v>
      </c>
      <c r="D67" s="2415" t="s">
        <v>2362</v>
      </c>
      <c r="E67" s="2420"/>
      <c r="F67" s="2421"/>
      <c r="O67" s="2585" t="s">
        <v>2458</v>
      </c>
      <c r="P67" s="2593" t="s">
        <v>2488</v>
      </c>
      <c r="Q67" s="2588">
        <f ca="1">L51</f>
        <v>-11</v>
      </c>
      <c r="R67" s="2589" t="s">
        <v>2498</v>
      </c>
    </row>
    <row r="68" spans="1:18" s="1454" customFormat="1" ht="20.25" thickBot="1">
      <c r="A68" s="2395" t="s">
        <v>2363</v>
      </c>
      <c r="B68" s="2396" t="s">
        <v>2364</v>
      </c>
      <c r="C68" s="683">
        <f ca="1">ROUND(C67*(1-((1+F70)/(1+F68))^F69)/(F68-F70),0)</f>
        <v>-22</v>
      </c>
      <c r="D68" s="2417" t="s">
        <v>2365</v>
      </c>
      <c r="E68" s="2398" t="s">
        <v>2366</v>
      </c>
      <c r="F68" s="694">
        <f ca="1">F40</f>
        <v>0.04</v>
      </c>
      <c r="O68" s="2585" t="s">
        <v>2459</v>
      </c>
      <c r="P68" s="2594" t="s">
        <v>2492</v>
      </c>
      <c r="Q68" s="2584">
        <f ca="1">ROUND(Q69-Q70*Q71,0)</f>
        <v>0</v>
      </c>
      <c r="R68" s="2584" t="s">
        <v>2497</v>
      </c>
    </row>
    <row r="69" spans="1:18" s="1454" customFormat="1" ht="15.75" thickBot="1">
      <c r="A69" s="2399"/>
      <c r="B69" s="2400"/>
      <c r="C69" s="688"/>
      <c r="D69" s="2422" t="s">
        <v>2367</v>
      </c>
      <c r="E69" s="2398" t="s">
        <v>2368</v>
      </c>
      <c r="F69" s="719">
        <f ca="1">F41</f>
        <v>58</v>
      </c>
      <c r="O69" s="2585" t="s">
        <v>2467</v>
      </c>
      <c r="P69" s="2594" t="s">
        <v>2482</v>
      </c>
      <c r="Q69" s="2584">
        <f ca="1">C39</f>
        <v>1</v>
      </c>
      <c r="R69" s="2584" t="s">
        <v>2475</v>
      </c>
    </row>
    <row r="70" spans="1:18" s="1454" customFormat="1" ht="15.75" thickBot="1">
      <c r="A70" s="2402"/>
      <c r="B70" s="2403"/>
      <c r="C70" s="692"/>
      <c r="D70" s="2418"/>
      <c r="E70" s="2398" t="s">
        <v>2369</v>
      </c>
      <c r="F70" s="2528"/>
      <c r="O70" s="2585" t="s">
        <v>2468</v>
      </c>
      <c r="P70" s="2594" t="s">
        <v>2483</v>
      </c>
      <c r="Q70" s="2584">
        <f ca="1">C13</f>
        <v>22</v>
      </c>
      <c r="R70" s="2584" t="s">
        <v>2475</v>
      </c>
    </row>
    <row r="71" spans="1:18" s="1454" customFormat="1" ht="15.75" thickBot="1">
      <c r="A71" s="2423" t="s">
        <v>2370</v>
      </c>
      <c r="B71" s="2424" t="s">
        <v>2371</v>
      </c>
      <c r="C71" s="722">
        <f ca="1">ROUND(C68*10000/F71,0)</f>
        <v>-2415</v>
      </c>
      <c r="D71" s="2425" t="s">
        <v>2372</v>
      </c>
      <c r="E71" s="2426" t="s">
        <v>2373</v>
      </c>
      <c r="F71" s="725">
        <f ca="1">F43</f>
        <v>91.1</v>
      </c>
      <c r="I71" s="2393"/>
      <c r="K71" s="2393"/>
      <c r="O71" s="2585" t="s">
        <v>2469</v>
      </c>
      <c r="P71" s="2594" t="s">
        <v>2495</v>
      </c>
      <c r="Q71" s="2586">
        <f ca="1">C76</f>
        <v>6.5000000000000002E-2</v>
      </c>
      <c r="R71" s="2584"/>
    </row>
    <row r="72" spans="1:18" s="1454" customFormat="1" ht="15.75" thickBot="1">
      <c r="B72" s="1459"/>
      <c r="C72" s="1459"/>
      <c r="I72" s="2393"/>
      <c r="O72" s="2585" t="s">
        <v>2460</v>
      </c>
      <c r="P72" s="2593" t="s">
        <v>2489</v>
      </c>
      <c r="Q72" s="2586">
        <f>L52</f>
        <v>0.04</v>
      </c>
      <c r="R72" s="2584"/>
    </row>
    <row r="73" spans="1:18" ht="20.25" thickBot="1">
      <c r="A73" s="1454"/>
      <c r="B73" s="1459"/>
      <c r="C73" s="1459"/>
      <c r="D73" s="1454"/>
      <c r="E73" s="1454"/>
      <c r="F73" s="1454"/>
      <c r="I73" s="2579"/>
      <c r="O73" s="2585" t="s">
        <v>2461</v>
      </c>
      <c r="P73" s="2593" t="s">
        <v>2490</v>
      </c>
      <c r="Q73" s="2584">
        <f ca="1">L58</f>
        <v>0</v>
      </c>
      <c r="R73" s="2584" t="s">
        <v>2465</v>
      </c>
    </row>
    <row r="74" spans="1:18" ht="20.25" thickBot="1">
      <c r="A74" s="1454"/>
      <c r="B74" s="727" t="s">
        <v>386</v>
      </c>
      <c r="C74" s="728"/>
      <c r="D74" s="1454"/>
      <c r="E74" s="1454"/>
      <c r="F74" s="1454"/>
      <c r="O74" s="2585" t="s">
        <v>2499</v>
      </c>
      <c r="P74" s="2593" t="s">
        <v>2491</v>
      </c>
      <c r="Q74" s="2584">
        <f ca="1">L59</f>
        <v>0</v>
      </c>
      <c r="R74" s="2584" t="s">
        <v>2466</v>
      </c>
    </row>
    <row r="75" spans="1:18" ht="15.75" thickBot="1">
      <c r="A75" s="1454"/>
      <c r="B75" s="729" t="s">
        <v>976</v>
      </c>
      <c r="C75" s="730">
        <f ca="1">ROUND(C13*C76,0)</f>
        <v>1</v>
      </c>
      <c r="D75" s="1454"/>
      <c r="E75" s="1454"/>
      <c r="F75" s="1454"/>
      <c r="K75" s="1455"/>
      <c r="L75" s="1454"/>
      <c r="O75" s="2583" t="s">
        <v>2462</v>
      </c>
      <c r="P75" s="2593" t="s">
        <v>2480</v>
      </c>
      <c r="Q75" s="2584">
        <f ca="1">Q65+Q66</f>
        <v>38</v>
      </c>
      <c r="R75" s="2584" t="s">
        <v>2463</v>
      </c>
    </row>
    <row r="76" spans="1:18">
      <c r="B76" s="731" t="s">
        <v>977</v>
      </c>
      <c r="C76" s="732">
        <f ca="1">INDIRECT("'数据-取费表'!j"&amp;$G$1)</f>
        <v>6.5000000000000002E-2</v>
      </c>
      <c r="I76" s="1454"/>
      <c r="J76" s="1454"/>
      <c r="K76" s="1455"/>
      <c r="L76" s="1454"/>
    </row>
    <row r="77" spans="1:18">
      <c r="B77" s="733" t="s">
        <v>980</v>
      </c>
      <c r="C77" s="734"/>
      <c r="I77" s="1454"/>
      <c r="J77" s="1454"/>
      <c r="K77" s="1455"/>
      <c r="L77" s="1454"/>
    </row>
    <row r="78" spans="1:18">
      <c r="B78" s="646" t="s">
        <v>2702</v>
      </c>
      <c r="C78" s="735"/>
    </row>
    <row r="79" spans="1:18">
      <c r="B79" s="2869" t="s">
        <v>2706</v>
      </c>
      <c r="C79" s="650">
        <f ca="1">1-C80</f>
        <v>0</v>
      </c>
    </row>
    <row r="80" spans="1:18">
      <c r="B80" s="2869" t="s">
        <v>2705</v>
      </c>
      <c r="C80" s="650">
        <f ca="1">ROUND(C75/C39,3)</f>
        <v>1</v>
      </c>
    </row>
    <row r="81" spans="2:3">
      <c r="B81" s="646" t="s">
        <v>387</v>
      </c>
      <c r="C81" s="647"/>
    </row>
    <row r="82" spans="2:3">
      <c r="B82" s="2868" t="s">
        <v>2704</v>
      </c>
      <c r="C82" s="651">
        <f ca="1">1-C83</f>
        <v>0.42100000000000004</v>
      </c>
    </row>
    <row r="83" spans="2:3">
      <c r="B83" s="2868" t="s">
        <v>2703</v>
      </c>
      <c r="C83" s="650">
        <f ca="1">ROUND(C13/C40,3)</f>
        <v>0.57899999999999996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69" priority="56">
      <formula>$L$48&gt;$J$51</formula>
    </cfRule>
  </conditionalFormatting>
  <conditionalFormatting sqref="I55 I60">
    <cfRule type="expression" dxfId="168" priority="57">
      <formula>$J$51&gt;$L$48</formula>
    </cfRule>
  </conditionalFormatting>
  <conditionalFormatting sqref="C11">
    <cfRule type="expression" dxfId="167" priority="3">
      <formula>$F$10="自定义"</formula>
    </cfRule>
  </conditionalFormatting>
  <conditionalFormatting sqref="J11">
    <cfRule type="expression" dxfId="166" priority="2">
      <formula>$M$10="自定义"</formula>
    </cfRule>
  </conditionalFormatting>
  <conditionalFormatting sqref="C54">
    <cfRule type="expression" dxfId="165"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opLeftCell="A27" zoomScale="90" zoomScaleNormal="90" workbookViewId="0">
      <selection activeCell="C50" sqref="C50"/>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981</v>
      </c>
      <c r="B1" s="3097" t="s">
        <v>982</v>
      </c>
      <c r="C1" s="3098" t="s">
        <v>983</v>
      </c>
      <c r="D1" s="3099" t="s">
        <v>3129</v>
      </c>
      <c r="E1" s="3100"/>
      <c r="F1" s="3101" t="s">
        <v>2700</v>
      </c>
      <c r="G1" s="3103" t="s">
        <v>984</v>
      </c>
      <c r="H1" s="3104"/>
      <c r="I1" s="3104"/>
      <c r="J1" s="3104"/>
      <c r="K1" s="3105"/>
      <c r="L1" s="3106"/>
      <c r="M1" s="3098"/>
      <c r="N1" s="3098"/>
      <c r="O1" s="3098"/>
      <c r="P1" s="3107"/>
      <c r="Q1" s="3108"/>
      <c r="R1" s="3108"/>
      <c r="S1" s="3108"/>
      <c r="T1" s="3108"/>
      <c r="U1" s="3108"/>
      <c r="V1" s="3108"/>
      <c r="W1" s="3108"/>
      <c r="X1" s="3108"/>
      <c r="Y1" s="3108"/>
      <c r="Z1" s="3108"/>
      <c r="AA1" s="3108"/>
      <c r="AB1" s="3108"/>
      <c r="AC1" s="3109"/>
    </row>
    <row r="2" spans="1:29" s="89" customFormat="1" ht="28.5" customHeight="1" thickTop="1">
      <c r="A2" s="3092" t="s">
        <v>985</v>
      </c>
      <c r="B2" s="2840">
        <f>IF(C2="——",ROUND(C49*D3/10000,0),ROUND(C49*D3/10000,0)-D2)</f>
        <v>44</v>
      </c>
      <c r="C2" s="3093" t="s">
        <v>530</v>
      </c>
      <c r="D2" s="2720" t="e">
        <f ca="1">SUMIF(INDIRECT("'"&amp;F2&amp;"'"&amp;"!A:A"),"承租人权益价值",INDIRECT("'"&amp;F2&amp;"'"&amp;"!c:c"))</f>
        <v>#REF!</v>
      </c>
      <c r="E2" s="3094" t="s">
        <v>870</v>
      </c>
      <c r="F2" s="3095"/>
      <c r="G2" s="2286"/>
      <c r="H2" s="2286"/>
      <c r="I2" s="2286"/>
      <c r="J2" s="2286"/>
      <c r="K2" s="2288"/>
      <c r="L2" s="2289"/>
      <c r="M2" s="2290"/>
      <c r="N2" s="2290"/>
      <c r="O2" s="2290"/>
      <c r="P2" s="1336"/>
      <c r="Q2" s="1335"/>
      <c r="R2" s="1335"/>
      <c r="S2" s="1335"/>
      <c r="T2" s="1335"/>
      <c r="U2" s="1335"/>
      <c r="V2" s="1335"/>
      <c r="W2" s="1335"/>
      <c r="X2" s="1335"/>
      <c r="Y2" s="1335"/>
      <c r="Z2" s="1335"/>
      <c r="AA2" s="1335"/>
      <c r="AB2" s="1335"/>
      <c r="AC2" s="1337"/>
    </row>
    <row r="3" spans="1:29" s="89" customFormat="1" ht="28.5" customHeight="1" thickBot="1">
      <c r="A3" s="87" t="s">
        <v>986</v>
      </c>
      <c r="B3" s="742">
        <f>IF(C2="——",C49,ROUND(B2*10000/D3,0))</f>
        <v>4800</v>
      </c>
      <c r="C3" s="142" t="s">
        <v>987</v>
      </c>
      <c r="D3" s="742">
        <f>IF(D1="",'数据-汇总表'!E3,SUMIF('数据-汇总表'!$C19:$C33,D1,'数据-汇总表'!$E19:$E33))</f>
        <v>91.1</v>
      </c>
      <c r="E3" s="2286"/>
      <c r="F3" s="2287"/>
      <c r="G3" s="2286"/>
      <c r="H3" s="2286"/>
      <c r="I3" s="2286"/>
      <c r="J3" s="2286"/>
      <c r="K3" s="2288"/>
      <c r="L3" s="2289"/>
      <c r="M3" s="2290"/>
      <c r="N3" s="2290"/>
      <c r="O3" s="2290"/>
      <c r="P3" s="1336"/>
      <c r="Q3" s="1335"/>
      <c r="R3" s="1335"/>
      <c r="S3" s="1335"/>
      <c r="T3" s="1335"/>
      <c r="U3" s="1335"/>
      <c r="V3" s="1335"/>
      <c r="W3" s="1335"/>
      <c r="X3" s="1335"/>
      <c r="Y3" s="1335"/>
      <c r="Z3" s="1335"/>
      <c r="AA3" s="1335"/>
      <c r="AB3" s="1335"/>
      <c r="AC3" s="1338"/>
    </row>
    <row r="4" spans="1:29">
      <c r="A4" s="143" t="s">
        <v>988</v>
      </c>
      <c r="B4" s="144"/>
      <c r="C4" s="3658" t="s">
        <v>989</v>
      </c>
      <c r="D4" s="3659"/>
      <c r="E4" s="3660" t="s">
        <v>990</v>
      </c>
      <c r="F4" s="3661"/>
      <c r="G4" s="3658" t="s">
        <v>991</v>
      </c>
      <c r="H4" s="3659"/>
      <c r="I4" s="3658" t="s">
        <v>992</v>
      </c>
      <c r="J4" s="3659"/>
      <c r="K4" s="145" t="s">
        <v>993</v>
      </c>
      <c r="L4" s="2291"/>
      <c r="M4" s="2292"/>
      <c r="N4" s="2292"/>
      <c r="O4" s="2292"/>
      <c r="P4" s="3662" t="s">
        <v>988</v>
      </c>
      <c r="Q4" s="3663"/>
      <c r="R4" s="3645" t="s">
        <v>990</v>
      </c>
      <c r="S4" s="3646"/>
      <c r="T4" s="3645" t="s">
        <v>991</v>
      </c>
      <c r="U4" s="3646"/>
      <c r="V4" s="3670" t="s">
        <v>992</v>
      </c>
      <c r="W4" s="3670"/>
      <c r="X4" s="1339"/>
      <c r="Y4" s="3645" t="s">
        <v>988</v>
      </c>
      <c r="Z4" s="3646"/>
      <c r="AA4" s="3640" t="s">
        <v>990</v>
      </c>
      <c r="AB4" s="3640" t="s">
        <v>991</v>
      </c>
      <c r="AC4" s="3640" t="s">
        <v>992</v>
      </c>
    </row>
    <row r="5" spans="1:29">
      <c r="A5" s="146"/>
      <c r="B5" s="147"/>
      <c r="C5" s="3651" t="s">
        <v>994</v>
      </c>
      <c r="D5" s="3652"/>
      <c r="E5" s="3649" t="s">
        <v>995</v>
      </c>
      <c r="F5" s="3650"/>
      <c r="G5" s="3651" t="s">
        <v>996</v>
      </c>
      <c r="H5" s="3652"/>
      <c r="I5" s="3651" t="s">
        <v>997</v>
      </c>
      <c r="J5" s="3652"/>
      <c r="K5" s="152"/>
      <c r="L5" s="2291"/>
      <c r="M5" s="2292"/>
      <c r="N5" s="2292"/>
      <c r="O5" s="2292"/>
      <c r="P5" s="3664"/>
      <c r="Q5" s="3665"/>
      <c r="R5" s="3647"/>
      <c r="S5" s="3648"/>
      <c r="T5" s="3647"/>
      <c r="U5" s="3648"/>
      <c r="V5" s="3670"/>
      <c r="W5" s="3670"/>
      <c r="X5" s="1339"/>
      <c r="Y5" s="3647"/>
      <c r="Z5" s="3648"/>
      <c r="AA5" s="3641"/>
      <c r="AB5" s="3641"/>
      <c r="AC5" s="3641"/>
    </row>
    <row r="6" spans="1:29" ht="14.25" thickBot="1">
      <c r="A6" s="148"/>
      <c r="B6" s="149"/>
      <c r="C6" s="3653" t="s">
        <v>998</v>
      </c>
      <c r="D6" s="3654"/>
      <c r="E6" s="3655" t="s">
        <v>998</v>
      </c>
      <c r="F6" s="3656"/>
      <c r="G6" s="3653" t="s">
        <v>998</v>
      </c>
      <c r="H6" s="3654"/>
      <c r="I6" s="3653" t="s">
        <v>998</v>
      </c>
      <c r="J6" s="3654"/>
      <c r="K6" s="152" t="s">
        <v>999</v>
      </c>
      <c r="L6" s="2291"/>
      <c r="M6" s="2292"/>
      <c r="N6" s="2292"/>
      <c r="O6" s="2292"/>
      <c r="P6" s="3666"/>
      <c r="Q6" s="3667"/>
      <c r="R6" s="3647"/>
      <c r="S6" s="3648"/>
      <c r="T6" s="3668"/>
      <c r="U6" s="3669"/>
      <c r="V6" s="3670"/>
      <c r="W6" s="3670"/>
      <c r="X6" s="1339"/>
      <c r="Y6" s="3668"/>
      <c r="Z6" s="3669"/>
      <c r="AA6" s="3642"/>
      <c r="AB6" s="3642"/>
      <c r="AC6" s="3642"/>
    </row>
    <row r="7" spans="1:29" s="40" customFormat="1" ht="15" thickBot="1">
      <c r="A7" s="1013" t="s">
        <v>1000</v>
      </c>
      <c r="B7" s="1014"/>
      <c r="C7" s="1015">
        <f>'数据-取费表'!B2</f>
        <v>42958</v>
      </c>
      <c r="D7" s="754">
        <v>100</v>
      </c>
      <c r="E7" s="1016">
        <v>42958</v>
      </c>
      <c r="F7" s="756">
        <f>SUMIF(58:58,YEAR(E7)&amp;"-"&amp;MONTH(E7),59:59)</f>
        <v>100</v>
      </c>
      <c r="G7" s="1016">
        <v>42958</v>
      </c>
      <c r="H7" s="754">
        <f>SUMIF(58:58,YEAR(G7)&amp;"-"&amp;MONTH(G7),59:59)</f>
        <v>100</v>
      </c>
      <c r="I7" s="1016">
        <v>42958</v>
      </c>
      <c r="J7" s="754">
        <f>SUMIF(58:58,YEAR(I7)&amp;"-"&amp;MONTH(I7),59:59)</f>
        <v>100</v>
      </c>
      <c r="K7" s="1340"/>
      <c r="L7" s="2293"/>
      <c r="M7" s="2255"/>
      <c r="N7" s="2255"/>
      <c r="O7" s="2255"/>
      <c r="P7" s="3643" t="s">
        <v>1000</v>
      </c>
      <c r="Q7" s="3671"/>
      <c r="R7" s="1341" t="s">
        <v>115</v>
      </c>
      <c r="S7" s="1342">
        <f t="shared" ref="S7:S15" si="0">F7</f>
        <v>100</v>
      </c>
      <c r="T7" s="1341" t="s">
        <v>115</v>
      </c>
      <c r="U7" s="1342">
        <f t="shared" ref="U7:U15" si="1">H7</f>
        <v>100</v>
      </c>
      <c r="V7" s="1341" t="s">
        <v>115</v>
      </c>
      <c r="W7" s="1342">
        <f t="shared" ref="W7:W15" si="2">J7</f>
        <v>100</v>
      </c>
      <c r="X7" s="287"/>
      <c r="Y7" s="3643" t="s">
        <v>1000</v>
      </c>
      <c r="Z7" s="3644"/>
      <c r="AA7" s="1343">
        <f>D7/F7</f>
        <v>1</v>
      </c>
      <c r="AB7" s="1343">
        <f>D7/H7</f>
        <v>1</v>
      </c>
      <c r="AC7" s="1343">
        <f>D7/J7</f>
        <v>1</v>
      </c>
    </row>
    <row r="8" spans="1:29" s="40" customFormat="1" ht="15" thickBot="1">
      <c r="A8" s="1013" t="s">
        <v>1001</v>
      </c>
      <c r="B8" s="1014"/>
      <c r="C8" s="1019" t="s">
        <v>155</v>
      </c>
      <c r="D8" s="754">
        <v>100</v>
      </c>
      <c r="E8" s="1344" t="s">
        <v>155</v>
      </c>
      <c r="F8" s="756">
        <f>SUMIF(61:61,E8,62:62)-SUMIF(61:61,C8,62:62)+100</f>
        <v>100</v>
      </c>
      <c r="G8" s="1019" t="s">
        <v>155</v>
      </c>
      <c r="H8" s="754">
        <f>SUMIF(61:61,G8,62:62)-SUMIF(61:61,C8,62:62)+100</f>
        <v>100</v>
      </c>
      <c r="I8" s="1344" t="s">
        <v>155</v>
      </c>
      <c r="J8" s="754">
        <f>SUMIF(61:61,I8,62:62)-SUMIF(61:61,C8,62:62)+100</f>
        <v>100</v>
      </c>
      <c r="K8" s="1340"/>
      <c r="L8" s="2293"/>
      <c r="M8" s="2255"/>
      <c r="N8" s="2255"/>
      <c r="O8" s="2255"/>
      <c r="P8" s="3643" t="s">
        <v>1001</v>
      </c>
      <c r="Q8" s="3644"/>
      <c r="R8" s="1341" t="s">
        <v>115</v>
      </c>
      <c r="S8" s="1342">
        <f t="shared" si="0"/>
        <v>100</v>
      </c>
      <c r="T8" s="1341" t="s">
        <v>115</v>
      </c>
      <c r="U8" s="1342">
        <f t="shared" si="1"/>
        <v>100</v>
      </c>
      <c r="V8" s="1341" t="s">
        <v>115</v>
      </c>
      <c r="W8" s="1342">
        <f t="shared" si="2"/>
        <v>100</v>
      </c>
      <c r="X8" s="287"/>
      <c r="Y8" s="3643" t="s">
        <v>1001</v>
      </c>
      <c r="Z8" s="3644"/>
      <c r="AA8" s="1343">
        <f t="shared" ref="AA8:AA19" si="3">D8/F8</f>
        <v>1</v>
      </c>
      <c r="AB8" s="1343">
        <f t="shared" ref="AB8:AB19" si="4">D8/H8</f>
        <v>1</v>
      </c>
      <c r="AC8" s="1343">
        <f t="shared" ref="AC8:AC19" si="5">D8/J8</f>
        <v>1</v>
      </c>
    </row>
    <row r="9" spans="1:29" s="40" customFormat="1" ht="14.25">
      <c r="A9" s="1020" t="s">
        <v>1002</v>
      </c>
      <c r="B9" s="62" t="s">
        <v>1003</v>
      </c>
      <c r="C9" s="1345" t="s">
        <v>3133</v>
      </c>
      <c r="D9" s="425">
        <v>100</v>
      </c>
      <c r="E9" s="1346" t="s">
        <v>40</v>
      </c>
      <c r="F9" s="760">
        <f>SUMIF(63:63,E9,64:64)-SUMIF(63:63,C9,64:64)+100</f>
        <v>100</v>
      </c>
      <c r="G9" s="1347" t="s">
        <v>40</v>
      </c>
      <c r="H9" s="425">
        <f>SUMIF(63:63,G9,64:64)-SUMIF(63:63,C9,64:64)+100</f>
        <v>100</v>
      </c>
      <c r="I9" s="1347" t="s">
        <v>40</v>
      </c>
      <c r="J9" s="425">
        <f>SUMIF(63:63,I9,64:64)-SUMIF(63:63,C9,64:64)+100</f>
        <v>100</v>
      </c>
      <c r="K9" s="1340"/>
      <c r="L9" s="2293"/>
      <c r="M9" s="2255"/>
      <c r="N9" s="2255"/>
      <c r="O9" s="2255"/>
      <c r="P9" s="3657" t="s">
        <v>67</v>
      </c>
      <c r="Q9" s="7" t="str">
        <f t="shared" ref="Q9:Q15" si="6">B9</f>
        <v>用途</v>
      </c>
      <c r="R9" s="1341" t="s">
        <v>65</v>
      </c>
      <c r="S9" s="1342">
        <f t="shared" si="0"/>
        <v>100</v>
      </c>
      <c r="T9" s="1341" t="s">
        <v>65</v>
      </c>
      <c r="U9" s="1342">
        <f t="shared" si="1"/>
        <v>100</v>
      </c>
      <c r="V9" s="1341" t="s">
        <v>65</v>
      </c>
      <c r="W9" s="1342">
        <f t="shared" si="2"/>
        <v>100</v>
      </c>
      <c r="X9" s="287"/>
      <c r="Y9" s="3503" t="s">
        <v>67</v>
      </c>
      <c r="Z9" s="288" t="str">
        <f t="shared" ref="Z9:Z15" si="7">Q9</f>
        <v>用途</v>
      </c>
      <c r="AA9" s="1343">
        <f t="shared" si="3"/>
        <v>1</v>
      </c>
      <c r="AB9" s="1343">
        <f t="shared" si="4"/>
        <v>1</v>
      </c>
      <c r="AC9" s="1343">
        <f t="shared" si="5"/>
        <v>1</v>
      </c>
    </row>
    <row r="10" spans="1:29" s="92" customFormat="1" ht="27">
      <c r="A10" s="150"/>
      <c r="B10" s="12" t="s">
        <v>106</v>
      </c>
      <c r="C10" s="1348"/>
      <c r="D10" s="426">
        <v>100</v>
      </c>
      <c r="E10" s="1349"/>
      <c r="F10" s="767">
        <f>SUMIF(65:65,E10,66:66)-SUMIF(65:65,C10,66:66)+100</f>
        <v>100</v>
      </c>
      <c r="G10" s="1348"/>
      <c r="H10" s="426">
        <f>SUMIF(65:65,G10,66:66)-SUMIF(65:65,C10,66:66)+100</f>
        <v>100</v>
      </c>
      <c r="I10" s="1348"/>
      <c r="J10" s="426">
        <f>SUMIF(65:65,I10,66:66)-SUMIF(65:65,C10,66:66)+100</f>
        <v>100</v>
      </c>
      <c r="K10" s="768"/>
      <c r="L10" s="2294"/>
      <c r="M10" s="2295"/>
      <c r="N10" s="2295"/>
      <c r="O10" s="2295"/>
      <c r="P10" s="3657"/>
      <c r="Q10" s="7" t="str">
        <f t="shared" si="6"/>
        <v>土地使用年限（年）</v>
      </c>
      <c r="R10" s="1341" t="s">
        <v>65</v>
      </c>
      <c r="S10" s="1342">
        <f t="shared" si="0"/>
        <v>100</v>
      </c>
      <c r="T10" s="1341" t="s">
        <v>65</v>
      </c>
      <c r="U10" s="1342">
        <f t="shared" si="1"/>
        <v>100</v>
      </c>
      <c r="V10" s="1341" t="s">
        <v>65</v>
      </c>
      <c r="W10" s="1342">
        <f t="shared" si="2"/>
        <v>100</v>
      </c>
      <c r="X10" s="287"/>
      <c r="Y10" s="3503"/>
      <c r="Z10" s="288" t="str">
        <f t="shared" si="7"/>
        <v>土地使用年限（年）</v>
      </c>
      <c r="AA10" s="1343">
        <f t="shared" si="3"/>
        <v>1</v>
      </c>
      <c r="AB10" s="1343">
        <f t="shared" si="4"/>
        <v>1</v>
      </c>
      <c r="AC10" s="1343">
        <f t="shared" si="5"/>
        <v>1</v>
      </c>
    </row>
    <row r="11" spans="1:29" ht="15.75" thickBot="1">
      <c r="A11" s="151"/>
      <c r="B11" s="12" t="s">
        <v>93</v>
      </c>
      <c r="C11" s="771">
        <v>1.63</v>
      </c>
      <c r="D11" s="426">
        <v>100</v>
      </c>
      <c r="E11" s="772">
        <v>1.63</v>
      </c>
      <c r="F11" s="767">
        <f>LOOKUP(E11,68:68,69:69)-LOOKUP(C11,68:68,69:69)+100</f>
        <v>100</v>
      </c>
      <c r="G11" s="771">
        <v>1.63</v>
      </c>
      <c r="H11" s="426">
        <f>LOOKUP(G11,68:68,69:69)-LOOKUP(C11,68:68,69:69)+100</f>
        <v>100</v>
      </c>
      <c r="I11" s="771">
        <v>1.63</v>
      </c>
      <c r="J11" s="426">
        <f>LOOKUP(I11,68:68,69:69)-LOOKUP(C11,68:68,69:69)+100</f>
        <v>100</v>
      </c>
      <c r="K11" s="768"/>
      <c r="L11" s="2296"/>
      <c r="M11" s="2292"/>
      <c r="N11" s="2292"/>
      <c r="O11" s="2292"/>
      <c r="P11" s="3657"/>
      <c r="Q11" s="7" t="str">
        <f t="shared" si="6"/>
        <v>容积率</v>
      </c>
      <c r="R11" s="1341" t="s">
        <v>104</v>
      </c>
      <c r="S11" s="1342">
        <f t="shared" si="0"/>
        <v>100</v>
      </c>
      <c r="T11" s="1341" t="s">
        <v>104</v>
      </c>
      <c r="U11" s="1342">
        <f t="shared" si="1"/>
        <v>100</v>
      </c>
      <c r="V11" s="1341" t="s">
        <v>104</v>
      </c>
      <c r="W11" s="1342">
        <f t="shared" si="2"/>
        <v>100</v>
      </c>
      <c r="X11" s="287"/>
      <c r="Y11" s="3503"/>
      <c r="Z11" s="288" t="str">
        <f t="shared" si="7"/>
        <v>容积率</v>
      </c>
      <c r="AA11" s="1343">
        <f t="shared" si="3"/>
        <v>1</v>
      </c>
      <c r="AB11" s="1343">
        <f t="shared" si="4"/>
        <v>1</v>
      </c>
      <c r="AC11" s="1343">
        <f t="shared" si="5"/>
        <v>1</v>
      </c>
    </row>
    <row r="12" spans="1:29" s="40" customFormat="1" ht="14.25" hidden="1">
      <c r="A12" s="1029"/>
      <c r="B12" s="1030">
        <v>111</v>
      </c>
      <c r="C12" s="1023"/>
      <c r="D12" s="775">
        <v>100</v>
      </c>
      <c r="E12" s="1023"/>
      <c r="F12" s="767">
        <f>SUMIF(70:70,E12,71:71)-SUMIF(70:70,C12,71:71)+100</f>
        <v>100</v>
      </c>
      <c r="G12" s="1023"/>
      <c r="H12" s="426">
        <f>SUMIF(70:70,G12,71:71)-SUMIF(70:70,C12,71:71)+100</f>
        <v>100</v>
      </c>
      <c r="I12" s="1023"/>
      <c r="J12" s="426">
        <f>SUMIF(70:70,I12,71:71)-SUMIF(70:70,C12,71:71)+100</f>
        <v>100</v>
      </c>
      <c r="K12" s="153"/>
      <c r="L12" s="2293"/>
      <c r="M12" s="2255"/>
      <c r="N12" s="2255"/>
      <c r="O12" s="2255"/>
      <c r="P12" s="3657"/>
      <c r="Q12" s="7">
        <f t="shared" si="6"/>
        <v>111</v>
      </c>
      <c r="R12" s="1341" t="s">
        <v>104</v>
      </c>
      <c r="S12" s="1342">
        <f t="shared" si="0"/>
        <v>100</v>
      </c>
      <c r="T12" s="1341" t="s">
        <v>104</v>
      </c>
      <c r="U12" s="1342">
        <f t="shared" si="1"/>
        <v>100</v>
      </c>
      <c r="V12" s="1341" t="s">
        <v>104</v>
      </c>
      <c r="W12" s="1342">
        <f t="shared" si="2"/>
        <v>100</v>
      </c>
      <c r="X12" s="287"/>
      <c r="Y12" s="3503"/>
      <c r="Z12" s="288">
        <f t="shared" si="7"/>
        <v>111</v>
      </c>
      <c r="AA12" s="1343">
        <f>D12/F12</f>
        <v>1</v>
      </c>
      <c r="AB12" s="1343">
        <f>D12/H12</f>
        <v>1</v>
      </c>
      <c r="AC12" s="1343">
        <f>D12/J12</f>
        <v>1</v>
      </c>
    </row>
    <row r="13" spans="1:29" ht="14.25" hidden="1">
      <c r="A13" s="151"/>
      <c r="B13" s="1030">
        <v>111</v>
      </c>
      <c r="C13" s="93"/>
      <c r="D13" s="777">
        <v>100</v>
      </c>
      <c r="E13" s="93"/>
      <c r="F13" s="767">
        <f>SUMIF(72:72,E13,73:73)-SUMIF(72:72,C13,73:73)+100</f>
        <v>100</v>
      </c>
      <c r="G13" s="93"/>
      <c r="H13" s="777">
        <f>SUMIF(72:72,G13,73:73)-SUMIF(72:72,C13,73:73)+100</f>
        <v>100</v>
      </c>
      <c r="I13" s="93"/>
      <c r="J13" s="777">
        <f>SUMIF(72:72,I13,73:73)-SUMIF(72:72,C13,73:73)+100</f>
        <v>100</v>
      </c>
      <c r="K13" s="153"/>
      <c r="L13" s="2297"/>
      <c r="M13" s="2292"/>
      <c r="N13" s="2292"/>
      <c r="O13" s="2292"/>
      <c r="P13" s="3657"/>
      <c r="Q13" s="7">
        <f t="shared" si="6"/>
        <v>111</v>
      </c>
      <c r="R13" s="1341" t="s">
        <v>104</v>
      </c>
      <c r="S13" s="1342">
        <f t="shared" si="0"/>
        <v>100</v>
      </c>
      <c r="T13" s="1341" t="s">
        <v>104</v>
      </c>
      <c r="U13" s="1342">
        <f t="shared" si="1"/>
        <v>100</v>
      </c>
      <c r="V13" s="1341" t="s">
        <v>104</v>
      </c>
      <c r="W13" s="1342">
        <f t="shared" si="2"/>
        <v>100</v>
      </c>
      <c r="X13" s="287"/>
      <c r="Y13" s="3503"/>
      <c r="Z13" s="288">
        <f t="shared" si="7"/>
        <v>111</v>
      </c>
      <c r="AA13" s="1343">
        <f t="shared" si="3"/>
        <v>1</v>
      </c>
      <c r="AB13" s="1343">
        <f t="shared" si="4"/>
        <v>1</v>
      </c>
      <c r="AC13" s="1343">
        <f t="shared" si="5"/>
        <v>1</v>
      </c>
    </row>
    <row r="14" spans="1:29" ht="15" hidden="1" thickBot="1">
      <c r="A14" s="154"/>
      <c r="B14" s="1031">
        <v>111</v>
      </c>
      <c r="C14" s="94"/>
      <c r="D14" s="780">
        <v>100</v>
      </c>
      <c r="E14" s="94"/>
      <c r="F14" s="781">
        <f>SUMIF(74:74,E14,75:75)-SUMIF(74:74,C14,75:75)+100</f>
        <v>100</v>
      </c>
      <c r="G14" s="94"/>
      <c r="H14" s="780">
        <f>SUMIF(74:74,G14,75:75)-SUMIF(74:74,C14,75:75)+100</f>
        <v>100</v>
      </c>
      <c r="I14" s="94"/>
      <c r="J14" s="780">
        <f>SUMIF(74:74,I14,75:75)-SUMIF(74:74,C14,75:75)+100</f>
        <v>100</v>
      </c>
      <c r="K14" s="153"/>
      <c r="L14" s="2297"/>
      <c r="M14" s="2292"/>
      <c r="N14" s="2292"/>
      <c r="O14" s="2292"/>
      <c r="P14" s="3657"/>
      <c r="Q14" s="7">
        <f t="shared" si="6"/>
        <v>111</v>
      </c>
      <c r="R14" s="1341" t="s">
        <v>104</v>
      </c>
      <c r="S14" s="1342">
        <f t="shared" si="0"/>
        <v>100</v>
      </c>
      <c r="T14" s="1341" t="s">
        <v>104</v>
      </c>
      <c r="U14" s="1342">
        <f t="shared" si="1"/>
        <v>100</v>
      </c>
      <c r="V14" s="1341" t="s">
        <v>104</v>
      </c>
      <c r="W14" s="1342">
        <f t="shared" si="2"/>
        <v>100</v>
      </c>
      <c r="X14" s="287"/>
      <c r="Y14" s="3503"/>
      <c r="Z14" s="288">
        <f t="shared" si="7"/>
        <v>111</v>
      </c>
      <c r="AA14" s="1343">
        <f t="shared" si="3"/>
        <v>1</v>
      </c>
      <c r="AB14" s="1343">
        <f t="shared" si="4"/>
        <v>1</v>
      </c>
      <c r="AC14" s="1343">
        <f t="shared" si="5"/>
        <v>1</v>
      </c>
    </row>
    <row r="15" spans="1:29" ht="94.5">
      <c r="A15" s="155" t="s">
        <v>69</v>
      </c>
      <c r="B15" s="58" t="s">
        <v>52</v>
      </c>
      <c r="C15" s="157" t="str">
        <f>估价对象房地状况!C3</f>
        <v>估价对象周边居住用地比例、居住小区规模和社区发展完善程度，综合评价居住社区成熟度一般</v>
      </c>
      <c r="D15" s="783">
        <v>100</v>
      </c>
      <c r="E15" s="96"/>
      <c r="F15" s="783">
        <f>SUMIF(76:76,E16,77:77)-SUMIF(76:76,C16,77:77)+100</f>
        <v>100</v>
      </c>
      <c r="G15" s="95"/>
      <c r="H15" s="783">
        <f>SUMIF(76:76,G16,77:77)-SUMIF(76:76,C16,77:77)+100</f>
        <v>100</v>
      </c>
      <c r="I15" s="95"/>
      <c r="J15" s="783">
        <f>SUMIF(76:76,I16,77:77)-SUMIF(76:76,C16,77:77)+100</f>
        <v>100</v>
      </c>
      <c r="K15" s="787"/>
      <c r="L15" s="2297"/>
      <c r="M15" s="2292"/>
      <c r="N15" s="2292"/>
      <c r="O15" s="2292"/>
      <c r="P15" s="3684" t="s">
        <v>69</v>
      </c>
      <c r="Q15" s="1350" t="str">
        <f t="shared" si="6"/>
        <v>居住社区成熟度</v>
      </c>
      <c r="R15" s="1351" t="s">
        <v>104</v>
      </c>
      <c r="S15" s="1352">
        <f t="shared" si="0"/>
        <v>100</v>
      </c>
      <c r="T15" s="1351" t="s">
        <v>104</v>
      </c>
      <c r="U15" s="1352">
        <f t="shared" si="1"/>
        <v>100</v>
      </c>
      <c r="V15" s="1351" t="s">
        <v>104</v>
      </c>
      <c r="W15" s="1352">
        <f t="shared" si="2"/>
        <v>100</v>
      </c>
      <c r="X15" s="1339"/>
      <c r="Y15" s="3677" t="s">
        <v>69</v>
      </c>
      <c r="Z15" s="1353" t="str">
        <f t="shared" si="7"/>
        <v>居住社区成熟度</v>
      </c>
      <c r="AA15" s="1354">
        <f t="shared" si="3"/>
        <v>1</v>
      </c>
      <c r="AB15" s="1354">
        <f t="shared" si="4"/>
        <v>1</v>
      </c>
      <c r="AC15" s="1354">
        <f t="shared" si="5"/>
        <v>1</v>
      </c>
    </row>
    <row r="16" spans="1:29" ht="14.25">
      <c r="A16" s="151"/>
      <c r="B16" s="156"/>
      <c r="C16" s="97"/>
      <c r="D16" s="790"/>
      <c r="E16" s="99"/>
      <c r="F16" s="790"/>
      <c r="G16" s="98"/>
      <c r="H16" s="792"/>
      <c r="I16" s="98"/>
      <c r="J16" s="790"/>
      <c r="K16" s="159"/>
      <c r="L16" s="2297"/>
      <c r="M16" s="2292"/>
      <c r="N16" s="2292"/>
      <c r="O16" s="2292"/>
      <c r="P16" s="3685"/>
      <c r="Q16" s="1350"/>
      <c r="R16" s="1351"/>
      <c r="S16" s="1352"/>
      <c r="T16" s="1351"/>
      <c r="U16" s="1352"/>
      <c r="V16" s="1351"/>
      <c r="W16" s="1352"/>
      <c r="X16" s="1339"/>
      <c r="Y16" s="3678"/>
      <c r="Z16" s="1353"/>
      <c r="AA16" s="1354">
        <v>1</v>
      </c>
      <c r="AB16" s="1354">
        <v>1</v>
      </c>
      <c r="AC16" s="1354">
        <v>1</v>
      </c>
    </row>
    <row r="17" spans="1:29" ht="81">
      <c r="A17" s="151"/>
      <c r="B17" s="1355" t="s">
        <v>72</v>
      </c>
      <c r="C17" s="158" t="str">
        <f>估价对象房地状况!C6</f>
        <v>估价对象周边道路状况、公共交通通达情况、停车便捷程度，综合评价交通便捷度较好</v>
      </c>
      <c r="D17" s="792">
        <v>100</v>
      </c>
      <c r="E17" s="101"/>
      <c r="F17" s="792">
        <f>SUMIF(78:78,E18,79:79)-SUMIF(78:78,C18,79:79)+100</f>
        <v>100</v>
      </c>
      <c r="G17" s="100"/>
      <c r="H17" s="797">
        <f>SUMIF(78:78,G18,79:79)-SUMIF(78:78,C18,79:79)+100</f>
        <v>100</v>
      </c>
      <c r="I17" s="100"/>
      <c r="J17" s="797">
        <f>SUMIF(78:78,I18,79:79)-SUMIF(78:78,C18,79:79)+100</f>
        <v>100</v>
      </c>
      <c r="K17" s="787"/>
      <c r="L17" s="2297"/>
      <c r="M17" s="2292"/>
      <c r="N17" s="2292"/>
      <c r="O17" s="2292"/>
      <c r="P17" s="3685"/>
      <c r="Q17" s="1350" t="str">
        <f>B17</f>
        <v>交通便捷度</v>
      </c>
      <c r="R17" s="1351" t="s">
        <v>104</v>
      </c>
      <c r="S17" s="1352">
        <f>F17</f>
        <v>100</v>
      </c>
      <c r="T17" s="1351" t="s">
        <v>104</v>
      </c>
      <c r="U17" s="1352">
        <f>H17</f>
        <v>100</v>
      </c>
      <c r="V17" s="1351" t="s">
        <v>104</v>
      </c>
      <c r="W17" s="1352">
        <f>J17</f>
        <v>100</v>
      </c>
      <c r="X17" s="1339"/>
      <c r="Y17" s="3678"/>
      <c r="Z17" s="1353" t="str">
        <f>Q17</f>
        <v>交通便捷度</v>
      </c>
      <c r="AA17" s="1354">
        <f t="shared" si="3"/>
        <v>1</v>
      </c>
      <c r="AB17" s="1354">
        <f t="shared" si="4"/>
        <v>1</v>
      </c>
      <c r="AC17" s="1354">
        <f t="shared" si="5"/>
        <v>1</v>
      </c>
    </row>
    <row r="18" spans="1:29" ht="14.25">
      <c r="A18" s="151"/>
      <c r="B18" s="1039"/>
      <c r="C18" s="102"/>
      <c r="D18" s="792"/>
      <c r="E18" s="104"/>
      <c r="F18" s="792"/>
      <c r="G18" s="103"/>
      <c r="H18" s="790"/>
      <c r="I18" s="103"/>
      <c r="J18" s="790"/>
      <c r="K18" s="159"/>
      <c r="L18" s="2297"/>
      <c r="M18" s="2292"/>
      <c r="N18" s="2292"/>
      <c r="O18" s="2292"/>
      <c r="P18" s="3685"/>
      <c r="Q18" s="1350"/>
      <c r="R18" s="1351"/>
      <c r="S18" s="1352"/>
      <c r="T18" s="1351"/>
      <c r="U18" s="1352"/>
      <c r="V18" s="1351"/>
      <c r="W18" s="1352"/>
      <c r="X18" s="1339"/>
      <c r="Y18" s="3678"/>
      <c r="Z18" s="1353"/>
      <c r="AA18" s="1354">
        <v>1</v>
      </c>
      <c r="AB18" s="1354">
        <v>1</v>
      </c>
      <c r="AC18" s="1354">
        <v>1</v>
      </c>
    </row>
    <row r="19" spans="1:29" ht="40.5">
      <c r="A19" s="151"/>
      <c r="B19" s="1355" t="s">
        <v>2637</v>
      </c>
      <c r="C19" s="158" t="str">
        <f>估价对象房地状况!C7</f>
        <v>估价对象所在区域公共配套设施齐备情况</v>
      </c>
      <c r="D19" s="797">
        <v>100</v>
      </c>
      <c r="E19" s="106"/>
      <c r="F19" s="797">
        <f>SUMIF(80:80,E20,81:81)-SUMIF(80:80,C20,81:81)+100</f>
        <v>100</v>
      </c>
      <c r="G19" s="105"/>
      <c r="H19" s="792">
        <f>SUMIF(80:80,G20,81:81)-SUMIF(80:80,C20,81:81)+100</f>
        <v>100</v>
      </c>
      <c r="I19" s="105"/>
      <c r="J19" s="792">
        <f>SUMIF(80:80,I20,81:81)-SUMIF(80:80,C20,81:81)+100</f>
        <v>100</v>
      </c>
      <c r="K19" s="787"/>
      <c r="L19" s="2297"/>
      <c r="M19" s="2292"/>
      <c r="N19" s="2292"/>
      <c r="O19" s="2292"/>
      <c r="P19" s="3685"/>
      <c r="Q19" s="1350" t="str">
        <f>B19</f>
        <v>公共配套设施</v>
      </c>
      <c r="R19" s="1351" t="s">
        <v>104</v>
      </c>
      <c r="S19" s="1352">
        <f>F19</f>
        <v>100</v>
      </c>
      <c r="T19" s="1351" t="s">
        <v>104</v>
      </c>
      <c r="U19" s="1352">
        <f>H19</f>
        <v>100</v>
      </c>
      <c r="V19" s="1351" t="s">
        <v>104</v>
      </c>
      <c r="W19" s="1352">
        <f>J19</f>
        <v>100</v>
      </c>
      <c r="X19" s="1339"/>
      <c r="Y19" s="3678"/>
      <c r="Z19" s="1353" t="str">
        <f>Q19</f>
        <v>公共配套设施</v>
      </c>
      <c r="AA19" s="1354">
        <f t="shared" si="3"/>
        <v>1</v>
      </c>
      <c r="AB19" s="1354">
        <f t="shared" si="4"/>
        <v>1</v>
      </c>
      <c r="AC19" s="1354">
        <f t="shared" si="5"/>
        <v>1</v>
      </c>
    </row>
    <row r="20" spans="1:29" ht="14.25">
      <c r="A20" s="151"/>
      <c r="B20" s="1039"/>
      <c r="C20" s="97"/>
      <c r="D20" s="790"/>
      <c r="E20" s="99"/>
      <c r="F20" s="790"/>
      <c r="G20" s="98"/>
      <c r="H20" s="790"/>
      <c r="I20" s="98"/>
      <c r="J20" s="790"/>
      <c r="K20" s="159"/>
      <c r="L20" s="2297"/>
      <c r="M20" s="2292"/>
      <c r="N20" s="2292"/>
      <c r="O20" s="2292"/>
      <c r="P20" s="3685"/>
      <c r="Q20" s="1350"/>
      <c r="R20" s="1351"/>
      <c r="S20" s="1352"/>
      <c r="T20" s="1351"/>
      <c r="U20" s="1352"/>
      <c r="V20" s="1351"/>
      <c r="W20" s="1352"/>
      <c r="X20" s="1339"/>
      <c r="Y20" s="3678"/>
      <c r="Z20" s="1353"/>
      <c r="AA20" s="1354">
        <v>1</v>
      </c>
      <c r="AB20" s="1354">
        <v>1</v>
      </c>
      <c r="AC20" s="1354">
        <v>1</v>
      </c>
    </row>
    <row r="21" spans="1:29" ht="27">
      <c r="A21" s="151"/>
      <c r="B21" s="1411" t="s">
        <v>2648</v>
      </c>
      <c r="C21" s="158" t="str">
        <f>估价对象房地状况!C8</f>
        <v>估价对象所在区域基础设施水平</v>
      </c>
      <c r="D21" s="792">
        <v>100</v>
      </c>
      <c r="E21" s="106"/>
      <c r="F21" s="797">
        <f>SUMIF(82:82,E22,83:83)-SUMIF(82:82,C22,83:83)+100</f>
        <v>100</v>
      </c>
      <c r="G21" s="105"/>
      <c r="H21" s="792">
        <f>SUMIF(82:82,G22,83:83)-SUMIF(82:82,C22,83:83)+100</f>
        <v>100</v>
      </c>
      <c r="I21" s="105"/>
      <c r="J21" s="792">
        <f>SUMIF(82:82,I22,83:83)-SUMIF(82:82,C22,83:83)+100</f>
        <v>100</v>
      </c>
      <c r="K21" s="787"/>
      <c r="L21" s="2297"/>
      <c r="M21" s="2292"/>
      <c r="N21" s="2292"/>
      <c r="O21" s="2292"/>
      <c r="P21" s="3685"/>
      <c r="Q21" s="2742" t="str">
        <f>B21</f>
        <v>基础设施水平</v>
      </c>
      <c r="R21" s="1351" t="s">
        <v>65</v>
      </c>
      <c r="S21" s="1352">
        <f>F21</f>
        <v>100</v>
      </c>
      <c r="T21" s="1351" t="s">
        <v>65</v>
      </c>
      <c r="U21" s="1352">
        <f>H21</f>
        <v>100</v>
      </c>
      <c r="V21" s="1351" t="s">
        <v>65</v>
      </c>
      <c r="W21" s="1352">
        <f>J21</f>
        <v>100</v>
      </c>
      <c r="X21" s="2744"/>
      <c r="Y21" s="3678"/>
      <c r="Z21" s="2743" t="str">
        <f>Q21</f>
        <v>基础设施水平</v>
      </c>
      <c r="AA21" s="1354">
        <f>D21/F21</f>
        <v>1</v>
      </c>
      <c r="AB21" s="1354">
        <f>D21/H21</f>
        <v>1</v>
      </c>
      <c r="AC21" s="1354">
        <f>D21/J21</f>
        <v>1</v>
      </c>
    </row>
    <row r="22" spans="1:29" ht="14.25">
      <c r="A22" s="151"/>
      <c r="B22" s="1411"/>
      <c r="C22" s="102"/>
      <c r="D22" s="790"/>
      <c r="E22" s="97"/>
      <c r="F22" s="790"/>
      <c r="G22" s="192"/>
      <c r="H22" s="790"/>
      <c r="I22" s="97"/>
      <c r="J22" s="790"/>
      <c r="K22" s="2759"/>
      <c r="L22" s="2297"/>
      <c r="M22" s="2292"/>
      <c r="N22" s="2292"/>
      <c r="O22" s="2292"/>
      <c r="P22" s="3685"/>
      <c r="Q22" s="2742"/>
      <c r="R22" s="1351"/>
      <c r="S22" s="1352"/>
      <c r="T22" s="1351"/>
      <c r="U22" s="1352"/>
      <c r="V22" s="1351"/>
      <c r="W22" s="1352"/>
      <c r="X22" s="2744"/>
      <c r="Y22" s="3678"/>
      <c r="Z22" s="2743"/>
      <c r="AA22" s="1354">
        <v>1</v>
      </c>
      <c r="AB22" s="1354">
        <v>1</v>
      </c>
      <c r="AC22" s="1354">
        <v>1</v>
      </c>
    </row>
    <row r="23" spans="1:29" ht="54">
      <c r="A23" s="151"/>
      <c r="B23" s="1355" t="s">
        <v>73</v>
      </c>
      <c r="C23" s="158" t="str">
        <f>估价对象房地状况!C9</f>
        <v>区域自然环境：；人文环境；综合评价环境状况一般</v>
      </c>
      <c r="D23" s="792">
        <v>100</v>
      </c>
      <c r="E23" s="101"/>
      <c r="F23" s="792">
        <f>SUMIF(84:84,E24,85:85)-SUMIF(84:84,C24,85:85)+100</f>
        <v>100</v>
      </c>
      <c r="G23" s="100"/>
      <c r="H23" s="792">
        <f>SUMIF(84:84,G24,85:85)-SUMIF(84:84,C24,85:85)+100</f>
        <v>100</v>
      </c>
      <c r="I23" s="100"/>
      <c r="J23" s="792">
        <f>SUMIF(84:84,I24,85:85)-SUMIF(84:84,C24,85:85)+100</f>
        <v>100</v>
      </c>
      <c r="K23" s="787"/>
      <c r="L23" s="2297"/>
      <c r="M23" s="2292"/>
      <c r="N23" s="2292"/>
      <c r="O23" s="2292"/>
      <c r="P23" s="3685"/>
      <c r="Q23" s="1350" t="str">
        <f>B23</f>
        <v>自然及人文环境</v>
      </c>
      <c r="R23" s="1351" t="s">
        <v>104</v>
      </c>
      <c r="S23" s="1352">
        <f>F23</f>
        <v>100</v>
      </c>
      <c r="T23" s="1351" t="s">
        <v>104</v>
      </c>
      <c r="U23" s="1352">
        <f>H23</f>
        <v>100</v>
      </c>
      <c r="V23" s="1351" t="s">
        <v>104</v>
      </c>
      <c r="W23" s="1352">
        <f>J23</f>
        <v>100</v>
      </c>
      <c r="X23" s="1339"/>
      <c r="Y23" s="3678"/>
      <c r="Z23" s="1353" t="str">
        <f>Q23</f>
        <v>自然及人文环境</v>
      </c>
      <c r="AA23" s="1354">
        <f>D23/F23</f>
        <v>1</v>
      </c>
      <c r="AB23" s="1354">
        <f>D23/H23</f>
        <v>1</v>
      </c>
      <c r="AC23" s="1354">
        <f>D23/J23</f>
        <v>1</v>
      </c>
    </row>
    <row r="24" spans="1:29" ht="14.25">
      <c r="A24" s="151"/>
      <c r="B24" s="1039"/>
      <c r="C24" s="97"/>
      <c r="D24" s="790"/>
      <c r="E24" s="99"/>
      <c r="F24" s="790"/>
      <c r="G24" s="98"/>
      <c r="H24" s="790"/>
      <c r="I24" s="98"/>
      <c r="J24" s="790"/>
      <c r="K24" s="159"/>
      <c r="L24" s="2297"/>
      <c r="M24" s="2292"/>
      <c r="N24" s="2292"/>
      <c r="O24" s="2292"/>
      <c r="P24" s="3685"/>
      <c r="Q24" s="1350"/>
      <c r="R24" s="1351"/>
      <c r="S24" s="1352"/>
      <c r="T24" s="1351"/>
      <c r="U24" s="1352"/>
      <c r="V24" s="1351"/>
      <c r="W24" s="1352"/>
      <c r="X24" s="1339"/>
      <c r="Y24" s="3678"/>
      <c r="Z24" s="1353"/>
      <c r="AA24" s="1354">
        <v>1</v>
      </c>
      <c r="AB24" s="1354">
        <v>1</v>
      </c>
      <c r="AC24" s="1354">
        <v>1</v>
      </c>
    </row>
    <row r="25" spans="1:29" ht="15">
      <c r="A25" s="151"/>
      <c r="B25" s="12" t="s">
        <v>2299</v>
      </c>
      <c r="C25" s="107"/>
      <c r="D25" s="777">
        <v>100</v>
      </c>
      <c r="E25" s="109"/>
      <c r="F25" s="777">
        <f>SUMIF(86:86,E25,87:87)-SUMIF(86:86,C25,87:87)+100</f>
        <v>100</v>
      </c>
      <c r="G25" s="108"/>
      <c r="H25" s="777">
        <f>SUMIF(86:86,G25,87:87)-SUMIF(86:86,C25,87:87)+100</f>
        <v>100</v>
      </c>
      <c r="I25" s="108"/>
      <c r="J25" s="777">
        <f>SUMIF(86:86,I25,87:87)-SUMIF(86:86,C25,87:87)+100</f>
        <v>100</v>
      </c>
      <c r="K25" s="768"/>
      <c r="L25" s="2297"/>
      <c r="M25" s="2292"/>
      <c r="N25" s="2292"/>
      <c r="O25" s="2292"/>
      <c r="P25" s="3685"/>
      <c r="Q25" s="1350" t="str">
        <f t="shared" ref="Q25:Q46" si="8">B25</f>
        <v>楼层-1</v>
      </c>
      <c r="R25" s="1351" t="s">
        <v>104</v>
      </c>
      <c r="S25" s="1352">
        <f t="shared" ref="S25:S46" si="9">F25</f>
        <v>100</v>
      </c>
      <c r="T25" s="1351" t="s">
        <v>104</v>
      </c>
      <c r="U25" s="1352">
        <f t="shared" ref="U25:U46" si="10">H25</f>
        <v>100</v>
      </c>
      <c r="V25" s="1351" t="s">
        <v>104</v>
      </c>
      <c r="W25" s="1352">
        <f t="shared" ref="W25:W46" si="11">J25</f>
        <v>100</v>
      </c>
      <c r="X25" s="1339"/>
      <c r="Y25" s="3678"/>
      <c r="Z25" s="1353" t="str">
        <f>Q25</f>
        <v>楼层-1</v>
      </c>
      <c r="AA25" s="1354">
        <f t="shared" ref="AA25:AA46" si="12">D25/F25</f>
        <v>1</v>
      </c>
      <c r="AB25" s="1354">
        <f t="shared" ref="AB25:AB46" si="13">D25/H25</f>
        <v>1</v>
      </c>
      <c r="AC25" s="1354">
        <f t="shared" ref="AC25:AC46" si="14">D25/J25</f>
        <v>1</v>
      </c>
    </row>
    <row r="26" spans="1:29" ht="15">
      <c r="A26" s="151"/>
      <c r="B26" s="12" t="s">
        <v>74</v>
      </c>
      <c r="C26" s="107"/>
      <c r="D26" s="777">
        <v>100</v>
      </c>
      <c r="E26" s="109"/>
      <c r="F26" s="777">
        <f>SUMIF(88:88,E26,89:89)-SUMIF(88:88,C26,89:89)+100</f>
        <v>100</v>
      </c>
      <c r="G26" s="108"/>
      <c r="H26" s="777">
        <f>SUMIF(88:88,G26,89:89)-SUMIF(88:88,C26,89:89)+100</f>
        <v>100</v>
      </c>
      <c r="I26" s="108"/>
      <c r="J26" s="777">
        <f>SUMIF(88:88,I26,89:89)-SUMIF(88:88,C26,89:89)+100</f>
        <v>100</v>
      </c>
      <c r="K26" s="768"/>
      <c r="L26" s="2297"/>
      <c r="M26" s="2292"/>
      <c r="N26" s="2292"/>
      <c r="O26" s="2292"/>
      <c r="P26" s="3685"/>
      <c r="Q26" s="1350" t="str">
        <f t="shared" si="8"/>
        <v>朝向</v>
      </c>
      <c r="R26" s="1351" t="s">
        <v>104</v>
      </c>
      <c r="S26" s="1352">
        <f t="shared" si="9"/>
        <v>100</v>
      </c>
      <c r="T26" s="1351" t="s">
        <v>104</v>
      </c>
      <c r="U26" s="1352">
        <f t="shared" si="10"/>
        <v>100</v>
      </c>
      <c r="V26" s="1351" t="s">
        <v>104</v>
      </c>
      <c r="W26" s="1352">
        <f t="shared" si="11"/>
        <v>100</v>
      </c>
      <c r="X26" s="1339"/>
      <c r="Y26" s="3678"/>
      <c r="Z26" s="1353" t="str">
        <f>Q26</f>
        <v>朝向</v>
      </c>
      <c r="AA26" s="1354">
        <f t="shared" si="12"/>
        <v>1</v>
      </c>
      <c r="AB26" s="1354">
        <f t="shared" si="13"/>
        <v>1</v>
      </c>
      <c r="AC26" s="1354">
        <f t="shared" si="14"/>
        <v>1</v>
      </c>
    </row>
    <row r="27" spans="1:29" s="40" customFormat="1" ht="14.25">
      <c r="A27" s="1029"/>
      <c r="B27" s="1356">
        <v>111</v>
      </c>
      <c r="C27" s="1023"/>
      <c r="D27" s="804">
        <v>100</v>
      </c>
      <c r="E27" s="1025"/>
      <c r="F27" s="804">
        <f>SUMIF(90:90,E27,91:91)-SUMIF(90:90,C27,91:91)+100</f>
        <v>100</v>
      </c>
      <c r="G27" s="1026"/>
      <c r="H27" s="804">
        <f>SUMIF(90:90,G27,91:91)-SUMIF(90:90,C27,91:91)+100</f>
        <v>100</v>
      </c>
      <c r="I27" s="1026"/>
      <c r="J27" s="804">
        <f>SUMIF(90:90,I27,91:91)-SUMIF(90:90,C27,91:91)+100</f>
        <v>100</v>
      </c>
      <c r="K27" s="153"/>
      <c r="L27" s="2293"/>
      <c r="M27" s="2255"/>
      <c r="N27" s="2255"/>
      <c r="O27" s="2255"/>
      <c r="P27" s="3685"/>
      <c r="Q27" s="7">
        <f t="shared" si="8"/>
        <v>111</v>
      </c>
      <c r="R27" s="1341" t="s">
        <v>104</v>
      </c>
      <c r="S27" s="1342">
        <f t="shared" si="9"/>
        <v>100</v>
      </c>
      <c r="T27" s="1341" t="s">
        <v>104</v>
      </c>
      <c r="U27" s="1342">
        <f t="shared" si="10"/>
        <v>100</v>
      </c>
      <c r="V27" s="1341" t="s">
        <v>104</v>
      </c>
      <c r="W27" s="1342">
        <f t="shared" si="11"/>
        <v>100</v>
      </c>
      <c r="X27" s="287"/>
      <c r="Y27" s="3678"/>
      <c r="Z27" s="288">
        <f>Q27</f>
        <v>111</v>
      </c>
      <c r="AA27" s="1354">
        <f t="shared" si="12"/>
        <v>1</v>
      </c>
      <c r="AB27" s="1354">
        <f t="shared" si="13"/>
        <v>1</v>
      </c>
      <c r="AC27" s="1354">
        <f t="shared" si="14"/>
        <v>1</v>
      </c>
    </row>
    <row r="28" spans="1:29" ht="14.25">
      <c r="A28" s="151"/>
      <c r="B28" s="1356">
        <v>111</v>
      </c>
      <c r="C28" s="93"/>
      <c r="D28" s="777">
        <v>100</v>
      </c>
      <c r="E28" s="93"/>
      <c r="F28" s="777">
        <f>SUMIF(92:92,E28,93:93)-SUMIF(92:92,C28,93:93)+100</f>
        <v>100</v>
      </c>
      <c r="G28" s="194"/>
      <c r="H28" s="777">
        <f>SUMIF(92:92,G28,93:93)-SUMIF(92:92,C28,93:93)+100</f>
        <v>100</v>
      </c>
      <c r="I28" s="93"/>
      <c r="J28" s="777">
        <f>SUMIF(92:92,I28,93:93)-SUMIF(92:92,C28,93:93)+100</f>
        <v>100</v>
      </c>
      <c r="K28" s="153"/>
      <c r="L28" s="2297"/>
      <c r="M28" s="2292"/>
      <c r="N28" s="2292"/>
      <c r="O28" s="2292"/>
      <c r="P28" s="3685"/>
      <c r="Q28" s="1350">
        <f t="shared" si="8"/>
        <v>111</v>
      </c>
      <c r="R28" s="1351" t="s">
        <v>104</v>
      </c>
      <c r="S28" s="1352">
        <f t="shared" si="9"/>
        <v>100</v>
      </c>
      <c r="T28" s="1351" t="s">
        <v>104</v>
      </c>
      <c r="U28" s="1352">
        <f t="shared" si="10"/>
        <v>100</v>
      </c>
      <c r="V28" s="1351" t="s">
        <v>104</v>
      </c>
      <c r="W28" s="1352">
        <f t="shared" si="11"/>
        <v>100</v>
      </c>
      <c r="X28" s="1339"/>
      <c r="Y28" s="3678"/>
      <c r="Z28" s="1353">
        <f t="shared" ref="Z28:Z46" si="15">Q28</f>
        <v>111</v>
      </c>
      <c r="AA28" s="1354">
        <f t="shared" si="12"/>
        <v>1</v>
      </c>
      <c r="AB28" s="1354">
        <f t="shared" si="13"/>
        <v>1</v>
      </c>
      <c r="AC28" s="1354">
        <f t="shared" si="14"/>
        <v>1</v>
      </c>
    </row>
    <row r="29" spans="1:29" ht="14.25">
      <c r="A29" s="151"/>
      <c r="B29" s="1356">
        <v>111</v>
      </c>
      <c r="C29" s="93"/>
      <c r="D29" s="777">
        <v>100</v>
      </c>
      <c r="E29" s="93"/>
      <c r="F29" s="777">
        <f>SUMIF(94:94,E29,95:95)-SUMIF(94:94,C29,95:95)+100</f>
        <v>100</v>
      </c>
      <c r="G29" s="194"/>
      <c r="H29" s="777">
        <f>SUMIF(94:94,G29,95:95)-SUMIF(94:94,C29,95:95)+100</f>
        <v>100</v>
      </c>
      <c r="I29" s="93"/>
      <c r="J29" s="777">
        <f>SUMIF(94:94,I29,95:95)-SUMIF(94:94,C29,95:95)+100</f>
        <v>100</v>
      </c>
      <c r="K29" s="153"/>
      <c r="L29" s="2297"/>
      <c r="M29" s="2292"/>
      <c r="N29" s="2292"/>
      <c r="O29" s="2292"/>
      <c r="P29" s="3685"/>
      <c r="Q29" s="1350">
        <f t="shared" si="8"/>
        <v>111</v>
      </c>
      <c r="R29" s="1351" t="s">
        <v>104</v>
      </c>
      <c r="S29" s="1352">
        <f t="shared" si="9"/>
        <v>100</v>
      </c>
      <c r="T29" s="1351" t="s">
        <v>104</v>
      </c>
      <c r="U29" s="1352">
        <f t="shared" si="10"/>
        <v>100</v>
      </c>
      <c r="V29" s="1351" t="s">
        <v>104</v>
      </c>
      <c r="W29" s="1352">
        <f t="shared" si="11"/>
        <v>100</v>
      </c>
      <c r="X29" s="1339"/>
      <c r="Y29" s="3678"/>
      <c r="Z29" s="1353">
        <f t="shared" si="15"/>
        <v>111</v>
      </c>
      <c r="AA29" s="1354">
        <f t="shared" si="12"/>
        <v>1</v>
      </c>
      <c r="AB29" s="1354">
        <f t="shared" si="13"/>
        <v>1</v>
      </c>
      <c r="AC29" s="1354">
        <f t="shared" si="14"/>
        <v>1</v>
      </c>
    </row>
    <row r="30" spans="1:29" ht="14.25">
      <c r="A30" s="151"/>
      <c r="B30" s="1356">
        <v>111</v>
      </c>
      <c r="C30" s="93"/>
      <c r="D30" s="777">
        <v>100</v>
      </c>
      <c r="E30" s="93"/>
      <c r="F30" s="777">
        <f>SUMIF(96:96,E30,97:97)-SUMIF(96:96,C30,97:97)+100</f>
        <v>100</v>
      </c>
      <c r="G30" s="194"/>
      <c r="H30" s="777">
        <f>SUMIF(96:96,G30,97:97)-SUMIF(96:96,C30,97:97)+100</f>
        <v>100</v>
      </c>
      <c r="I30" s="93"/>
      <c r="J30" s="777">
        <f>SUMIF(96:96,I30,97:97)-SUMIF(96:96,C30,97:97)+100</f>
        <v>100</v>
      </c>
      <c r="K30" s="153"/>
      <c r="L30" s="2297"/>
      <c r="M30" s="2292"/>
      <c r="N30" s="2292"/>
      <c r="O30" s="2292"/>
      <c r="P30" s="3685"/>
      <c r="Q30" s="1350">
        <f t="shared" si="8"/>
        <v>111</v>
      </c>
      <c r="R30" s="1351" t="s">
        <v>104</v>
      </c>
      <c r="S30" s="1352">
        <f t="shared" si="9"/>
        <v>100</v>
      </c>
      <c r="T30" s="1351" t="s">
        <v>104</v>
      </c>
      <c r="U30" s="1352">
        <f t="shared" si="10"/>
        <v>100</v>
      </c>
      <c r="V30" s="1351" t="s">
        <v>104</v>
      </c>
      <c r="W30" s="1352">
        <f t="shared" si="11"/>
        <v>100</v>
      </c>
      <c r="X30" s="1339"/>
      <c r="Y30" s="3678"/>
      <c r="Z30" s="1353">
        <f t="shared" si="15"/>
        <v>111</v>
      </c>
      <c r="AA30" s="1354">
        <f t="shared" si="12"/>
        <v>1</v>
      </c>
      <c r="AB30" s="1354">
        <f t="shared" si="13"/>
        <v>1</v>
      </c>
      <c r="AC30" s="1354">
        <f t="shared" si="14"/>
        <v>1</v>
      </c>
    </row>
    <row r="31" spans="1:29" ht="15" thickBot="1">
      <c r="A31" s="154"/>
      <c r="B31" s="1356">
        <v>111</v>
      </c>
      <c r="C31" s="94"/>
      <c r="D31" s="780">
        <v>100</v>
      </c>
      <c r="E31" s="94"/>
      <c r="F31" s="780">
        <f>SUMIF(98:98,E31,99:99)-SUMIF(98:98,C31,99:99)+100</f>
        <v>100</v>
      </c>
      <c r="G31" s="196"/>
      <c r="H31" s="780">
        <f>SUMIF(98:98,G31,99:99)-SUMIF(98:98,C31,99:99)+100</f>
        <v>100</v>
      </c>
      <c r="I31" s="94"/>
      <c r="J31" s="780">
        <f>SUMIF(98:98,I31,99:99)-SUMIF(98:98,C31,99:99)+100</f>
        <v>100</v>
      </c>
      <c r="K31" s="153"/>
      <c r="L31" s="2297"/>
      <c r="M31" s="2292"/>
      <c r="N31" s="2292"/>
      <c r="O31" s="2292"/>
      <c r="P31" s="3685"/>
      <c r="Q31" s="1350">
        <f t="shared" si="8"/>
        <v>111</v>
      </c>
      <c r="R31" s="1351" t="s">
        <v>104</v>
      </c>
      <c r="S31" s="1352">
        <f t="shared" si="9"/>
        <v>100</v>
      </c>
      <c r="T31" s="1351" t="s">
        <v>104</v>
      </c>
      <c r="U31" s="1352">
        <f t="shared" si="10"/>
        <v>100</v>
      </c>
      <c r="V31" s="1351" t="s">
        <v>104</v>
      </c>
      <c r="W31" s="1352">
        <f t="shared" si="11"/>
        <v>100</v>
      </c>
      <c r="X31" s="1339"/>
      <c r="Y31" s="3678"/>
      <c r="Z31" s="1353">
        <f t="shared" si="15"/>
        <v>111</v>
      </c>
      <c r="AA31" s="1354">
        <f t="shared" si="12"/>
        <v>1</v>
      </c>
      <c r="AB31" s="1354">
        <f t="shared" si="13"/>
        <v>1</v>
      </c>
      <c r="AC31" s="1354">
        <f t="shared" si="14"/>
        <v>1</v>
      </c>
    </row>
    <row r="32" spans="1:29" ht="15">
      <c r="A32" s="155" t="s">
        <v>1004</v>
      </c>
      <c r="B32" s="62" t="s">
        <v>75</v>
      </c>
      <c r="C32" s="110"/>
      <c r="D32" s="809">
        <v>100</v>
      </c>
      <c r="E32" s="111"/>
      <c r="F32" s="803">
        <f>SUMIF(100:100,E32,101:101)-SUMIF(100:100,C32,101:101)+100</f>
        <v>100</v>
      </c>
      <c r="G32" s="110"/>
      <c r="H32" s="809">
        <f>SUMIF(100:100,G32,101:101)-SUMIF(100:100,C32,101:101)+100</f>
        <v>100</v>
      </c>
      <c r="I32" s="111"/>
      <c r="J32" s="777">
        <f>SUMIF(100:100,I32,101:101)-SUMIF(100:100,C32,101:101)+100</f>
        <v>100</v>
      </c>
      <c r="K32" s="768"/>
      <c r="L32" s="2297"/>
      <c r="M32" s="2292"/>
      <c r="N32" s="2292"/>
      <c r="O32" s="2292"/>
      <c r="P32" s="3679" t="s">
        <v>70</v>
      </c>
      <c r="Q32" s="1350" t="str">
        <f t="shared" si="8"/>
        <v>建筑类型</v>
      </c>
      <c r="R32" s="1351" t="s">
        <v>104</v>
      </c>
      <c r="S32" s="1352">
        <f t="shared" si="9"/>
        <v>100</v>
      </c>
      <c r="T32" s="1351" t="s">
        <v>104</v>
      </c>
      <c r="U32" s="1352">
        <f t="shared" si="10"/>
        <v>100</v>
      </c>
      <c r="V32" s="1351" t="s">
        <v>104</v>
      </c>
      <c r="W32" s="1352">
        <f t="shared" si="11"/>
        <v>100</v>
      </c>
      <c r="X32" s="1339"/>
      <c r="Y32" s="3682" t="s">
        <v>70</v>
      </c>
      <c r="Z32" s="1353" t="str">
        <f t="shared" si="15"/>
        <v>建筑类型</v>
      </c>
      <c r="AA32" s="1354">
        <f t="shared" si="12"/>
        <v>1</v>
      </c>
      <c r="AB32" s="1354">
        <f t="shared" si="13"/>
        <v>1</v>
      </c>
      <c r="AC32" s="1354">
        <f t="shared" si="14"/>
        <v>1</v>
      </c>
    </row>
    <row r="33" spans="1:29" s="1038" customFormat="1" ht="14.25">
      <c r="A33" s="1042"/>
      <c r="B33" s="12" t="s">
        <v>76</v>
      </c>
      <c r="C33" s="811">
        <v>100000</v>
      </c>
      <c r="D33" s="426">
        <v>100</v>
      </c>
      <c r="E33" s="772">
        <v>100000</v>
      </c>
      <c r="F33" s="767">
        <f>LOOKUP(E33,103:103,104:104)-LOOKUP(C33,103:103,104:104)+100</f>
        <v>100</v>
      </c>
      <c r="G33" s="771">
        <v>100000</v>
      </c>
      <c r="H33" s="426">
        <f>LOOKUP(G33,103:103,104:104)-LOOKUP(C33,103:103,104:104)+100</f>
        <v>100</v>
      </c>
      <c r="I33" s="772">
        <v>100000</v>
      </c>
      <c r="J33" s="426">
        <f>LOOKUP(I33,103:103,104:104)-LOOKUP(C33,103:103,104:104)+100</f>
        <v>100</v>
      </c>
      <c r="K33" s="153"/>
      <c r="L33" s="2296"/>
      <c r="M33" s="2298"/>
      <c r="N33" s="2298"/>
      <c r="O33" s="2298"/>
      <c r="P33" s="3680"/>
      <c r="Q33" s="1358" t="str">
        <f t="shared" si="8"/>
        <v>项目建筑规模</v>
      </c>
      <c r="R33" s="1359" t="s">
        <v>104</v>
      </c>
      <c r="S33" s="1360">
        <f t="shared" si="9"/>
        <v>100</v>
      </c>
      <c r="T33" s="1359" t="s">
        <v>104</v>
      </c>
      <c r="U33" s="1360">
        <f t="shared" si="10"/>
        <v>100</v>
      </c>
      <c r="V33" s="1359" t="s">
        <v>104</v>
      </c>
      <c r="W33" s="1360">
        <f t="shared" si="11"/>
        <v>100</v>
      </c>
      <c r="X33" s="1361"/>
      <c r="Y33" s="3682"/>
      <c r="Z33" s="1362" t="str">
        <f t="shared" si="15"/>
        <v>项目建筑规模</v>
      </c>
      <c r="AA33" s="1354">
        <f t="shared" si="12"/>
        <v>1</v>
      </c>
      <c r="AB33" s="1354">
        <f t="shared" si="13"/>
        <v>1</v>
      </c>
      <c r="AC33" s="1354">
        <f t="shared" si="14"/>
        <v>1</v>
      </c>
    </row>
    <row r="34" spans="1:29" ht="15">
      <c r="A34" s="161"/>
      <c r="B34" s="12" t="s">
        <v>77</v>
      </c>
      <c r="C34" s="112"/>
      <c r="D34" s="777">
        <v>100</v>
      </c>
      <c r="E34" s="113"/>
      <c r="F34" s="803">
        <f>SUMIF(105:105,E34,106:106)-SUMIF(105:105,C34,106:106)+100</f>
        <v>100</v>
      </c>
      <c r="G34" s="112"/>
      <c r="H34" s="777">
        <f>SUMIF(105:105,G34,106:106)-SUMIF(105:105,C34,106:106)+100</f>
        <v>100</v>
      </c>
      <c r="I34" s="113"/>
      <c r="J34" s="777">
        <f>SUMIF(105:105,I34,106:106)-SUMIF(105:105,C34,106:106)+100</f>
        <v>100</v>
      </c>
      <c r="K34" s="768"/>
      <c r="L34" s="2297"/>
      <c r="M34" s="2292"/>
      <c r="N34" s="2292"/>
      <c r="O34" s="2292"/>
      <c r="P34" s="3680"/>
      <c r="Q34" s="1350" t="str">
        <f t="shared" si="8"/>
        <v>建筑结构</v>
      </c>
      <c r="R34" s="1351" t="s">
        <v>104</v>
      </c>
      <c r="S34" s="1352">
        <f t="shared" si="9"/>
        <v>100</v>
      </c>
      <c r="T34" s="1351" t="s">
        <v>104</v>
      </c>
      <c r="U34" s="1352">
        <f t="shared" si="10"/>
        <v>100</v>
      </c>
      <c r="V34" s="1351" t="s">
        <v>104</v>
      </c>
      <c r="W34" s="1352">
        <f t="shared" si="11"/>
        <v>100</v>
      </c>
      <c r="X34" s="1339"/>
      <c r="Y34" s="3682"/>
      <c r="Z34" s="1353" t="str">
        <f t="shared" si="15"/>
        <v>建筑结构</v>
      </c>
      <c r="AA34" s="1354">
        <f t="shared" si="12"/>
        <v>1</v>
      </c>
      <c r="AB34" s="1354">
        <f t="shared" si="13"/>
        <v>1</v>
      </c>
      <c r="AC34" s="1354">
        <f t="shared" si="14"/>
        <v>1</v>
      </c>
    </row>
    <row r="35" spans="1:29" ht="15">
      <c r="A35" s="161"/>
      <c r="B35" s="12" t="s">
        <v>78</v>
      </c>
      <c r="C35" s="109"/>
      <c r="D35" s="777">
        <v>100</v>
      </c>
      <c r="E35" s="108"/>
      <c r="F35" s="803">
        <f>SUMIF(107:107,E35,108:108)-SUMIF(107:107,C35,108:108)+100</f>
        <v>100</v>
      </c>
      <c r="G35" s="109"/>
      <c r="H35" s="777">
        <f>SUMIF(107:107,G35,108:108)-SUMIF(107:107,C35,108:108)+100</f>
        <v>100</v>
      </c>
      <c r="I35" s="108"/>
      <c r="J35" s="777">
        <f>SUMIF(107:107,I35,108:108)-SUMIF(107:107,C35,108:108)+100</f>
        <v>100</v>
      </c>
      <c r="K35" s="768"/>
      <c r="L35" s="2297"/>
      <c r="M35" s="2292"/>
      <c r="N35" s="2292"/>
      <c r="O35" s="2292"/>
      <c r="P35" s="3680"/>
      <c r="Q35" s="1350" t="str">
        <f t="shared" si="8"/>
        <v>建筑品质</v>
      </c>
      <c r="R35" s="1351" t="s">
        <v>104</v>
      </c>
      <c r="S35" s="1352">
        <f t="shared" si="9"/>
        <v>100</v>
      </c>
      <c r="T35" s="1351" t="s">
        <v>104</v>
      </c>
      <c r="U35" s="1352">
        <f t="shared" si="10"/>
        <v>100</v>
      </c>
      <c r="V35" s="1351" t="s">
        <v>104</v>
      </c>
      <c r="W35" s="1352">
        <f t="shared" si="11"/>
        <v>100</v>
      </c>
      <c r="X35" s="1339"/>
      <c r="Y35" s="3682"/>
      <c r="Z35" s="1353" t="str">
        <f t="shared" si="15"/>
        <v>建筑品质</v>
      </c>
      <c r="AA35" s="1354">
        <f t="shared" si="12"/>
        <v>1</v>
      </c>
      <c r="AB35" s="1354">
        <f t="shared" si="13"/>
        <v>1</v>
      </c>
      <c r="AC35" s="1354">
        <f t="shared" si="14"/>
        <v>1</v>
      </c>
    </row>
    <row r="36" spans="1:29" ht="15">
      <c r="A36" s="161"/>
      <c r="B36" s="12" t="s">
        <v>79</v>
      </c>
      <c r="C36" s="109"/>
      <c r="D36" s="777">
        <v>100</v>
      </c>
      <c r="E36" s="108"/>
      <c r="F36" s="803">
        <f>SUMIF(109:109,E36,110:110)-SUMIF(109:109,C36,110:110)+100</f>
        <v>100</v>
      </c>
      <c r="G36" s="109"/>
      <c r="H36" s="777">
        <f>SUMIF(109:109,G36,110:110)-SUMIF(109:109,C36,110:110)+100</f>
        <v>100</v>
      </c>
      <c r="I36" s="108"/>
      <c r="J36" s="777">
        <f>SUMIF(109:109,I36,110:110)-SUMIF(109:109,C36,110:110)+100</f>
        <v>100</v>
      </c>
      <c r="K36" s="768"/>
      <c r="L36" s="2297"/>
      <c r="M36" s="2292"/>
      <c r="N36" s="2292"/>
      <c r="O36" s="2292"/>
      <c r="P36" s="3680"/>
      <c r="Q36" s="1350" t="str">
        <f t="shared" si="8"/>
        <v>公共部分装修</v>
      </c>
      <c r="R36" s="1351" t="s">
        <v>104</v>
      </c>
      <c r="S36" s="1352">
        <f t="shared" si="9"/>
        <v>100</v>
      </c>
      <c r="T36" s="1351" t="s">
        <v>104</v>
      </c>
      <c r="U36" s="1352">
        <f t="shared" si="10"/>
        <v>100</v>
      </c>
      <c r="V36" s="1351" t="s">
        <v>104</v>
      </c>
      <c r="W36" s="1352">
        <f t="shared" si="11"/>
        <v>100</v>
      </c>
      <c r="X36" s="1339"/>
      <c r="Y36" s="3682"/>
      <c r="Z36" s="1353" t="str">
        <f t="shared" si="15"/>
        <v>公共部分装修</v>
      </c>
      <c r="AA36" s="1354">
        <f t="shared" si="12"/>
        <v>1</v>
      </c>
      <c r="AB36" s="1354">
        <f t="shared" si="13"/>
        <v>1</v>
      </c>
      <c r="AC36" s="1354">
        <f t="shared" si="14"/>
        <v>1</v>
      </c>
    </row>
    <row r="37" spans="1:29" s="40" customFormat="1" ht="15">
      <c r="A37" s="1040"/>
      <c r="B37" s="12" t="s">
        <v>80</v>
      </c>
      <c r="C37" s="816">
        <v>0.95</v>
      </c>
      <c r="D37" s="426">
        <v>100</v>
      </c>
      <c r="E37" s="816">
        <v>0.95</v>
      </c>
      <c r="F37" s="767">
        <f>LOOKUP(E37,112:112,113:113)-LOOKUP(C37,112:112,113:113)+100</f>
        <v>100</v>
      </c>
      <c r="G37" s="818">
        <v>0.95</v>
      </c>
      <c r="H37" s="426">
        <f>LOOKUP(G37,112:112,113:113)-LOOKUP(C37,112:112,113:113)+100</f>
        <v>100</v>
      </c>
      <c r="I37" s="817">
        <v>0.95</v>
      </c>
      <c r="J37" s="426">
        <f>LOOKUP(I37,112:112,113:113)-LOOKUP(C37,112:112,113:113)+100</f>
        <v>100</v>
      </c>
      <c r="K37" s="768"/>
      <c r="L37" s="2293"/>
      <c r="M37" s="2255"/>
      <c r="N37" s="2255"/>
      <c r="O37" s="2255"/>
      <c r="P37" s="3680"/>
      <c r="Q37" s="7" t="str">
        <f t="shared" si="8"/>
        <v>成新度</v>
      </c>
      <c r="R37" s="1341" t="s">
        <v>104</v>
      </c>
      <c r="S37" s="1342">
        <f t="shared" si="9"/>
        <v>100</v>
      </c>
      <c r="T37" s="1341" t="s">
        <v>104</v>
      </c>
      <c r="U37" s="1342">
        <f t="shared" si="10"/>
        <v>100</v>
      </c>
      <c r="V37" s="1341" t="s">
        <v>104</v>
      </c>
      <c r="W37" s="1342">
        <f t="shared" si="11"/>
        <v>100</v>
      </c>
      <c r="X37" s="287"/>
      <c r="Y37" s="3682"/>
      <c r="Z37" s="288" t="str">
        <f t="shared" si="15"/>
        <v>成新度</v>
      </c>
      <c r="AA37" s="1343">
        <f t="shared" si="12"/>
        <v>1</v>
      </c>
      <c r="AB37" s="1343">
        <f t="shared" si="13"/>
        <v>1</v>
      </c>
      <c r="AC37" s="1343">
        <f t="shared" si="14"/>
        <v>1</v>
      </c>
    </row>
    <row r="38" spans="1:29" ht="15">
      <c r="A38" s="161"/>
      <c r="B38" s="12" t="s">
        <v>81</v>
      </c>
      <c r="C38" s="109"/>
      <c r="D38" s="777">
        <v>100</v>
      </c>
      <c r="E38" s="108"/>
      <c r="F38" s="803">
        <f>SUMIF(114:114,E38,115:115)-SUMIF(114:114,C38,115:115)+100</f>
        <v>100</v>
      </c>
      <c r="G38" s="109"/>
      <c r="H38" s="777">
        <f>SUMIF(114:114,G38,115:115)-SUMIF(114:114,C38,115:115)+100</f>
        <v>100</v>
      </c>
      <c r="I38" s="108"/>
      <c r="J38" s="777">
        <f>SUMIF(114:114,I38,115:115)-SUMIF(114:114,C38,115:115)+100</f>
        <v>100</v>
      </c>
      <c r="K38" s="768"/>
      <c r="L38" s="2297"/>
      <c r="M38" s="2292"/>
      <c r="N38" s="2292"/>
      <c r="O38" s="2292"/>
      <c r="P38" s="3680" t="s">
        <v>70</v>
      </c>
      <c r="Q38" s="1350" t="str">
        <f t="shared" si="8"/>
        <v>物业管理</v>
      </c>
      <c r="R38" s="1351" t="s">
        <v>104</v>
      </c>
      <c r="S38" s="1352">
        <f t="shared" si="9"/>
        <v>100</v>
      </c>
      <c r="T38" s="1351" t="s">
        <v>104</v>
      </c>
      <c r="U38" s="1352">
        <f t="shared" si="10"/>
        <v>100</v>
      </c>
      <c r="V38" s="1351" t="s">
        <v>104</v>
      </c>
      <c r="W38" s="1352">
        <f t="shared" si="11"/>
        <v>100</v>
      </c>
      <c r="X38" s="1339"/>
      <c r="Y38" s="3682" t="s">
        <v>70</v>
      </c>
      <c r="Z38" s="1353" t="str">
        <f t="shared" si="15"/>
        <v>物业管理</v>
      </c>
      <c r="AA38" s="1354">
        <f t="shared" si="12"/>
        <v>1</v>
      </c>
      <c r="AB38" s="1354">
        <f t="shared" si="13"/>
        <v>1</v>
      </c>
      <c r="AC38" s="1354">
        <f t="shared" si="14"/>
        <v>1</v>
      </c>
    </row>
    <row r="39" spans="1:29" ht="15">
      <c r="A39" s="161"/>
      <c r="B39" s="12" t="s">
        <v>2649</v>
      </c>
      <c r="C39" s="109"/>
      <c r="D39" s="777">
        <v>100</v>
      </c>
      <c r="E39" s="108"/>
      <c r="F39" s="803">
        <f>SUMIF(116:116,E39,117:117)-SUMIF(116:116,C39,117:117)+100</f>
        <v>100</v>
      </c>
      <c r="G39" s="109"/>
      <c r="H39" s="777">
        <f>SUMIF(116:116,G39,117:117)-SUMIF(116:116,C39,117:117)+100</f>
        <v>100</v>
      </c>
      <c r="I39" s="108"/>
      <c r="J39" s="777">
        <f>SUMIF(116:116,I39,117:117)-SUMIF(116:116,C39,117:117)+100</f>
        <v>100</v>
      </c>
      <c r="K39" s="768"/>
      <c r="L39" s="2297"/>
      <c r="M39" s="2292"/>
      <c r="N39" s="2292"/>
      <c r="O39" s="2292"/>
      <c r="P39" s="3680"/>
      <c r="Q39" s="1350" t="str">
        <f t="shared" si="8"/>
        <v>市政基础设施</v>
      </c>
      <c r="R39" s="1351" t="s">
        <v>104</v>
      </c>
      <c r="S39" s="1352">
        <f t="shared" si="9"/>
        <v>100</v>
      </c>
      <c r="T39" s="1351" t="s">
        <v>104</v>
      </c>
      <c r="U39" s="1352">
        <f t="shared" si="10"/>
        <v>100</v>
      </c>
      <c r="V39" s="1351" t="s">
        <v>104</v>
      </c>
      <c r="W39" s="1352">
        <f t="shared" si="11"/>
        <v>100</v>
      </c>
      <c r="X39" s="1339"/>
      <c r="Y39" s="3682"/>
      <c r="Z39" s="1353" t="str">
        <f t="shared" si="15"/>
        <v>市政基础设施</v>
      </c>
      <c r="AA39" s="1354">
        <f t="shared" si="12"/>
        <v>1</v>
      </c>
      <c r="AB39" s="1354">
        <f t="shared" si="13"/>
        <v>1</v>
      </c>
      <c r="AC39" s="1354">
        <f t="shared" si="14"/>
        <v>1</v>
      </c>
    </row>
    <row r="40" spans="1:29" ht="15">
      <c r="A40" s="161"/>
      <c r="B40" s="12" t="s">
        <v>82</v>
      </c>
      <c r="C40" s="109"/>
      <c r="D40" s="777">
        <v>100</v>
      </c>
      <c r="E40" s="108"/>
      <c r="F40" s="803">
        <f>SUMIF(118:118,E40,119:119)-SUMIF(118:118,C40,119:119)+100</f>
        <v>100</v>
      </c>
      <c r="G40" s="109"/>
      <c r="H40" s="777">
        <f>SUMIF(118:118,G40,119:119)-SUMIF(118:118,C40,119:119)+100</f>
        <v>100</v>
      </c>
      <c r="I40" s="108"/>
      <c r="J40" s="777">
        <f>SUMIF(118:118,I40,119:119)-SUMIF(118:118,C40,119:119)+100</f>
        <v>100</v>
      </c>
      <c r="K40" s="768"/>
      <c r="L40" s="2297"/>
      <c r="M40" s="2292"/>
      <c r="N40" s="2292"/>
      <c r="O40" s="2292"/>
      <c r="P40" s="3680"/>
      <c r="Q40" s="1350" t="str">
        <f t="shared" si="8"/>
        <v>房型</v>
      </c>
      <c r="R40" s="1351" t="s">
        <v>104</v>
      </c>
      <c r="S40" s="1352">
        <f t="shared" si="9"/>
        <v>100</v>
      </c>
      <c r="T40" s="1351" t="s">
        <v>104</v>
      </c>
      <c r="U40" s="1352">
        <f t="shared" si="10"/>
        <v>100</v>
      </c>
      <c r="V40" s="1351" t="s">
        <v>104</v>
      </c>
      <c r="W40" s="1352">
        <f t="shared" si="11"/>
        <v>100</v>
      </c>
      <c r="X40" s="1339"/>
      <c r="Y40" s="3682"/>
      <c r="Z40" s="1353" t="str">
        <f t="shared" si="15"/>
        <v>房型</v>
      </c>
      <c r="AA40" s="1354">
        <f t="shared" si="12"/>
        <v>1</v>
      </c>
      <c r="AB40" s="1354">
        <f t="shared" si="13"/>
        <v>1</v>
      </c>
      <c r="AC40" s="1354">
        <f t="shared" si="14"/>
        <v>1</v>
      </c>
    </row>
    <row r="41" spans="1:29" s="1038" customFormat="1" ht="27">
      <c r="A41" s="1042"/>
      <c r="B41" s="12" t="s">
        <v>105</v>
      </c>
      <c r="C41" s="1357"/>
      <c r="D41" s="426">
        <v>100</v>
      </c>
      <c r="E41" s="1028"/>
      <c r="F41" s="767">
        <f>SUMIF(120:120,E41,121:121)-SUMIF(120:120,C41,121:121)+100</f>
        <v>100</v>
      </c>
      <c r="G41" s="1027"/>
      <c r="H41" s="426">
        <f>SUMIF(120:120,G41,121:121)-SUMIF(120:120,C41,121:121)+100</f>
        <v>100</v>
      </c>
      <c r="I41" s="114"/>
      <c r="J41" s="777">
        <f>SUMIF(120:120,I41,121:121)-SUMIF(120:120,C41,121:121)+100</f>
        <v>100</v>
      </c>
      <c r="K41" s="153"/>
      <c r="L41" s="2296"/>
      <c r="M41" s="2298"/>
      <c r="N41" s="2298"/>
      <c r="O41" s="2298"/>
      <c r="P41" s="3680"/>
      <c r="Q41" s="1358" t="str">
        <f t="shared" si="8"/>
        <v>单套/主力户型建筑面积</v>
      </c>
      <c r="R41" s="1359" t="s">
        <v>104</v>
      </c>
      <c r="S41" s="1360">
        <f t="shared" si="9"/>
        <v>100</v>
      </c>
      <c r="T41" s="1359" t="s">
        <v>104</v>
      </c>
      <c r="U41" s="1360">
        <f t="shared" si="10"/>
        <v>100</v>
      </c>
      <c r="V41" s="1359" t="s">
        <v>104</v>
      </c>
      <c r="W41" s="1360">
        <f t="shared" si="11"/>
        <v>100</v>
      </c>
      <c r="X41" s="1361"/>
      <c r="Y41" s="3682"/>
      <c r="Z41" s="1362" t="str">
        <f t="shared" si="15"/>
        <v>单套/主力户型建筑面积</v>
      </c>
      <c r="AA41" s="1354">
        <f t="shared" si="12"/>
        <v>1</v>
      </c>
      <c r="AB41" s="1354">
        <f t="shared" si="13"/>
        <v>1</v>
      </c>
      <c r="AC41" s="1354">
        <f t="shared" si="14"/>
        <v>1</v>
      </c>
    </row>
    <row r="42" spans="1:29" ht="15">
      <c r="A42" s="161"/>
      <c r="B42" s="12" t="s">
        <v>83</v>
      </c>
      <c r="C42" s="109"/>
      <c r="D42" s="777">
        <v>100</v>
      </c>
      <c r="E42" s="108"/>
      <c r="F42" s="803">
        <f>SUMIF(122:122,E42,123:123)-SUMIF(122:122,C42,123:123)+100</f>
        <v>100</v>
      </c>
      <c r="G42" s="109"/>
      <c r="H42" s="777">
        <f>SUMIF(122:122,G42,123:123)-SUMIF(122:122,C42,123:123)+100</f>
        <v>100</v>
      </c>
      <c r="I42" s="108"/>
      <c r="J42" s="777">
        <f>SUMIF(122:122,I42,123:123)-SUMIF(122:122,C42,123:123)+100</f>
        <v>100</v>
      </c>
      <c r="K42" s="768"/>
      <c r="L42" s="2297"/>
      <c r="M42" s="2292"/>
      <c r="N42" s="2292"/>
      <c r="O42" s="2292"/>
      <c r="P42" s="3680"/>
      <c r="Q42" s="1350" t="str">
        <f t="shared" si="8"/>
        <v>内部装修</v>
      </c>
      <c r="R42" s="1351" t="s">
        <v>104</v>
      </c>
      <c r="S42" s="1352">
        <f t="shared" si="9"/>
        <v>100</v>
      </c>
      <c r="T42" s="1351" t="s">
        <v>104</v>
      </c>
      <c r="U42" s="1352">
        <f t="shared" si="10"/>
        <v>100</v>
      </c>
      <c r="V42" s="1351" t="s">
        <v>104</v>
      </c>
      <c r="W42" s="1352">
        <f t="shared" si="11"/>
        <v>100</v>
      </c>
      <c r="X42" s="1339"/>
      <c r="Y42" s="3682"/>
      <c r="Z42" s="1353" t="str">
        <f t="shared" si="15"/>
        <v>内部装修</v>
      </c>
      <c r="AA42" s="1354">
        <f t="shared" si="12"/>
        <v>1</v>
      </c>
      <c r="AB42" s="1354">
        <f t="shared" si="13"/>
        <v>1</v>
      </c>
      <c r="AC42" s="1354">
        <f t="shared" si="14"/>
        <v>1</v>
      </c>
    </row>
    <row r="43" spans="1:29" ht="27">
      <c r="A43" s="161"/>
      <c r="B43" s="12" t="s">
        <v>84</v>
      </c>
      <c r="C43" s="109"/>
      <c r="D43" s="777">
        <v>100</v>
      </c>
      <c r="E43" s="108"/>
      <c r="F43" s="803">
        <f>SUMIF(124:124,E43,125:125)-SUMIF(124:124,C43,125:125)+100</f>
        <v>100</v>
      </c>
      <c r="G43" s="109"/>
      <c r="H43" s="777">
        <f>SUMIF(124:124,G43,125:125)-SUMIF(124:124,C43,125:125)+100</f>
        <v>100</v>
      </c>
      <c r="I43" s="108"/>
      <c r="J43" s="777">
        <f>SUMIF(124:124,I43,125:125)-SUMIF(124:124,C43,125:125)+100</f>
        <v>100</v>
      </c>
      <c r="K43" s="768"/>
      <c r="L43" s="2297"/>
      <c r="M43" s="2292"/>
      <c r="N43" s="2292"/>
      <c r="O43" s="2292"/>
      <c r="P43" s="3680"/>
      <c r="Q43" s="1350" t="str">
        <f t="shared" si="8"/>
        <v>内部装修维护情况</v>
      </c>
      <c r="R43" s="1351" t="s">
        <v>104</v>
      </c>
      <c r="S43" s="1352">
        <f t="shared" si="9"/>
        <v>100</v>
      </c>
      <c r="T43" s="1351" t="s">
        <v>104</v>
      </c>
      <c r="U43" s="1352">
        <f t="shared" si="10"/>
        <v>100</v>
      </c>
      <c r="V43" s="1351" t="s">
        <v>104</v>
      </c>
      <c r="W43" s="1352">
        <f t="shared" si="11"/>
        <v>100</v>
      </c>
      <c r="X43" s="1339"/>
      <c r="Y43" s="3682"/>
      <c r="Z43" s="1353" t="str">
        <f t="shared" si="15"/>
        <v>内部装修维护情况</v>
      </c>
      <c r="AA43" s="1354">
        <f t="shared" si="12"/>
        <v>1</v>
      </c>
      <c r="AB43" s="1354">
        <f t="shared" si="13"/>
        <v>1</v>
      </c>
      <c r="AC43" s="1354">
        <f t="shared" si="14"/>
        <v>1</v>
      </c>
    </row>
    <row r="44" spans="1:29" s="40" customFormat="1" ht="14.25">
      <c r="A44" s="1040"/>
      <c r="B44" s="1356">
        <v>111</v>
      </c>
      <c r="C44" s="1357"/>
      <c r="D44" s="426">
        <v>100</v>
      </c>
      <c r="E44" s="1357"/>
      <c r="F44" s="767">
        <f>SUMIF(126:126,E44,127:127)-SUMIF(126:126,C44,127:127)+100</f>
        <v>100</v>
      </c>
      <c r="G44" s="1357"/>
      <c r="H44" s="426">
        <f>SUMIF(126:126,G44,127:127)-SUMIF(126:126,C44,127:127)+100</f>
        <v>100</v>
      </c>
      <c r="I44" s="1357"/>
      <c r="J44" s="426">
        <f>SUMIF(126:126,I44,127:127)-SUMIF(126:126,C44,127:127)+100</f>
        <v>100</v>
      </c>
      <c r="K44" s="153"/>
      <c r="L44" s="2293"/>
      <c r="M44" s="2255"/>
      <c r="N44" s="2255"/>
      <c r="O44" s="2255"/>
      <c r="P44" s="3680"/>
      <c r="Q44" s="7">
        <f t="shared" si="8"/>
        <v>111</v>
      </c>
      <c r="R44" s="1341" t="s">
        <v>104</v>
      </c>
      <c r="S44" s="1342">
        <f t="shared" si="9"/>
        <v>100</v>
      </c>
      <c r="T44" s="1341" t="s">
        <v>104</v>
      </c>
      <c r="U44" s="1342">
        <f t="shared" si="10"/>
        <v>100</v>
      </c>
      <c r="V44" s="1341" t="s">
        <v>104</v>
      </c>
      <c r="W44" s="1342">
        <f t="shared" si="11"/>
        <v>100</v>
      </c>
      <c r="X44" s="287"/>
      <c r="Y44" s="3682"/>
      <c r="Z44" s="288">
        <f t="shared" si="15"/>
        <v>111</v>
      </c>
      <c r="AA44" s="1343">
        <f t="shared" si="12"/>
        <v>1</v>
      </c>
      <c r="AB44" s="1343">
        <f t="shared" si="13"/>
        <v>1</v>
      </c>
      <c r="AC44" s="1343">
        <f t="shared" si="14"/>
        <v>1</v>
      </c>
    </row>
    <row r="45" spans="1:29" ht="14.25">
      <c r="A45" s="161"/>
      <c r="B45" s="1356">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53"/>
      <c r="L45" s="2297"/>
      <c r="M45" s="2292"/>
      <c r="N45" s="2292"/>
      <c r="O45" s="2292"/>
      <c r="P45" s="3680"/>
      <c r="Q45" s="1350">
        <f t="shared" si="8"/>
        <v>111</v>
      </c>
      <c r="R45" s="1351" t="s">
        <v>104</v>
      </c>
      <c r="S45" s="1352">
        <f t="shared" si="9"/>
        <v>100</v>
      </c>
      <c r="T45" s="1351" t="s">
        <v>104</v>
      </c>
      <c r="U45" s="1352">
        <f t="shared" si="10"/>
        <v>100</v>
      </c>
      <c r="V45" s="1351" t="s">
        <v>104</v>
      </c>
      <c r="W45" s="1352">
        <f t="shared" si="11"/>
        <v>100</v>
      </c>
      <c r="X45" s="1339"/>
      <c r="Y45" s="3682"/>
      <c r="Z45" s="1353">
        <f t="shared" si="15"/>
        <v>111</v>
      </c>
      <c r="AA45" s="1354">
        <f t="shared" si="12"/>
        <v>1</v>
      </c>
      <c r="AB45" s="1354">
        <f t="shared" si="13"/>
        <v>1</v>
      </c>
      <c r="AC45" s="1354">
        <f t="shared" si="14"/>
        <v>1</v>
      </c>
    </row>
    <row r="46" spans="1:29" ht="15" thickBot="1">
      <c r="A46" s="162"/>
      <c r="B46" s="1031">
        <v>111</v>
      </c>
      <c r="C46" s="94"/>
      <c r="D46" s="780">
        <v>100</v>
      </c>
      <c r="E46" s="94"/>
      <c r="F46" s="781">
        <f>SUMIF(130:130,E46,131:131)-SUMIF(130:130,C46,131:131)+100</f>
        <v>100</v>
      </c>
      <c r="G46" s="94"/>
      <c r="H46" s="780">
        <f>SUMIF(130:130,G46,131:131)-SUMIF(130:130,C46,131:131)+100</f>
        <v>100</v>
      </c>
      <c r="I46" s="94"/>
      <c r="J46" s="780">
        <f>SUMIF(130:130,I46,131:131)-SUMIF(130:130,C46,131:131)+100</f>
        <v>100</v>
      </c>
      <c r="K46" s="153"/>
      <c r="L46" s="2297"/>
      <c r="M46" s="2292"/>
      <c r="N46" s="2292"/>
      <c r="O46" s="2292"/>
      <c r="P46" s="3681"/>
      <c r="Q46" s="1350">
        <f t="shared" si="8"/>
        <v>111</v>
      </c>
      <c r="R46" s="1351" t="s">
        <v>103</v>
      </c>
      <c r="S46" s="1352">
        <f t="shared" si="9"/>
        <v>100</v>
      </c>
      <c r="T46" s="1351" t="s">
        <v>103</v>
      </c>
      <c r="U46" s="1352">
        <f t="shared" si="10"/>
        <v>100</v>
      </c>
      <c r="V46" s="1351" t="s">
        <v>103</v>
      </c>
      <c r="W46" s="1352">
        <f t="shared" si="11"/>
        <v>100</v>
      </c>
      <c r="X46" s="1339"/>
      <c r="Y46" s="3683"/>
      <c r="Z46" s="1353">
        <f t="shared" si="15"/>
        <v>111</v>
      </c>
      <c r="AA46" s="1354">
        <f t="shared" si="12"/>
        <v>1</v>
      </c>
      <c r="AB46" s="1354">
        <f t="shared" si="13"/>
        <v>1</v>
      </c>
      <c r="AC46" s="1354">
        <f t="shared" si="14"/>
        <v>1</v>
      </c>
    </row>
    <row r="47" spans="1:29" ht="15">
      <c r="A47" s="163" t="s">
        <v>102</v>
      </c>
      <c r="B47" s="164"/>
      <c r="C47" s="2829" t="s">
        <v>101</v>
      </c>
      <c r="D47" s="2830"/>
      <c r="E47" s="2831">
        <v>4800</v>
      </c>
      <c r="F47" s="2832"/>
      <c r="G47" s="2833">
        <v>4800</v>
      </c>
      <c r="H47" s="2834"/>
      <c r="I47" s="2831">
        <v>4800</v>
      </c>
      <c r="J47" s="2834"/>
      <c r="K47" s="1363"/>
      <c r="L47" s="2299"/>
      <c r="M47" s="2300"/>
      <c r="N47" s="2292"/>
      <c r="O47" s="2300"/>
      <c r="P47" s="3675" t="str">
        <f>A47</f>
        <v>成交单价（元/平方米）</v>
      </c>
      <c r="Q47" s="3675"/>
      <c r="R47" s="3676">
        <f>E47</f>
        <v>4800</v>
      </c>
      <c r="S47" s="3676"/>
      <c r="T47" s="3676">
        <f>G47</f>
        <v>4800</v>
      </c>
      <c r="U47" s="3676"/>
      <c r="V47" s="3676">
        <f>I47</f>
        <v>4800</v>
      </c>
      <c r="W47" s="3676"/>
      <c r="X47" s="1364"/>
      <c r="Y47" s="1365"/>
      <c r="Z47" s="1364"/>
      <c r="AA47" s="1364"/>
      <c r="AB47" s="1364"/>
      <c r="AC47" s="1364"/>
    </row>
    <row r="48" spans="1:29" ht="15.75" thickBot="1">
      <c r="A48" s="165" t="s">
        <v>100</v>
      </c>
      <c r="B48" s="166"/>
      <c r="C48" s="2835">
        <f>R49</f>
        <v>4800</v>
      </c>
      <c r="D48" s="2836"/>
      <c r="E48" s="2837">
        <f>R48</f>
        <v>4800</v>
      </c>
      <c r="F48" s="2837"/>
      <c r="G48" s="2835">
        <f>T48</f>
        <v>4800</v>
      </c>
      <c r="H48" s="2836"/>
      <c r="I48" s="2837">
        <f>V48</f>
        <v>4800</v>
      </c>
      <c r="J48" s="2836"/>
      <c r="K48" s="1366"/>
      <c r="L48" s="2299"/>
      <c r="M48" s="2300"/>
      <c r="N48" s="2300"/>
      <c r="O48" s="2300"/>
      <c r="P48" s="3675" t="str">
        <f>A48</f>
        <v>比较价值（元/平方米）</v>
      </c>
      <c r="Q48" s="3675"/>
      <c r="R48" s="3676">
        <f>IF(F1="售价",ROUND(PRODUCT(R47,AA7:AA46),0),ROUND(PRODUCT(R47,AA7:AA46),1))</f>
        <v>4800</v>
      </c>
      <c r="S48" s="3676"/>
      <c r="T48" s="3676">
        <f>IF(F1="售价",ROUND(PRODUCT(T47,AB7:AB46),0),ROUND(PRODUCT(T47,AB7:AB46),1))</f>
        <v>4800</v>
      </c>
      <c r="U48" s="3676"/>
      <c r="V48" s="3676">
        <f>IF(F1="售价",ROUND(PRODUCT(V47,AC7:AC46),0),ROUND(PRODUCT(V47,AC7:AC46),1))</f>
        <v>4800</v>
      </c>
      <c r="W48" s="3676"/>
      <c r="X48" s="1364"/>
      <c r="Y48" s="1364"/>
      <c r="Z48" s="1364"/>
      <c r="AA48" s="1364"/>
      <c r="AB48" s="1364"/>
      <c r="AC48" s="1364"/>
    </row>
    <row r="49" spans="1:29" ht="15.75" thickBot="1">
      <c r="A49" s="115" t="s">
        <v>3019</v>
      </c>
      <c r="B49" s="116"/>
      <c r="C49" s="2838">
        <f>R49</f>
        <v>4800</v>
      </c>
      <c r="D49" s="2839"/>
      <c r="E49" s="2839"/>
      <c r="F49" s="2839"/>
      <c r="G49" s="2839"/>
      <c r="H49" s="2839"/>
      <c r="I49" s="2839"/>
      <c r="J49" s="2839"/>
      <c r="K49" s="1367"/>
      <c r="L49" s="2299"/>
      <c r="M49" s="2300"/>
      <c r="N49" s="2300"/>
      <c r="O49" s="2300"/>
      <c r="P49" s="3672" t="str">
        <f>A49</f>
        <v>估价对象XX用房的比较价值（楼面单价，元/平方米）</v>
      </c>
      <c r="Q49" s="3673"/>
      <c r="R49" s="3674">
        <f>IF(F1="售价",ROUND(AVERAGE(R48:V48),0),ROUND(AVERAGE(R48:V48),1))</f>
        <v>4800</v>
      </c>
      <c r="S49" s="3674"/>
      <c r="T49" s="3674"/>
      <c r="U49" s="3674"/>
      <c r="V49" s="3674"/>
      <c r="W49" s="3674"/>
      <c r="X49" s="1364"/>
      <c r="Y49" s="1364"/>
      <c r="Z49" s="1364"/>
      <c r="AA49" s="1364"/>
      <c r="AB49" s="1364"/>
      <c r="AC49" s="1364"/>
    </row>
    <row r="50" spans="1:29">
      <c r="A50" s="2300"/>
      <c r="B50" s="2300"/>
      <c r="C50" s="2300">
        <f>ROUND(C49*'数据-基础表'!I13/10000,0)</f>
        <v>794</v>
      </c>
      <c r="D50" s="2300"/>
      <c r="E50" s="2300"/>
      <c r="F50" s="2300"/>
      <c r="G50" s="2309"/>
      <c r="H50" s="2300"/>
      <c r="I50" s="2300"/>
      <c r="J50" s="2300"/>
      <c r="K50" s="2301"/>
      <c r="L50" s="2302"/>
      <c r="M50" s="2300"/>
      <c r="N50" s="2300"/>
      <c r="O50" s="2300"/>
    </row>
    <row r="51" spans="1:29">
      <c r="A51" s="2300"/>
      <c r="B51" s="2300"/>
      <c r="C51" s="2300"/>
      <c r="D51" s="2300"/>
      <c r="E51" s="2300"/>
      <c r="F51" s="2300"/>
      <c r="G51" s="2300"/>
      <c r="H51" s="2300"/>
      <c r="I51" s="2300"/>
      <c r="J51" s="2300"/>
      <c r="K51" s="2301"/>
      <c r="L51" s="2302"/>
      <c r="M51" s="2300"/>
      <c r="N51" s="2300"/>
      <c r="O51" s="2300"/>
    </row>
    <row r="52" spans="1:29" ht="13.5" customHeight="1">
      <c r="A52" s="2300"/>
      <c r="B52" s="2300"/>
      <c r="C52" s="839" t="s">
        <v>1008</v>
      </c>
      <c r="D52" s="840"/>
      <c r="E52" s="841">
        <f>IF(E47&lt;E48,E48/E47-1,E47/E48-1)</f>
        <v>0</v>
      </c>
      <c r="F52" s="842" t="str">
        <f>IF(OR(E52&gt;=0.3,E52&lt;=-0.3),"超过30%","")</f>
        <v/>
      </c>
      <c r="G52" s="841">
        <f>IF(G47&lt;G48,G48/G47-1,G47/G48-1)</f>
        <v>0</v>
      </c>
      <c r="H52" s="842" t="str">
        <f>IF(OR(G52&gt;=0.3,G52&lt;=-0.3),"超过30%","")</f>
        <v/>
      </c>
      <c r="I52" s="841">
        <f>IF(I47&lt;I48,I48/I47-1,I47/I48-1)</f>
        <v>0</v>
      </c>
      <c r="J52" s="842" t="str">
        <f>IF(OR(I52&gt;=0.3,I52&lt;=-0.3),"超过30%","")</f>
        <v/>
      </c>
      <c r="K52" s="2301"/>
      <c r="L52" s="2302"/>
      <c r="M52" s="2300"/>
      <c r="N52" s="2300"/>
      <c r="O52" s="2300"/>
    </row>
    <row r="53" spans="1:29" ht="13.5" customHeight="1">
      <c r="A53" s="2300"/>
      <c r="B53" s="2300"/>
      <c r="C53" s="839" t="s">
        <v>1009</v>
      </c>
      <c r="D53" s="843"/>
      <c r="E53" s="841">
        <f>IF(E48&lt;G48,G48/E48-1,E48/G48-1)</f>
        <v>0</v>
      </c>
      <c r="F53" s="842" t="str">
        <f>IF(OR(E53&gt;=0.2,E53&lt;=-0.2),"超过20%","")</f>
        <v/>
      </c>
      <c r="G53" s="841">
        <f>IF(G48&lt;I48,I48/G48-1,G48/I48-1)</f>
        <v>0</v>
      </c>
      <c r="H53" s="842" t="str">
        <f>IF(OR(G53&gt;=0.2,G53&lt;=-0.2),"超过20%","")</f>
        <v/>
      </c>
      <c r="I53" s="841">
        <f>IF(I48&lt;E48,E48/I48-1,I48/E48-1)</f>
        <v>0</v>
      </c>
      <c r="J53" s="842" t="str">
        <f>IF(OR(I53&gt;=0.2,I53&lt;=-0.2),"超过20%","")</f>
        <v/>
      </c>
      <c r="K53" s="2301"/>
      <c r="L53" s="2302"/>
      <c r="M53" s="2300"/>
      <c r="N53" s="2300"/>
      <c r="O53" s="2300"/>
    </row>
    <row r="54" spans="1:29" s="119" customFormat="1" ht="13.5" customHeight="1">
      <c r="A54" s="2305"/>
      <c r="B54" s="2305"/>
      <c r="C54" s="839" t="s">
        <v>1010</v>
      </c>
      <c r="D54" s="843"/>
      <c r="E54" s="841">
        <f>IF(E47&lt;G47,G47/E47-1,E47/G47-1)</f>
        <v>0</v>
      </c>
      <c r="F54" s="842" t="str">
        <f>IF(OR(E54&gt;=0.3,E54&lt;=-0.3),"超过30%","")</f>
        <v/>
      </c>
      <c r="G54" s="841">
        <f>IF(G47&lt;I47,I47/G47-1,G47/I47-1)</f>
        <v>0</v>
      </c>
      <c r="H54" s="842" t="str">
        <f>IF(OR(G54&gt;=0.3,G54&lt;=-0.3),"超过30%","")</f>
        <v/>
      </c>
      <c r="I54" s="841">
        <f>IF(I47&lt;E47,E47/I47-1,I47/E47-1)</f>
        <v>0</v>
      </c>
      <c r="J54" s="842" t="str">
        <f>IF(OR(I54&gt;=0.3,I54&lt;=-0.3),"超过30%","")</f>
        <v/>
      </c>
      <c r="K54" s="2303"/>
      <c r="L54" s="2304"/>
      <c r="M54" s="2305"/>
      <c r="N54" s="2305"/>
      <c r="O54" s="2305"/>
      <c r="P54" s="1370"/>
    </row>
    <row r="55" spans="1:29" s="119" customFormat="1">
      <c r="A55" s="2305"/>
      <c r="B55" s="2310"/>
      <c r="C55" s="2311"/>
      <c r="D55" s="2305"/>
      <c r="E55" s="2305"/>
      <c r="F55" s="2305"/>
      <c r="G55" s="2305"/>
      <c r="H55" s="2305"/>
      <c r="I55" s="2305"/>
      <c r="J55" s="2305"/>
      <c r="K55" s="2303"/>
      <c r="L55" s="2304"/>
      <c r="M55" s="2305"/>
      <c r="N55" s="2305"/>
      <c r="O55" s="2305"/>
      <c r="P55" s="1370"/>
    </row>
    <row r="56" spans="1:29">
      <c r="A56" s="2300"/>
      <c r="B56" s="2310"/>
      <c r="C56" s="2311"/>
      <c r="D56" s="2300"/>
      <c r="E56" s="2300"/>
      <c r="F56" s="2300"/>
      <c r="G56" s="2300"/>
      <c r="H56" s="2300"/>
      <c r="I56" s="2300"/>
      <c r="J56" s="2300"/>
      <c r="K56" s="2301"/>
      <c r="L56" s="2302"/>
      <c r="M56" s="2300"/>
      <c r="N56" s="2300"/>
      <c r="O56" s="2300"/>
    </row>
    <row r="57" spans="1:29" ht="21" thickBot="1">
      <c r="A57" s="1371" t="s">
        <v>127</v>
      </c>
      <c r="B57" s="1364"/>
      <c r="C57" s="1372"/>
      <c r="D57" s="1372"/>
      <c r="E57" s="1372"/>
      <c r="F57" s="1373"/>
      <c r="G57" s="1373"/>
      <c r="H57" s="1372"/>
      <c r="I57" s="1372"/>
      <c r="J57" s="1372"/>
      <c r="K57" s="2306"/>
      <c r="L57" s="2307"/>
      <c r="M57" s="2308"/>
      <c r="N57" s="2308"/>
      <c r="O57" s="2308"/>
      <c r="P57" s="1375"/>
      <c r="Q57" s="121"/>
    </row>
    <row r="58" spans="1:29" s="850" customFormat="1" ht="15">
      <c r="A58" s="847" t="s">
        <v>2800</v>
      </c>
      <c r="B58" s="848"/>
      <c r="C58" s="3039" t="str">
        <f>YEAR(C7)&amp;"-"&amp;MONTH(C7)</f>
        <v>2017-8</v>
      </c>
      <c r="D58" s="3038">
        <f>EDATE(C58,-1)</f>
        <v>42917</v>
      </c>
      <c r="E58" s="3038">
        <f>EDATE(D58,-1)</f>
        <v>42887</v>
      </c>
      <c r="F58" s="3038">
        <f t="shared" ref="F58:O58" si="16">EDATE(E58,-1)</f>
        <v>42856</v>
      </c>
      <c r="G58" s="3038">
        <f t="shared" si="16"/>
        <v>42826</v>
      </c>
      <c r="H58" s="3038">
        <f t="shared" si="16"/>
        <v>42795</v>
      </c>
      <c r="I58" s="3038">
        <f t="shared" si="16"/>
        <v>42767</v>
      </c>
      <c r="J58" s="3038">
        <f t="shared" si="16"/>
        <v>42736</v>
      </c>
      <c r="K58" s="3038">
        <f t="shared" si="16"/>
        <v>42705</v>
      </c>
      <c r="L58" s="3038">
        <f t="shared" si="16"/>
        <v>42675</v>
      </c>
      <c r="M58" s="3038">
        <f t="shared" si="16"/>
        <v>42644</v>
      </c>
      <c r="N58" s="3038">
        <f t="shared" si="16"/>
        <v>42614</v>
      </c>
      <c r="O58" s="3038">
        <f t="shared" si="16"/>
        <v>42583</v>
      </c>
      <c r="P58" s="3031"/>
    </row>
    <row r="59" spans="1:29" s="40" customFormat="1" ht="14.25">
      <c r="A59" s="1044"/>
      <c r="B59" s="3034"/>
      <c r="C59" s="3035">
        <v>100</v>
      </c>
      <c r="D59" s="853"/>
      <c r="E59" s="854"/>
      <c r="F59" s="854"/>
      <c r="G59" s="854"/>
      <c r="H59" s="854"/>
      <c r="I59" s="854"/>
      <c r="J59" s="854"/>
      <c r="K59" s="854"/>
      <c r="L59" s="854"/>
      <c r="M59" s="855"/>
      <c r="N59" s="854"/>
      <c r="O59" s="855"/>
      <c r="P59" s="1376"/>
    </row>
    <row r="60" spans="1:29" s="40" customFormat="1" ht="15" thickBot="1">
      <c r="A60" s="1046" t="s">
        <v>118</v>
      </c>
      <c r="B60" s="1047"/>
      <c r="C60" s="859"/>
      <c r="D60" s="860"/>
      <c r="E60" s="860"/>
      <c r="F60" s="860"/>
      <c r="G60" s="860"/>
      <c r="H60" s="860"/>
      <c r="I60" s="860"/>
      <c r="J60" s="860"/>
      <c r="K60" s="860"/>
      <c r="L60" s="860"/>
      <c r="M60" s="861"/>
      <c r="N60" s="860"/>
      <c r="O60" s="861"/>
      <c r="P60" s="1376"/>
      <c r="Q60" s="121"/>
    </row>
    <row r="61" spans="1:29" s="40" customFormat="1">
      <c r="A61" s="1048" t="s">
        <v>66</v>
      </c>
      <c r="B61" s="1045"/>
      <c r="C61" s="1049" t="s">
        <v>116</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67</v>
      </c>
      <c r="B63" s="286" t="s">
        <v>68</v>
      </c>
      <c r="C63" s="176" t="str">
        <f>C9</f>
        <v>住宅</v>
      </c>
      <c r="D63" s="122"/>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106</v>
      </c>
      <c r="C65" s="881" t="s">
        <v>1011</v>
      </c>
      <c r="D65" s="881" t="s">
        <v>1012</v>
      </c>
      <c r="E65" s="881" t="s">
        <v>1013</v>
      </c>
      <c r="F65" s="881" t="s">
        <v>1014</v>
      </c>
      <c r="G65" s="881" t="s">
        <v>1015</v>
      </c>
      <c r="H65" s="881" t="s">
        <v>1016</v>
      </c>
      <c r="I65" s="881" t="s">
        <v>1017</v>
      </c>
      <c r="J65" s="881"/>
      <c r="K65" s="882"/>
      <c r="L65" s="883"/>
      <c r="M65" s="884"/>
      <c r="N65" s="1388"/>
      <c r="O65" s="1388"/>
      <c r="P65" s="1378"/>
      <c r="Q65" s="121"/>
    </row>
    <row r="66" spans="1:17" ht="15" thickBot="1">
      <c r="A66" s="173"/>
      <c r="B66" s="1054"/>
      <c r="C66" s="886">
        <v>100</v>
      </c>
      <c r="D66" s="886">
        <f t="shared" ref="D66:I66" si="17">C66-$K10</f>
        <v>100</v>
      </c>
      <c r="E66" s="886">
        <f t="shared" si="17"/>
        <v>100</v>
      </c>
      <c r="F66" s="886">
        <f t="shared" si="17"/>
        <v>100</v>
      </c>
      <c r="G66" s="886">
        <f t="shared" si="17"/>
        <v>100</v>
      </c>
      <c r="H66" s="886">
        <f t="shared" si="17"/>
        <v>100</v>
      </c>
      <c r="I66" s="886">
        <f t="shared" si="17"/>
        <v>100</v>
      </c>
      <c r="J66" s="886"/>
      <c r="K66" s="886"/>
      <c r="L66" s="886"/>
      <c r="M66" s="887"/>
      <c r="N66" s="1389"/>
      <c r="O66" s="1389"/>
      <c r="P66" s="1378"/>
      <c r="Q66" s="121"/>
    </row>
    <row r="67" spans="1:17" ht="15" thickTop="1">
      <c r="A67" s="173"/>
      <c r="B67" s="1055" t="s">
        <v>93</v>
      </c>
      <c r="C67" s="889" t="str">
        <f>C68&amp;"（含）"&amp;"-"&amp;D68</f>
        <v>0（含）-2</v>
      </c>
      <c r="D67" s="889" t="str">
        <f t="shared" ref="D67:L67" si="18">D68&amp;"（含）"&amp;"-"&amp;E68</f>
        <v>2（含）-4</v>
      </c>
      <c r="E67" s="889" t="str">
        <f t="shared" si="18"/>
        <v>4（含）-6</v>
      </c>
      <c r="F67" s="889" t="str">
        <f t="shared" si="18"/>
        <v>6（含）-</v>
      </c>
      <c r="G67" s="889" t="str">
        <f t="shared" si="18"/>
        <v>（含）-</v>
      </c>
      <c r="H67" s="889" t="str">
        <f t="shared" si="18"/>
        <v>（含）-</v>
      </c>
      <c r="I67" s="889" t="str">
        <f t="shared" si="18"/>
        <v>（含）-</v>
      </c>
      <c r="J67" s="889" t="str">
        <f t="shared" si="18"/>
        <v>（含）-</v>
      </c>
      <c r="K67" s="889" t="str">
        <f>K68&amp;"（含）"&amp;"-"&amp;L68</f>
        <v>（含）-</v>
      </c>
      <c r="L67" s="889" t="str">
        <f t="shared" si="18"/>
        <v>（含）-</v>
      </c>
      <c r="M67" s="790" t="str">
        <f>M68&amp;"（含）"&amp;"-"&amp;P68</f>
        <v>（含）-</v>
      </c>
      <c r="N67" s="1389"/>
      <c r="O67" s="1389"/>
      <c r="P67" s="1378"/>
      <c r="Q67" s="121"/>
    </row>
    <row r="68" spans="1:17" ht="14.25">
      <c r="A68" s="173"/>
      <c r="B68" s="1056"/>
      <c r="C68" s="891">
        <v>0</v>
      </c>
      <c r="D68" s="891">
        <v>2</v>
      </c>
      <c r="E68" s="891">
        <v>4</v>
      </c>
      <c r="F68" s="891">
        <v>6</v>
      </c>
      <c r="G68" s="891"/>
      <c r="H68" s="891"/>
      <c r="I68" s="891"/>
      <c r="J68" s="891"/>
      <c r="K68" s="892"/>
      <c r="L68" s="893"/>
      <c r="M68" s="894"/>
      <c r="N68" s="1388"/>
      <c r="O68" s="1388"/>
      <c r="P68" s="1378"/>
      <c r="Q68" s="121"/>
    </row>
    <row r="69" spans="1:17" ht="15" thickBot="1">
      <c r="A69" s="173"/>
      <c r="B69" s="1052"/>
      <c r="C69" s="886">
        <v>100</v>
      </c>
      <c r="D69" s="886">
        <f t="shared" ref="D69:M69" si="19">C69-$K11</f>
        <v>100</v>
      </c>
      <c r="E69" s="886">
        <f t="shared" si="19"/>
        <v>100</v>
      </c>
      <c r="F69" s="886">
        <f t="shared" si="19"/>
        <v>100</v>
      </c>
      <c r="G69" s="886">
        <f t="shared" si="19"/>
        <v>100</v>
      </c>
      <c r="H69" s="886">
        <f t="shared" si="19"/>
        <v>100</v>
      </c>
      <c r="I69" s="886">
        <f t="shared" si="19"/>
        <v>100</v>
      </c>
      <c r="J69" s="886">
        <f t="shared" si="19"/>
        <v>100</v>
      </c>
      <c r="K69" s="886">
        <f t="shared" si="19"/>
        <v>100</v>
      </c>
      <c r="L69" s="886">
        <f t="shared" si="19"/>
        <v>100</v>
      </c>
      <c r="M69" s="887">
        <f t="shared" si="19"/>
        <v>100</v>
      </c>
      <c r="N69" s="1389"/>
      <c r="O69" s="1389"/>
      <c r="P69" s="1378"/>
      <c r="Q69" s="121"/>
    </row>
    <row r="70" spans="1:17" s="1038" customFormat="1" ht="15" thickTop="1">
      <c r="A70" s="1057"/>
      <c r="B70" s="1053">
        <f>B12</f>
        <v>111</v>
      </c>
      <c r="C70" s="896"/>
      <c r="D70" s="896"/>
      <c r="E70" s="896"/>
      <c r="F70" s="896"/>
      <c r="G70" s="896"/>
      <c r="H70" s="897"/>
      <c r="I70" s="897"/>
      <c r="J70" s="897"/>
      <c r="K70" s="897"/>
      <c r="L70" s="898"/>
      <c r="M70" s="899"/>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5" thickTop="1">
      <c r="A72" s="1057"/>
      <c r="B72" s="1053">
        <f>B13</f>
        <v>111</v>
      </c>
      <c r="C72" s="896"/>
      <c r="D72" s="896"/>
      <c r="E72" s="896"/>
      <c r="F72" s="896"/>
      <c r="G72" s="896"/>
      <c r="H72" s="897"/>
      <c r="I72" s="897"/>
      <c r="J72" s="897"/>
      <c r="K72" s="897"/>
      <c r="L72" s="898"/>
      <c r="M72" s="899"/>
      <c r="N72" s="1390"/>
      <c r="O72" s="1390"/>
      <c r="P72" s="1380"/>
      <c r="Q72" s="1064"/>
    </row>
    <row r="73" spans="1:17" s="1038" customFormat="1" ht="15" thickBot="1">
      <c r="A73" s="1057"/>
      <c r="B73" s="1054"/>
      <c r="C73" s="902"/>
      <c r="D73" s="902"/>
      <c r="E73" s="902"/>
      <c r="F73" s="902"/>
      <c r="G73" s="902"/>
      <c r="H73" s="904"/>
      <c r="I73" s="904"/>
      <c r="J73" s="904"/>
      <c r="K73" s="904"/>
      <c r="L73" s="904"/>
      <c r="M73" s="905"/>
      <c r="N73" s="1390"/>
      <c r="O73" s="1390"/>
      <c r="P73" s="1379"/>
      <c r="Q73" s="1062"/>
    </row>
    <row r="74" spans="1:17" s="1038" customFormat="1" ht="15" thickTop="1">
      <c r="A74" s="1057"/>
      <c r="B74" s="1055">
        <f>B14</f>
        <v>111</v>
      </c>
      <c r="C74" s="896"/>
      <c r="D74" s="896"/>
      <c r="E74" s="896"/>
      <c r="F74" s="896"/>
      <c r="G74" s="865"/>
      <c r="H74" s="906"/>
      <c r="I74" s="906"/>
      <c r="J74" s="906"/>
      <c r="K74" s="906"/>
      <c r="L74" s="907"/>
      <c r="M74" s="908"/>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69</v>
      </c>
      <c r="B76" s="286" t="s">
        <v>110</v>
      </c>
      <c r="C76" s="915" t="s">
        <v>1018</v>
      </c>
      <c r="D76" s="915" t="s">
        <v>1019</v>
      </c>
      <c r="E76" s="915" t="s">
        <v>1020</v>
      </c>
      <c r="F76" s="915" t="s">
        <v>1021</v>
      </c>
      <c r="G76" s="915" t="s">
        <v>1022</v>
      </c>
      <c r="H76" s="871"/>
      <c r="I76" s="871"/>
      <c r="J76" s="871"/>
      <c r="K76" s="916"/>
      <c r="L76" s="917"/>
      <c r="M76" s="918"/>
      <c r="N76" s="1388"/>
      <c r="O76" s="1388"/>
      <c r="P76" s="1382"/>
      <c r="Q76" s="121"/>
    </row>
    <row r="77" spans="1:17" ht="15" thickBot="1">
      <c r="A77" s="173"/>
      <c r="B77" s="1054"/>
      <c r="C77" s="886">
        <v>100</v>
      </c>
      <c r="D77" s="886">
        <f>C77-$K15</f>
        <v>100</v>
      </c>
      <c r="E77" s="886">
        <f>D77-$K15</f>
        <v>100</v>
      </c>
      <c r="F77" s="886">
        <f>E77-$K15</f>
        <v>100</v>
      </c>
      <c r="G77" s="886">
        <f>F77-$K15</f>
        <v>100</v>
      </c>
      <c r="H77" s="886"/>
      <c r="I77" s="886"/>
      <c r="J77" s="886"/>
      <c r="K77" s="886"/>
      <c r="L77" s="886"/>
      <c r="M77" s="887"/>
      <c r="N77" s="1389"/>
      <c r="O77" s="1389"/>
      <c r="P77" s="1378"/>
      <c r="Q77" s="121"/>
    </row>
    <row r="78" spans="1:17" ht="15" thickTop="1">
      <c r="A78" s="173"/>
      <c r="B78" s="1053" t="s">
        <v>92</v>
      </c>
      <c r="C78" s="920" t="s">
        <v>1018</v>
      </c>
      <c r="D78" s="920" t="s">
        <v>1019</v>
      </c>
      <c r="E78" s="920" t="s">
        <v>1020</v>
      </c>
      <c r="F78" s="920" t="s">
        <v>1021</v>
      </c>
      <c r="G78" s="920" t="s">
        <v>1022</v>
      </c>
      <c r="H78" s="881"/>
      <c r="I78" s="881"/>
      <c r="J78" s="881"/>
      <c r="K78" s="882"/>
      <c r="L78" s="883"/>
      <c r="M78" s="884"/>
      <c r="N78" s="1388"/>
      <c r="O78" s="1388"/>
      <c r="P78" s="1378"/>
      <c r="Q78" s="121"/>
    </row>
    <row r="79" spans="1:17" ht="15" thickBot="1">
      <c r="A79" s="173"/>
      <c r="B79" s="1054"/>
      <c r="C79" s="886">
        <v>100</v>
      </c>
      <c r="D79" s="886">
        <f>C79-$K17</f>
        <v>100</v>
      </c>
      <c r="E79" s="886">
        <f>D79-$K17</f>
        <v>100</v>
      </c>
      <c r="F79" s="886">
        <f>E79-$K17</f>
        <v>100</v>
      </c>
      <c r="G79" s="886">
        <f>F79-$K17</f>
        <v>100</v>
      </c>
      <c r="H79" s="886"/>
      <c r="I79" s="886"/>
      <c r="J79" s="886"/>
      <c r="K79" s="886"/>
      <c r="L79" s="886"/>
      <c r="M79" s="887"/>
      <c r="N79" s="1389"/>
      <c r="O79" s="1389"/>
      <c r="P79" s="1378"/>
      <c r="Q79" s="121"/>
    </row>
    <row r="80" spans="1:17" ht="15" thickTop="1">
      <c r="A80" s="173"/>
      <c r="B80" s="1053" t="s">
        <v>2641</v>
      </c>
      <c r="C80" s="920" t="s">
        <v>1018</v>
      </c>
      <c r="D80" s="920" t="s">
        <v>1019</v>
      </c>
      <c r="E80" s="920" t="s">
        <v>427</v>
      </c>
      <c r="F80" s="920" t="s">
        <v>428</v>
      </c>
      <c r="G80" s="920" t="s">
        <v>429</v>
      </c>
      <c r="H80" s="881"/>
      <c r="I80" s="881"/>
      <c r="J80" s="881"/>
      <c r="K80" s="882"/>
      <c r="L80" s="883"/>
      <c r="M80" s="884"/>
      <c r="N80" s="1388"/>
      <c r="O80" s="1388"/>
      <c r="P80" s="1378"/>
      <c r="Q80" s="121"/>
    </row>
    <row r="81" spans="1:17" ht="15" thickBot="1">
      <c r="A81" s="173"/>
      <c r="B81" s="1054"/>
      <c r="C81" s="886">
        <v>100</v>
      </c>
      <c r="D81" s="886">
        <f>C81-$K19</f>
        <v>100</v>
      </c>
      <c r="E81" s="886">
        <f>D81-$K19</f>
        <v>100</v>
      </c>
      <c r="F81" s="886">
        <f>E81-$K19</f>
        <v>100</v>
      </c>
      <c r="G81" s="886">
        <f>F81-$K19</f>
        <v>100</v>
      </c>
      <c r="H81" s="886"/>
      <c r="I81" s="886"/>
      <c r="J81" s="886"/>
      <c r="K81" s="886"/>
      <c r="L81" s="886"/>
      <c r="M81" s="887"/>
      <c r="N81" s="1389"/>
      <c r="O81" s="1389"/>
      <c r="P81" s="1378"/>
      <c r="Q81" s="121"/>
    </row>
    <row r="82" spans="1:17" ht="15" thickTop="1">
      <c r="A82" s="173"/>
      <c r="B82" s="1055" t="s">
        <v>2651</v>
      </c>
      <c r="C82" s="177" t="s">
        <v>2652</v>
      </c>
      <c r="D82" s="177" t="s">
        <v>2656</v>
      </c>
      <c r="E82" s="177" t="s">
        <v>2653</v>
      </c>
      <c r="F82" s="177" t="s">
        <v>2654</v>
      </c>
      <c r="G82" s="177" t="s">
        <v>2655</v>
      </c>
      <c r="H82" s="881"/>
      <c r="I82" s="881"/>
      <c r="J82" s="881"/>
      <c r="K82" s="881"/>
      <c r="L82" s="881"/>
      <c r="M82" s="2761"/>
      <c r="N82" s="1389"/>
      <c r="O82" s="1389"/>
      <c r="P82" s="1378"/>
      <c r="Q82" s="121"/>
    </row>
    <row r="83" spans="1:17" ht="15" thickBot="1">
      <c r="A83" s="173"/>
      <c r="B83" s="1055"/>
      <c r="C83" s="1002">
        <v>100</v>
      </c>
      <c r="D83" s="1002">
        <f>C83-$K21</f>
        <v>100</v>
      </c>
      <c r="E83" s="1002">
        <f>D83-$K21</f>
        <v>100</v>
      </c>
      <c r="F83" s="1002">
        <f>E83-$K21</f>
        <v>100</v>
      </c>
      <c r="G83" s="1002">
        <f>F83-$K21</f>
        <v>100</v>
      </c>
      <c r="H83" s="1002"/>
      <c r="I83" s="1002"/>
      <c r="J83" s="1002"/>
      <c r="K83" s="1002"/>
      <c r="L83" s="1002"/>
      <c r="M83" s="792"/>
      <c r="N83" s="1389"/>
      <c r="O83" s="1389"/>
      <c r="P83" s="1378"/>
      <c r="Q83" s="121"/>
    </row>
    <row r="84" spans="1:17" ht="15" thickTop="1">
      <c r="A84" s="173"/>
      <c r="B84" s="1053" t="s">
        <v>98</v>
      </c>
      <c r="C84" s="920" t="s">
        <v>425</v>
      </c>
      <c r="D84" s="920" t="s">
        <v>426</v>
      </c>
      <c r="E84" s="920" t="s">
        <v>427</v>
      </c>
      <c r="F84" s="920" t="s">
        <v>428</v>
      </c>
      <c r="G84" s="920" t="s">
        <v>429</v>
      </c>
      <c r="H84" s="881"/>
      <c r="I84" s="881"/>
      <c r="J84" s="881"/>
      <c r="K84" s="882"/>
      <c r="L84" s="883"/>
      <c r="M84" s="884"/>
      <c r="N84" s="1388"/>
      <c r="O84" s="1388"/>
      <c r="P84" s="1378"/>
      <c r="Q84" s="121"/>
    </row>
    <row r="85" spans="1:17" ht="15" thickBot="1">
      <c r="A85" s="173"/>
      <c r="B85" s="1054"/>
      <c r="C85" s="886">
        <v>100</v>
      </c>
      <c r="D85" s="886">
        <f>C85-$K23</f>
        <v>100</v>
      </c>
      <c r="E85" s="886">
        <f>D85-$K23</f>
        <v>100</v>
      </c>
      <c r="F85" s="886">
        <f>E85-$K23</f>
        <v>100</v>
      </c>
      <c r="G85" s="886">
        <f>F85-$K23</f>
        <v>100</v>
      </c>
      <c r="H85" s="886"/>
      <c r="I85" s="886"/>
      <c r="J85" s="886"/>
      <c r="K85" s="886"/>
      <c r="L85" s="886"/>
      <c r="M85" s="887"/>
      <c r="N85" s="1389"/>
      <c r="O85" s="1389"/>
      <c r="P85" s="1378"/>
      <c r="Q85" s="121"/>
    </row>
    <row r="86" spans="1:17" s="40" customFormat="1" ht="14.25" thickTop="1">
      <c r="A86" s="1071"/>
      <c r="B86" s="1053" t="s">
        <v>2300</v>
      </c>
      <c r="C86" s="139"/>
      <c r="D86" s="139"/>
      <c r="E86" s="139"/>
      <c r="F86" s="139"/>
      <c r="G86" s="139"/>
      <c r="H86" s="139"/>
      <c r="I86" s="139"/>
      <c r="J86" s="139"/>
      <c r="K86" s="139"/>
      <c r="L86" s="1383"/>
      <c r="M86" s="1384"/>
      <c r="N86" s="1387"/>
      <c r="O86" s="1387"/>
      <c r="P86" s="1378"/>
      <c r="Q86" s="121"/>
    </row>
    <row r="87" spans="1:17" s="40" customFormat="1" ht="15" thickBot="1">
      <c r="A87" s="1071"/>
      <c r="B87" s="1054"/>
      <c r="C87" s="924">
        <v>100</v>
      </c>
      <c r="D87" s="886">
        <f t="shared" ref="D87:M87" si="20">$C$87-($C$86-D86)*$K$25</f>
        <v>100</v>
      </c>
      <c r="E87" s="886">
        <f t="shared" si="20"/>
        <v>100</v>
      </c>
      <c r="F87" s="886">
        <f t="shared" si="20"/>
        <v>100</v>
      </c>
      <c r="G87" s="886">
        <f t="shared" si="20"/>
        <v>100</v>
      </c>
      <c r="H87" s="886">
        <f t="shared" si="20"/>
        <v>100</v>
      </c>
      <c r="I87" s="886">
        <f t="shared" si="20"/>
        <v>100</v>
      </c>
      <c r="J87" s="886">
        <f t="shared" si="20"/>
        <v>100</v>
      </c>
      <c r="K87" s="886">
        <f t="shared" si="20"/>
        <v>100</v>
      </c>
      <c r="L87" s="886">
        <f t="shared" si="20"/>
        <v>100</v>
      </c>
      <c r="M87" s="886">
        <f t="shared" si="20"/>
        <v>100</v>
      </c>
      <c r="N87" s="1389"/>
      <c r="O87" s="1389"/>
      <c r="P87" s="1378"/>
      <c r="Q87" s="121"/>
    </row>
    <row r="88" spans="1:17" s="40" customFormat="1" ht="14.25" thickTop="1">
      <c r="A88" s="1071"/>
      <c r="B88" s="1053" t="s">
        <v>97</v>
      </c>
      <c r="C88" s="139"/>
      <c r="D88" s="139"/>
      <c r="E88" s="139"/>
      <c r="F88" s="1385"/>
      <c r="G88" s="139"/>
      <c r="H88" s="139"/>
      <c r="I88" s="139"/>
      <c r="J88" s="139"/>
      <c r="K88" s="139"/>
      <c r="L88" s="139"/>
      <c r="M88" s="1384"/>
      <c r="N88" s="1387"/>
      <c r="O88" s="1387"/>
      <c r="P88" s="1378"/>
      <c r="Q88" s="121"/>
    </row>
    <row r="89" spans="1:17" s="40" customFormat="1" ht="15" thickBot="1">
      <c r="A89" s="1071"/>
      <c r="B89" s="1054"/>
      <c r="C89" s="924">
        <v>100</v>
      </c>
      <c r="D89" s="886">
        <f t="shared" ref="D89:M89" si="21">C89-$K26</f>
        <v>100</v>
      </c>
      <c r="E89" s="886">
        <f t="shared" si="21"/>
        <v>100</v>
      </c>
      <c r="F89" s="886">
        <f t="shared" si="21"/>
        <v>100</v>
      </c>
      <c r="G89" s="886">
        <f t="shared" si="21"/>
        <v>100</v>
      </c>
      <c r="H89" s="886">
        <f t="shared" si="21"/>
        <v>100</v>
      </c>
      <c r="I89" s="886">
        <f t="shared" si="21"/>
        <v>100</v>
      </c>
      <c r="J89" s="886">
        <f t="shared" si="21"/>
        <v>100</v>
      </c>
      <c r="K89" s="886">
        <f t="shared" si="21"/>
        <v>100</v>
      </c>
      <c r="L89" s="886">
        <f t="shared" si="21"/>
        <v>100</v>
      </c>
      <c r="M89" s="886">
        <f t="shared" si="21"/>
        <v>100</v>
      </c>
      <c r="N89" s="1389"/>
      <c r="O89" s="1389"/>
      <c r="P89" s="1378"/>
      <c r="Q89" s="121"/>
    </row>
    <row r="90" spans="1:17" s="1038" customFormat="1" ht="14.25" thickTop="1">
      <c r="A90" s="1057"/>
      <c r="B90" s="1053">
        <f>B27</f>
        <v>111</v>
      </c>
      <c r="C90" s="139"/>
      <c r="D90" s="139"/>
      <c r="E90" s="139"/>
      <c r="F90" s="139"/>
      <c r="G90" s="139"/>
      <c r="H90" s="1058"/>
      <c r="I90" s="1058"/>
      <c r="J90" s="1058"/>
      <c r="K90" s="1058"/>
      <c r="L90" s="1059"/>
      <c r="M90" s="1060"/>
      <c r="N90" s="1390"/>
      <c r="O90" s="1390"/>
      <c r="P90" s="1379"/>
      <c r="Q90" s="1062"/>
    </row>
    <row r="91" spans="1:17" s="1038" customFormat="1" ht="15" thickBot="1">
      <c r="A91" s="1057"/>
      <c r="B91" s="1054"/>
      <c r="C91" s="902"/>
      <c r="D91" s="902"/>
      <c r="E91" s="902"/>
      <c r="F91" s="902"/>
      <c r="G91" s="902"/>
      <c r="H91" s="904"/>
      <c r="I91" s="904"/>
      <c r="J91" s="904"/>
      <c r="K91" s="904"/>
      <c r="L91" s="904"/>
      <c r="M91" s="905"/>
      <c r="N91" s="1390"/>
      <c r="O91" s="1390"/>
      <c r="P91" s="1379"/>
      <c r="Q91" s="1062"/>
    </row>
    <row r="92" spans="1:17" ht="15" thickTop="1">
      <c r="A92" s="173"/>
      <c r="B92" s="1053">
        <f>B28</f>
        <v>111</v>
      </c>
      <c r="C92" s="896"/>
      <c r="D92" s="896"/>
      <c r="E92" s="896"/>
      <c r="F92" s="896"/>
      <c r="G92" s="925"/>
      <c r="H92" s="925"/>
      <c r="I92" s="925"/>
      <c r="J92" s="925"/>
      <c r="K92" s="926"/>
      <c r="L92" s="927"/>
      <c r="M92" s="928"/>
      <c r="N92" s="1388"/>
      <c r="O92" s="1388"/>
      <c r="P92" s="1378"/>
      <c r="Q92" s="121"/>
    </row>
    <row r="93" spans="1:17" ht="15" thickBot="1">
      <c r="A93" s="173"/>
      <c r="B93" s="1054"/>
      <c r="C93" s="902"/>
      <c r="D93" s="878"/>
      <c r="E93" s="878"/>
      <c r="F93" s="878"/>
      <c r="G93" s="878"/>
      <c r="H93" s="878"/>
      <c r="I93" s="878"/>
      <c r="J93" s="878"/>
      <c r="K93" s="878"/>
      <c r="L93" s="878"/>
      <c r="M93" s="879"/>
      <c r="N93" s="1389"/>
      <c r="O93" s="1389"/>
      <c r="P93" s="1378"/>
      <c r="Q93" s="121"/>
    </row>
    <row r="94" spans="1:17" ht="15" thickTop="1">
      <c r="A94" s="173"/>
      <c r="B94" s="1053">
        <f>B29</f>
        <v>111</v>
      </c>
      <c r="C94" s="896"/>
      <c r="D94" s="896"/>
      <c r="E94" s="896"/>
      <c r="F94" s="896"/>
      <c r="G94" s="925"/>
      <c r="H94" s="925"/>
      <c r="I94" s="925"/>
      <c r="J94" s="925"/>
      <c r="K94" s="926"/>
      <c r="L94" s="927"/>
      <c r="M94" s="928"/>
      <c r="N94" s="1388"/>
      <c r="O94" s="1388"/>
      <c r="P94" s="1378"/>
      <c r="Q94" s="121"/>
    </row>
    <row r="95" spans="1:17" ht="15" thickBot="1">
      <c r="A95" s="173"/>
      <c r="B95" s="1054"/>
      <c r="C95" s="902"/>
      <c r="D95" s="902"/>
      <c r="E95" s="902"/>
      <c r="F95" s="902"/>
      <c r="G95" s="878"/>
      <c r="H95" s="878"/>
      <c r="I95" s="878"/>
      <c r="J95" s="878"/>
      <c r="K95" s="878"/>
      <c r="L95" s="878"/>
      <c r="M95" s="879"/>
      <c r="N95" s="1389"/>
      <c r="O95" s="1389"/>
      <c r="P95" s="1378"/>
      <c r="Q95" s="121"/>
    </row>
    <row r="96" spans="1:17" ht="15" thickTop="1">
      <c r="A96" s="173"/>
      <c r="B96" s="1053">
        <f>B30</f>
        <v>111</v>
      </c>
      <c r="C96" s="896"/>
      <c r="D96" s="896"/>
      <c r="E96" s="896"/>
      <c r="F96" s="896"/>
      <c r="G96" s="925"/>
      <c r="H96" s="925"/>
      <c r="I96" s="925"/>
      <c r="J96" s="925"/>
      <c r="K96" s="926"/>
      <c r="L96" s="927"/>
      <c r="M96" s="928"/>
      <c r="N96" s="1388"/>
      <c r="O96" s="1388"/>
      <c r="P96" s="1378"/>
      <c r="Q96" s="121"/>
    </row>
    <row r="97" spans="1:17" ht="15" thickBot="1">
      <c r="A97" s="173"/>
      <c r="B97" s="1054"/>
      <c r="C97" s="912"/>
      <c r="D97" s="912"/>
      <c r="E97" s="912"/>
      <c r="F97" s="912"/>
      <c r="G97" s="878"/>
      <c r="H97" s="878"/>
      <c r="I97" s="878"/>
      <c r="J97" s="878"/>
      <c r="K97" s="878"/>
      <c r="L97" s="878"/>
      <c r="M97" s="879"/>
      <c r="N97" s="1389"/>
      <c r="O97" s="1389"/>
      <c r="P97" s="1378"/>
      <c r="Q97" s="121"/>
    </row>
    <row r="98" spans="1:17" ht="15" thickTop="1">
      <c r="A98" s="173"/>
      <c r="B98" s="1055">
        <f>B31</f>
        <v>111</v>
      </c>
      <c r="C98" s="929"/>
      <c r="D98" s="929"/>
      <c r="E98" s="929"/>
      <c r="F98" s="929"/>
      <c r="G98" s="929"/>
      <c r="H98" s="929"/>
      <c r="I98" s="929"/>
      <c r="J98" s="929"/>
      <c r="K98" s="930"/>
      <c r="L98" s="931"/>
      <c r="M98" s="932"/>
      <c r="N98" s="1388"/>
      <c r="O98" s="1388"/>
      <c r="P98" s="1378"/>
      <c r="Q98" s="121"/>
    </row>
    <row r="99" spans="1:17" ht="15" thickBot="1">
      <c r="A99" s="174"/>
      <c r="B99" s="1070"/>
      <c r="C99" s="933"/>
      <c r="D99" s="933"/>
      <c r="E99" s="933"/>
      <c r="F99" s="933"/>
      <c r="G99" s="933"/>
      <c r="H99" s="933"/>
      <c r="I99" s="933"/>
      <c r="J99" s="933"/>
      <c r="K99" s="933"/>
      <c r="L99" s="933"/>
      <c r="M99" s="934"/>
      <c r="N99" s="1389"/>
      <c r="O99" s="1389"/>
      <c r="P99" s="1378"/>
      <c r="Q99" s="121"/>
    </row>
    <row r="100" spans="1:17">
      <c r="A100" s="172" t="s">
        <v>70</v>
      </c>
      <c r="B100" s="286" t="s">
        <v>123</v>
      </c>
      <c r="C100" s="122"/>
      <c r="D100" s="122"/>
      <c r="E100" s="122"/>
      <c r="F100" s="122"/>
      <c r="G100" s="122"/>
      <c r="H100" s="122"/>
      <c r="I100" s="122"/>
      <c r="J100" s="122"/>
      <c r="K100" s="123"/>
      <c r="L100" s="124"/>
      <c r="M100" s="125"/>
      <c r="N100" s="1388"/>
      <c r="O100" s="1388"/>
      <c r="P100" s="1378"/>
      <c r="Q100" s="121"/>
    </row>
    <row r="101" spans="1:17" ht="15" thickBot="1">
      <c r="A101" s="173"/>
      <c r="B101" s="1054"/>
      <c r="C101" s="886">
        <v>100</v>
      </c>
      <c r="D101" s="886">
        <f t="shared" ref="D101:M101" si="22">C101-$K32</f>
        <v>100</v>
      </c>
      <c r="E101" s="886">
        <f t="shared" si="22"/>
        <v>100</v>
      </c>
      <c r="F101" s="886">
        <f t="shared" si="22"/>
        <v>100</v>
      </c>
      <c r="G101" s="886">
        <f t="shared" si="22"/>
        <v>100</v>
      </c>
      <c r="H101" s="886">
        <f t="shared" si="22"/>
        <v>100</v>
      </c>
      <c r="I101" s="886">
        <f t="shared" si="22"/>
        <v>100</v>
      </c>
      <c r="J101" s="886">
        <f t="shared" si="22"/>
        <v>100</v>
      </c>
      <c r="K101" s="886">
        <f t="shared" si="22"/>
        <v>100</v>
      </c>
      <c r="L101" s="886">
        <f t="shared" si="22"/>
        <v>100</v>
      </c>
      <c r="M101" s="886">
        <f t="shared" si="22"/>
        <v>100</v>
      </c>
      <c r="N101" s="1389"/>
      <c r="O101" s="1389"/>
      <c r="P101" s="1378"/>
      <c r="Q101" s="121"/>
    </row>
    <row r="102" spans="1:17" ht="29.25" thickTop="1">
      <c r="A102" s="173"/>
      <c r="B102" s="1053" t="s">
        <v>96</v>
      </c>
      <c r="C102" s="920" t="str">
        <f>C103&amp;"(含)"&amp;"-"&amp;D103</f>
        <v>0(含)-100000</v>
      </c>
      <c r="D102" s="920" t="str">
        <f t="shared" ref="D102:L102" si="23">D103&amp;"(含)"&amp;"-"&amp;E103</f>
        <v>100000(含)-200000</v>
      </c>
      <c r="E102" s="920" t="str">
        <f t="shared" si="23"/>
        <v>200000(含)-</v>
      </c>
      <c r="F102" s="920" t="str">
        <f t="shared" si="23"/>
        <v>(含)-</v>
      </c>
      <c r="G102" s="920" t="str">
        <f t="shared" si="23"/>
        <v>(含)-</v>
      </c>
      <c r="H102" s="920" t="str">
        <f t="shared" si="23"/>
        <v>(含)-</v>
      </c>
      <c r="I102" s="920" t="str">
        <f t="shared" si="23"/>
        <v>(含)-</v>
      </c>
      <c r="J102" s="920" t="str">
        <f t="shared" si="23"/>
        <v>(含)-</v>
      </c>
      <c r="K102" s="920" t="str">
        <f>K103&amp;"(含)"&amp;"-"&amp;L103</f>
        <v>(含)-</v>
      </c>
      <c r="L102" s="920" t="str">
        <f t="shared" si="23"/>
        <v>(含)-</v>
      </c>
      <c r="M102" s="920" t="str">
        <f>M103&amp;"(含)"&amp;"-"&amp;P103</f>
        <v>(含)-</v>
      </c>
      <c r="N102" s="1387"/>
      <c r="O102" s="1387"/>
      <c r="P102" s="1378"/>
      <c r="Q102" s="121"/>
    </row>
    <row r="103" spans="1:17" s="1038" customFormat="1" ht="14.25">
      <c r="A103" s="1072"/>
      <c r="B103" s="1073"/>
      <c r="C103" s="937">
        <v>0</v>
      </c>
      <c r="D103" s="937">
        <v>100000</v>
      </c>
      <c r="E103" s="937">
        <v>200000</v>
      </c>
      <c r="F103" s="937"/>
      <c r="G103" s="937"/>
      <c r="H103" s="937"/>
      <c r="I103" s="937"/>
      <c r="J103" s="938"/>
      <c r="K103" s="938"/>
      <c r="L103" s="939"/>
      <c r="M103" s="940"/>
      <c r="N103" s="1390"/>
      <c r="O103" s="1390"/>
      <c r="P103" s="1379"/>
      <c r="Q103" s="1062"/>
    </row>
    <row r="104" spans="1:17" s="1038" customFormat="1" ht="15" thickBot="1">
      <c r="A104" s="1057"/>
      <c r="B104" s="1054"/>
      <c r="C104" s="902">
        <v>100</v>
      </c>
      <c r="D104" s="878">
        <v>102</v>
      </c>
      <c r="E104" s="878">
        <v>104</v>
      </c>
      <c r="F104" s="878"/>
      <c r="G104" s="878"/>
      <c r="H104" s="878"/>
      <c r="I104" s="878"/>
      <c r="J104" s="878"/>
      <c r="K104" s="878"/>
      <c r="L104" s="878"/>
      <c r="M104" s="878"/>
      <c r="N104" s="1389"/>
      <c r="O104" s="1389"/>
      <c r="P104" s="1379"/>
      <c r="Q104" s="1062"/>
    </row>
    <row r="105" spans="1:17" ht="14.25" thickTop="1">
      <c r="A105" s="175"/>
      <c r="B105" s="1053" t="s">
        <v>95</v>
      </c>
      <c r="C105" s="139"/>
      <c r="D105" s="139"/>
      <c r="E105" s="131"/>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4">C106-$K34</f>
        <v>100</v>
      </c>
      <c r="E106" s="886">
        <f t="shared" si="24"/>
        <v>100</v>
      </c>
      <c r="F106" s="886">
        <f t="shared" si="24"/>
        <v>100</v>
      </c>
      <c r="G106" s="886">
        <f t="shared" si="24"/>
        <v>100</v>
      </c>
      <c r="H106" s="886">
        <f t="shared" si="24"/>
        <v>100</v>
      </c>
      <c r="I106" s="886">
        <f t="shared" si="24"/>
        <v>100</v>
      </c>
      <c r="J106" s="886">
        <f t="shared" si="24"/>
        <v>100</v>
      </c>
      <c r="K106" s="886">
        <f t="shared" si="24"/>
        <v>100</v>
      </c>
      <c r="L106" s="886">
        <f t="shared" si="24"/>
        <v>100</v>
      </c>
      <c r="M106" s="886">
        <f t="shared" si="24"/>
        <v>100</v>
      </c>
      <c r="N106" s="1389"/>
      <c r="O106" s="1389"/>
      <c r="P106" s="1378"/>
      <c r="Q106" s="121"/>
    </row>
    <row r="107" spans="1:17" ht="14.25" thickTop="1">
      <c r="A107" s="175"/>
      <c r="B107" s="1053" t="s">
        <v>111</v>
      </c>
      <c r="C107" s="131"/>
      <c r="D107" s="131"/>
      <c r="E107" s="131"/>
      <c r="F107" s="131"/>
      <c r="G107" s="131"/>
      <c r="H107" s="131"/>
      <c r="I107" s="131"/>
      <c r="J107" s="131"/>
      <c r="K107" s="132"/>
      <c r="L107" s="133"/>
      <c r="M107" s="134"/>
      <c r="N107" s="1388"/>
      <c r="O107" s="1388"/>
      <c r="P107" s="1378"/>
      <c r="Q107" s="121"/>
    </row>
    <row r="108" spans="1:17" ht="15" thickBot="1">
      <c r="A108" s="173"/>
      <c r="B108" s="1054"/>
      <c r="C108" s="886">
        <v>100</v>
      </c>
      <c r="D108" s="886">
        <f t="shared" ref="D108:M108" si="25">C108-$K35</f>
        <v>100</v>
      </c>
      <c r="E108" s="886">
        <f t="shared" si="25"/>
        <v>100</v>
      </c>
      <c r="F108" s="886">
        <f t="shared" si="25"/>
        <v>100</v>
      </c>
      <c r="G108" s="886">
        <f t="shared" si="25"/>
        <v>100</v>
      </c>
      <c r="H108" s="886">
        <f t="shared" si="25"/>
        <v>100</v>
      </c>
      <c r="I108" s="886">
        <f t="shared" si="25"/>
        <v>100</v>
      </c>
      <c r="J108" s="886">
        <f t="shared" si="25"/>
        <v>100</v>
      </c>
      <c r="K108" s="886">
        <f t="shared" si="25"/>
        <v>100</v>
      </c>
      <c r="L108" s="886">
        <f t="shared" si="25"/>
        <v>100</v>
      </c>
      <c r="M108" s="886">
        <f t="shared" si="25"/>
        <v>100</v>
      </c>
      <c r="N108" s="1389"/>
      <c r="O108" s="1389"/>
      <c r="P108" s="1378"/>
      <c r="Q108" s="121"/>
    </row>
    <row r="109" spans="1:17" ht="14.25" thickTop="1">
      <c r="A109" s="175"/>
      <c r="B109" s="1053" t="s">
        <v>124</v>
      </c>
      <c r="C109" s="139"/>
      <c r="D109" s="139"/>
      <c r="E109" s="139"/>
      <c r="F109" s="131"/>
      <c r="G109" s="131"/>
      <c r="H109" s="131"/>
      <c r="I109" s="131"/>
      <c r="J109" s="131"/>
      <c r="K109" s="132"/>
      <c r="L109" s="133"/>
      <c r="M109" s="134"/>
      <c r="N109" s="1388"/>
      <c r="O109" s="1388"/>
      <c r="P109" s="1378"/>
      <c r="Q109" s="121"/>
    </row>
    <row r="110" spans="1:17" ht="15" thickBot="1">
      <c r="A110" s="173"/>
      <c r="B110" s="1054"/>
      <c r="C110" s="886">
        <v>100</v>
      </c>
      <c r="D110" s="886">
        <f t="shared" ref="D110:M110" si="26">C110-$K36</f>
        <v>100</v>
      </c>
      <c r="E110" s="886">
        <f t="shared" si="26"/>
        <v>100</v>
      </c>
      <c r="F110" s="886">
        <f t="shared" si="26"/>
        <v>100</v>
      </c>
      <c r="G110" s="886">
        <f t="shared" si="26"/>
        <v>100</v>
      </c>
      <c r="H110" s="886">
        <f t="shared" si="26"/>
        <v>100</v>
      </c>
      <c r="I110" s="886">
        <f t="shared" si="26"/>
        <v>100</v>
      </c>
      <c r="J110" s="886">
        <f t="shared" si="26"/>
        <v>100</v>
      </c>
      <c r="K110" s="886">
        <f t="shared" si="26"/>
        <v>100</v>
      </c>
      <c r="L110" s="886">
        <f t="shared" si="26"/>
        <v>100</v>
      </c>
      <c r="M110" s="886">
        <f t="shared" si="26"/>
        <v>100</v>
      </c>
      <c r="N110" s="1389"/>
      <c r="O110" s="1389"/>
      <c r="P110" s="1378"/>
      <c r="Q110" s="121"/>
    </row>
    <row r="111" spans="1:17" s="1038" customFormat="1" ht="15" thickTop="1">
      <c r="A111" s="1072"/>
      <c r="B111" s="1053" t="s">
        <v>112</v>
      </c>
      <c r="C111" s="920" t="str">
        <f>C112&amp;"(含)"&amp;"-"&amp;D112</f>
        <v>0.5(含)-0.6</v>
      </c>
      <c r="D111" s="920" t="str">
        <f>D112&amp;"(含)"&amp;"-"&amp;E112</f>
        <v>0.6(含)-0.7</v>
      </c>
      <c r="E111" s="920" t="str">
        <f>E112&amp;"(含)"&amp;"-"&amp;F112</f>
        <v>0.7(含)-0.8</v>
      </c>
      <c r="F111" s="920" t="str">
        <f>F112&amp;"(含)"&amp;"-"&amp;G112</f>
        <v>0.8(含)-0.9</v>
      </c>
      <c r="G111" s="920" t="str">
        <f>G112&amp;"(含)"&amp;"-"&amp;ROUND(H112,0)&amp;"(含)"</f>
        <v>0.9(含)-1(含)</v>
      </c>
      <c r="H111" s="920" t="str">
        <f>ROUND(H112,0)&amp;"(含)"&amp;"-"&amp;I112</f>
        <v>1(含)-</v>
      </c>
      <c r="I111" s="920"/>
      <c r="J111" s="942"/>
      <c r="K111" s="942"/>
      <c r="L111" s="943"/>
      <c r="M111" s="944"/>
      <c r="N111" s="1390"/>
      <c r="O111" s="1390"/>
      <c r="P111" s="1379"/>
      <c r="Q111" s="1062"/>
    </row>
    <row r="112" spans="1:17" s="1038" customFormat="1" ht="14.25">
      <c r="A112" s="1072"/>
      <c r="B112" s="1055"/>
      <c r="C112" s="945">
        <v>0.5</v>
      </c>
      <c r="D112" s="945">
        <v>0.6</v>
      </c>
      <c r="E112" s="945">
        <v>0.7</v>
      </c>
      <c r="F112" s="945">
        <v>0.8</v>
      </c>
      <c r="G112" s="945">
        <v>0.9</v>
      </c>
      <c r="H112" s="945">
        <v>1.0001</v>
      </c>
      <c r="I112" s="945"/>
      <c r="J112" s="946"/>
      <c r="K112" s="946"/>
      <c r="L112" s="947"/>
      <c r="M112" s="948"/>
      <c r="N112" s="1390"/>
      <c r="O112" s="1390"/>
      <c r="P112" s="1379"/>
      <c r="Q112" s="1062"/>
    </row>
    <row r="113" spans="1:17" s="1038" customFormat="1" ht="15" thickBot="1">
      <c r="A113" s="1057"/>
      <c r="B113" s="1054"/>
      <c r="C113" s="924">
        <v>100</v>
      </c>
      <c r="D113" s="886">
        <f>C113+$K37</f>
        <v>100</v>
      </c>
      <c r="E113" s="886">
        <f>D113+$K37</f>
        <v>100</v>
      </c>
      <c r="F113" s="886">
        <f>E113+$K37</f>
        <v>100</v>
      </c>
      <c r="G113" s="886">
        <f>F113+$K37</f>
        <v>100</v>
      </c>
      <c r="H113" s="886">
        <f>G113+$K37</f>
        <v>100</v>
      </c>
      <c r="I113" s="924"/>
      <c r="J113" s="949"/>
      <c r="K113" s="949"/>
      <c r="L113" s="949"/>
      <c r="M113" s="950"/>
      <c r="N113" s="1390"/>
      <c r="O113" s="1390"/>
      <c r="P113" s="1379"/>
      <c r="Q113" s="1062"/>
    </row>
    <row r="114" spans="1:17" ht="14.25" thickTop="1">
      <c r="A114" s="175"/>
      <c r="B114" s="1053" t="s">
        <v>125</v>
      </c>
      <c r="C114" s="139"/>
      <c r="D114" s="139"/>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27">C115-$K38</f>
        <v>100</v>
      </c>
      <c r="E115" s="886">
        <f t="shared" si="27"/>
        <v>100</v>
      </c>
      <c r="F115" s="886">
        <f t="shared" si="27"/>
        <v>100</v>
      </c>
      <c r="G115" s="886">
        <f t="shared" si="27"/>
        <v>100</v>
      </c>
      <c r="H115" s="886">
        <f t="shared" si="27"/>
        <v>100</v>
      </c>
      <c r="I115" s="886">
        <f t="shared" si="27"/>
        <v>100</v>
      </c>
      <c r="J115" s="886">
        <f t="shared" si="27"/>
        <v>100</v>
      </c>
      <c r="K115" s="886">
        <f t="shared" si="27"/>
        <v>100</v>
      </c>
      <c r="L115" s="886">
        <f t="shared" si="27"/>
        <v>100</v>
      </c>
      <c r="M115" s="886">
        <f t="shared" si="27"/>
        <v>100</v>
      </c>
      <c r="N115" s="1389"/>
      <c r="O115" s="1389"/>
      <c r="P115" s="1378"/>
      <c r="Q115" s="121"/>
    </row>
    <row r="116" spans="1:17" ht="14.25" thickTop="1">
      <c r="A116" s="175"/>
      <c r="B116" s="1053" t="s">
        <v>2643</v>
      </c>
      <c r="C116" s="139"/>
      <c r="D116" s="139"/>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9"/>
      <c r="O117" s="1389"/>
      <c r="P117" s="1378"/>
      <c r="Q117" s="121"/>
    </row>
    <row r="118" spans="1:17" ht="14.25" thickTop="1">
      <c r="A118" s="175"/>
      <c r="B118" s="1053" t="s">
        <v>113</v>
      </c>
      <c r="C118" s="131"/>
      <c r="D118" s="131"/>
      <c r="E118" s="131"/>
      <c r="F118" s="131"/>
      <c r="G118" s="131"/>
      <c r="H118" s="131"/>
      <c r="I118" s="131"/>
      <c r="J118" s="131"/>
      <c r="K118" s="132"/>
      <c r="L118" s="133"/>
      <c r="M118" s="134"/>
      <c r="N118" s="1388"/>
      <c r="O118" s="1388"/>
      <c r="P118" s="1378"/>
      <c r="Q118" s="121"/>
    </row>
    <row r="119" spans="1:17" ht="15" thickBot="1">
      <c r="A119" s="173"/>
      <c r="B119" s="1054"/>
      <c r="C119" s="886">
        <v>100</v>
      </c>
      <c r="D119" s="886">
        <f t="shared" ref="D119:M119" si="28">C119-$K40</f>
        <v>100</v>
      </c>
      <c r="E119" s="886">
        <f t="shared" si="28"/>
        <v>100</v>
      </c>
      <c r="F119" s="886">
        <f t="shared" si="28"/>
        <v>100</v>
      </c>
      <c r="G119" s="886">
        <f t="shared" si="28"/>
        <v>100</v>
      </c>
      <c r="H119" s="886">
        <f t="shared" si="28"/>
        <v>100</v>
      </c>
      <c r="I119" s="886">
        <f t="shared" si="28"/>
        <v>100</v>
      </c>
      <c r="J119" s="886">
        <f t="shared" si="28"/>
        <v>100</v>
      </c>
      <c r="K119" s="886">
        <f t="shared" si="28"/>
        <v>100</v>
      </c>
      <c r="L119" s="886">
        <f t="shared" si="28"/>
        <v>100</v>
      </c>
      <c r="M119" s="886">
        <f t="shared" si="28"/>
        <v>100</v>
      </c>
      <c r="N119" s="1389"/>
      <c r="O119" s="1389"/>
      <c r="P119" s="1378"/>
      <c r="Q119" s="121"/>
    </row>
    <row r="120" spans="1:17" s="1038" customFormat="1" ht="27.75" thickTop="1">
      <c r="A120" s="1072"/>
      <c r="B120" s="1053" t="s">
        <v>105</v>
      </c>
      <c r="C120" s="139"/>
      <c r="D120" s="139"/>
      <c r="E120" s="139"/>
      <c r="F120" s="139"/>
      <c r="G120" s="139"/>
      <c r="H120" s="139"/>
      <c r="I120" s="139"/>
      <c r="J120" s="139"/>
      <c r="K120" s="139"/>
      <c r="L120" s="1383"/>
      <c r="M120" s="1384"/>
      <c r="N120" s="1390"/>
      <c r="O120" s="1390"/>
      <c r="P120" s="1379"/>
      <c r="Q120" s="1062"/>
    </row>
    <row r="121" spans="1:17" s="1038" customFormat="1" ht="15" thickBot="1">
      <c r="A121" s="1057"/>
      <c r="B121" s="1052"/>
      <c r="C121" s="902"/>
      <c r="D121" s="878"/>
      <c r="E121" s="878"/>
      <c r="F121" s="878"/>
      <c r="G121" s="878"/>
      <c r="H121" s="878"/>
      <c r="I121" s="878"/>
      <c r="J121" s="878"/>
      <c r="K121" s="878"/>
      <c r="L121" s="878"/>
      <c r="M121" s="878"/>
      <c r="N121" s="1390"/>
      <c r="O121" s="1390"/>
      <c r="P121" s="1379"/>
      <c r="Q121" s="1062"/>
    </row>
    <row r="122" spans="1:17" ht="14.25" thickTop="1">
      <c r="A122" s="175"/>
      <c r="B122" s="1053" t="s">
        <v>126</v>
      </c>
      <c r="C122" s="139"/>
      <c r="D122" s="139"/>
      <c r="E122" s="139"/>
      <c r="F122" s="131"/>
      <c r="G122" s="131"/>
      <c r="H122" s="131"/>
      <c r="I122" s="131"/>
      <c r="J122" s="131"/>
      <c r="K122" s="132"/>
      <c r="L122" s="133"/>
      <c r="M122" s="134"/>
      <c r="N122" s="1388"/>
      <c r="O122" s="1388"/>
      <c r="P122" s="1378"/>
      <c r="Q122" s="121"/>
    </row>
    <row r="123" spans="1:17" ht="15" thickBot="1">
      <c r="A123" s="173"/>
      <c r="B123" s="1054"/>
      <c r="C123" s="886">
        <v>100</v>
      </c>
      <c r="D123" s="886">
        <f t="shared" ref="D123:M123" si="29">C123-$K42</f>
        <v>100</v>
      </c>
      <c r="E123" s="886">
        <f t="shared" si="29"/>
        <v>100</v>
      </c>
      <c r="F123" s="886">
        <f t="shared" si="29"/>
        <v>100</v>
      </c>
      <c r="G123" s="886">
        <f t="shared" si="29"/>
        <v>100</v>
      </c>
      <c r="H123" s="886">
        <f t="shared" si="29"/>
        <v>100</v>
      </c>
      <c r="I123" s="886">
        <f t="shared" si="29"/>
        <v>100</v>
      </c>
      <c r="J123" s="886">
        <f t="shared" si="29"/>
        <v>100</v>
      </c>
      <c r="K123" s="886">
        <f t="shared" si="29"/>
        <v>100</v>
      </c>
      <c r="L123" s="886">
        <f t="shared" si="29"/>
        <v>100</v>
      </c>
      <c r="M123" s="886">
        <f t="shared" si="29"/>
        <v>100</v>
      </c>
      <c r="N123" s="1389"/>
      <c r="O123" s="1389"/>
      <c r="P123" s="1378"/>
      <c r="Q123" s="121"/>
    </row>
    <row r="124" spans="1:17" ht="27.75" thickTop="1">
      <c r="A124" s="175"/>
      <c r="B124" s="1053" t="s">
        <v>94</v>
      </c>
      <c r="C124" s="920" t="s">
        <v>425</v>
      </c>
      <c r="D124" s="920" t="s">
        <v>426</v>
      </c>
      <c r="E124" s="920" t="s">
        <v>427</v>
      </c>
      <c r="F124" s="920" t="s">
        <v>428</v>
      </c>
      <c r="G124" s="920" t="s">
        <v>429</v>
      </c>
      <c r="H124" s="881"/>
      <c r="I124" s="881"/>
      <c r="J124" s="881"/>
      <c r="K124" s="882"/>
      <c r="L124" s="883"/>
      <c r="M124" s="884"/>
      <c r="N124" s="1388"/>
      <c r="O124" s="1388"/>
      <c r="P124" s="1379"/>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902"/>
      <c r="E129" s="902"/>
      <c r="F129" s="902"/>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row r="136" spans="1:17" ht="14.25" thickBot="1">
      <c r="B136" s="2137" t="s">
        <v>2301</v>
      </c>
    </row>
    <row r="137" spans="1:17" ht="14.25">
      <c r="B137" s="2138" t="s">
        <v>2302</v>
      </c>
      <c r="C137" s="2139"/>
      <c r="D137" s="2139"/>
      <c r="E137" s="2139"/>
      <c r="F137" s="2139"/>
      <c r="G137" s="2140"/>
      <c r="H137" s="2141"/>
      <c r="I137" s="2142" t="s">
        <v>2303</v>
      </c>
      <c r="J137" s="2139"/>
      <c r="K137" s="2143"/>
    </row>
    <row r="138" spans="1:17" ht="14.25">
      <c r="B138" s="2144"/>
      <c r="C138" s="1774" t="s">
        <v>2304</v>
      </c>
      <c r="D138" s="1774" t="s">
        <v>2305</v>
      </c>
      <c r="E138" s="2145" t="s">
        <v>2306</v>
      </c>
      <c r="F138" s="2146" t="s">
        <v>2307</v>
      </c>
      <c r="G138" s="1774" t="s">
        <v>2305</v>
      </c>
      <c r="H138" s="2147" t="s">
        <v>2306</v>
      </c>
      <c r="I138" s="2148"/>
      <c r="J138" s="1774" t="s">
        <v>2308</v>
      </c>
      <c r="K138" s="2147" t="s">
        <v>2309</v>
      </c>
    </row>
    <row r="139" spans="1:17" ht="15">
      <c r="B139" s="2149">
        <v>6</v>
      </c>
      <c r="C139" s="2150">
        <v>96</v>
      </c>
      <c r="D139" s="2151" t="s">
        <v>2310</v>
      </c>
      <c r="E139" s="2152">
        <v>100</v>
      </c>
      <c r="F139" s="2153">
        <v>102.5</v>
      </c>
      <c r="G139" s="2151" t="s">
        <v>2310</v>
      </c>
      <c r="H139" s="2154">
        <v>105</v>
      </c>
      <c r="I139" s="2155" t="s">
        <v>2311</v>
      </c>
      <c r="J139" s="2150">
        <v>20</v>
      </c>
      <c r="K139" s="2156">
        <f>C145/(J139-2)</f>
        <v>4.0555555555555553E-3</v>
      </c>
    </row>
    <row r="140" spans="1:17" ht="15">
      <c r="B140" s="2157">
        <v>5</v>
      </c>
      <c r="C140" s="2158">
        <v>100</v>
      </c>
      <c r="D140" s="2159"/>
      <c r="E140" s="2160"/>
      <c r="F140" s="2161">
        <v>102</v>
      </c>
      <c r="G140" s="2159"/>
      <c r="H140" s="2162"/>
      <c r="I140" s="2163" t="s">
        <v>2312</v>
      </c>
      <c r="J140" s="647">
        <f>ROUNDUP((J139-1)/2,0)</f>
        <v>10</v>
      </c>
      <c r="K140" s="2164">
        <v>100</v>
      </c>
    </row>
    <row r="141" spans="1:17" ht="15">
      <c r="B141" s="2157">
        <v>4</v>
      </c>
      <c r="C141" s="2158">
        <v>102</v>
      </c>
      <c r="D141" s="2159"/>
      <c r="E141" s="2160"/>
      <c r="F141" s="2161">
        <v>101.5</v>
      </c>
      <c r="G141" s="2159"/>
      <c r="H141" s="2162"/>
      <c r="I141" s="2163" t="s">
        <v>2313</v>
      </c>
      <c r="J141" s="647">
        <v>1</v>
      </c>
      <c r="K141" s="2165">
        <f>ROUND(100+(J141-J140)*K139*100,1)</f>
        <v>96.4</v>
      </c>
    </row>
    <row r="142" spans="1:17" ht="15">
      <c r="B142" s="2157">
        <v>3</v>
      </c>
      <c r="C142" s="2158">
        <v>103</v>
      </c>
      <c r="D142" s="2159"/>
      <c r="E142" s="2160"/>
      <c r="F142" s="2161">
        <v>101</v>
      </c>
      <c r="G142" s="2159"/>
      <c r="H142" s="2162"/>
      <c r="I142" s="2163" t="s">
        <v>2314</v>
      </c>
      <c r="J142" s="647">
        <f>J139</f>
        <v>20</v>
      </c>
      <c r="K142" s="2166">
        <v>95</v>
      </c>
    </row>
    <row r="143" spans="1:17" ht="15">
      <c r="B143" s="2157">
        <v>2</v>
      </c>
      <c r="C143" s="2158">
        <v>100</v>
      </c>
      <c r="D143" s="2159"/>
      <c r="E143" s="2160"/>
      <c r="F143" s="2161">
        <v>100.5</v>
      </c>
      <c r="G143" s="2159"/>
      <c r="H143" s="2162"/>
      <c r="I143" s="2163" t="s">
        <v>2315</v>
      </c>
      <c r="J143" s="2158">
        <v>15</v>
      </c>
      <c r="K143" s="2165">
        <f>ROUND(100+(J143-J140)*K139*100,1)</f>
        <v>102</v>
      </c>
    </row>
    <row r="144" spans="1:17" ht="15">
      <c r="B144" s="2157">
        <v>1</v>
      </c>
      <c r="C144" s="2158">
        <v>98</v>
      </c>
      <c r="D144" s="1159" t="s">
        <v>2316</v>
      </c>
      <c r="E144" s="2160">
        <v>102</v>
      </c>
      <c r="F144" s="2167">
        <v>100</v>
      </c>
      <c r="G144" s="1159" t="s">
        <v>2316</v>
      </c>
      <c r="H144" s="2162">
        <v>105</v>
      </c>
      <c r="I144" s="2163" t="s">
        <v>2315</v>
      </c>
      <c r="J144" s="2158">
        <v>18</v>
      </c>
      <c r="K144" s="2165">
        <f>ROUND(100+(J144-J140)*K139*100,1)</f>
        <v>103.2</v>
      </c>
    </row>
    <row r="145" spans="2:11" ht="15.75" thickBot="1">
      <c r="B145" s="2168" t="s">
        <v>2317</v>
      </c>
      <c r="C145" s="2169">
        <f>ROUND(MAX(C139:C144)/MIN(C139:C144)-1,3)</f>
        <v>7.2999999999999995E-2</v>
      </c>
      <c r="D145" s="2170"/>
      <c r="E145" s="2171"/>
      <c r="F145" s="2172" t="s">
        <v>2318</v>
      </c>
      <c r="G145" s="2173"/>
      <c r="H145" s="2174"/>
      <c r="I145" s="2175" t="s">
        <v>2319</v>
      </c>
      <c r="J145" s="2176">
        <v>8</v>
      </c>
      <c r="K145" s="2177">
        <f>ROUND(100+(J145-J140)*K139*100,1)</f>
        <v>99.2</v>
      </c>
    </row>
    <row r="147" spans="2:11">
      <c r="B147" s="2137" t="s">
        <v>2327</v>
      </c>
    </row>
    <row r="148" spans="2:11">
      <c r="B148" s="2137" t="s">
        <v>2328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64" priority="15" stopIfTrue="1" operator="containsText" text="超过">
      <formula>NOT(ISERROR(SEARCH("超过",F52)))</formula>
    </cfRule>
  </conditionalFormatting>
  <conditionalFormatting sqref="J54">
    <cfRule type="containsText" dxfId="163" priority="14" stopIfTrue="1" operator="containsText" text="超过">
      <formula>NOT(ISERROR(SEARCH("超过",J54)))</formula>
    </cfRule>
  </conditionalFormatting>
  <conditionalFormatting sqref="H54">
    <cfRule type="containsText" dxfId="162" priority="13" stopIfTrue="1" operator="containsText" text="超过">
      <formula>NOT(ISERROR(SEARCH("超过",H54)))</formula>
    </cfRule>
  </conditionalFormatting>
  <conditionalFormatting sqref="F54">
    <cfRule type="containsText" dxfId="161" priority="12" stopIfTrue="1" operator="containsText" text="超过">
      <formula>NOT(ISERROR(SEARCH("超过",F54)))</formula>
    </cfRule>
  </conditionalFormatting>
  <conditionalFormatting sqref="F53 H53 J53">
    <cfRule type="containsText" dxfId="160" priority="11" stopIfTrue="1" operator="containsText" text="超过">
      <formula>NOT(ISERROR(SEARCH("超过",F53)))</formula>
    </cfRule>
  </conditionalFormatting>
  <conditionalFormatting sqref="E52">
    <cfRule type="expression" dxfId="159" priority="10" stopIfTrue="1">
      <formula>$F$52="超过30%"</formula>
    </cfRule>
  </conditionalFormatting>
  <conditionalFormatting sqref="G54">
    <cfRule type="expression" dxfId="158" priority="8" stopIfTrue="1">
      <formula>$H$54="超过30%"</formula>
    </cfRule>
  </conditionalFormatting>
  <conditionalFormatting sqref="E53">
    <cfRule type="expression" dxfId="157" priority="7" stopIfTrue="1">
      <formula>$F$53="超过20%"</formula>
    </cfRule>
  </conditionalFormatting>
  <conditionalFormatting sqref="E54">
    <cfRule type="expression" dxfId="156" priority="6" stopIfTrue="1">
      <formula>$F$54="超过30%"</formula>
    </cfRule>
  </conditionalFormatting>
  <conditionalFormatting sqref="G52">
    <cfRule type="expression" dxfId="155" priority="5" stopIfTrue="1">
      <formula>$H$52="超过30%"</formula>
    </cfRule>
  </conditionalFormatting>
  <conditionalFormatting sqref="G53">
    <cfRule type="expression" dxfId="154" priority="4" stopIfTrue="1">
      <formula>$H$53="超过20%"</formula>
    </cfRule>
  </conditionalFormatting>
  <conditionalFormatting sqref="I52">
    <cfRule type="expression" dxfId="153" priority="3" stopIfTrue="1">
      <formula>$J$52="超过30%"</formula>
    </cfRule>
  </conditionalFormatting>
  <conditionalFormatting sqref="I53">
    <cfRule type="expression" dxfId="152" priority="2" stopIfTrue="1">
      <formula>$J$53="超过20%"</formula>
    </cfRule>
  </conditionalFormatting>
  <conditionalFormatting sqref="I54">
    <cfRule type="expression" dxfId="15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sheetPr>
    <tabColor rgb="FF92D050"/>
  </sheetPr>
  <dimension ref="A1:AK83"/>
  <sheetViews>
    <sheetView topLeftCell="A14" zoomScale="80" zoomScaleNormal="80" zoomScaleSheetLayoutView="90" workbookViewId="0">
      <selection activeCell="C45" sqref="C4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4"/>
  </cols>
  <sheetData>
    <row r="1" spans="1:37" s="671" customFormat="1" ht="21">
      <c r="A1" s="669" t="s">
        <v>911</v>
      </c>
      <c r="B1" s="670"/>
      <c r="C1" s="2388" t="s">
        <v>3129</v>
      </c>
      <c r="D1" s="1273"/>
      <c r="E1" s="2581" t="s">
        <v>538</v>
      </c>
      <c r="F1" s="2582">
        <f>J53</f>
        <v>58</v>
      </c>
      <c r="G1" s="672">
        <f>MATCH(C1,'数据-取费表'!A6:A16,0)+5</f>
        <v>7</v>
      </c>
      <c r="H1" s="1296"/>
      <c r="I1" s="676"/>
      <c r="J1" s="676"/>
      <c r="K1" s="1297"/>
      <c r="L1" s="676"/>
      <c r="M1" s="676"/>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7" t="s">
        <v>345</v>
      </c>
      <c r="B2" s="1406">
        <f ca="1">ROUND(D2/10000,0)</f>
        <v>45</v>
      </c>
      <c r="C2" s="1299" t="s">
        <v>1105</v>
      </c>
      <c r="D2" s="2720">
        <f ca="1">C40+J29+L46</f>
        <v>451705</v>
      </c>
      <c r="E2" s="2571" t="s">
        <v>2628</v>
      </c>
      <c r="F2" s="1276"/>
      <c r="G2" s="2283"/>
      <c r="H2" s="1274"/>
      <c r="I2" s="1274"/>
      <c r="J2" s="1274"/>
      <c r="K2" s="1298"/>
      <c r="L2" s="1274"/>
      <c r="M2" s="1274"/>
    </row>
    <row r="3" spans="1:37" ht="18" customHeight="1" thickBot="1">
      <c r="A3" s="675" t="s">
        <v>346</v>
      </c>
      <c r="B3" s="3425">
        <f ca="1">IF(ISERROR(D2/F43),0,ROUND(D2/F43,0))-D3</f>
        <v>4608</v>
      </c>
      <c r="C3" s="1299" t="s">
        <v>1106</v>
      </c>
      <c r="D3" s="3424">
        <v>350</v>
      </c>
      <c r="E3" s="2571"/>
      <c r="F3" s="1276"/>
      <c r="G3" s="2283"/>
      <c r="H3" s="676" t="s">
        <v>912</v>
      </c>
      <c r="I3" s="1274"/>
      <c r="J3" s="1274"/>
      <c r="K3" s="1298"/>
      <c r="L3" s="1274"/>
      <c r="M3" s="1274"/>
    </row>
    <row r="4" spans="1:37" ht="18" customHeight="1">
      <c r="A4" s="677" t="s">
        <v>913</v>
      </c>
      <c r="B4" s="678" t="s">
        <v>914</v>
      </c>
      <c r="C4" s="678" t="s">
        <v>915</v>
      </c>
      <c r="D4" s="678" t="s">
        <v>916</v>
      </c>
      <c r="E4" s="679" t="s">
        <v>917</v>
      </c>
      <c r="F4" s="680"/>
      <c r="G4" s="2284"/>
      <c r="H4" s="677" t="s">
        <v>913</v>
      </c>
      <c r="I4" s="678" t="s">
        <v>914</v>
      </c>
      <c r="J4" s="678" t="s">
        <v>915</v>
      </c>
      <c r="K4" s="678" t="s">
        <v>916</v>
      </c>
      <c r="L4" s="679" t="s">
        <v>917</v>
      </c>
      <c r="M4" s="680"/>
    </row>
    <row r="5" spans="1:37" ht="18" customHeight="1">
      <c r="A5" s="681">
        <v>1</v>
      </c>
      <c r="B5" s="682" t="s">
        <v>2339</v>
      </c>
      <c r="C5" s="2622">
        <f ca="1">C6+C10+C12</f>
        <v>19467</v>
      </c>
      <c r="D5" s="2632" t="s">
        <v>2542</v>
      </c>
      <c r="E5" s="2623"/>
      <c r="F5" s="2624"/>
      <c r="G5" s="2284"/>
      <c r="H5" s="681">
        <v>1</v>
      </c>
      <c r="I5" s="682" t="s">
        <v>2339</v>
      </c>
      <c r="J5" s="2622">
        <f ca="1">J6+J10+J12</f>
        <v>0</v>
      </c>
      <c r="K5" s="2625" t="s">
        <v>2542</v>
      </c>
      <c r="L5" s="2623"/>
      <c r="M5" s="2624"/>
    </row>
    <row r="6" spans="1:37" ht="18" customHeight="1">
      <c r="A6" s="2618" t="s">
        <v>2380</v>
      </c>
      <c r="B6" s="3637" t="s">
        <v>2541</v>
      </c>
      <c r="C6" s="2627">
        <f ca="1">ROUND(F6*F8*F7*(1-F9),0)</f>
        <v>19440</v>
      </c>
      <c r="D6" s="2621" t="s">
        <v>2543</v>
      </c>
      <c r="E6" s="684" t="s">
        <v>918</v>
      </c>
      <c r="F6" s="685">
        <f ca="1">INDIRECT("'数据-取费表'!u"&amp;$G$1)</f>
        <v>1800</v>
      </c>
      <c r="G6" s="2284"/>
      <c r="H6" s="2618" t="s">
        <v>2380</v>
      </c>
      <c r="I6" s="3637" t="s">
        <v>2541</v>
      </c>
      <c r="J6" s="683">
        <f ca="1">ROUND(M6*M8*M7*(1-M9),0)</f>
        <v>0</v>
      </c>
      <c r="K6" s="2621" t="s">
        <v>2543</v>
      </c>
      <c r="L6" s="684" t="s">
        <v>918</v>
      </c>
      <c r="M6" s="685">
        <f ca="1">INDIRECT("'数据-取费表'!z"&amp;$G$1)</f>
        <v>0</v>
      </c>
    </row>
    <row r="7" spans="1:37" ht="18" customHeight="1">
      <c r="A7" s="2626"/>
      <c r="B7" s="3638"/>
      <c r="C7" s="2628"/>
      <c r="D7" s="2057"/>
      <c r="E7" s="2629" t="s">
        <v>919</v>
      </c>
      <c r="F7" s="685">
        <f ca="1">IF(INDIRECT("'数据-取费表'!ah"&amp;$G$1)="",INDIRECT("'数据-取费表'!k"&amp;$G$1),INDIRECT("'数据-取费表'!ah"&amp;$G$1))</f>
        <v>1</v>
      </c>
      <c r="G7" s="2284"/>
      <c r="H7" s="686"/>
      <c r="I7" s="3638"/>
      <c r="J7" s="688"/>
      <c r="K7" s="689"/>
      <c r="L7" s="684" t="s">
        <v>919</v>
      </c>
      <c r="M7" s="685">
        <f ca="1">F7</f>
        <v>1</v>
      </c>
    </row>
    <row r="8" spans="1:37" ht="18" customHeight="1">
      <c r="A8" s="686"/>
      <c r="B8" s="3638"/>
      <c r="C8" s="688"/>
      <c r="D8" s="689"/>
      <c r="E8" s="684" t="s">
        <v>920</v>
      </c>
      <c r="F8" s="685">
        <f ca="1">INDIRECT("'数据-取费表'!ai"&amp;$G$1)</f>
        <v>12</v>
      </c>
      <c r="G8" s="2284"/>
      <c r="H8" s="686"/>
      <c r="I8" s="3638"/>
      <c r="J8" s="688"/>
      <c r="K8" s="689"/>
      <c r="L8" s="684" t="s">
        <v>920</v>
      </c>
      <c r="M8" s="685">
        <f ca="1">INDIRECT("'数据-取费表'!ai"&amp;$G$1)</f>
        <v>12</v>
      </c>
    </row>
    <row r="9" spans="1:37" ht="18" customHeight="1">
      <c r="A9" s="686"/>
      <c r="B9" s="3639"/>
      <c r="C9" s="688"/>
      <c r="D9" s="689"/>
      <c r="E9" s="684" t="s">
        <v>921</v>
      </c>
      <c r="F9" s="694">
        <f ca="1">INDIRECT("'数据-取费表'!w"&amp;$G$1)</f>
        <v>0.1</v>
      </c>
      <c r="G9" s="2284"/>
      <c r="H9" s="686"/>
      <c r="I9" s="3639"/>
      <c r="J9" s="688"/>
      <c r="K9" s="689"/>
      <c r="L9" s="695" t="s">
        <v>921</v>
      </c>
      <c r="M9" s="696">
        <f ca="1">INDIRECT("'数据-取费表'!ab"&amp;$G$1)</f>
        <v>0</v>
      </c>
    </row>
    <row r="10" spans="1:37" ht="18" customHeight="1">
      <c r="A10" s="2618" t="s">
        <v>2387</v>
      </c>
      <c r="B10" s="2619" t="s">
        <v>2536</v>
      </c>
      <c r="C10" s="698">
        <f ca="1">ROUND(IF(F10="押一",F6*F8*F7/12*F11,IF(F10="押二",F6*F8*F7/12*2*F11,IF(F10="押三",F6*F8*F7/12*3*F11,C11*F11))),0)</f>
        <v>27</v>
      </c>
      <c r="D10" s="2630" t="s">
        <v>2544</v>
      </c>
      <c r="E10" s="2093" t="s">
        <v>2538</v>
      </c>
      <c r="F10" s="2824" t="s">
        <v>3130</v>
      </c>
      <c r="G10" s="2284"/>
      <c r="H10" s="2618" t="s">
        <v>2387</v>
      </c>
      <c r="I10" s="2619" t="s">
        <v>2536</v>
      </c>
      <c r="J10" s="683">
        <f ca="1">ROUND(IF(M10="押一",M6*M8*M7/12*M11,IF(M10="押二",M6*M8*M7/12*2*M11,IF(M10="押三",M6*M8*M7/12*3*M11,J11*M11))),0)</f>
        <v>0</v>
      </c>
      <c r="K10" s="2630" t="s">
        <v>2544</v>
      </c>
      <c r="L10" s="2093" t="s">
        <v>2538</v>
      </c>
      <c r="M10" s="2824" t="s">
        <v>3130</v>
      </c>
    </row>
    <row r="11" spans="1:37" ht="18" customHeight="1">
      <c r="A11" s="690"/>
      <c r="B11" s="2620" t="s">
        <v>2546</v>
      </c>
      <c r="C11" s="2411"/>
      <c r="D11" s="689"/>
      <c r="E11" s="2093" t="s">
        <v>2539</v>
      </c>
      <c r="F11" s="696">
        <f ca="1">'数据-取费表'!B39</f>
        <v>1.4999999999999999E-2</v>
      </c>
      <c r="G11" s="2284"/>
      <c r="H11" s="2631"/>
      <c r="I11" s="2620" t="s">
        <v>2699</v>
      </c>
      <c r="J11" s="2411"/>
      <c r="K11" s="1280"/>
      <c r="L11" s="2093" t="s">
        <v>2539</v>
      </c>
      <c r="M11" s="2092">
        <f ca="1">'数据-取费表'!B39</f>
        <v>1.4999999999999999E-2</v>
      </c>
    </row>
    <row r="12" spans="1:37" ht="18" customHeight="1" thickBot="1">
      <c r="A12" s="2666" t="s">
        <v>2549</v>
      </c>
      <c r="B12" s="2667" t="s">
        <v>2537</v>
      </c>
      <c r="C12" s="2668"/>
      <c r="D12" s="2669"/>
      <c r="E12" s="2670"/>
      <c r="F12" s="2671"/>
      <c r="G12" s="2284"/>
      <c r="H12" s="2666" t="s">
        <v>2549</v>
      </c>
      <c r="I12" s="2667" t="s">
        <v>2537</v>
      </c>
      <c r="J12" s="2668"/>
      <c r="K12" s="2685"/>
      <c r="L12" s="2670"/>
      <c r="M12" s="2686"/>
    </row>
    <row r="13" spans="1:37" ht="18" customHeight="1" thickTop="1">
      <c r="A13" s="2662">
        <v>2</v>
      </c>
      <c r="B13" s="2663" t="s">
        <v>922</v>
      </c>
      <c r="C13" s="692">
        <f ca="1">ROUND(C29*F13,0)</f>
        <v>227562</v>
      </c>
      <c r="D13" s="2664" t="s">
        <v>923</v>
      </c>
      <c r="E13" s="2664" t="s">
        <v>924</v>
      </c>
      <c r="F13" s="2665">
        <f ca="1">INDIRECT("'数据-取费表'!y"&amp;$G$1)</f>
        <v>0.95</v>
      </c>
      <c r="G13" s="2284"/>
      <c r="H13" s="2662">
        <v>2</v>
      </c>
      <c r="I13" s="2663" t="s">
        <v>922</v>
      </c>
      <c r="J13" s="2617">
        <f ca="1">ROUND(J14*J15,0)</f>
        <v>0</v>
      </c>
      <c r="K13" s="2672" t="s">
        <v>923</v>
      </c>
      <c r="L13" s="2683"/>
      <c r="M13" s="2684"/>
    </row>
    <row r="14" spans="1:37" ht="18" customHeight="1">
      <c r="A14" s="2434" t="s">
        <v>2377</v>
      </c>
      <c r="B14" s="684" t="s">
        <v>359</v>
      </c>
      <c r="C14" s="702">
        <f ca="1">ROUND(INDIRECT("'数据-取费表'!l"&amp;$G$1)*F43+'数据-取费表'!L14*INDIRECT("'数据-取费表'!S"&amp;$G$1),0)</f>
        <v>163980</v>
      </c>
      <c r="D14" s="2715" t="s">
        <v>925</v>
      </c>
      <c r="E14" s="2714"/>
      <c r="F14" s="703"/>
      <c r="G14" s="2284"/>
      <c r="H14" s="2434" t="s">
        <v>2380</v>
      </c>
      <c r="I14" s="684" t="s">
        <v>926</v>
      </c>
      <c r="J14" s="313">
        <f ca="1">C29</f>
        <v>239539</v>
      </c>
      <c r="K14" s="303"/>
      <c r="L14" s="700"/>
      <c r="M14" s="701"/>
    </row>
    <row r="15" spans="1:37" s="706" customFormat="1" ht="18" customHeight="1" thickBot="1">
      <c r="A15" s="2434" t="s">
        <v>2613</v>
      </c>
      <c r="B15" s="684" t="s">
        <v>360</v>
      </c>
      <c r="C15" s="313">
        <f ca="1">ROUND(C14*F15,0)</f>
        <v>4919</v>
      </c>
      <c r="D15" s="704" t="s">
        <v>927</v>
      </c>
      <c r="E15" s="704" t="s">
        <v>365</v>
      </c>
      <c r="F15" s="705">
        <f>'数据-取费表'!B33</f>
        <v>0.03</v>
      </c>
      <c r="G15" s="2285"/>
      <c r="H15" s="2674" t="s">
        <v>2387</v>
      </c>
      <c r="I15" s="2675" t="s">
        <v>924</v>
      </c>
      <c r="J15" s="2686">
        <f ca="1">INDIRECT("'数据-取费表'!ad"&amp;$G$1)</f>
        <v>0</v>
      </c>
      <c r="K15" s="2687"/>
      <c r="L15" s="2688"/>
      <c r="M15" s="2689"/>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4" t="s">
        <v>2614</v>
      </c>
      <c r="B16" s="684" t="s">
        <v>361</v>
      </c>
      <c r="C16" s="313">
        <f ca="1">ROUND(INDIRECT("'数据-取费表'!l"&amp;$G$1)*F43*F16,0)</f>
        <v>8199</v>
      </c>
      <c r="D16" s="684" t="s">
        <v>927</v>
      </c>
      <c r="E16" s="684" t="s">
        <v>365</v>
      </c>
      <c r="F16" s="707">
        <f ca="1">IF(INDIRECT("'数据-取费表'!c"&amp;$G$1)="住宅",'数据-取费表'!B34,0)</f>
        <v>0.05</v>
      </c>
      <c r="G16" s="2284"/>
      <c r="H16" s="2662" t="s">
        <v>2345</v>
      </c>
      <c r="I16" s="2663" t="s">
        <v>929</v>
      </c>
      <c r="J16" s="692">
        <f ca="1">ROUND(J17+J22+J23+J24,0)</f>
        <v>5880</v>
      </c>
      <c r="K16" s="2672" t="s">
        <v>930</v>
      </c>
      <c r="L16" s="2673"/>
      <c r="M16" s="2624"/>
    </row>
    <row r="17" spans="1:37" s="706" customFormat="1" ht="18" customHeight="1">
      <c r="A17" s="2434" t="s">
        <v>2615</v>
      </c>
      <c r="B17" s="684" t="s">
        <v>362</v>
      </c>
      <c r="C17" s="313">
        <f ca="1">ROUND(F17*(F43+INDIRECT("'数据-取费表'!S"&amp;$G$1)),0)</f>
        <v>18220</v>
      </c>
      <c r="D17" s="684" t="s">
        <v>931</v>
      </c>
      <c r="E17" s="684" t="s">
        <v>932</v>
      </c>
      <c r="F17" s="315">
        <f>'数据-取费表'!B35</f>
        <v>200</v>
      </c>
      <c r="G17" s="2285"/>
      <c r="H17" s="2434" t="s">
        <v>2380</v>
      </c>
      <c r="I17" s="684" t="s">
        <v>363</v>
      </c>
      <c r="J17" s="313">
        <f ca="1">ROUND(IF(项目基本情况!B11="自然人",J5*M17,J18+J19+J20),0)</f>
        <v>2287</v>
      </c>
      <c r="K17" s="2715" t="s">
        <v>933</v>
      </c>
      <c r="L17" s="2716" t="s">
        <v>934</v>
      </c>
      <c r="M17" s="708"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6" customFormat="1" ht="18" customHeight="1">
      <c r="A18" s="2434" t="s">
        <v>2616</v>
      </c>
      <c r="B18" s="684" t="s">
        <v>364</v>
      </c>
      <c r="C18" s="313">
        <f ca="1">ROUND(C14*F18,0)</f>
        <v>2460</v>
      </c>
      <c r="D18" s="684" t="s">
        <v>927</v>
      </c>
      <c r="E18" s="684" t="s">
        <v>365</v>
      </c>
      <c r="F18" s="707">
        <f>'数据-取费表'!B36</f>
        <v>1.4999999999999999E-2</v>
      </c>
      <c r="G18" s="2285"/>
      <c r="H18" s="2434" t="s">
        <v>2377</v>
      </c>
      <c r="I18" s="684" t="s">
        <v>935</v>
      </c>
      <c r="J18" s="313">
        <f ca="1">ROUND(J5*M18/(1+'数据-取费表'!C42),0)</f>
        <v>0</v>
      </c>
      <c r="K18" s="2716" t="s">
        <v>936</v>
      </c>
      <c r="L18" s="684" t="s">
        <v>365</v>
      </c>
      <c r="M18" s="707">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4" t="s">
        <v>2380</v>
      </c>
      <c r="B19" s="684" t="s">
        <v>366</v>
      </c>
      <c r="C19" s="313">
        <f ca="1">SUM(C14:C18)</f>
        <v>197778</v>
      </c>
      <c r="D19" s="471" t="s">
        <v>937</v>
      </c>
      <c r="E19" s="2718"/>
      <c r="F19" s="315"/>
      <c r="G19" s="2284"/>
      <c r="H19" s="2434" t="s">
        <v>2613</v>
      </c>
      <c r="I19" s="684" t="s">
        <v>938</v>
      </c>
      <c r="J19" s="313">
        <f ca="1">IF(K19="按租金收入计税",ROUND(J5*M19,0),ROUND(C29*M19*0.7,0))</f>
        <v>2012</v>
      </c>
      <c r="K19" s="1300" t="s">
        <v>2420</v>
      </c>
      <c r="L19" s="684" t="s">
        <v>365</v>
      </c>
      <c r="M19" s="707">
        <f>IF(K19="按租金收入计税",'数据-取费表'!B51,'数据-取费表'!B50)</f>
        <v>1.2E-2</v>
      </c>
    </row>
    <row r="20" spans="1:37" s="706" customFormat="1" ht="18" customHeight="1">
      <c r="A20" s="2434" t="s">
        <v>2617</v>
      </c>
      <c r="B20" s="684" t="s">
        <v>367</v>
      </c>
      <c r="C20" s="313">
        <f ca="1">ROUND(C19*F20,0)</f>
        <v>2967</v>
      </c>
      <c r="D20" s="709" t="s">
        <v>939</v>
      </c>
      <c r="E20" s="684" t="s">
        <v>365</v>
      </c>
      <c r="F20" s="707">
        <f>'数据-取费表'!B37</f>
        <v>1.4999999999999999E-2</v>
      </c>
      <c r="G20" s="2285"/>
      <c r="H20" s="2434" t="s">
        <v>2614</v>
      </c>
      <c r="I20" s="496" t="s">
        <v>940</v>
      </c>
      <c r="J20" s="314">
        <f ca="1">ROUND(M20*M21,0)</f>
        <v>275</v>
      </c>
      <c r="K20" s="710" t="s">
        <v>941</v>
      </c>
      <c r="L20" s="684" t="s">
        <v>942</v>
      </c>
      <c r="M20" s="711">
        <f>'数据-取费表'!B52</f>
        <v>10</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6" customFormat="1" ht="18" customHeight="1">
      <c r="A21" s="2434" t="s">
        <v>2618</v>
      </c>
      <c r="B21" s="684" t="s">
        <v>943</v>
      </c>
      <c r="C21" s="313" t="s">
        <v>23</v>
      </c>
      <c r="D21" s="709" t="s">
        <v>944</v>
      </c>
      <c r="E21" s="684" t="s">
        <v>945</v>
      </c>
      <c r="F21" s="707">
        <f>'数据-取费表'!B38</f>
        <v>1.4999999999999999E-2</v>
      </c>
      <c r="G21" s="2285"/>
      <c r="H21" s="712"/>
      <c r="I21" s="693"/>
      <c r="J21" s="318"/>
      <c r="K21" s="713"/>
      <c r="L21" s="684" t="s">
        <v>946</v>
      </c>
      <c r="M21" s="685">
        <f ca="1">INDIRECT("'数据-取费表'!r"&amp;$G$1)</f>
        <v>27.46</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4" t="s">
        <v>2619</v>
      </c>
      <c r="B22" s="684" t="s">
        <v>947</v>
      </c>
      <c r="C22" s="313"/>
      <c r="D22" s="2697" t="str">
        <f>IF(F23&lt;=1,"单利计息。","复利计息。")&amp;"建造成本、管理费用、销售费用产生的利息。"</f>
        <v>复利计息。建造成本、管理费用、销售费用产生的利息。</v>
      </c>
      <c r="E22" s="2718"/>
      <c r="F22" s="315"/>
      <c r="G22" s="2284"/>
      <c r="H22" s="2434" t="s">
        <v>2387</v>
      </c>
      <c r="I22" s="684" t="s">
        <v>948</v>
      </c>
      <c r="J22" s="313">
        <f ca="1">ROUND(J14*M22,0)</f>
        <v>3593</v>
      </c>
      <c r="K22" s="2716" t="s">
        <v>949</v>
      </c>
      <c r="L22" s="684" t="s">
        <v>365</v>
      </c>
      <c r="M22" s="714">
        <f ca="1">INDIRECT("'数据-取费表'!Ak"&amp;$G$1)</f>
        <v>1.4999999999999999E-2</v>
      </c>
    </row>
    <row r="23" spans="1:37" s="706" customFormat="1" ht="18" customHeight="1">
      <c r="A23" s="2434" t="s">
        <v>2377</v>
      </c>
      <c r="B23" s="684" t="s">
        <v>2533</v>
      </c>
      <c r="C23" s="313">
        <f ca="1">IF('数据-取费表'!B22&lt;=1,ROUND(C19*F24*F23/2,0)+ROUND(C20*F24*F23/2,0),ROUND(C19*(POWER((1+F24),F23/2)-1),0)+ROUND(C20*(POWER((1+F24),F23/2)-1),0))</f>
        <v>11989</v>
      </c>
      <c r="D23" s="2701" t="str">
        <f>IF(F23&lt;=1,"(建造成本+管理费用)×利率×(建设周期÷2)","(建造成本+管理费用)×((1+利率)^(建设周期÷2)-1)")</f>
        <v>(建造成本+管理费用)×((1+利率)^(建设周期÷2)-1)</v>
      </c>
      <c r="E23" s="684" t="s">
        <v>950</v>
      </c>
      <c r="F23" s="711">
        <f>'数据-取费表'!B20</f>
        <v>2.5</v>
      </c>
      <c r="G23" s="2285"/>
      <c r="H23" s="2434" t="s">
        <v>2618</v>
      </c>
      <c r="I23" s="684" t="s">
        <v>368</v>
      </c>
      <c r="J23" s="313">
        <f ca="1">ROUND(J13*M23,0)</f>
        <v>0</v>
      </c>
      <c r="K23" s="2716" t="s">
        <v>369</v>
      </c>
      <c r="L23" s="684" t="s">
        <v>365</v>
      </c>
      <c r="M23" s="716">
        <f ca="1">INDIRECT("'数据-取费表'!Al"&amp;$G$1)</f>
        <v>2E-3</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6" customFormat="1" ht="18" customHeight="1" thickBot="1">
      <c r="A24" s="2434" t="s">
        <v>2383</v>
      </c>
      <c r="B24" s="684" t="s">
        <v>952</v>
      </c>
      <c r="C24" s="313">
        <f ca="1">ROUND(IF('数据-取费表'!B22&lt;=1,F21*F24*F23/2,F21*(POWER((1+F24),F23/2)-1)),4)</f>
        <v>8.9999999999999998E-4</v>
      </c>
      <c r="D24" s="2701" t="str">
        <f>IF(F23&lt;=1,"销售费用×利率×(建设周期÷2)","销售费用×((1+利率)^(建设周期÷2)-1)")</f>
        <v>销售费用×((1+利率)^(建设周期÷2)-1)</v>
      </c>
      <c r="E24" s="684" t="s">
        <v>953</v>
      </c>
      <c r="F24" s="717">
        <f ca="1">'数据-取费表'!B40</f>
        <v>4.7500000000000001E-2</v>
      </c>
      <c r="G24" s="2285"/>
      <c r="H24" s="2674" t="s">
        <v>2619</v>
      </c>
      <c r="I24" s="2675" t="s">
        <v>367</v>
      </c>
      <c r="J24" s="2676">
        <f ca="1">ROUND(J5*M24,0)</f>
        <v>0</v>
      </c>
      <c r="K24" s="2677" t="s">
        <v>371</v>
      </c>
      <c r="L24" s="2675" t="s">
        <v>365</v>
      </c>
      <c r="M24" s="2671">
        <f ca="1">INDIRECT("'数据-取费表'!Am"&amp;$G$1)</f>
        <v>0.01</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4" t="s">
        <v>2384</v>
      </c>
      <c r="B25" s="684" t="s">
        <v>372</v>
      </c>
      <c r="C25" s="313"/>
      <c r="D25" s="471" t="s">
        <v>955</v>
      </c>
      <c r="E25" s="2718"/>
      <c r="F25" s="315"/>
      <c r="G25" s="2284"/>
      <c r="H25" s="2662" t="s">
        <v>2360</v>
      </c>
      <c r="I25" s="2679" t="s">
        <v>377</v>
      </c>
      <c r="J25" s="692">
        <f ca="1">J5-J16</f>
        <v>-5880</v>
      </c>
      <c r="K25" s="2680" t="s">
        <v>378</v>
      </c>
      <c r="L25" s="2681"/>
      <c r="M25" s="2682"/>
    </row>
    <row r="26" spans="1:37" ht="18" customHeight="1">
      <c r="A26" s="2434" t="s">
        <v>2377</v>
      </c>
      <c r="B26" s="684" t="s">
        <v>2534</v>
      </c>
      <c r="C26" s="313">
        <f ca="1">ROUND((C19+C20)*F26,0)</f>
        <v>10037</v>
      </c>
      <c r="D26" s="709" t="s">
        <v>958</v>
      </c>
      <c r="E26" s="695" t="s">
        <v>959</v>
      </c>
      <c r="F26" s="694">
        <f ca="1">INDIRECT("'数据-取费表'!q"&amp;$G$1)</f>
        <v>0.05</v>
      </c>
      <c r="G26" s="2284"/>
      <c r="H26" s="681" t="s">
        <v>2363</v>
      </c>
      <c r="I26" s="682" t="s">
        <v>960</v>
      </c>
      <c r="J26" s="683">
        <f ca="1">IF(J5&lt;&gt;0,ROUND(J25*(1-((1+M28)/(1+M26))^M27)/(M26-M28),0),0)</f>
        <v>0</v>
      </c>
      <c r="K26" s="710" t="s">
        <v>373</v>
      </c>
      <c r="L26" s="684" t="s">
        <v>374</v>
      </c>
      <c r="M26" s="694">
        <f ca="1">INDIRECT("'数据-取费表'!I"&amp;$G$1)</f>
        <v>0.04</v>
      </c>
    </row>
    <row r="27" spans="1:37" ht="18" customHeight="1">
      <c r="A27" s="2434" t="s">
        <v>2383</v>
      </c>
      <c r="B27" s="684" t="s">
        <v>375</v>
      </c>
      <c r="C27" s="313">
        <f ca="1">ROUND(F21*F26,4)</f>
        <v>8.0000000000000004E-4</v>
      </c>
      <c r="D27" s="709" t="s">
        <v>962</v>
      </c>
      <c r="E27" s="704"/>
      <c r="F27" s="705"/>
      <c r="G27" s="2284"/>
      <c r="H27" s="686"/>
      <c r="I27" s="687"/>
      <c r="J27" s="688"/>
      <c r="K27" s="718" t="s">
        <v>963</v>
      </c>
      <c r="L27" s="684" t="s">
        <v>381</v>
      </c>
      <c r="M27" s="719">
        <f ca="1">INDIRECT("'数据-取费表'!ag"&amp;$G$1)</f>
        <v>0</v>
      </c>
    </row>
    <row r="28" spans="1:37" s="706" customFormat="1" ht="18" customHeight="1">
      <c r="A28" s="2434" t="s">
        <v>2385</v>
      </c>
      <c r="B28" s="684" t="s">
        <v>376</v>
      </c>
      <c r="C28" s="313">
        <f>ROUND(F28/(1+'数据-取费表'!C42),4)</f>
        <v>5.33E-2</v>
      </c>
      <c r="D28" s="709" t="s">
        <v>969</v>
      </c>
      <c r="E28" s="684" t="s">
        <v>365</v>
      </c>
      <c r="F28" s="707">
        <f>'数据-取费表'!B41</f>
        <v>5.6000000000000001E-2</v>
      </c>
      <c r="G28" s="2285"/>
      <c r="H28" s="690"/>
      <c r="I28" s="691"/>
      <c r="J28" s="692"/>
      <c r="K28" s="713"/>
      <c r="L28" s="684" t="s">
        <v>382</v>
      </c>
      <c r="M28" s="694">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6" customFormat="1" ht="18" customHeight="1" thickBot="1">
      <c r="A29" s="2674" t="s">
        <v>2386</v>
      </c>
      <c r="B29" s="2675" t="s">
        <v>971</v>
      </c>
      <c r="C29" s="2676">
        <f ca="1">ROUND((C19+C20+C23+C26)/(1-F21-C24-C27-C28),0)</f>
        <v>239539</v>
      </c>
      <c r="D29" s="2677"/>
      <c r="E29" s="2675"/>
      <c r="F29" s="2678"/>
      <c r="G29" s="2285"/>
      <c r="H29" s="720" t="s">
        <v>2370</v>
      </c>
      <c r="I29" s="721" t="s">
        <v>964</v>
      </c>
      <c r="J29" s="722">
        <f ca="1">ROUND(J26/(1+F40)^F41,0)</f>
        <v>0</v>
      </c>
      <c r="K29" s="723" t="s">
        <v>965</v>
      </c>
      <c r="L29" s="724"/>
      <c r="M29" s="725">
        <f ca="1">INDIRECT("'数据-取费表'!k"&amp;$G$1)</f>
        <v>91.1</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2" t="s">
        <v>2345</v>
      </c>
      <c r="B30" s="2663" t="s">
        <v>929</v>
      </c>
      <c r="C30" s="692">
        <f ca="1">ROUND(C31+C36+C37+C38,0)</f>
        <v>7568</v>
      </c>
      <c r="D30" s="2672" t="s">
        <v>930</v>
      </c>
      <c r="E30" s="2673"/>
      <c r="F30" s="2624"/>
      <c r="G30" s="2284"/>
      <c r="H30" s="1277"/>
      <c r="I30" s="1278"/>
      <c r="J30" s="1279"/>
      <c r="K30" s="1280"/>
      <c r="L30" s="1281"/>
      <c r="M30" s="1282"/>
    </row>
    <row r="31" spans="1:37" ht="18" customHeight="1">
      <c r="A31" s="2434" t="s">
        <v>2380</v>
      </c>
      <c r="B31" s="684" t="s">
        <v>363</v>
      </c>
      <c r="C31" s="313">
        <f ca="1">ROUND(IF(项目基本情况!B11="自然人",C5*F31,C32+C33+C34),0)</f>
        <v>3325</v>
      </c>
      <c r="D31" s="2715" t="s">
        <v>933</v>
      </c>
      <c r="E31" s="2716" t="s">
        <v>972</v>
      </c>
      <c r="F31" s="708" t="str">
        <f ca="1">IF(项目基本情况!B11="企业","",IF(INDIRECT("'数据-取费表'!c"&amp;$G$1)="住宅",5%,IF(F6*F7*F8/12/(1+'数据-取费表'!C42)&gt;20000,12%,7%)))</f>
        <v/>
      </c>
      <c r="G31" s="2284"/>
      <c r="H31" s="1277"/>
      <c r="I31" s="1278"/>
      <c r="J31" s="1279"/>
      <c r="K31" s="1280"/>
      <c r="L31" s="1281"/>
      <c r="M31" s="1282"/>
    </row>
    <row r="32" spans="1:37" ht="18" customHeight="1">
      <c r="A32" s="2434" t="s">
        <v>2377</v>
      </c>
      <c r="B32" s="684" t="s">
        <v>935</v>
      </c>
      <c r="C32" s="313">
        <f ca="1">IF(项目基本情况!B11="自然人","——",ROUND(C5*F32/(1+'数据-取费表'!C42),0))</f>
        <v>1038</v>
      </c>
      <c r="D32" s="2716" t="s">
        <v>936</v>
      </c>
      <c r="E32" s="684" t="s">
        <v>365</v>
      </c>
      <c r="F32" s="717">
        <f>'数据-取费表'!B41</f>
        <v>5.6000000000000001E-2</v>
      </c>
      <c r="G32" s="2284"/>
      <c r="H32" s="1283"/>
      <c r="I32" s="1284"/>
      <c r="J32" s="1285"/>
      <c r="K32" s="1286"/>
      <c r="L32" s="1287"/>
      <c r="M32" s="1288"/>
    </row>
    <row r="33" spans="1:18" ht="18" customHeight="1">
      <c r="A33" s="2434" t="s">
        <v>2613</v>
      </c>
      <c r="B33" s="684" t="s">
        <v>938</v>
      </c>
      <c r="C33" s="313">
        <f ca="1">IF(项目基本情况!B11="自然人","——",IF(D33="按租金收入计税",ROUND(C5*F33,0),IF(D33="按房产原值计税",ROUND(C29*F33*0.7,0),INDIRECT("'数据-取费表'!Aj"&amp;$G$1))))</f>
        <v>2012</v>
      </c>
      <c r="D33" s="1300" t="s">
        <v>2420</v>
      </c>
      <c r="E33" s="684" t="s">
        <v>365</v>
      </c>
      <c r="F33" s="707">
        <f>IF(D33="按票据","——",IF(D33="按租金收入计税",'数据-取费表'!B51,'数据-取费表'!B50))</f>
        <v>1.2E-2</v>
      </c>
      <c r="G33" s="2284"/>
      <c r="H33" s="1289"/>
      <c r="I33" s="2877"/>
      <c r="J33" s="2878"/>
      <c r="K33" s="1290"/>
      <c r="L33" s="1289"/>
      <c r="M33" s="1289"/>
    </row>
    <row r="34" spans="1:18" ht="18" customHeight="1">
      <c r="A34" s="2618" t="s">
        <v>2614</v>
      </c>
      <c r="B34" s="496" t="s">
        <v>940</v>
      </c>
      <c r="C34" s="314">
        <f ca="1">IF(项目基本情况!B11="自然人","——",ROUND(F34*F35,))</f>
        <v>275</v>
      </c>
      <c r="D34" s="710" t="s">
        <v>941</v>
      </c>
      <c r="E34" s="684" t="s">
        <v>942</v>
      </c>
      <c r="F34" s="711">
        <f>'数据-取费表'!B52</f>
        <v>10</v>
      </c>
      <c r="G34" s="2284"/>
      <c r="H34" s="1277"/>
      <c r="I34" s="2877"/>
      <c r="J34" s="2878"/>
      <c r="K34" s="1291"/>
      <c r="L34" s="1292"/>
      <c r="M34" s="1292"/>
    </row>
    <row r="35" spans="1:18" ht="18" customHeight="1">
      <c r="A35" s="2692"/>
      <c r="B35" s="2690"/>
      <c r="C35" s="318"/>
      <c r="D35" s="713"/>
      <c r="E35" s="684" t="s">
        <v>946</v>
      </c>
      <c r="F35" s="685">
        <f ca="1">INDIRECT("'数据-取费表'!r"&amp;$G$1)</f>
        <v>27.46</v>
      </c>
      <c r="G35" s="2284"/>
      <c r="H35" s="1277"/>
      <c r="I35" s="2877"/>
      <c r="J35" s="2878"/>
      <c r="K35" s="1290"/>
      <c r="L35" s="1289"/>
      <c r="M35" s="1289"/>
    </row>
    <row r="36" spans="1:18" ht="18" customHeight="1">
      <c r="A36" s="2691" t="s">
        <v>2387</v>
      </c>
      <c r="B36" s="684" t="s">
        <v>948</v>
      </c>
      <c r="C36" s="313">
        <f ca="1">ROUND(C29*F36,0)</f>
        <v>3593</v>
      </c>
      <c r="D36" s="2716" t="s">
        <v>978</v>
      </c>
      <c r="E36" s="684" t="s">
        <v>365</v>
      </c>
      <c r="F36" s="714">
        <f ca="1">INDIRECT("'数据-取费表'!Ak"&amp;$G$1)</f>
        <v>1.4999999999999999E-2</v>
      </c>
      <c r="G36" s="2284"/>
      <c r="H36" s="1289"/>
      <c r="I36" s="2877"/>
      <c r="J36" s="2878"/>
      <c r="K36" s="1293"/>
      <c r="L36" s="1289"/>
      <c r="M36" s="1289"/>
    </row>
    <row r="37" spans="1:18" ht="18" customHeight="1">
      <c r="A37" s="2434" t="s">
        <v>2618</v>
      </c>
      <c r="B37" s="684" t="s">
        <v>368</v>
      </c>
      <c r="C37" s="313">
        <f ca="1">ROUND(C13*F37,0)</f>
        <v>455</v>
      </c>
      <c r="D37" s="2716" t="s">
        <v>369</v>
      </c>
      <c r="E37" s="684" t="s">
        <v>365</v>
      </c>
      <c r="F37" s="716">
        <f ca="1">INDIRECT("'数据-取费表'!Al"&amp;$G$1)</f>
        <v>2E-3</v>
      </c>
      <c r="G37" s="2284"/>
      <c r="H37" s="1289"/>
      <c r="I37" s="2877"/>
      <c r="J37" s="2878"/>
      <c r="K37" s="1293"/>
      <c r="L37" s="1289"/>
      <c r="M37" s="1289"/>
    </row>
    <row r="38" spans="1:18" ht="18" customHeight="1" thickBot="1">
      <c r="A38" s="2674" t="s">
        <v>2619</v>
      </c>
      <c r="B38" s="2675" t="s">
        <v>367</v>
      </c>
      <c r="C38" s="2676">
        <f ca="1">ROUND(C5*F38,1)</f>
        <v>194.7</v>
      </c>
      <c r="D38" s="2677" t="s">
        <v>371</v>
      </c>
      <c r="E38" s="2675" t="s">
        <v>365</v>
      </c>
      <c r="F38" s="2671">
        <f ca="1">INDIRECT("'数据-取费表'!Am"&amp;$G$1)</f>
        <v>0.01</v>
      </c>
      <c r="G38" s="2284"/>
      <c r="H38" s="1289"/>
      <c r="I38" s="2877"/>
      <c r="J38" s="2878"/>
      <c r="K38" s="1294"/>
      <c r="L38" s="1289"/>
      <c r="M38" s="1289"/>
    </row>
    <row r="39" spans="1:18" ht="24.6" customHeight="1" thickTop="1">
      <c r="A39" s="2662" t="s">
        <v>2360</v>
      </c>
      <c r="B39" s="2679" t="s">
        <v>377</v>
      </c>
      <c r="C39" s="692">
        <f ca="1">C5-C30</f>
        <v>11899</v>
      </c>
      <c r="D39" s="2680" t="s">
        <v>378</v>
      </c>
      <c r="E39" s="2681"/>
      <c r="F39" s="2682"/>
      <c r="G39" s="2284"/>
      <c r="H39" s="1289"/>
      <c r="I39" s="2877"/>
      <c r="J39" s="2878"/>
      <c r="K39" s="1294"/>
      <c r="L39" s="1289"/>
      <c r="M39" s="1289"/>
    </row>
    <row r="40" spans="1:18" ht="18" customHeight="1">
      <c r="A40" s="681" t="s">
        <v>2363</v>
      </c>
      <c r="B40" s="682" t="s">
        <v>379</v>
      </c>
      <c r="C40" s="683">
        <f ca="1">ROUND(C39*(1-((1+F42)/(1+F40))^F41)/(F40-F42),0)</f>
        <v>451705</v>
      </c>
      <c r="D40" s="710" t="s">
        <v>373</v>
      </c>
      <c r="E40" s="684" t="s">
        <v>374</v>
      </c>
      <c r="F40" s="694">
        <f ca="1">INDIRECT("'数据-取费表'!I"&amp;$G$1)</f>
        <v>0.04</v>
      </c>
      <c r="G40" s="2284"/>
      <c r="H40" s="1295"/>
      <c r="I40" s="2877"/>
      <c r="J40" s="2878"/>
      <c r="K40" s="1294"/>
      <c r="L40" s="1295"/>
      <c r="M40" s="1295"/>
    </row>
    <row r="41" spans="1:18" ht="18" customHeight="1">
      <c r="A41" s="686"/>
      <c r="B41" s="687"/>
      <c r="C41" s="688"/>
      <c r="D41" s="718" t="s">
        <v>380</v>
      </c>
      <c r="E41" s="684" t="s">
        <v>381</v>
      </c>
      <c r="F41" s="719">
        <f ca="1">IF(INDIRECT("'数据-取费表'!af"&amp;$G$1)=0,INDIRECT("'数据-取费表'!ae"&amp;$G$1),INDIRECT("'数据-取费表'!af"&amp;$G$1))</f>
        <v>58</v>
      </c>
      <c r="G41" s="2284"/>
      <c r="H41" s="1191"/>
      <c r="I41" s="2877"/>
      <c r="J41" s="2878"/>
      <c r="K41" s="1293"/>
      <c r="L41" s="1191"/>
      <c r="M41" s="1191"/>
    </row>
    <row r="42" spans="1:18" ht="18" customHeight="1">
      <c r="A42" s="690"/>
      <c r="B42" s="691"/>
      <c r="C42" s="692"/>
      <c r="D42" s="713"/>
      <c r="E42" s="684" t="s">
        <v>382</v>
      </c>
      <c r="F42" s="694">
        <f ca="1">INDIRECT("'数据-取费表'!v"&amp;$G$1)</f>
        <v>2.5000000000000001E-2</v>
      </c>
      <c r="G42" s="2284"/>
      <c r="H42" s="1191"/>
      <c r="I42" s="2877"/>
      <c r="J42" s="2878"/>
      <c r="K42" s="1293"/>
      <c r="L42" s="1191"/>
      <c r="M42" s="1191"/>
    </row>
    <row r="43" spans="1:18" ht="18" customHeight="1" thickBot="1">
      <c r="A43" s="720" t="s">
        <v>2370</v>
      </c>
      <c r="B43" s="721" t="s">
        <v>383</v>
      </c>
      <c r="C43" s="722">
        <f ca="1">ROUND(C40/F43,0)</f>
        <v>4958</v>
      </c>
      <c r="D43" s="723" t="s">
        <v>384</v>
      </c>
      <c r="E43" s="724" t="s">
        <v>385</v>
      </c>
      <c r="F43" s="725">
        <f ca="1">INDIRECT("'数据-取费表'!k"&amp;$G$1)</f>
        <v>91.1</v>
      </c>
      <c r="G43" s="2284"/>
      <c r="H43" s="1191"/>
      <c r="I43" s="1191"/>
      <c r="J43" s="1191"/>
      <c r="K43" s="1293"/>
      <c r="L43" s="1191"/>
      <c r="M43" s="1191"/>
    </row>
    <row r="44" spans="1:18" s="1454" customFormat="1" ht="18" customHeight="1">
      <c r="A44" s="1432"/>
      <c r="B44" s="1432"/>
      <c r="C44" s="1453">
        <f ca="1">ROUND(B3*'数据-基础表'!I13/10000,0)</f>
        <v>762</v>
      </c>
      <c r="D44" s="1432"/>
      <c r="E44" s="1432"/>
      <c r="F44" s="1432"/>
      <c r="K44" s="1455"/>
    </row>
    <row r="45" spans="1:18" s="1454" customFormat="1" ht="18" customHeight="1" thickBot="1">
      <c r="A45" s="1432"/>
      <c r="B45" s="1432"/>
      <c r="C45" s="2723">
        <f ca="1">C68-C40</f>
        <v>-692191</v>
      </c>
      <c r="D45" s="2724" t="s">
        <v>2629</v>
      </c>
      <c r="E45" s="1432"/>
      <c r="F45" s="1432"/>
      <c r="O45" s="2587" t="s">
        <v>2493</v>
      </c>
      <c r="P45" s="1295"/>
      <c r="Q45" s="1295"/>
      <c r="R45" s="1295"/>
    </row>
    <row r="46" spans="1:18" s="1454" customFormat="1" ht="21" thickBot="1">
      <c r="A46" s="2392" t="s">
        <v>2332</v>
      </c>
      <c r="B46" s="2393"/>
      <c r="C46" s="2721">
        <f ca="1">ROUND(C45/10000,0)</f>
        <v>-69</v>
      </c>
      <c r="D46" s="2722" t="str">
        <f>C2</f>
        <v>万元</v>
      </c>
      <c r="I46" s="2574" t="s">
        <v>2428</v>
      </c>
      <c r="J46" s="2575"/>
      <c r="K46" s="2576"/>
      <c r="L46" s="2578">
        <f>IF(M47="住宅",0,IF(L48&gt;J51,L60,J60))</f>
        <v>0</v>
      </c>
      <c r="O46" s="2590" t="s">
        <v>2471</v>
      </c>
      <c r="P46" s="2591" t="s">
        <v>2472</v>
      </c>
      <c r="Q46" s="2592" t="s">
        <v>2470</v>
      </c>
      <c r="R46" s="2592" t="s">
        <v>2473</v>
      </c>
    </row>
    <row r="47" spans="1:18" s="1454" customFormat="1" ht="15.75" thickBot="1">
      <c r="A47" s="2394" t="s">
        <v>913</v>
      </c>
      <c r="B47" s="2430" t="s">
        <v>914</v>
      </c>
      <c r="C47" s="2430" t="s">
        <v>915</v>
      </c>
      <c r="D47" s="2430" t="s">
        <v>916</v>
      </c>
      <c r="E47" s="2533" t="s">
        <v>917</v>
      </c>
      <c r="F47" s="2534"/>
      <c r="G47" s="1456"/>
      <c r="I47" s="2549" t="s">
        <v>2421</v>
      </c>
      <c r="J47" s="2550" t="s">
        <v>3131</v>
      </c>
      <c r="K47" s="2559" t="s">
        <v>2444</v>
      </c>
      <c r="L47" s="2560">
        <f ca="1">INDIRECT("'数据-取费表'!d"&amp;$G$1)</f>
        <v>0</v>
      </c>
      <c r="M47" s="2580" t="str">
        <f>IF(ISNUMBER(FIND("住宅",C1)),"住宅","非住宅")</f>
        <v>住宅</v>
      </c>
      <c r="O47" s="2583" t="s">
        <v>2456</v>
      </c>
      <c r="P47" s="2593" t="s">
        <v>2474</v>
      </c>
      <c r="Q47" s="2584">
        <f ca="1">C40+J29</f>
        <v>451705</v>
      </c>
      <c r="R47" s="2584" t="s">
        <v>2475</v>
      </c>
    </row>
    <row r="48" spans="1:18" s="1454" customFormat="1" ht="47.25" thickBot="1">
      <c r="A48" s="2707" t="s">
        <v>2624</v>
      </c>
      <c r="B48" s="682" t="s">
        <v>2339</v>
      </c>
      <c r="C48" s="2717">
        <f ca="1">C49+C53+C55</f>
        <v>0</v>
      </c>
      <c r="D48" s="2711"/>
      <c r="E48" s="2712"/>
      <c r="F48" s="2414"/>
      <c r="G48" s="1456"/>
      <c r="H48" s="1457"/>
      <c r="I48" s="2540" t="s">
        <v>2422</v>
      </c>
      <c r="J48" s="2551" t="s">
        <v>2423</v>
      </c>
      <c r="K48" s="2561" t="s">
        <v>682</v>
      </c>
      <c r="L48" s="2164">
        <f ca="1">INDIRECT("'数据-取费表'!f"&amp;$G$1)</f>
        <v>64.08</v>
      </c>
      <c r="O48" s="2583" t="s">
        <v>2457</v>
      </c>
      <c r="P48" s="2593" t="s">
        <v>2476</v>
      </c>
      <c r="Q48" s="2584" t="str">
        <f ca="1">J60</f>
        <v>0</v>
      </c>
      <c r="R48" s="2584" t="s">
        <v>2484</v>
      </c>
    </row>
    <row r="49" spans="1:18" s="1454" customFormat="1" ht="15.75" thickBot="1">
      <c r="A49" s="2427" t="s">
        <v>2625</v>
      </c>
      <c r="B49" s="2710" t="s">
        <v>2627</v>
      </c>
      <c r="C49" s="2719">
        <f ca="1">ROUND(F49*F51*F50*(1-F52),0)</f>
        <v>0</v>
      </c>
      <c r="D49" s="2529" t="s">
        <v>2340</v>
      </c>
      <c r="E49" s="2532" t="s">
        <v>2333</v>
      </c>
      <c r="F49" s="2535"/>
      <c r="G49" s="1458"/>
      <c r="H49" s="1457"/>
      <c r="I49" s="2540" t="s">
        <v>2442</v>
      </c>
      <c r="J49" s="3416">
        <v>2015</v>
      </c>
      <c r="K49" s="2562" t="s">
        <v>2447</v>
      </c>
      <c r="L49" s="2563"/>
      <c r="O49" s="2585" t="s">
        <v>2458</v>
      </c>
      <c r="P49" s="2593" t="s">
        <v>2477</v>
      </c>
      <c r="Q49" s="2584">
        <f ca="1">C29</f>
        <v>239539</v>
      </c>
      <c r="R49" s="2584" t="s">
        <v>2475</v>
      </c>
    </row>
    <row r="50" spans="1:18" s="1454" customFormat="1" ht="15.75" thickBot="1">
      <c r="A50" s="2428"/>
      <c r="B50" s="2431"/>
      <c r="C50" s="2432"/>
      <c r="D50" s="2401"/>
      <c r="E50" s="2530" t="s">
        <v>919</v>
      </c>
      <c r="F50" s="2531">
        <f ca="1">F7</f>
        <v>1</v>
      </c>
      <c r="H50" s="1457"/>
      <c r="I50" s="2540" t="s">
        <v>2424</v>
      </c>
      <c r="J50" s="2553">
        <f>SUMPRODUCT((I63:I65=J47)*(J62:L62=J48)*(J63:L65))</f>
        <v>60</v>
      </c>
      <c r="K50" s="2562" t="s">
        <v>2448</v>
      </c>
      <c r="L50" s="2563"/>
      <c r="M50" s="2557"/>
      <c r="O50" s="2585" t="s">
        <v>2459</v>
      </c>
      <c r="P50" s="2593" t="s">
        <v>2485</v>
      </c>
      <c r="Q50" s="2586" t="e">
        <f ca="1">J58</f>
        <v>#VALUE!</v>
      </c>
      <c r="R50" s="2584"/>
    </row>
    <row r="51" spans="1:18" s="1454" customFormat="1" ht="15.75" thickBot="1">
      <c r="A51" s="2429"/>
      <c r="B51" s="2431"/>
      <c r="C51" s="2432"/>
      <c r="D51" s="2401"/>
      <c r="E51" s="2433" t="s">
        <v>920</v>
      </c>
      <c r="F51" s="685">
        <f ca="1">F8</f>
        <v>12</v>
      </c>
      <c r="I51" s="2554" t="s">
        <v>2429</v>
      </c>
      <c r="J51" s="2555">
        <f>IF(J49="",J50,J49+J50-YEAR('数据-取费表'!B2))</f>
        <v>58</v>
      </c>
      <c r="K51" s="2564" t="s">
        <v>2449</v>
      </c>
      <c r="L51" s="2577">
        <f ca="1">ROUND(-PV(INDIRECT("'数据-取费表'!h"&amp;$G$1),L48,(C39-C13*C76),0),0)</f>
        <v>-73527</v>
      </c>
      <c r="M51" s="2558"/>
      <c r="O51" s="2585" t="s">
        <v>2460</v>
      </c>
      <c r="P51" s="2593" t="s">
        <v>2486</v>
      </c>
      <c r="Q51" s="2586">
        <f>J52</f>
        <v>0</v>
      </c>
      <c r="R51" s="2584"/>
    </row>
    <row r="52" spans="1:18" s="1454" customFormat="1" ht="15.75" thickBot="1">
      <c r="A52" s="2429"/>
      <c r="B52" s="2431"/>
      <c r="C52" s="2432"/>
      <c r="D52" s="2401"/>
      <c r="E52" s="2433" t="s">
        <v>921</v>
      </c>
      <c r="F52" s="2528"/>
      <c r="I52" s="2556" t="s">
        <v>2452</v>
      </c>
      <c r="J52" s="2570"/>
      <c r="K52" s="2556" t="s">
        <v>2437</v>
      </c>
      <c r="L52" s="2570"/>
      <c r="M52" s="2393"/>
      <c r="O52" s="2585" t="s">
        <v>2461</v>
      </c>
      <c r="P52" s="2593" t="s">
        <v>2478</v>
      </c>
      <c r="Q52" s="2584">
        <f>J53</f>
        <v>58</v>
      </c>
      <c r="R52" s="2584" t="s">
        <v>2479</v>
      </c>
    </row>
    <row r="53" spans="1:18" s="1454" customFormat="1" ht="43.5" thickBot="1">
      <c r="A53" s="2708" t="s">
        <v>2626</v>
      </c>
      <c r="B53" s="2709" t="s">
        <v>2536</v>
      </c>
      <c r="C53" s="698">
        <f ca="1">ROUND(IF(F53="押一",F49*F51*F50/12*F11,IF(F53="押二",F49*F51*F50/12*2*F11,IF(F53="押三",F49*F51*F50/12*3*F11,C54*F11))),0)</f>
        <v>0</v>
      </c>
      <c r="D53" s="2630" t="s">
        <v>2544</v>
      </c>
      <c r="E53" s="2093" t="s">
        <v>2538</v>
      </c>
      <c r="F53" s="2824"/>
      <c r="I53" s="2566" t="s">
        <v>2454</v>
      </c>
      <c r="J53" s="2567">
        <f>IF(M47="住宅",J51,MIN(J51,L48))</f>
        <v>58</v>
      </c>
      <c r="K53" s="3635"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636"/>
      <c r="O53" s="2583" t="s">
        <v>2462</v>
      </c>
      <c r="P53" s="2593" t="s">
        <v>2480</v>
      </c>
      <c r="Q53" s="2584">
        <f ca="1">Q47+Q48</f>
        <v>451705</v>
      </c>
      <c r="R53" s="2584" t="s">
        <v>2463</v>
      </c>
    </row>
    <row r="54" spans="1:18" s="1454" customFormat="1" ht="16.5" thickBot="1">
      <c r="A54" s="2427"/>
      <c r="B54" s="2821" t="s">
        <v>2699</v>
      </c>
      <c r="C54" s="2411"/>
      <c r="D54" s="2630"/>
      <c r="E54" s="2774"/>
      <c r="F54" s="2536"/>
      <c r="I54" s="2408"/>
      <c r="J54" s="2565"/>
      <c r="K54" s="2565"/>
      <c r="L54" s="2565"/>
      <c r="M54" s="1458"/>
      <c r="O54" s="2587" t="s">
        <v>2487</v>
      </c>
      <c r="P54" s="1295"/>
      <c r="Q54" s="1295"/>
      <c r="R54" s="1295"/>
    </row>
    <row r="55" spans="1:18" s="1454" customFormat="1" ht="15.75" thickBot="1">
      <c r="A55" s="2666" t="s">
        <v>2549</v>
      </c>
      <c r="B55" s="2667" t="s">
        <v>2537</v>
      </c>
      <c r="C55" s="2668"/>
      <c r="D55" s="2630"/>
      <c r="E55" s="2713"/>
      <c r="F55" s="2536"/>
      <c r="I55" s="3314" t="s">
        <v>2430</v>
      </c>
      <c r="J55" s="3313" t="e">
        <f ca="1">ROUND(IF(J47="钢混",J57/J50,1-(1-2%)*(J50-J57)/J50),3)</f>
        <v>#VALUE!</v>
      </c>
      <c r="K55" s="2547" t="s">
        <v>2431</v>
      </c>
      <c r="L55" s="2569"/>
      <c r="O55" s="2590" t="s">
        <v>2471</v>
      </c>
      <c r="P55" s="2591" t="s">
        <v>2472</v>
      </c>
      <c r="Q55" s="2592" t="s">
        <v>2470</v>
      </c>
      <c r="R55" s="2592" t="s">
        <v>2473</v>
      </c>
    </row>
    <row r="56" spans="1:18" s="1454" customFormat="1" ht="44.25" thickTop="1" thickBot="1">
      <c r="A56" s="2405">
        <v>2</v>
      </c>
      <c r="B56" s="2406" t="s">
        <v>922</v>
      </c>
      <c r="C56" s="608">
        <f ca="1">C13</f>
        <v>227562</v>
      </c>
      <c r="D56" s="2694"/>
      <c r="E56" s="2407"/>
      <c r="F56" s="2536"/>
      <c r="I56" s="2539" t="s">
        <v>2432</v>
      </c>
      <c r="J56" s="2568" t="s">
        <v>41</v>
      </c>
      <c r="K56" s="2540" t="s">
        <v>2436</v>
      </c>
      <c r="L56" s="2164">
        <f ca="1">IF(L48&lt;J51,"——",L48-J51)</f>
        <v>6.0799999999999983</v>
      </c>
      <c r="O56" s="2583" t="s">
        <v>2456</v>
      </c>
      <c r="P56" s="2593" t="s">
        <v>2474</v>
      </c>
      <c r="Q56" s="2584">
        <f ca="1">C40+J29</f>
        <v>451705</v>
      </c>
      <c r="R56" s="2584" t="s">
        <v>2475</v>
      </c>
    </row>
    <row r="57" spans="1:18" s="1454" customFormat="1" ht="29.25" thickBot="1">
      <c r="A57" s="2537"/>
      <c r="B57" s="2398" t="s">
        <v>971</v>
      </c>
      <c r="C57" s="614">
        <f ca="1">C29</f>
        <v>239539</v>
      </c>
      <c r="D57" s="2409"/>
      <c r="E57" s="2410"/>
      <c r="F57" s="2538"/>
      <c r="I57" s="2541" t="s">
        <v>2453</v>
      </c>
      <c r="J57" s="2545" t="str">
        <f ca="1">IF(OR(M47="住宅",J51&lt;L48,J56="是"),"——",J51-L48)</f>
        <v>——</v>
      </c>
      <c r="K57" s="2540" t="s">
        <v>2446</v>
      </c>
      <c r="L57" s="2164">
        <f ca="1">IF(L48&lt;J51,"——",IF(L55="比较法",L49,IF(L55="基准地价",L50,L51)))</f>
        <v>-73527</v>
      </c>
      <c r="O57" s="2583" t="s">
        <v>2457</v>
      </c>
      <c r="P57" s="2593" t="s">
        <v>2481</v>
      </c>
      <c r="Q57" s="2584">
        <f ca="1">L60</f>
        <v>0</v>
      </c>
      <c r="R57" s="2584" t="s">
        <v>2496</v>
      </c>
    </row>
    <row r="58" spans="1:18" s="1454" customFormat="1" ht="29.25" thickBot="1">
      <c r="A58" s="697" t="s">
        <v>2345</v>
      </c>
      <c r="B58" s="2406" t="s">
        <v>929</v>
      </c>
      <c r="C58" s="698">
        <f ca="1">ROUND(C59+C64+C65+C66,0)</f>
        <v>6335</v>
      </c>
      <c r="D58" s="2412" t="s">
        <v>930</v>
      </c>
      <c r="E58" s="2413"/>
      <c r="F58" s="2414"/>
      <c r="I58" s="2541" t="s">
        <v>2433</v>
      </c>
      <c r="J58" s="3315" t="e">
        <f ca="1">IF(J55&lt;0.4,0.4,J55)</f>
        <v>#VALUE!</v>
      </c>
      <c r="K58" s="2564" t="s">
        <v>2455</v>
      </c>
      <c r="L58" s="2164">
        <f ca="1">IF(ISERROR(POWER(1+L52,L47-L48)*(POWER(1+L52,L48)-1)/(POWER(1+L52,L47)-1)),0,POWER(1+L52,L47-L48)*(POWER(1+L52,L48)-1)/(POWER(1+L52,L47)-1))</f>
        <v>0</v>
      </c>
      <c r="O58" s="2585" t="s">
        <v>2458</v>
      </c>
      <c r="P58" s="2593" t="s">
        <v>2488</v>
      </c>
      <c r="Q58" s="2584">
        <f>IF(L55="比较法",L49,IF(L55="基准地价",L50,0))</f>
        <v>0</v>
      </c>
      <c r="R58" s="2584" t="s">
        <v>2475</v>
      </c>
    </row>
    <row r="59" spans="1:18" s="1454" customFormat="1" ht="29.25" thickBot="1">
      <c r="A59" s="2434" t="s">
        <v>2380</v>
      </c>
      <c r="B59" s="2398" t="s">
        <v>363</v>
      </c>
      <c r="C59" s="313">
        <f ca="1">ROUND(IF(项目基本情况!B11="自然人",C48*F59,C60+C61+C62),0)</f>
        <v>2287</v>
      </c>
      <c r="D59" s="2415" t="s">
        <v>933</v>
      </c>
      <c r="E59" s="2416" t="s">
        <v>934</v>
      </c>
      <c r="F59" s="708" t="str">
        <f ca="1">IF(项目基本情况!B11="企业","",IF(INDIRECT("'数据-取费表'!c"&amp;$G$1)="住宅",5%,IF(F49*F50*F51/12/(1+'数据-取费表'!C42)&gt;20000,12%,7%)))</f>
        <v/>
      </c>
      <c r="I59" s="2541" t="s">
        <v>2434</v>
      </c>
      <c r="J59" s="2545" t="str">
        <f ca="1">IF(OR(M47="住宅",J51&lt;L48,J56="是"),"——",ROUND(C29*J58,0))</f>
        <v>——</v>
      </c>
      <c r="K59" s="2564" t="s">
        <v>2443</v>
      </c>
      <c r="L59" s="2164">
        <f ca="1">IF(ISERROR(POWER(1+L52,L47-J51)*(POWER(1+L52,J51)-1)/(POWER(1+L52,L47)-1)),0,POWER(1+L52,L47-J51)*(POWER(1+L52,J51)-1)/(POWER(1+L52,L47)-1))</f>
        <v>0</v>
      </c>
      <c r="O59" s="2585" t="s">
        <v>2459</v>
      </c>
      <c r="P59" s="2593" t="s">
        <v>2489</v>
      </c>
      <c r="Q59" s="2586">
        <f>L52</f>
        <v>0</v>
      </c>
      <c r="R59" s="2584"/>
    </row>
    <row r="60" spans="1:18" s="1454" customFormat="1" ht="20.25" thickBot="1">
      <c r="A60" s="2434" t="s">
        <v>2377</v>
      </c>
      <c r="B60" s="2398" t="s">
        <v>935</v>
      </c>
      <c r="C60" s="313">
        <f ca="1">IF(项目基本情况!B11="自然人","——",ROUND(C48*F60/(1+'数据-取费表'!C42),0))</f>
        <v>0</v>
      </c>
      <c r="D60" s="2416" t="s">
        <v>936</v>
      </c>
      <c r="E60" s="2398" t="s">
        <v>365</v>
      </c>
      <c r="F60" s="717">
        <f t="shared" ref="F60:F66" si="0">F32</f>
        <v>5.6000000000000001E-2</v>
      </c>
      <c r="I60" s="2542" t="s">
        <v>2435</v>
      </c>
      <c r="J60" s="2546" t="str">
        <f ca="1">IF(OR(M47="住宅",J51&lt;L48,J56="是"),"0",ROUND(J59/(1+J52)^J53,0))</f>
        <v>0</v>
      </c>
      <c r="K60" s="2548" t="s">
        <v>2438</v>
      </c>
      <c r="L60" s="2546">
        <f ca="1">IF(OR(M47="住宅",L48&lt;J51),0,ROUND(L57*(L58/L59-1),0))</f>
        <v>0</v>
      </c>
      <c r="O60" s="2585" t="s">
        <v>2460</v>
      </c>
      <c r="P60" s="2593" t="s">
        <v>2490</v>
      </c>
      <c r="Q60" s="2584">
        <f ca="1">L58</f>
        <v>0</v>
      </c>
      <c r="R60" s="2584" t="s">
        <v>2465</v>
      </c>
    </row>
    <row r="61" spans="1:18" s="1454" customFormat="1" ht="20.25" thickBot="1">
      <c r="A61" s="2434" t="s">
        <v>2378</v>
      </c>
      <c r="B61" s="2398" t="s">
        <v>938</v>
      </c>
      <c r="C61" s="313">
        <f ca="1">IF(项目基本情况!B11="自然人","——",IF(D61="按租金收入计税",ROUND(C48*F61,0),IF(D61="按房产原值计税",ROUND(C57*F61*0.7,0),INDIRECT("'数据-取费表'!Aj"&amp;$G$1))))</f>
        <v>2012</v>
      </c>
      <c r="D61" s="1300" t="s">
        <v>2420</v>
      </c>
      <c r="E61" s="2398" t="s">
        <v>365</v>
      </c>
      <c r="F61" s="707">
        <f t="shared" si="0"/>
        <v>1.2E-2</v>
      </c>
      <c r="I61" s="2408"/>
      <c r="J61" s="2408"/>
      <c r="K61" s="2408"/>
      <c r="L61" s="2408"/>
      <c r="O61" s="2585" t="s">
        <v>2461</v>
      </c>
      <c r="P61" s="2593" t="s">
        <v>2491</v>
      </c>
      <c r="Q61" s="2584">
        <f ca="1">L59</f>
        <v>0</v>
      </c>
      <c r="R61" s="2584" t="s">
        <v>2466</v>
      </c>
    </row>
    <row r="62" spans="1:18" s="1454" customFormat="1" ht="15.75" thickBot="1">
      <c r="A62" s="2434" t="s">
        <v>2379</v>
      </c>
      <c r="B62" s="2397" t="s">
        <v>940</v>
      </c>
      <c r="C62" s="314">
        <f ca="1">IF(项目基本情况!B11="自然人","——",ROUND(F62*F63,0))</f>
        <v>275</v>
      </c>
      <c r="D62" s="2417" t="s">
        <v>941</v>
      </c>
      <c r="E62" s="2398" t="s">
        <v>942</v>
      </c>
      <c r="F62" s="711">
        <f t="shared" si="0"/>
        <v>10</v>
      </c>
      <c r="I62" s="2543" t="s">
        <v>2425</v>
      </c>
      <c r="J62" s="2544" t="s">
        <v>2426</v>
      </c>
      <c r="K62" s="2544" t="s">
        <v>2427</v>
      </c>
      <c r="L62" s="2544" t="s">
        <v>2423</v>
      </c>
      <c r="M62" s="3316" t="s">
        <v>3036</v>
      </c>
      <c r="O62" s="2583" t="s">
        <v>2462</v>
      </c>
      <c r="P62" s="2593" t="s">
        <v>2480</v>
      </c>
      <c r="Q62" s="2584">
        <f ca="1">Q56+Q57</f>
        <v>451705</v>
      </c>
      <c r="R62" s="2584" t="s">
        <v>2463</v>
      </c>
    </row>
    <row r="63" spans="1:18" s="1454" customFormat="1" ht="16.5" thickBot="1">
      <c r="A63" s="712"/>
      <c r="B63" s="2404"/>
      <c r="C63" s="318"/>
      <c r="D63" s="2418"/>
      <c r="E63" s="2398" t="s">
        <v>946</v>
      </c>
      <c r="F63" s="685">
        <f t="shared" ca="1" si="0"/>
        <v>27.46</v>
      </c>
      <c r="I63" s="2543" t="s">
        <v>2439</v>
      </c>
      <c r="J63" s="3319">
        <v>70</v>
      </c>
      <c r="K63" s="3319">
        <v>50</v>
      </c>
      <c r="L63" s="3319">
        <v>80</v>
      </c>
      <c r="M63" s="3317">
        <v>0.02</v>
      </c>
      <c r="O63" s="2587" t="s">
        <v>2494</v>
      </c>
      <c r="P63" s="1295"/>
      <c r="Q63" s="1295"/>
      <c r="R63" s="1295"/>
    </row>
    <row r="64" spans="1:18" s="1454" customFormat="1" ht="15.75" thickBot="1">
      <c r="A64" s="2434" t="s">
        <v>2387</v>
      </c>
      <c r="B64" s="2398" t="s">
        <v>948</v>
      </c>
      <c r="C64" s="313">
        <f ca="1">ROUND(C57*F64,0)</f>
        <v>3593</v>
      </c>
      <c r="D64" s="2416" t="s">
        <v>978</v>
      </c>
      <c r="E64" s="2398" t="s">
        <v>365</v>
      </c>
      <c r="F64" s="714">
        <f t="shared" ca="1" si="0"/>
        <v>1.4999999999999999E-2</v>
      </c>
      <c r="I64" s="2543" t="s">
        <v>107</v>
      </c>
      <c r="J64" s="3319">
        <v>50</v>
      </c>
      <c r="K64" s="3319">
        <v>35</v>
      </c>
      <c r="L64" s="3319">
        <v>60</v>
      </c>
      <c r="M64" s="3318">
        <v>0</v>
      </c>
      <c r="O64" s="2590" t="s">
        <v>2471</v>
      </c>
      <c r="P64" s="2591" t="s">
        <v>2472</v>
      </c>
      <c r="Q64" s="2592" t="s">
        <v>2470</v>
      </c>
      <c r="R64" s="2592" t="s">
        <v>2473</v>
      </c>
    </row>
    <row r="65" spans="1:18" s="1454" customFormat="1" ht="15.75" thickBot="1">
      <c r="A65" s="2434" t="s">
        <v>2381</v>
      </c>
      <c r="B65" s="2398" t="s">
        <v>368</v>
      </c>
      <c r="C65" s="313">
        <f ca="1">ROUND(C56*F65,0)</f>
        <v>455</v>
      </c>
      <c r="D65" s="2416" t="s">
        <v>369</v>
      </c>
      <c r="E65" s="2398" t="s">
        <v>365</v>
      </c>
      <c r="F65" s="716">
        <f t="shared" ca="1" si="0"/>
        <v>2E-3</v>
      </c>
      <c r="I65" s="2543" t="s">
        <v>2441</v>
      </c>
      <c r="J65" s="3319">
        <v>40</v>
      </c>
      <c r="K65" s="3319">
        <v>30</v>
      </c>
      <c r="L65" s="3319">
        <v>50</v>
      </c>
      <c r="M65" s="3317">
        <v>0.02</v>
      </c>
      <c r="O65" s="2583" t="s">
        <v>2456</v>
      </c>
      <c r="P65" s="2593" t="s">
        <v>2474</v>
      </c>
      <c r="Q65" s="2584">
        <f ca="1">C40+J29</f>
        <v>451705</v>
      </c>
      <c r="R65" s="2584" t="s">
        <v>2475</v>
      </c>
    </row>
    <row r="66" spans="1:18" s="1454" customFormat="1" ht="20.25" thickBot="1">
      <c r="A66" s="2434" t="s">
        <v>2382</v>
      </c>
      <c r="B66" s="2398" t="s">
        <v>367</v>
      </c>
      <c r="C66" s="313">
        <f ca="1">ROUND(C48*F66,0)</f>
        <v>0</v>
      </c>
      <c r="D66" s="2416" t="s">
        <v>371</v>
      </c>
      <c r="E66" s="2398" t="s">
        <v>365</v>
      </c>
      <c r="F66" s="694">
        <f t="shared" ca="1" si="0"/>
        <v>0.01</v>
      </c>
      <c r="O66" s="2583" t="s">
        <v>2457</v>
      </c>
      <c r="P66" s="2593" t="s">
        <v>2481</v>
      </c>
      <c r="Q66" s="2584">
        <f ca="1">L60</f>
        <v>0</v>
      </c>
      <c r="R66" s="2584" t="s">
        <v>2464</v>
      </c>
    </row>
    <row r="67" spans="1:18" s="1454" customFormat="1" ht="24.75" thickBot="1">
      <c r="A67" s="2405" t="s">
        <v>2360</v>
      </c>
      <c r="B67" s="2419" t="s">
        <v>377</v>
      </c>
      <c r="C67" s="698">
        <f ca="1">C48-C58</f>
        <v>-6335</v>
      </c>
      <c r="D67" s="2415" t="s">
        <v>378</v>
      </c>
      <c r="E67" s="2420"/>
      <c r="F67" s="2421"/>
      <c r="O67" s="2585" t="s">
        <v>2458</v>
      </c>
      <c r="P67" s="2593" t="s">
        <v>2488</v>
      </c>
      <c r="Q67" s="2588">
        <f ca="1">L51</f>
        <v>-73527</v>
      </c>
      <c r="R67" s="2589" t="s">
        <v>2498</v>
      </c>
    </row>
    <row r="68" spans="1:18" s="1454" customFormat="1" ht="20.25" thickBot="1">
      <c r="A68" s="2395" t="s">
        <v>2363</v>
      </c>
      <c r="B68" s="2396" t="s">
        <v>379</v>
      </c>
      <c r="C68" s="683">
        <f ca="1">ROUND(C67*(1-((1+F70)/(1+F68))^F69)/(F68-F70),0)</f>
        <v>-240486</v>
      </c>
      <c r="D68" s="2417" t="s">
        <v>373</v>
      </c>
      <c r="E68" s="2398" t="s">
        <v>374</v>
      </c>
      <c r="F68" s="694">
        <f ca="1">F40</f>
        <v>0.04</v>
      </c>
      <c r="O68" s="2585" t="s">
        <v>2459</v>
      </c>
      <c r="P68" s="2594" t="s">
        <v>2492</v>
      </c>
      <c r="Q68" s="2584">
        <f ca="1">ROUND(Q69-Q70*Q71,0)</f>
        <v>-2893</v>
      </c>
      <c r="R68" s="2584" t="s">
        <v>2497</v>
      </c>
    </row>
    <row r="69" spans="1:18" s="1454" customFormat="1" ht="15.75" thickBot="1">
      <c r="A69" s="2399"/>
      <c r="B69" s="2400"/>
      <c r="C69" s="688"/>
      <c r="D69" s="2422" t="s">
        <v>963</v>
      </c>
      <c r="E69" s="2398" t="s">
        <v>381</v>
      </c>
      <c r="F69" s="719">
        <f ca="1">F41</f>
        <v>58</v>
      </c>
      <c r="O69" s="2585" t="s">
        <v>2467</v>
      </c>
      <c r="P69" s="2594" t="s">
        <v>2482</v>
      </c>
      <c r="Q69" s="2584">
        <f ca="1">C39</f>
        <v>11899</v>
      </c>
      <c r="R69" s="2584" t="s">
        <v>2475</v>
      </c>
    </row>
    <row r="70" spans="1:18" s="1454" customFormat="1" ht="15.75" thickBot="1">
      <c r="A70" s="2402"/>
      <c r="B70" s="2403"/>
      <c r="C70" s="692"/>
      <c r="D70" s="2418"/>
      <c r="E70" s="2398" t="s">
        <v>382</v>
      </c>
      <c r="F70" s="2528">
        <f ca="1">F42</f>
        <v>2.5000000000000001E-2</v>
      </c>
      <c r="O70" s="2585" t="s">
        <v>2468</v>
      </c>
      <c r="P70" s="2594" t="s">
        <v>2483</v>
      </c>
      <c r="Q70" s="2584">
        <f ca="1">C13</f>
        <v>227562</v>
      </c>
      <c r="R70" s="2584" t="s">
        <v>2475</v>
      </c>
    </row>
    <row r="71" spans="1:18" s="1454" customFormat="1" ht="15.75" thickBot="1">
      <c r="A71" s="2423" t="s">
        <v>2370</v>
      </c>
      <c r="B71" s="2424" t="s">
        <v>383</v>
      </c>
      <c r="C71" s="722">
        <f ca="1">ROUND(C68/F71,0)</f>
        <v>-2640</v>
      </c>
      <c r="D71" s="2425" t="s">
        <v>384</v>
      </c>
      <c r="E71" s="2426" t="s">
        <v>385</v>
      </c>
      <c r="F71" s="725">
        <f ca="1">F43</f>
        <v>91.1</v>
      </c>
      <c r="I71" s="2393"/>
      <c r="K71" s="2393"/>
      <c r="O71" s="2585" t="s">
        <v>2469</v>
      </c>
      <c r="P71" s="2594" t="s">
        <v>2495</v>
      </c>
      <c r="Q71" s="2586">
        <f ca="1">C76</f>
        <v>6.5000000000000002E-2</v>
      </c>
      <c r="R71" s="2584"/>
    </row>
    <row r="72" spans="1:18" s="1454" customFormat="1" ht="15.75" thickBot="1">
      <c r="B72" s="1459"/>
      <c r="C72" s="1459"/>
      <c r="I72" s="2393"/>
      <c r="O72" s="2585" t="s">
        <v>2460</v>
      </c>
      <c r="P72" s="2593" t="s">
        <v>2489</v>
      </c>
      <c r="Q72" s="2586">
        <f>L52</f>
        <v>0</v>
      </c>
      <c r="R72" s="2584"/>
    </row>
    <row r="73" spans="1:18" ht="20.25" thickBot="1">
      <c r="A73" s="1454"/>
      <c r="B73" s="1459"/>
      <c r="C73" s="1459"/>
      <c r="D73" s="1454"/>
      <c r="E73" s="1454"/>
      <c r="F73" s="1454"/>
      <c r="I73" s="2579"/>
      <c r="O73" s="2585" t="s">
        <v>2461</v>
      </c>
      <c r="P73" s="2593" t="s">
        <v>2490</v>
      </c>
      <c r="Q73" s="2584">
        <f ca="1">L58</f>
        <v>0</v>
      </c>
      <c r="R73" s="2584" t="s">
        <v>2465</v>
      </c>
    </row>
    <row r="74" spans="1:18" ht="20.25" thickBot="1">
      <c r="A74" s="1454"/>
      <c r="B74" s="727" t="s">
        <v>386</v>
      </c>
      <c r="C74" s="728"/>
      <c r="D74" s="1454"/>
      <c r="E74" s="1454"/>
      <c r="F74" s="1454"/>
      <c r="O74" s="2585" t="s">
        <v>2499</v>
      </c>
      <c r="P74" s="2593" t="s">
        <v>2491</v>
      </c>
      <c r="Q74" s="2584">
        <f ca="1">L59</f>
        <v>0</v>
      </c>
      <c r="R74" s="2584" t="s">
        <v>2466</v>
      </c>
    </row>
    <row r="75" spans="1:18" ht="15.75" thickBot="1">
      <c r="A75" s="1454"/>
      <c r="B75" s="729" t="s">
        <v>976</v>
      </c>
      <c r="C75" s="730">
        <f ca="1">ROUND(C13*C76,0)</f>
        <v>14792</v>
      </c>
      <c r="D75" s="1454"/>
      <c r="E75" s="1454"/>
      <c r="F75" s="1454"/>
      <c r="K75" s="1455"/>
      <c r="L75" s="1454"/>
      <c r="O75" s="2583" t="s">
        <v>2462</v>
      </c>
      <c r="P75" s="2593" t="s">
        <v>2480</v>
      </c>
      <c r="Q75" s="2584">
        <f ca="1">Q65+Q66</f>
        <v>451705</v>
      </c>
      <c r="R75" s="2584" t="s">
        <v>2463</v>
      </c>
    </row>
    <row r="76" spans="1:18">
      <c r="B76" s="731" t="s">
        <v>977</v>
      </c>
      <c r="C76" s="732">
        <f ca="1">INDIRECT("'数据-取费表'!j"&amp;$G$1)</f>
        <v>6.5000000000000002E-2</v>
      </c>
      <c r="I76" s="1454"/>
      <c r="J76" s="1454"/>
      <c r="K76" s="1455"/>
      <c r="L76" s="1454"/>
    </row>
    <row r="77" spans="1:18">
      <c r="B77" s="733" t="s">
        <v>980</v>
      </c>
      <c r="C77" s="734"/>
      <c r="I77" s="1454"/>
      <c r="J77" s="1454"/>
      <c r="K77" s="1455"/>
      <c r="L77" s="1454"/>
    </row>
    <row r="78" spans="1:18">
      <c r="B78" s="646" t="s">
        <v>966</v>
      </c>
      <c r="C78" s="735"/>
    </row>
    <row r="79" spans="1:18">
      <c r="B79" s="2869" t="s">
        <v>2706</v>
      </c>
      <c r="C79" s="650">
        <f ca="1">1-C80</f>
        <v>-0.2430000000000001</v>
      </c>
    </row>
    <row r="80" spans="1:18">
      <c r="B80" s="2869" t="s">
        <v>2707</v>
      </c>
      <c r="C80" s="650">
        <f ca="1">ROUND(C75/C39,3)</f>
        <v>1.2430000000000001</v>
      </c>
    </row>
    <row r="81" spans="2:3">
      <c r="B81" s="646" t="s">
        <v>387</v>
      </c>
      <c r="C81" s="647"/>
    </row>
    <row r="82" spans="2:3">
      <c r="B82" s="2868" t="s">
        <v>2704</v>
      </c>
      <c r="C82" s="651">
        <f ca="1">1-C83</f>
        <v>0.496</v>
      </c>
    </row>
    <row r="83" spans="2:3">
      <c r="B83" s="2868" t="s">
        <v>2703</v>
      </c>
      <c r="C83" s="650">
        <f ca="1">ROUND(C13/C40,3)</f>
        <v>0.504</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50" priority="4">
      <formula>$L$48&gt;$J$51</formula>
    </cfRule>
  </conditionalFormatting>
  <conditionalFormatting sqref="I55 I60">
    <cfRule type="expression" dxfId="149" priority="5">
      <formula>$J$51&gt;$L$48</formula>
    </cfRule>
  </conditionalFormatting>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54">
    <cfRule type="expression" dxfId="146"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sheetPr>
    <tabColor rgb="FF92D050"/>
  </sheetPr>
  <dimension ref="A1:F13"/>
  <sheetViews>
    <sheetView workbookViewId="0">
      <selection activeCell="B19" sqref="B19"/>
    </sheetView>
  </sheetViews>
  <sheetFormatPr defaultRowHeight="13.5"/>
  <cols>
    <col min="1" max="1" width="23.625" customWidth="1"/>
    <col min="2" max="2" width="12" customWidth="1"/>
    <col min="4" max="4" width="14.125" customWidth="1"/>
    <col min="6" max="6" width="12.875" customWidth="1"/>
  </cols>
  <sheetData>
    <row r="1" spans="1:6" ht="20.25">
      <c r="A1" s="2779" t="s">
        <v>2678</v>
      </c>
      <c r="B1" s="2780"/>
      <c r="C1" s="2780"/>
      <c r="D1" s="2780"/>
      <c r="E1" s="2781"/>
    </row>
    <row r="2" spans="1:6" ht="14.25">
      <c r="A2" s="2782" t="s">
        <v>2679</v>
      </c>
      <c r="B2" s="2776">
        <f ca="1">SUMIF(B6:B13,"&lt;&gt;#ref!",B6:B13)</f>
        <v>51</v>
      </c>
      <c r="C2" s="2777" t="s">
        <v>2676</v>
      </c>
      <c r="D2" s="2778" t="s">
        <v>2681</v>
      </c>
      <c r="E2" s="2786">
        <f>SUM(E6:E13)</f>
        <v>1682.91</v>
      </c>
    </row>
    <row r="3" spans="1:6" ht="14.25">
      <c r="A3" s="2782" t="s">
        <v>2680</v>
      </c>
      <c r="B3" s="2776">
        <f ca="1">ROUND(B2*10000/E2,0)</f>
        <v>303</v>
      </c>
      <c r="C3" s="2777" t="s">
        <v>2677</v>
      </c>
      <c r="D3" s="2783"/>
      <c r="E3" s="2787"/>
    </row>
    <row r="4" spans="1:6" ht="14.25">
      <c r="A4" s="2788"/>
      <c r="B4" s="2783"/>
      <c r="C4" s="2783"/>
      <c r="D4" s="2783"/>
      <c r="E4" s="2787"/>
    </row>
    <row r="5" spans="1:6">
      <c r="A5" s="2792" t="s">
        <v>2683</v>
      </c>
      <c r="B5" s="3686" t="s">
        <v>2685</v>
      </c>
      <c r="C5" s="3686"/>
      <c r="D5" s="2791"/>
      <c r="E5" s="3333" t="s">
        <v>2684</v>
      </c>
      <c r="F5" s="3334" t="s">
        <v>3052</v>
      </c>
    </row>
    <row r="6" spans="1:6">
      <c r="A6" s="2789" t="str">
        <f>'数据-取费表'!AN6</f>
        <v>估价方法</v>
      </c>
      <c r="B6" s="2785" t="e">
        <f ca="1">IF(F6="是",'数据-取费表'!AO6,0)</f>
        <v>#REF!</v>
      </c>
      <c r="C6" s="2777" t="s">
        <v>2676</v>
      </c>
      <c r="D6" s="2783"/>
      <c r="E6" s="1539">
        <f>IF(OR(A6=0,F6="否"),0,'数据-取费表'!K6+'数据-取费表'!S6)</f>
        <v>1562.3000000000002</v>
      </c>
      <c r="F6" s="3335" t="s">
        <v>3053</v>
      </c>
    </row>
    <row r="7" spans="1:6">
      <c r="A7" s="2789" t="str">
        <f>'数据-取费表'!AN7</f>
        <v>收益法-住宅</v>
      </c>
      <c r="B7" s="2785">
        <f ca="1">IF(F7="是",'数据-取费表'!AO7,0)</f>
        <v>45</v>
      </c>
      <c r="C7" s="2777" t="s">
        <v>2676</v>
      </c>
      <c r="D7" s="2783"/>
      <c r="E7" s="1539">
        <f>IF(OR(A7=0,F7="否"),0,'数据-取费表'!K7+'数据-取费表'!S7)</f>
        <v>91.1</v>
      </c>
      <c r="F7" s="3335" t="s">
        <v>3053</v>
      </c>
    </row>
    <row r="8" spans="1:6">
      <c r="A8" s="2789">
        <f>'数据-取费表'!AN8</f>
        <v>0</v>
      </c>
      <c r="B8" s="2785" t="e">
        <f ca="1">IF(F8="是",'数据-取费表'!AO8,0)</f>
        <v>#REF!</v>
      </c>
      <c r="C8" s="2777" t="s">
        <v>2676</v>
      </c>
      <c r="D8" s="2783"/>
      <c r="E8" s="1539">
        <f>IF(OR(A8=0,F8="否"),0,'数据-取费表'!K8+'数据-取费表'!S8)</f>
        <v>0</v>
      </c>
      <c r="F8" s="3335" t="s">
        <v>3053</v>
      </c>
    </row>
    <row r="9" spans="1:6">
      <c r="A9" s="2789" t="str">
        <f>'数据-取费表'!AN9</f>
        <v>收益法-车位</v>
      </c>
      <c r="B9" s="2785">
        <f ca="1">IF(F9="是",'数据-取费表'!AO9,0)</f>
        <v>6</v>
      </c>
      <c r="C9" s="2777" t="s">
        <v>2676</v>
      </c>
      <c r="D9" s="2783"/>
      <c r="E9" s="1539">
        <f>IF(OR(A9=0,F9="否"),0,'数据-取费表'!K9+'数据-取费表'!S9)</f>
        <v>29.51</v>
      </c>
      <c r="F9" s="3335" t="s">
        <v>3053</v>
      </c>
    </row>
    <row r="10" spans="1:6">
      <c r="A10" s="2789">
        <f>'数据-取费表'!AN10</f>
        <v>0</v>
      </c>
      <c r="B10" s="2785" t="e">
        <f ca="1">IF(F10="是",'数据-取费表'!AO10,0)</f>
        <v>#REF!</v>
      </c>
      <c r="C10" s="2777" t="s">
        <v>2676</v>
      </c>
      <c r="D10" s="2783"/>
      <c r="E10" s="1539">
        <f>IF(OR(A10=0,F10="否"),0,'数据-取费表'!K10+'数据-取费表'!S10)</f>
        <v>0</v>
      </c>
      <c r="F10" s="3335" t="s">
        <v>3053</v>
      </c>
    </row>
    <row r="11" spans="1:6">
      <c r="A11" s="2789">
        <f>'数据-取费表'!AN11</f>
        <v>0</v>
      </c>
      <c r="B11" s="2785" t="e">
        <f ca="1">IF(F11="是",'数据-取费表'!AO11,0)</f>
        <v>#REF!</v>
      </c>
      <c r="C11" s="2777" t="s">
        <v>2676</v>
      </c>
      <c r="D11" s="2783"/>
      <c r="E11" s="1539">
        <f>IF(OR(A11=0,F11="否"),0,'数据-取费表'!K11+'数据-取费表'!S11)</f>
        <v>0</v>
      </c>
      <c r="F11" s="3335" t="s">
        <v>3053</v>
      </c>
    </row>
    <row r="12" spans="1:6">
      <c r="A12" s="2789">
        <f>'数据-取费表'!AN12</f>
        <v>0</v>
      </c>
      <c r="B12" s="2785" t="e">
        <f ca="1">IF(F12="是",'数据-取费表'!AO12,0)</f>
        <v>#REF!</v>
      </c>
      <c r="C12" s="2777" t="s">
        <v>2676</v>
      </c>
      <c r="D12" s="2783"/>
      <c r="E12" s="1539">
        <f>IF(OR(A12=0,F12="否"),0,'数据-取费表'!K12+'数据-取费表'!S12)</f>
        <v>0</v>
      </c>
      <c r="F12" s="3335" t="s">
        <v>3053</v>
      </c>
    </row>
    <row r="13" spans="1:6" ht="14.25" thickBot="1">
      <c r="A13" s="2790">
        <f>'数据-取费表'!AN13</f>
        <v>0</v>
      </c>
      <c r="B13" s="2785" t="e">
        <f ca="1">IF(F13="是",'数据-取费表'!AO13,0)</f>
        <v>#REF!</v>
      </c>
      <c r="C13" s="2793" t="s">
        <v>2676</v>
      </c>
      <c r="D13" s="2784"/>
      <c r="E13" s="1539">
        <f>IF(OR(A13=0,F13="否"),0,'数据-取费表'!K13+'数据-取费表'!S13)</f>
        <v>0</v>
      </c>
      <c r="F13" s="3335" t="s">
        <v>3053</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87" t="s">
        <v>2553</v>
      </c>
      <c r="B1" s="3688"/>
      <c r="C1" s="3689"/>
      <c r="D1" s="3690">
        <f>SUM(I10,I15,I20,I21,I23)</f>
        <v>0</v>
      </c>
      <c r="E1" s="3690"/>
      <c r="F1" s="3690"/>
      <c r="G1" s="3690"/>
      <c r="H1" s="3690"/>
      <c r="I1" s="3691"/>
    </row>
    <row r="2" spans="1:9">
      <c r="A2" s="3692" t="s">
        <v>2554</v>
      </c>
      <c r="B2" s="3693" t="s">
        <v>2555</v>
      </c>
      <c r="C2" s="3693"/>
      <c r="D2" s="2634" t="s">
        <v>2556</v>
      </c>
      <c r="E2" s="2634" t="s">
        <v>2557</v>
      </c>
      <c r="F2" s="2634" t="s">
        <v>2558</v>
      </c>
      <c r="G2" s="2634" t="s">
        <v>2559</v>
      </c>
      <c r="H2" s="2634" t="s">
        <v>2560</v>
      </c>
      <c r="I2" s="2635" t="s">
        <v>2561</v>
      </c>
    </row>
    <row r="3" spans="1:9">
      <c r="A3" s="3692"/>
      <c r="B3" s="3693" t="s">
        <v>2562</v>
      </c>
      <c r="C3" s="3693"/>
      <c r="D3" s="2636"/>
      <c r="E3" s="2634"/>
      <c r="F3" s="2637"/>
      <c r="G3" s="2637"/>
      <c r="H3" s="2638"/>
      <c r="I3" s="2639">
        <f>ROUND(D3*E3*F3*G3*H3/10000,0)</f>
        <v>0</v>
      </c>
    </row>
    <row r="4" spans="1:9">
      <c r="A4" s="3692"/>
      <c r="B4" s="3693" t="s">
        <v>2563</v>
      </c>
      <c r="C4" s="3693"/>
      <c r="D4" s="2636"/>
      <c r="E4" s="2634"/>
      <c r="F4" s="2637"/>
      <c r="G4" s="2637"/>
      <c r="H4" s="2638"/>
      <c r="I4" s="2639">
        <f t="shared" ref="I4:I9" si="0">ROUND(D4*E4*F4*G4*H4/10000,0)</f>
        <v>0</v>
      </c>
    </row>
    <row r="5" spans="1:9">
      <c r="A5" s="3692"/>
      <c r="B5" s="3693" t="s">
        <v>2564</v>
      </c>
      <c r="C5" s="3693"/>
      <c r="D5" s="2636"/>
      <c r="E5" s="2634"/>
      <c r="F5" s="2637"/>
      <c r="G5" s="2637"/>
      <c r="H5" s="2638"/>
      <c r="I5" s="2639">
        <f t="shared" si="0"/>
        <v>0</v>
      </c>
    </row>
    <row r="6" spans="1:9">
      <c r="A6" s="3692"/>
      <c r="B6" s="3693" t="s">
        <v>2565</v>
      </c>
      <c r="C6" s="3693"/>
      <c r="D6" s="2636"/>
      <c r="E6" s="2634"/>
      <c r="F6" s="2637"/>
      <c r="G6" s="2637"/>
      <c r="H6" s="2638"/>
      <c r="I6" s="2639">
        <f t="shared" si="0"/>
        <v>0</v>
      </c>
    </row>
    <row r="7" spans="1:9">
      <c r="A7" s="3692"/>
      <c r="B7" s="3693" t="s">
        <v>2566</v>
      </c>
      <c r="C7" s="3693"/>
      <c r="D7" s="2636"/>
      <c r="E7" s="2634"/>
      <c r="F7" s="2637"/>
      <c r="G7" s="2637"/>
      <c r="H7" s="2638"/>
      <c r="I7" s="2639">
        <f t="shared" si="0"/>
        <v>0</v>
      </c>
    </row>
    <row r="8" spans="1:9">
      <c r="A8" s="3692"/>
      <c r="B8" s="3693" t="s">
        <v>2567</v>
      </c>
      <c r="C8" s="3693"/>
      <c r="D8" s="2636"/>
      <c r="E8" s="2634"/>
      <c r="F8" s="2637"/>
      <c r="G8" s="2637"/>
      <c r="H8" s="2638"/>
      <c r="I8" s="2639">
        <f t="shared" si="0"/>
        <v>0</v>
      </c>
    </row>
    <row r="9" spans="1:9">
      <c r="A9" s="3692"/>
      <c r="B9" s="3693" t="s">
        <v>2568</v>
      </c>
      <c r="C9" s="3693"/>
      <c r="D9" s="2636"/>
      <c r="E9" s="2634"/>
      <c r="F9" s="2637"/>
      <c r="G9" s="2637"/>
      <c r="H9" s="2638"/>
      <c r="I9" s="2639">
        <f t="shared" si="0"/>
        <v>0</v>
      </c>
    </row>
    <row r="10" spans="1:9">
      <c r="A10" s="3692"/>
      <c r="B10" s="3694" t="s">
        <v>2569</v>
      </c>
      <c r="C10" s="3694"/>
      <c r="D10" s="2640"/>
      <c r="E10" s="2640" t="e">
        <f>ROUND(D1*10000/D10/H9,0)</f>
        <v>#DIV/0!</v>
      </c>
      <c r="F10" s="2641"/>
      <c r="G10" s="2641"/>
      <c r="H10" s="2642"/>
      <c r="I10" s="2643">
        <f>SUM(I3:I9)</f>
        <v>0</v>
      </c>
    </row>
    <row r="11" spans="1:9" ht="14.25">
      <c r="A11" s="3692" t="s">
        <v>2570</v>
      </c>
      <c r="B11" s="3693" t="s">
        <v>2571</v>
      </c>
      <c r="C11" s="3693"/>
      <c r="D11" s="2636" t="s">
        <v>2572</v>
      </c>
      <c r="E11" s="2636" t="s">
        <v>2573</v>
      </c>
      <c r="F11" s="2637" t="s">
        <v>2574</v>
      </c>
      <c r="G11" s="2637" t="s">
        <v>2560</v>
      </c>
      <c r="H11" s="2644" t="s">
        <v>2575</v>
      </c>
      <c r="I11" s="2635" t="s">
        <v>2561</v>
      </c>
    </row>
    <row r="12" spans="1:9">
      <c r="A12" s="3692"/>
      <c r="B12" s="3693" t="s">
        <v>2576</v>
      </c>
      <c r="C12" s="3693"/>
      <c r="D12" s="2636"/>
      <c r="E12" s="2636"/>
      <c r="F12" s="2637"/>
      <c r="G12" s="2638"/>
      <c r="H12" s="2645"/>
      <c r="I12" s="2635">
        <f>ROUND(D12*E12*F12*G12/10000,0)</f>
        <v>0</v>
      </c>
    </row>
    <row r="13" spans="1:9">
      <c r="A13" s="3692"/>
      <c r="B13" s="3693" t="s">
        <v>2577</v>
      </c>
      <c r="C13" s="3693"/>
      <c r="D13" s="2636"/>
      <c r="E13" s="2636"/>
      <c r="F13" s="2637"/>
      <c r="G13" s="2638"/>
      <c r="H13" s="2645"/>
      <c r="I13" s="2635">
        <f>ROUND(D13*E13*F13*G13/10000,0)</f>
        <v>0</v>
      </c>
    </row>
    <row r="14" spans="1:9">
      <c r="A14" s="3692"/>
      <c r="B14" s="3693" t="s">
        <v>2578</v>
      </c>
      <c r="C14" s="3693"/>
      <c r="D14" s="2636"/>
      <c r="E14" s="2636"/>
      <c r="F14" s="2637"/>
      <c r="G14" s="2638"/>
      <c r="H14" s="2645"/>
      <c r="I14" s="2635">
        <f>ROUND(D14*E14*F14*G14/10000,0)</f>
        <v>0</v>
      </c>
    </row>
    <row r="15" spans="1:9">
      <c r="A15" s="3692"/>
      <c r="B15" s="3694" t="s">
        <v>2569</v>
      </c>
      <c r="C15" s="3694"/>
      <c r="D15" s="2640"/>
      <c r="E15" s="2640">
        <f>SUM(E12:E14)</f>
        <v>0</v>
      </c>
      <c r="F15" s="2641"/>
      <c r="G15" s="2638"/>
      <c r="H15" s="2645"/>
      <c r="I15" s="2646">
        <f>SUM(I12:I14)</f>
        <v>0</v>
      </c>
    </row>
    <row r="16" spans="1:9" ht="24">
      <c r="A16" s="3692" t="s">
        <v>2579</v>
      </c>
      <c r="B16" s="3693" t="s">
        <v>2580</v>
      </c>
      <c r="C16" s="3693"/>
      <c r="D16" s="2636" t="s">
        <v>2556</v>
      </c>
      <c r="E16" s="2647" t="s">
        <v>2581</v>
      </c>
      <c r="F16" s="2637" t="s">
        <v>2582</v>
      </c>
      <c r="G16" s="2638" t="s">
        <v>2560</v>
      </c>
      <c r="H16" s="2644" t="s">
        <v>2575</v>
      </c>
      <c r="I16" s="2635" t="s">
        <v>2561</v>
      </c>
    </row>
    <row r="17" spans="1:9" ht="14.25">
      <c r="A17" s="3692"/>
      <c r="B17" s="3693" t="s">
        <v>2583</v>
      </c>
      <c r="C17" s="3693"/>
      <c r="D17" s="2636"/>
      <c r="E17" s="2636"/>
      <c r="F17" s="2637"/>
      <c r="G17" s="2638"/>
      <c r="H17" s="2648"/>
      <c r="I17" s="2649">
        <f>ROUND(D17*E17*F17*G17/10000,0)</f>
        <v>0</v>
      </c>
    </row>
    <row r="18" spans="1:9" ht="14.25">
      <c r="A18" s="3692"/>
      <c r="B18" s="3693" t="s">
        <v>2584</v>
      </c>
      <c r="C18" s="3693"/>
      <c r="D18" s="2636"/>
      <c r="E18" s="2636"/>
      <c r="F18" s="2637"/>
      <c r="G18" s="2638"/>
      <c r="H18" s="2648"/>
      <c r="I18" s="2649">
        <f>ROUND(D18*E18*F18*G18/10000,0)</f>
        <v>0</v>
      </c>
    </row>
    <row r="19" spans="1:9" ht="14.25">
      <c r="A19" s="3692"/>
      <c r="B19" s="3693" t="s">
        <v>2585</v>
      </c>
      <c r="C19" s="3693"/>
      <c r="D19" s="2636"/>
      <c r="E19" s="2636"/>
      <c r="F19" s="2637"/>
      <c r="G19" s="2638"/>
      <c r="H19" s="2648"/>
      <c r="I19" s="2649">
        <f>ROUND(D19*E19*F19*G19/10000,0)</f>
        <v>0</v>
      </c>
    </row>
    <row r="20" spans="1:9">
      <c r="A20" s="3692"/>
      <c r="B20" s="3694" t="s">
        <v>2569</v>
      </c>
      <c r="C20" s="3694"/>
      <c r="D20" s="2640">
        <f>SUM(D17:D19)</f>
        <v>0</v>
      </c>
      <c r="E20" s="2640"/>
      <c r="F20" s="2641"/>
      <c r="G20" s="2638"/>
      <c r="H20" s="2645"/>
      <c r="I20" s="2646">
        <f>SUM(I17:I19)</f>
        <v>0</v>
      </c>
    </row>
    <row r="21" spans="1:9">
      <c r="A21" s="3692" t="s">
        <v>2586</v>
      </c>
      <c r="B21" s="3696"/>
      <c r="C21" s="3696"/>
      <c r="D21" s="3696"/>
      <c r="E21" s="3696"/>
      <c r="F21" s="3696"/>
      <c r="G21" s="3696"/>
      <c r="H21" s="3294">
        <v>0.1</v>
      </c>
      <c r="I21" s="2643">
        <f>ROUND(I10*H21,0)</f>
        <v>0</v>
      </c>
    </row>
    <row r="22" spans="1:9" ht="14.25">
      <c r="A22" s="3697" t="s">
        <v>2587</v>
      </c>
      <c r="B22" s="3698"/>
      <c r="C22" s="3699"/>
      <c r="D22" s="2650" t="s">
        <v>2588</v>
      </c>
      <c r="E22" s="2650" t="s">
        <v>2589</v>
      </c>
      <c r="F22" s="2651" t="s">
        <v>2590</v>
      </c>
      <c r="G22" s="2651" t="s">
        <v>2591</v>
      </c>
      <c r="H22" s="2644" t="s">
        <v>2592</v>
      </c>
      <c r="I22" s="2635" t="s">
        <v>2593</v>
      </c>
    </row>
    <row r="23" spans="1:9" ht="14.25" thickBot="1">
      <c r="A23" s="3700"/>
      <c r="B23" s="3701"/>
      <c r="C23" s="3702"/>
      <c r="D23" s="2652"/>
      <c r="E23" s="2652"/>
      <c r="F23" s="2652"/>
      <c r="G23" s="2653"/>
      <c r="H23" s="2654"/>
      <c r="I23" s="2655">
        <f>ROUND(E23*D23*F23*(1-G23)/10000,0)</f>
        <v>0</v>
      </c>
    </row>
    <row r="26" spans="1:9">
      <c r="A26" s="2656" t="s">
        <v>2594</v>
      </c>
      <c r="B26" s="2656"/>
      <c r="C26" s="2656"/>
      <c r="D26" s="2656"/>
      <c r="E26" s="3703">
        <f>C27-C30-C31-C32</f>
        <v>0</v>
      </c>
      <c r="F26" s="3703"/>
      <c r="G26" s="3703"/>
      <c r="H26" s="3246" t="s">
        <v>2963</v>
      </c>
    </row>
    <row r="27" spans="1:9">
      <c r="A27" s="2657">
        <v>1</v>
      </c>
      <c r="B27" s="2658" t="s">
        <v>2595</v>
      </c>
      <c r="C27" s="2658">
        <f>C28+C29</f>
        <v>0</v>
      </c>
      <c r="D27" s="2658"/>
      <c r="E27" s="3704"/>
      <c r="F27" s="3704"/>
      <c r="G27" s="3704"/>
    </row>
    <row r="28" spans="1:9">
      <c r="A28" s="2659" t="s">
        <v>2596</v>
      </c>
      <c r="B28" s="2658" t="s">
        <v>2597</v>
      </c>
      <c r="C28" s="2658"/>
      <c r="D28" s="2658"/>
      <c r="E28" s="3704"/>
      <c r="F28" s="3704"/>
      <c r="G28" s="3704"/>
    </row>
    <row r="29" spans="1:9">
      <c r="A29" s="2659" t="s">
        <v>2598</v>
      </c>
      <c r="B29" s="2658" t="s">
        <v>2599</v>
      </c>
      <c r="C29" s="2658"/>
      <c r="D29" s="2658"/>
      <c r="E29" s="2658" t="s">
        <v>2600</v>
      </c>
      <c r="F29" s="2658"/>
      <c r="G29" s="2658"/>
    </row>
    <row r="30" spans="1:9">
      <c r="A30" s="2657">
        <v>2</v>
      </c>
      <c r="B30" s="2658" t="s">
        <v>2601</v>
      </c>
      <c r="C30" s="2658">
        <f>C27*D30</f>
        <v>0</v>
      </c>
      <c r="D30" s="2660">
        <v>0.2</v>
      </c>
      <c r="E30" s="2658" t="s">
        <v>2602</v>
      </c>
      <c r="F30" s="2658"/>
      <c r="G30" s="2658"/>
    </row>
    <row r="31" spans="1:9">
      <c r="A31" s="2657">
        <v>3</v>
      </c>
      <c r="B31" s="2658" t="s">
        <v>2603</v>
      </c>
      <c r="C31" s="2658">
        <f>C25*D31</f>
        <v>0</v>
      </c>
      <c r="D31" s="2660">
        <v>0.15</v>
      </c>
      <c r="E31" s="2658" t="s">
        <v>2604</v>
      </c>
      <c r="F31" s="2658"/>
      <c r="G31" s="2658"/>
    </row>
    <row r="32" spans="1:9">
      <c r="A32" s="2657">
        <v>4</v>
      </c>
      <c r="B32" s="2658" t="s">
        <v>2605</v>
      </c>
      <c r="C32" s="2658">
        <f>C27*D32</f>
        <v>0</v>
      </c>
      <c r="D32" s="2660">
        <v>0.05</v>
      </c>
      <c r="E32" s="3695"/>
      <c r="F32" s="3695"/>
      <c r="G32" s="3695"/>
    </row>
    <row r="33" spans="1:7" hidden="1">
      <c r="A33" s="3705" t="s">
        <v>2606</v>
      </c>
      <c r="B33" s="3706"/>
      <c r="C33" s="3706"/>
      <c r="D33" s="3707"/>
      <c r="E33" s="3703"/>
      <c r="F33" s="3703"/>
      <c r="G33" s="3703"/>
    </row>
    <row r="34" spans="1:7" hidden="1">
      <c r="A34" s="2661">
        <v>1</v>
      </c>
      <c r="B34" s="2658" t="s">
        <v>2607</v>
      </c>
      <c r="C34" s="2658"/>
      <c r="D34" s="2658"/>
      <c r="E34" s="3704"/>
      <c r="F34" s="3704"/>
      <c r="G34" s="3704"/>
    </row>
    <row r="35" spans="1:7" hidden="1">
      <c r="A35" s="2661">
        <v>2</v>
      </c>
      <c r="B35" s="2658" t="s">
        <v>2608</v>
      </c>
      <c r="C35" s="2658"/>
      <c r="D35" s="2658"/>
      <c r="E35" s="3704"/>
      <c r="F35" s="3704"/>
      <c r="G35" s="3704"/>
    </row>
    <row r="36" spans="1:7" hidden="1">
      <c r="A36" s="2661">
        <v>3</v>
      </c>
      <c r="B36" s="2658" t="s">
        <v>2609</v>
      </c>
      <c r="C36" s="2658"/>
      <c r="D36" s="2658"/>
      <c r="E36" s="3704"/>
      <c r="F36" s="3704"/>
      <c r="G36" s="3704"/>
    </row>
    <row r="37" spans="1:7" hidden="1">
      <c r="A37" s="2661">
        <v>4</v>
      </c>
      <c r="B37" s="2658" t="s">
        <v>2610</v>
      </c>
      <c r="C37" s="2658"/>
      <c r="D37" s="2658"/>
      <c r="E37" s="3704"/>
      <c r="F37" s="3704"/>
      <c r="G37" s="3704"/>
    </row>
    <row r="38" spans="1:7" hidden="1">
      <c r="A38" s="3705" t="s">
        <v>2611</v>
      </c>
      <c r="B38" s="3706"/>
      <c r="C38" s="3706"/>
      <c r="D38" s="3707"/>
      <c r="E38" s="3703"/>
      <c r="F38" s="3703"/>
      <c r="G38" s="370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sheetPr codeName="Sheet14">
    <tabColor rgb="FF92D050"/>
    <pageSetUpPr fitToPage="1"/>
  </sheetPr>
  <dimension ref="A1:AC131"/>
  <sheetViews>
    <sheetView zoomScale="90" zoomScaleNormal="90" workbookViewId="0">
      <selection activeCell="C2" sqref="C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108</v>
      </c>
      <c r="B1" s="3097" t="s">
        <v>1</v>
      </c>
      <c r="C1" s="3098" t="s">
        <v>128</v>
      </c>
      <c r="D1" s="3099"/>
      <c r="E1" s="3102"/>
      <c r="F1" s="3101"/>
      <c r="G1" s="3103" t="s">
        <v>129</v>
      </c>
      <c r="H1" s="3104"/>
      <c r="I1" s="3104"/>
      <c r="J1" s="3104"/>
      <c r="K1" s="3105"/>
      <c r="L1" s="3106"/>
      <c r="M1" s="3098"/>
      <c r="N1" s="3098"/>
      <c r="O1" s="3098"/>
      <c r="P1" s="3111"/>
      <c r="Q1" s="3112"/>
      <c r="R1" s="3112"/>
      <c r="S1" s="3112"/>
      <c r="T1" s="3112"/>
      <c r="U1" s="3112"/>
      <c r="V1" s="3112"/>
      <c r="W1" s="3112"/>
      <c r="X1" s="3112"/>
      <c r="Y1" s="3112"/>
      <c r="Z1" s="3112"/>
      <c r="AA1" s="3112"/>
      <c r="AB1" s="3112"/>
      <c r="AC1" s="3113"/>
    </row>
    <row r="2" spans="1:29" s="90" customFormat="1" ht="28.5" customHeight="1" thickTop="1">
      <c r="A2" s="3092" t="s">
        <v>173</v>
      </c>
      <c r="B2" s="2840" t="e">
        <f ca="1">IF(C2="——",ROUND(C49*D3/10000,0),ROUND(C49*D3/10000,0)-D2)</f>
        <v>#DIV/0!</v>
      </c>
      <c r="C2" s="3093"/>
      <c r="D2" s="2720" t="e">
        <f ca="1">SUMIF(INDIRECT("'"&amp;F2&amp;"'"&amp;"!A:A"),"承租人权益价值",INDIRECT("'"&amp;F2&amp;"'"&amp;"!c:c"))</f>
        <v>#REF!</v>
      </c>
      <c r="E2" s="3094" t="s">
        <v>870</v>
      </c>
      <c r="F2" s="3095"/>
      <c r="G2" s="2314"/>
      <c r="H2" s="2314"/>
      <c r="I2" s="2314"/>
      <c r="J2" s="2314"/>
      <c r="K2" s="2314"/>
      <c r="L2" s="2315"/>
      <c r="M2" s="2316"/>
      <c r="N2" s="2316"/>
      <c r="O2" s="2316"/>
      <c r="P2" s="2318"/>
      <c r="Q2" s="2316"/>
      <c r="R2" s="2316"/>
      <c r="S2" s="2316"/>
      <c r="T2" s="2316"/>
      <c r="U2" s="2316"/>
      <c r="V2" s="2316"/>
      <c r="W2" s="2316"/>
      <c r="X2" s="2316"/>
      <c r="Y2" s="2316"/>
      <c r="Z2" s="2316"/>
      <c r="AA2" s="2316"/>
      <c r="AB2" s="2316"/>
      <c r="AC2" s="2319"/>
    </row>
    <row r="3" spans="1:29" s="90" customFormat="1" ht="28.5" customHeight="1" thickBot="1">
      <c r="A3" s="87" t="s">
        <v>174</v>
      </c>
      <c r="B3" s="951" t="e">
        <f ca="1">IF(C2="——",C49,ROUND(B2*10000/D3,0))</f>
        <v>#DIV/0!</v>
      </c>
      <c r="C3" s="142" t="s">
        <v>168</v>
      </c>
      <c r="D3" s="742">
        <f>IF(D1="",'数据-汇总表'!E3,SUMIF('数据-汇总表'!$C19:$C33,D1,'数据-汇总表'!$E19:$E33))</f>
        <v>4043.7000000000003</v>
      </c>
      <c r="E3" s="2312"/>
      <c r="F3" s="2313"/>
      <c r="G3" s="2314"/>
      <c r="H3" s="2314"/>
      <c r="I3" s="2314"/>
      <c r="J3" s="2314"/>
      <c r="K3" s="2317"/>
      <c r="L3" s="2315"/>
      <c r="M3" s="2316"/>
      <c r="N3" s="2316"/>
      <c r="O3" s="2316"/>
      <c r="P3" s="2318"/>
      <c r="Q3" s="2316"/>
      <c r="R3" s="2316"/>
      <c r="S3" s="2316"/>
      <c r="T3" s="2316"/>
      <c r="U3" s="2316"/>
      <c r="V3" s="2316"/>
      <c r="W3" s="2316"/>
      <c r="X3" s="2316"/>
      <c r="Y3" s="2316"/>
      <c r="Z3" s="2316"/>
      <c r="AA3" s="2316"/>
      <c r="AB3" s="2316"/>
      <c r="AC3" s="2312"/>
    </row>
    <row r="4" spans="1:29">
      <c r="A4" s="143" t="s">
        <v>53</v>
      </c>
      <c r="B4" s="144"/>
      <c r="C4" s="3658" t="s">
        <v>54</v>
      </c>
      <c r="D4" s="3659"/>
      <c r="E4" s="3660" t="s">
        <v>55</v>
      </c>
      <c r="F4" s="3661"/>
      <c r="G4" s="3658" t="s">
        <v>56</v>
      </c>
      <c r="H4" s="3659"/>
      <c r="I4" s="3658" t="s">
        <v>57</v>
      </c>
      <c r="J4" s="3659"/>
      <c r="K4" s="187" t="s">
        <v>58</v>
      </c>
      <c r="L4" s="2291"/>
      <c r="M4" s="2292"/>
      <c r="N4" s="2292"/>
      <c r="O4" s="2292"/>
      <c r="P4" s="3662" t="s">
        <v>53</v>
      </c>
      <c r="Q4" s="3663"/>
      <c r="R4" s="3645" t="s">
        <v>55</v>
      </c>
      <c r="S4" s="3646"/>
      <c r="T4" s="3645" t="s">
        <v>56</v>
      </c>
      <c r="U4" s="3646"/>
      <c r="V4" s="3670" t="s">
        <v>57</v>
      </c>
      <c r="W4" s="3670"/>
      <c r="X4" s="1339"/>
      <c r="Y4" s="3645" t="s">
        <v>53</v>
      </c>
      <c r="Z4" s="3646"/>
      <c r="AA4" s="3640" t="s">
        <v>55</v>
      </c>
      <c r="AB4" s="3670" t="s">
        <v>56</v>
      </c>
      <c r="AC4" s="3640" t="s">
        <v>57</v>
      </c>
    </row>
    <row r="5" spans="1:29">
      <c r="A5" s="146"/>
      <c r="B5" s="147"/>
      <c r="C5" s="3651" t="s">
        <v>59</v>
      </c>
      <c r="D5" s="3652"/>
      <c r="E5" s="3649" t="s">
        <v>60</v>
      </c>
      <c r="F5" s="3650"/>
      <c r="G5" s="3651" t="s">
        <v>61</v>
      </c>
      <c r="H5" s="3652"/>
      <c r="I5" s="3651" t="s">
        <v>62</v>
      </c>
      <c r="J5" s="3652"/>
      <c r="K5" s="187"/>
      <c r="L5" s="2291"/>
      <c r="M5" s="2292"/>
      <c r="N5" s="2292"/>
      <c r="O5" s="2292"/>
      <c r="P5" s="3664"/>
      <c r="Q5" s="3665"/>
      <c r="R5" s="3647"/>
      <c r="S5" s="3648"/>
      <c r="T5" s="3647"/>
      <c r="U5" s="3648"/>
      <c r="V5" s="3670"/>
      <c r="W5" s="3670"/>
      <c r="X5" s="1339"/>
      <c r="Y5" s="3647"/>
      <c r="Z5" s="3648"/>
      <c r="AA5" s="3641"/>
      <c r="AB5" s="3670"/>
      <c r="AC5" s="3641"/>
    </row>
    <row r="6" spans="1:29" ht="14.25" thickBot="1">
      <c r="A6" s="148"/>
      <c r="B6" s="149"/>
      <c r="C6" s="3653" t="s">
        <v>63</v>
      </c>
      <c r="D6" s="3654"/>
      <c r="E6" s="3655" t="s">
        <v>63</v>
      </c>
      <c r="F6" s="3656"/>
      <c r="G6" s="3653" t="s">
        <v>63</v>
      </c>
      <c r="H6" s="3654"/>
      <c r="I6" s="3653" t="s">
        <v>63</v>
      </c>
      <c r="J6" s="3654"/>
      <c r="K6" s="187" t="s">
        <v>117</v>
      </c>
      <c r="L6" s="2291"/>
      <c r="M6" s="2292"/>
      <c r="N6" s="2292"/>
      <c r="O6" s="2292"/>
      <c r="P6" s="3666"/>
      <c r="Q6" s="3667"/>
      <c r="R6" s="3647"/>
      <c r="S6" s="3648"/>
      <c r="T6" s="3668"/>
      <c r="U6" s="3669"/>
      <c r="V6" s="3670"/>
      <c r="W6" s="3670"/>
      <c r="X6" s="1339"/>
      <c r="Y6" s="3668"/>
      <c r="Z6" s="3669"/>
      <c r="AA6" s="3642"/>
      <c r="AB6" s="3670"/>
      <c r="AC6" s="3642"/>
    </row>
    <row r="7" spans="1:29" s="40" customFormat="1" ht="15" thickBot="1">
      <c r="A7" s="1013" t="s">
        <v>64</v>
      </c>
      <c r="B7" s="1014"/>
      <c r="C7" s="1015">
        <f>'数据-取费表'!B2</f>
        <v>42958</v>
      </c>
      <c r="D7" s="754">
        <v>100</v>
      </c>
      <c r="E7" s="1016"/>
      <c r="F7" s="756">
        <f>SUMIF(58:58,YEAR(E7)&amp;"-"&amp;MONTH(E7),59:59)</f>
        <v>0</v>
      </c>
      <c r="G7" s="1016"/>
      <c r="H7" s="754">
        <f>SUMIF(58:58,YEAR(G7)&amp;"-"&amp;MONTH(G7),59:59)</f>
        <v>0</v>
      </c>
      <c r="I7" s="1016"/>
      <c r="J7" s="754">
        <f>SUMIF(58:58,YEAR(I7)&amp;"-"&amp;MONTH(I7),59:59)</f>
        <v>0</v>
      </c>
      <c r="K7" s="1018"/>
      <c r="L7" s="2293"/>
      <c r="M7" s="2255"/>
      <c r="N7" s="2255"/>
      <c r="O7" s="2255"/>
      <c r="P7" s="3643" t="s">
        <v>64</v>
      </c>
      <c r="Q7" s="3671"/>
      <c r="R7" s="1341" t="s">
        <v>65</v>
      </c>
      <c r="S7" s="1342">
        <f t="shared" ref="S7:S15" si="0">F7</f>
        <v>0</v>
      </c>
      <c r="T7" s="1341" t="s">
        <v>65</v>
      </c>
      <c r="U7" s="1342">
        <f t="shared" ref="U7:U15" si="1">H7</f>
        <v>0</v>
      </c>
      <c r="V7" s="1341" t="s">
        <v>65</v>
      </c>
      <c r="W7" s="1342">
        <f t="shared" ref="W7:W15" si="2">J7</f>
        <v>0</v>
      </c>
      <c r="X7" s="287"/>
      <c r="Y7" s="3643" t="s">
        <v>64</v>
      </c>
      <c r="Z7" s="3644"/>
      <c r="AA7" s="1343" t="e">
        <f>D7/F7</f>
        <v>#DIV/0!</v>
      </c>
      <c r="AB7" s="1343" t="e">
        <f>D7/H7</f>
        <v>#DIV/0!</v>
      </c>
      <c r="AC7" s="1343" t="e">
        <f>D7/J7</f>
        <v>#DIV/0!</v>
      </c>
    </row>
    <row r="8" spans="1:29" s="40" customFormat="1" ht="15" thickBot="1">
      <c r="A8" s="1013" t="s">
        <v>66</v>
      </c>
      <c r="B8" s="1014"/>
      <c r="C8" s="1019" t="s">
        <v>116</v>
      </c>
      <c r="D8" s="754">
        <v>100</v>
      </c>
      <c r="E8" s="1019"/>
      <c r="F8" s="756">
        <f>SUMIF(61:61,E8,62:62)-SUMIF(61:61,C8,62:62)+100</f>
        <v>0</v>
      </c>
      <c r="G8" s="1019"/>
      <c r="H8" s="754">
        <f>SUMIF(61:61,G8,62:62)-SUMIF(61:61,C8,62:62)+100</f>
        <v>0</v>
      </c>
      <c r="I8" s="1019"/>
      <c r="J8" s="754">
        <f>SUMIF(61:61,I8,62:62)-SUMIF(61:61,C8,62:62)+100</f>
        <v>0</v>
      </c>
      <c r="K8" s="1018"/>
      <c r="L8" s="2293"/>
      <c r="M8" s="2255"/>
      <c r="N8" s="2255"/>
      <c r="O8" s="2255"/>
      <c r="P8" s="3643" t="s">
        <v>1023</v>
      </c>
      <c r="Q8" s="3644"/>
      <c r="R8" s="1341" t="s">
        <v>65</v>
      </c>
      <c r="S8" s="1342">
        <f t="shared" si="0"/>
        <v>0</v>
      </c>
      <c r="T8" s="1341" t="s">
        <v>65</v>
      </c>
      <c r="U8" s="1342">
        <f t="shared" si="1"/>
        <v>0</v>
      </c>
      <c r="V8" s="1341" t="s">
        <v>65</v>
      </c>
      <c r="W8" s="1342">
        <f t="shared" si="2"/>
        <v>0</v>
      </c>
      <c r="X8" s="287"/>
      <c r="Y8" s="3643" t="s">
        <v>1023</v>
      </c>
      <c r="Z8" s="3644"/>
      <c r="AA8" s="1343" t="e">
        <f t="shared" ref="AA8:AA46" si="3">D8/F8</f>
        <v>#DIV/0!</v>
      </c>
      <c r="AB8" s="1343" t="e">
        <f t="shared" ref="AB8:AB46" si="4">D8/H8</f>
        <v>#DIV/0!</v>
      </c>
      <c r="AC8" s="1343" t="e">
        <f t="shared" ref="AC8:AC46" si="5">D8/J8</f>
        <v>#DIV/0!</v>
      </c>
    </row>
    <row r="9" spans="1:29" s="40" customFormat="1" ht="14.25">
      <c r="A9" s="1020" t="s">
        <v>1024</v>
      </c>
      <c r="B9" s="62" t="s">
        <v>1025</v>
      </c>
      <c r="C9" s="1345"/>
      <c r="D9" s="425">
        <v>100</v>
      </c>
      <c r="E9" s="1346"/>
      <c r="F9" s="760">
        <f>SUMIF(63:63,E9,64:64)-SUMIF(63:63,C9,64:64)+100</f>
        <v>100</v>
      </c>
      <c r="G9" s="1346"/>
      <c r="H9" s="425">
        <f>SUMIF(63:63,G9,64:64)-SUMIF(63:63,C9,64:64)+100</f>
        <v>100</v>
      </c>
      <c r="I9" s="1346"/>
      <c r="J9" s="425">
        <f>SUMIF(63:63,I9,64:64)-SUMIF(63:63,C9,64:64)+100</f>
        <v>100</v>
      </c>
      <c r="K9" s="1018"/>
      <c r="L9" s="2293"/>
      <c r="M9" s="2255"/>
      <c r="N9" s="2255"/>
      <c r="O9" s="2255"/>
      <c r="P9" s="3657" t="s">
        <v>67</v>
      </c>
      <c r="Q9" s="7" t="str">
        <f t="shared" ref="Q9:Q15" si="6">B9</f>
        <v>用途</v>
      </c>
      <c r="R9" s="1341" t="s">
        <v>65</v>
      </c>
      <c r="S9" s="1342">
        <f t="shared" si="0"/>
        <v>100</v>
      </c>
      <c r="T9" s="1341" t="s">
        <v>65</v>
      </c>
      <c r="U9" s="1342">
        <f t="shared" si="1"/>
        <v>100</v>
      </c>
      <c r="V9" s="1341" t="s">
        <v>65</v>
      </c>
      <c r="W9" s="1342">
        <f t="shared" si="2"/>
        <v>100</v>
      </c>
      <c r="X9" s="287"/>
      <c r="Y9" s="3503" t="s">
        <v>67</v>
      </c>
      <c r="Z9" s="288" t="str">
        <f t="shared" ref="Z9:Z15" si="7">Q9</f>
        <v>用途</v>
      </c>
      <c r="AA9" s="1343">
        <f t="shared" si="3"/>
        <v>1</v>
      </c>
      <c r="AB9" s="1343">
        <f t="shared" si="4"/>
        <v>1</v>
      </c>
      <c r="AC9" s="1343">
        <f t="shared" si="5"/>
        <v>1</v>
      </c>
    </row>
    <row r="10" spans="1:29" s="92" customFormat="1" ht="27">
      <c r="A10" s="150"/>
      <c r="B10" s="12" t="s">
        <v>106</v>
      </c>
      <c r="C10" s="1348"/>
      <c r="D10" s="426">
        <v>100</v>
      </c>
      <c r="E10" s="1349"/>
      <c r="F10" s="767">
        <f>SUMIF(65:65,E10,66:66)-SUMIF(65:65,C10,66:66)+100</f>
        <v>100</v>
      </c>
      <c r="G10" s="1348"/>
      <c r="H10" s="426">
        <f>SUMIF(65:65,G10,66:66)-SUMIF(65:65,C10,66:66)+100</f>
        <v>100</v>
      </c>
      <c r="I10" s="1348"/>
      <c r="J10" s="426">
        <f>SUMIF(65:65,I10,66:66)-SUMIF(65:65,C10,66:66)+100</f>
        <v>100</v>
      </c>
      <c r="K10" s="954"/>
      <c r="L10" s="2294"/>
      <c r="M10" s="2295"/>
      <c r="N10" s="2295"/>
      <c r="O10" s="2295"/>
      <c r="P10" s="3657"/>
      <c r="Q10" s="7" t="str">
        <f t="shared" si="6"/>
        <v>土地使用年限（年）</v>
      </c>
      <c r="R10" s="1341" t="s">
        <v>65</v>
      </c>
      <c r="S10" s="1342">
        <f t="shared" si="0"/>
        <v>100</v>
      </c>
      <c r="T10" s="1341" t="s">
        <v>65</v>
      </c>
      <c r="U10" s="1342">
        <f t="shared" si="1"/>
        <v>100</v>
      </c>
      <c r="V10" s="1341" t="s">
        <v>65</v>
      </c>
      <c r="W10" s="1342">
        <f t="shared" si="2"/>
        <v>100</v>
      </c>
      <c r="X10" s="287"/>
      <c r="Y10" s="3503"/>
      <c r="Z10" s="288" t="str">
        <f t="shared" si="7"/>
        <v>土地使用年限（年）</v>
      </c>
      <c r="AA10" s="1343">
        <f t="shared" si="3"/>
        <v>1</v>
      </c>
      <c r="AB10" s="1343">
        <f t="shared" si="4"/>
        <v>1</v>
      </c>
      <c r="AC10" s="1343">
        <f t="shared" si="5"/>
        <v>1</v>
      </c>
    </row>
    <row r="11" spans="1:29" ht="15">
      <c r="A11" s="151"/>
      <c r="B11" s="12" t="s">
        <v>93</v>
      </c>
      <c r="C11" s="771"/>
      <c r="D11" s="426">
        <v>100</v>
      </c>
      <c r="E11" s="772"/>
      <c r="F11" s="767" t="e">
        <f>LOOKUP(E11,68:68,69:69)-LOOKUP(C11,68:68,69:69)+100</f>
        <v>#N/A</v>
      </c>
      <c r="G11" s="771"/>
      <c r="H11" s="426" t="e">
        <f>LOOKUP(G11,68:68,69:69)-LOOKUP(C11,68:68,69:69)+100</f>
        <v>#N/A</v>
      </c>
      <c r="I11" s="771"/>
      <c r="J11" s="426" t="e">
        <f>LOOKUP(I11,68:68,69:69)-LOOKUP(C11,68:68,69:69)+100</f>
        <v>#N/A</v>
      </c>
      <c r="K11" s="954"/>
      <c r="L11" s="2296"/>
      <c r="M11" s="2292"/>
      <c r="N11" s="2292"/>
      <c r="O11" s="2292"/>
      <c r="P11" s="3657"/>
      <c r="Q11" s="7" t="str">
        <f t="shared" si="6"/>
        <v>容积率</v>
      </c>
      <c r="R11" s="1341" t="s">
        <v>65</v>
      </c>
      <c r="S11" s="1342" t="e">
        <f t="shared" si="0"/>
        <v>#N/A</v>
      </c>
      <c r="T11" s="1341" t="s">
        <v>65</v>
      </c>
      <c r="U11" s="1342" t="e">
        <f t="shared" si="1"/>
        <v>#N/A</v>
      </c>
      <c r="V11" s="1341" t="s">
        <v>65</v>
      </c>
      <c r="W11" s="1342" t="e">
        <f t="shared" si="2"/>
        <v>#N/A</v>
      </c>
      <c r="X11" s="287"/>
      <c r="Y11" s="3503"/>
      <c r="Z11" s="288" t="str">
        <f t="shared" si="7"/>
        <v>容积率</v>
      </c>
      <c r="AA11" s="1343" t="e">
        <f t="shared" si="3"/>
        <v>#N/A</v>
      </c>
      <c r="AB11" s="1343" t="e">
        <f t="shared" si="4"/>
        <v>#N/A</v>
      </c>
      <c r="AC11" s="1343" t="e">
        <f t="shared" si="5"/>
        <v>#N/A</v>
      </c>
    </row>
    <row r="12" spans="1:29" s="40" customFormat="1" ht="14.25">
      <c r="A12" s="1029"/>
      <c r="B12" s="1030">
        <v>111</v>
      </c>
      <c r="C12" s="1023"/>
      <c r="D12" s="775">
        <v>100</v>
      </c>
      <c r="E12" s="93"/>
      <c r="F12" s="767">
        <f>SUMIF(70:70,E12,71:71)-SUMIF(70:70,C12,71:71)+100</f>
        <v>100</v>
      </c>
      <c r="G12" s="93"/>
      <c r="H12" s="426">
        <f>SUMIF(70:70,G12,71:71)-SUMIF(70:70,C12,71:71)+100</f>
        <v>100</v>
      </c>
      <c r="I12" s="93"/>
      <c r="J12" s="426">
        <f>SUMIF(70:70,I12,71:71)-SUMIF(70:70,C12,71:71)+100</f>
        <v>100</v>
      </c>
      <c r="K12" s="188"/>
      <c r="L12" s="2293"/>
      <c r="M12" s="2255"/>
      <c r="N12" s="2255"/>
      <c r="O12" s="2255"/>
      <c r="P12" s="3657"/>
      <c r="Q12" s="7">
        <f t="shared" si="6"/>
        <v>111</v>
      </c>
      <c r="R12" s="1341" t="s">
        <v>65</v>
      </c>
      <c r="S12" s="1342">
        <f t="shared" si="0"/>
        <v>100</v>
      </c>
      <c r="T12" s="1341" t="s">
        <v>65</v>
      </c>
      <c r="U12" s="1342">
        <f t="shared" si="1"/>
        <v>100</v>
      </c>
      <c r="V12" s="1341" t="s">
        <v>65</v>
      </c>
      <c r="W12" s="1342">
        <f t="shared" si="2"/>
        <v>100</v>
      </c>
      <c r="X12" s="287"/>
      <c r="Y12" s="3503"/>
      <c r="Z12" s="288">
        <f t="shared" si="7"/>
        <v>111</v>
      </c>
      <c r="AA12" s="1343">
        <f>D12/F12</f>
        <v>1</v>
      </c>
      <c r="AB12" s="1343">
        <f>D12/H12</f>
        <v>1</v>
      </c>
      <c r="AC12" s="1343">
        <f>D12/J12</f>
        <v>1</v>
      </c>
    </row>
    <row r="13" spans="1:29" ht="14.25">
      <c r="A13" s="151"/>
      <c r="B13" s="1030">
        <v>111</v>
      </c>
      <c r="C13" s="93"/>
      <c r="D13" s="777">
        <v>100</v>
      </c>
      <c r="E13" s="93"/>
      <c r="F13" s="767">
        <f>SUMIF(72:72,E13,73:73)-SUMIF(72:72,C13,73:73)+100</f>
        <v>100</v>
      </c>
      <c r="G13" s="93"/>
      <c r="H13" s="777">
        <f>SUMIF(72:72,G13,73:73)-SUMIF(72:72,C13,73:73)+100</f>
        <v>100</v>
      </c>
      <c r="I13" s="93"/>
      <c r="J13" s="777">
        <f>SUMIF(72:72,I13,73:73)-SUMIF(72:72,C13,73:73)+100</f>
        <v>100</v>
      </c>
      <c r="K13" s="188"/>
      <c r="L13" s="2297"/>
      <c r="M13" s="2292"/>
      <c r="N13" s="2292"/>
      <c r="O13" s="2292"/>
      <c r="P13" s="3657"/>
      <c r="Q13" s="7">
        <f t="shared" si="6"/>
        <v>111</v>
      </c>
      <c r="R13" s="1341" t="s">
        <v>65</v>
      </c>
      <c r="S13" s="1342">
        <f t="shared" si="0"/>
        <v>100</v>
      </c>
      <c r="T13" s="1341" t="s">
        <v>65</v>
      </c>
      <c r="U13" s="1342">
        <f t="shared" si="1"/>
        <v>100</v>
      </c>
      <c r="V13" s="1341" t="s">
        <v>65</v>
      </c>
      <c r="W13" s="1342">
        <f t="shared" si="2"/>
        <v>100</v>
      </c>
      <c r="X13" s="287"/>
      <c r="Y13" s="3503"/>
      <c r="Z13" s="288">
        <f t="shared" si="7"/>
        <v>111</v>
      </c>
      <c r="AA13" s="1343">
        <f t="shared" si="3"/>
        <v>1</v>
      </c>
      <c r="AB13" s="1343">
        <f t="shared" si="4"/>
        <v>1</v>
      </c>
      <c r="AC13" s="1343">
        <f t="shared" si="5"/>
        <v>1</v>
      </c>
    </row>
    <row r="14" spans="1:29" ht="15" thickBot="1">
      <c r="A14" s="154"/>
      <c r="B14" s="1031">
        <v>111</v>
      </c>
      <c r="C14" s="94"/>
      <c r="D14" s="780">
        <v>100</v>
      </c>
      <c r="E14" s="93"/>
      <c r="F14" s="781">
        <f>SUMIF(74:74,E14,75:75)-SUMIF(74:74,C14,75:75)+100</f>
        <v>100</v>
      </c>
      <c r="G14" s="93"/>
      <c r="H14" s="780">
        <f>SUMIF(74:74,G14,75:75)-SUMIF(74:74,C14,75:75)+100</f>
        <v>100</v>
      </c>
      <c r="I14" s="93"/>
      <c r="J14" s="780">
        <f>SUMIF(74:74,I14,75:75)-SUMIF(74:74,C14,75:75)+100</f>
        <v>100</v>
      </c>
      <c r="K14" s="188"/>
      <c r="L14" s="2297"/>
      <c r="M14" s="2292"/>
      <c r="N14" s="2292"/>
      <c r="O14" s="2292"/>
      <c r="P14" s="3657"/>
      <c r="Q14" s="7">
        <f t="shared" si="6"/>
        <v>111</v>
      </c>
      <c r="R14" s="1341" t="s">
        <v>65</v>
      </c>
      <c r="S14" s="1342">
        <f t="shared" si="0"/>
        <v>100</v>
      </c>
      <c r="T14" s="1341" t="s">
        <v>65</v>
      </c>
      <c r="U14" s="1342">
        <f t="shared" si="1"/>
        <v>100</v>
      </c>
      <c r="V14" s="1341" t="s">
        <v>65</v>
      </c>
      <c r="W14" s="1342">
        <f t="shared" si="2"/>
        <v>100</v>
      </c>
      <c r="X14" s="287"/>
      <c r="Y14" s="3503"/>
      <c r="Z14" s="288">
        <f t="shared" si="7"/>
        <v>111</v>
      </c>
      <c r="AA14" s="1343">
        <f t="shared" si="3"/>
        <v>1</v>
      </c>
      <c r="AB14" s="1343">
        <f t="shared" si="4"/>
        <v>1</v>
      </c>
      <c r="AC14" s="1343">
        <f t="shared" si="5"/>
        <v>1</v>
      </c>
    </row>
    <row r="15" spans="1:29" ht="67.5">
      <c r="A15" s="155" t="s">
        <v>69</v>
      </c>
      <c r="B15" s="58" t="s">
        <v>130</v>
      </c>
      <c r="C15" s="157" t="str">
        <f>估价对象房地状况!C4</f>
        <v>估价对象位于XX商圈，周边商业氛围成熟，人流量大，商业繁华度好</v>
      </c>
      <c r="D15" s="783">
        <v>100</v>
      </c>
      <c r="E15" s="95"/>
      <c r="F15" s="785">
        <f>SUMIF(76:76,E16,77:77)-SUMIF(76:76,C16,77:77)+100</f>
        <v>100</v>
      </c>
      <c r="G15" s="96"/>
      <c r="H15" s="783">
        <f>SUMIF(76:76,G16,77:77)-SUMIF(76:76,C16,77:77)+100</f>
        <v>100</v>
      </c>
      <c r="I15" s="95"/>
      <c r="J15" s="783">
        <f>SUMIF(76:76,I16,77:77)-SUMIF(76:76,C16,77:77)+100</f>
        <v>100</v>
      </c>
      <c r="K15" s="956"/>
      <c r="L15" s="2297"/>
      <c r="M15" s="2292"/>
      <c r="N15" s="2292"/>
      <c r="O15" s="2292"/>
      <c r="P15" s="3684" t="s">
        <v>69</v>
      </c>
      <c r="Q15" s="1350" t="str">
        <f t="shared" si="6"/>
        <v>商业繁华度</v>
      </c>
      <c r="R15" s="1351" t="s">
        <v>65</v>
      </c>
      <c r="S15" s="1352">
        <f t="shared" si="0"/>
        <v>100</v>
      </c>
      <c r="T15" s="1351" t="s">
        <v>65</v>
      </c>
      <c r="U15" s="1352">
        <f t="shared" si="1"/>
        <v>100</v>
      </c>
      <c r="V15" s="1351" t="s">
        <v>65</v>
      </c>
      <c r="W15" s="1352">
        <f t="shared" si="2"/>
        <v>100</v>
      </c>
      <c r="X15" s="1339"/>
      <c r="Y15" s="3677" t="s">
        <v>69</v>
      </c>
      <c r="Z15" s="1353" t="str">
        <f t="shared" si="7"/>
        <v>商业繁华度</v>
      </c>
      <c r="AA15" s="1354">
        <f t="shared" si="3"/>
        <v>1</v>
      </c>
      <c r="AB15" s="1354">
        <f t="shared" si="4"/>
        <v>1</v>
      </c>
      <c r="AC15" s="1354">
        <f t="shared" si="5"/>
        <v>1</v>
      </c>
    </row>
    <row r="16" spans="1:29" ht="14.25">
      <c r="A16" s="151"/>
      <c r="B16" s="156"/>
      <c r="C16" s="97"/>
      <c r="D16" s="790"/>
      <c r="E16" s="97"/>
      <c r="F16" s="791"/>
      <c r="G16" s="97"/>
      <c r="H16" s="792"/>
      <c r="I16" s="97"/>
      <c r="J16" s="790"/>
      <c r="K16" s="189"/>
      <c r="L16" s="2297"/>
      <c r="M16" s="2292"/>
      <c r="N16" s="2292"/>
      <c r="O16" s="2292"/>
      <c r="P16" s="3685"/>
      <c r="Q16" s="1350"/>
      <c r="R16" s="1351"/>
      <c r="S16" s="1352"/>
      <c r="T16" s="1351"/>
      <c r="U16" s="1352"/>
      <c r="V16" s="1351"/>
      <c r="W16" s="1352"/>
      <c r="X16" s="1339"/>
      <c r="Y16" s="3678"/>
      <c r="Z16" s="1353"/>
      <c r="AA16" s="1354">
        <v>1</v>
      </c>
      <c r="AB16" s="1354">
        <v>1</v>
      </c>
      <c r="AC16" s="1354">
        <v>1</v>
      </c>
    </row>
    <row r="17" spans="1:29" ht="81">
      <c r="A17" s="151"/>
      <c r="B17" s="1355" t="s">
        <v>72</v>
      </c>
      <c r="C17" s="158" t="str">
        <f>估价对象房地状况!C6</f>
        <v>估价对象周边道路状况、公共交通通达情况、停车便捷程度，综合评价交通便捷度较好</v>
      </c>
      <c r="D17" s="792">
        <v>100</v>
      </c>
      <c r="E17" s="100"/>
      <c r="F17" s="795">
        <f>SUMIF(78:78,E18,79:79)-SUMIF(78:78,C18,79:79)+100</f>
        <v>100</v>
      </c>
      <c r="G17" s="101"/>
      <c r="H17" s="797">
        <f>SUMIF(78:78,G18,79:79)-SUMIF(78:78,C18,79:79)+100</f>
        <v>100</v>
      </c>
      <c r="I17" s="100"/>
      <c r="J17" s="797">
        <f>SUMIF(78:78,I18,79:79)-SUMIF(78:78,C18,79:79)+100</f>
        <v>100</v>
      </c>
      <c r="K17" s="956"/>
      <c r="L17" s="2297"/>
      <c r="M17" s="2292"/>
      <c r="N17" s="2292"/>
      <c r="O17" s="2292"/>
      <c r="P17" s="3685"/>
      <c r="Q17" s="1350" t="str">
        <f>B17</f>
        <v>交通便捷度</v>
      </c>
      <c r="R17" s="1351" t="s">
        <v>65</v>
      </c>
      <c r="S17" s="1352">
        <f>F17</f>
        <v>100</v>
      </c>
      <c r="T17" s="1351" t="s">
        <v>65</v>
      </c>
      <c r="U17" s="1352">
        <f>H17</f>
        <v>100</v>
      </c>
      <c r="V17" s="1351" t="s">
        <v>65</v>
      </c>
      <c r="W17" s="1352">
        <f>J17</f>
        <v>100</v>
      </c>
      <c r="X17" s="1339"/>
      <c r="Y17" s="3678"/>
      <c r="Z17" s="1353" t="str">
        <f>Q17</f>
        <v>交通便捷度</v>
      </c>
      <c r="AA17" s="1354">
        <f t="shared" si="3"/>
        <v>1</v>
      </c>
      <c r="AB17" s="1354">
        <f t="shared" si="4"/>
        <v>1</v>
      </c>
      <c r="AC17" s="1354">
        <f t="shared" si="5"/>
        <v>1</v>
      </c>
    </row>
    <row r="18" spans="1:29" ht="14.25">
      <c r="A18" s="151"/>
      <c r="B18" s="1039"/>
      <c r="C18" s="102"/>
      <c r="D18" s="792"/>
      <c r="E18" s="103"/>
      <c r="F18" s="795"/>
      <c r="G18" s="104"/>
      <c r="H18" s="790"/>
      <c r="I18" s="103"/>
      <c r="J18" s="790"/>
      <c r="K18" s="189"/>
      <c r="L18" s="2297"/>
      <c r="M18" s="2292"/>
      <c r="N18" s="2292"/>
      <c r="O18" s="2292"/>
      <c r="P18" s="3685"/>
      <c r="Q18" s="1350"/>
      <c r="R18" s="1351"/>
      <c r="S18" s="1352"/>
      <c r="T18" s="1351"/>
      <c r="U18" s="1352"/>
      <c r="V18" s="1351"/>
      <c r="W18" s="1352"/>
      <c r="X18" s="1339"/>
      <c r="Y18" s="3678"/>
      <c r="Z18" s="1353"/>
      <c r="AA18" s="1354">
        <v>1</v>
      </c>
      <c r="AB18" s="1354">
        <v>1</v>
      </c>
      <c r="AC18" s="1354">
        <v>1</v>
      </c>
    </row>
    <row r="19" spans="1:29" ht="40.5">
      <c r="A19" s="151"/>
      <c r="B19" s="1355" t="s">
        <v>2657</v>
      </c>
      <c r="C19" s="158" t="str">
        <f>估价对象房地状况!C7</f>
        <v>估价对象所在区域公共配套设施齐备情况</v>
      </c>
      <c r="D19" s="797">
        <v>100</v>
      </c>
      <c r="E19" s="105"/>
      <c r="F19" s="800">
        <f>SUMIF(80:80,E20,81:81)-SUMIF(80:80,C20,81:81)+100</f>
        <v>100</v>
      </c>
      <c r="G19" s="106"/>
      <c r="H19" s="792">
        <f>SUMIF(80:80,G20,81:81)-SUMIF(80:80,C20,81:81)+100</f>
        <v>100</v>
      </c>
      <c r="I19" s="105"/>
      <c r="J19" s="792">
        <f>SUMIF(80:80,I20,81:81)-SUMIF(80:80,C20,81:81)+100</f>
        <v>100</v>
      </c>
      <c r="K19" s="956"/>
      <c r="L19" s="2297"/>
      <c r="M19" s="2292"/>
      <c r="N19" s="2292"/>
      <c r="O19" s="2292"/>
      <c r="P19" s="3685"/>
      <c r="Q19" s="1350" t="str">
        <f>B19</f>
        <v>公共配套设施</v>
      </c>
      <c r="R19" s="1351" t="s">
        <v>65</v>
      </c>
      <c r="S19" s="1352">
        <f>F19</f>
        <v>100</v>
      </c>
      <c r="T19" s="1351" t="s">
        <v>65</v>
      </c>
      <c r="U19" s="1352">
        <f>H19</f>
        <v>100</v>
      </c>
      <c r="V19" s="1351" t="s">
        <v>65</v>
      </c>
      <c r="W19" s="1352">
        <f>J19</f>
        <v>100</v>
      </c>
      <c r="X19" s="1339"/>
      <c r="Y19" s="3678"/>
      <c r="Z19" s="1353" t="str">
        <f>Q19</f>
        <v>公共配套设施</v>
      </c>
      <c r="AA19" s="1354">
        <f t="shared" si="3"/>
        <v>1</v>
      </c>
      <c r="AB19" s="1354">
        <f t="shared" si="4"/>
        <v>1</v>
      </c>
      <c r="AC19" s="1354">
        <f t="shared" si="5"/>
        <v>1</v>
      </c>
    </row>
    <row r="20" spans="1:29" ht="14.25">
      <c r="A20" s="151"/>
      <c r="B20" s="1039"/>
      <c r="C20" s="97"/>
      <c r="D20" s="790"/>
      <c r="E20" s="98"/>
      <c r="F20" s="791"/>
      <c r="G20" s="99"/>
      <c r="H20" s="790"/>
      <c r="I20" s="98"/>
      <c r="J20" s="790"/>
      <c r="K20" s="189"/>
      <c r="L20" s="2297"/>
      <c r="M20" s="2292"/>
      <c r="N20" s="2292"/>
      <c r="O20" s="2292"/>
      <c r="P20" s="3685"/>
      <c r="Q20" s="1350"/>
      <c r="R20" s="1351"/>
      <c r="S20" s="1352"/>
      <c r="T20" s="1351"/>
      <c r="U20" s="1352"/>
      <c r="V20" s="1351"/>
      <c r="W20" s="1352"/>
      <c r="X20" s="1339"/>
      <c r="Y20" s="3678"/>
      <c r="Z20" s="1353"/>
      <c r="AA20" s="1354">
        <v>1</v>
      </c>
      <c r="AB20" s="1354">
        <v>1</v>
      </c>
      <c r="AC20" s="1354">
        <v>1</v>
      </c>
    </row>
    <row r="21" spans="1:29" ht="27">
      <c r="A21" s="151"/>
      <c r="B21" s="1411" t="s">
        <v>2658</v>
      </c>
      <c r="C21" s="158" t="str">
        <f>估价对象房地状况!C8</f>
        <v>估价对象所在区域基础设施水平</v>
      </c>
      <c r="D21" s="797">
        <v>100</v>
      </c>
      <c r="E21" s="105"/>
      <c r="F21" s="800">
        <f>SUMIF(82:82,E22,83:83)-SUMIF(82:82,C22,83:83)+100</f>
        <v>100</v>
      </c>
      <c r="G21" s="106"/>
      <c r="H21" s="792">
        <f>SUMIF(82:82,G22,83:83)-SUMIF(82:82,C22,83:83)+100</f>
        <v>100</v>
      </c>
      <c r="I21" s="105"/>
      <c r="J21" s="792">
        <f>SUMIF(82:82,I22,83:83)-SUMIF(82:82,C22,83:83)+100</f>
        <v>100</v>
      </c>
      <c r="K21" s="956"/>
      <c r="L21" s="2297"/>
      <c r="M21" s="2292"/>
      <c r="N21" s="2292"/>
      <c r="O21" s="2292"/>
      <c r="P21" s="3685"/>
      <c r="Q21" s="2742" t="str">
        <f>B21</f>
        <v>基础设施水平</v>
      </c>
      <c r="R21" s="1351" t="s">
        <v>65</v>
      </c>
      <c r="S21" s="1352">
        <f>F21</f>
        <v>100</v>
      </c>
      <c r="T21" s="1351" t="s">
        <v>65</v>
      </c>
      <c r="U21" s="1352">
        <f>H21</f>
        <v>100</v>
      </c>
      <c r="V21" s="1351" t="s">
        <v>65</v>
      </c>
      <c r="W21" s="1352">
        <f>J21</f>
        <v>100</v>
      </c>
      <c r="X21" s="2744"/>
      <c r="Y21" s="3678"/>
      <c r="Z21" s="2743" t="str">
        <f>Q21</f>
        <v>基础设施水平</v>
      </c>
      <c r="AA21" s="1354">
        <f>D21/F21</f>
        <v>1</v>
      </c>
      <c r="AB21" s="1354">
        <f>D21/H21</f>
        <v>1</v>
      </c>
      <c r="AC21" s="1354">
        <f>D21/J21</f>
        <v>1</v>
      </c>
    </row>
    <row r="22" spans="1:29" ht="14.25">
      <c r="A22" s="151"/>
      <c r="B22" s="1411"/>
      <c r="C22" s="102"/>
      <c r="D22" s="790"/>
      <c r="E22" s="97"/>
      <c r="F22" s="791"/>
      <c r="G22" s="97"/>
      <c r="H22" s="790"/>
      <c r="I22" s="97"/>
      <c r="J22" s="790"/>
      <c r="K22" s="2762"/>
      <c r="L22" s="2297"/>
      <c r="M22" s="2292"/>
      <c r="N22" s="2292"/>
      <c r="O22" s="2292"/>
      <c r="P22" s="3685"/>
      <c r="Q22" s="2742"/>
      <c r="R22" s="1351"/>
      <c r="S22" s="1352"/>
      <c r="T22" s="1351"/>
      <c r="U22" s="1352"/>
      <c r="V22" s="1351"/>
      <c r="W22" s="1352"/>
      <c r="X22" s="2744"/>
      <c r="Y22" s="3678"/>
      <c r="Z22" s="2743"/>
      <c r="AA22" s="1354">
        <v>1</v>
      </c>
      <c r="AB22" s="1354">
        <v>1</v>
      </c>
      <c r="AC22" s="1354">
        <v>1</v>
      </c>
    </row>
    <row r="23" spans="1:29" ht="54">
      <c r="A23" s="151"/>
      <c r="B23" s="1355" t="s">
        <v>73</v>
      </c>
      <c r="C23" s="190" t="str">
        <f>估价对象房地状况!C9</f>
        <v>区域自然环境：；人文环境；综合评价环境状况一般</v>
      </c>
      <c r="D23" s="792">
        <v>100</v>
      </c>
      <c r="E23" s="100"/>
      <c r="F23" s="795">
        <f>SUMIF(84:84,E24,85:85)-SUMIF(84:84,C24,85:85)+100</f>
        <v>100</v>
      </c>
      <c r="G23" s="101"/>
      <c r="H23" s="792">
        <f>SUMIF(84:84,G24,85:85)-SUMIF(84:84,C24,85:85)+100</f>
        <v>100</v>
      </c>
      <c r="I23" s="100"/>
      <c r="J23" s="792">
        <f>SUMIF(84:84,I24,85:85)-SUMIF(84:84,C24,85:85)+100</f>
        <v>100</v>
      </c>
      <c r="K23" s="956"/>
      <c r="L23" s="2297"/>
      <c r="M23" s="2292"/>
      <c r="N23" s="2292"/>
      <c r="O23" s="2292"/>
      <c r="P23" s="3685"/>
      <c r="Q23" s="1350" t="str">
        <f>B23</f>
        <v>自然及人文环境</v>
      </c>
      <c r="R23" s="1351" t="s">
        <v>65</v>
      </c>
      <c r="S23" s="1352">
        <f>F23</f>
        <v>100</v>
      </c>
      <c r="T23" s="1351" t="s">
        <v>65</v>
      </c>
      <c r="U23" s="1352">
        <f>H23</f>
        <v>100</v>
      </c>
      <c r="V23" s="1351" t="s">
        <v>65</v>
      </c>
      <c r="W23" s="1352">
        <f>J23</f>
        <v>100</v>
      </c>
      <c r="X23" s="1339"/>
      <c r="Y23" s="3678"/>
      <c r="Z23" s="1353" t="str">
        <f>Q23</f>
        <v>自然及人文环境</v>
      </c>
      <c r="AA23" s="1354">
        <f t="shared" si="3"/>
        <v>1</v>
      </c>
      <c r="AB23" s="1354">
        <f t="shared" si="4"/>
        <v>1</v>
      </c>
      <c r="AC23" s="1354">
        <f t="shared" si="5"/>
        <v>1</v>
      </c>
    </row>
    <row r="24" spans="1:29" ht="14.25">
      <c r="A24" s="151"/>
      <c r="B24" s="1039"/>
      <c r="C24" s="97"/>
      <c r="D24" s="790"/>
      <c r="E24" s="98"/>
      <c r="F24" s="791"/>
      <c r="G24" s="99"/>
      <c r="H24" s="790"/>
      <c r="I24" s="98"/>
      <c r="J24" s="790"/>
      <c r="K24" s="189"/>
      <c r="L24" s="2297"/>
      <c r="M24" s="2292"/>
      <c r="N24" s="2292"/>
      <c r="O24" s="2292"/>
      <c r="P24" s="3685"/>
      <c r="Q24" s="1350"/>
      <c r="R24" s="1351"/>
      <c r="S24" s="1352"/>
      <c r="T24" s="1351"/>
      <c r="U24" s="1352"/>
      <c r="V24" s="1351"/>
      <c r="W24" s="1352"/>
      <c r="X24" s="1339"/>
      <c r="Y24" s="3678"/>
      <c r="Z24" s="1353"/>
      <c r="AA24" s="1354">
        <v>1</v>
      </c>
      <c r="AB24" s="1354">
        <v>1</v>
      </c>
      <c r="AC24" s="1354">
        <v>1</v>
      </c>
    </row>
    <row r="25" spans="1:29" ht="15">
      <c r="A25" s="151"/>
      <c r="B25" s="12" t="s">
        <v>131</v>
      </c>
      <c r="C25" s="182"/>
      <c r="D25" s="777">
        <v>100</v>
      </c>
      <c r="E25" s="182"/>
      <c r="F25" s="803">
        <f>SUMIF(86:86,E25,87:87)-SUMIF(86:86,C25,87:87)+100</f>
        <v>100</v>
      </c>
      <c r="G25" s="182"/>
      <c r="H25" s="777">
        <f>SUMIF(86:86,G25,87:87)-SUMIF(86:86,C25,87:87)+100</f>
        <v>100</v>
      </c>
      <c r="I25" s="182"/>
      <c r="J25" s="777">
        <f>SUMIF(86:86,I25,87:87)-SUMIF(86:86,C25,87:87)+100</f>
        <v>100</v>
      </c>
      <c r="K25" s="954"/>
      <c r="L25" s="2297"/>
      <c r="M25" s="2292"/>
      <c r="N25" s="2292"/>
      <c r="O25" s="2292"/>
      <c r="P25" s="3685"/>
      <c r="Q25" s="1350" t="str">
        <f t="shared" ref="Q25:Q46" si="8">B25</f>
        <v>临街状况</v>
      </c>
      <c r="R25" s="1351" t="s">
        <v>65</v>
      </c>
      <c r="S25" s="1352">
        <f>F25</f>
        <v>100</v>
      </c>
      <c r="T25" s="1351" t="s">
        <v>65</v>
      </c>
      <c r="U25" s="1352">
        <f>H25</f>
        <v>100</v>
      </c>
      <c r="V25" s="1351" t="s">
        <v>65</v>
      </c>
      <c r="W25" s="1352">
        <f>J25</f>
        <v>100</v>
      </c>
      <c r="X25" s="1339"/>
      <c r="Y25" s="3678"/>
      <c r="Z25" s="1353" t="str">
        <f>Q25</f>
        <v>临街状况</v>
      </c>
      <c r="AA25" s="1354">
        <f t="shared" si="3"/>
        <v>1</v>
      </c>
      <c r="AB25" s="1354">
        <f t="shared" si="4"/>
        <v>1</v>
      </c>
      <c r="AC25" s="1354">
        <f t="shared" si="5"/>
        <v>1</v>
      </c>
    </row>
    <row r="26" spans="1:29" ht="14.25">
      <c r="A26" s="151"/>
      <c r="B26" s="1356" t="s">
        <v>1026</v>
      </c>
      <c r="C26" s="93"/>
      <c r="D26" s="777">
        <v>100</v>
      </c>
      <c r="E26" s="93"/>
      <c r="F26" s="803">
        <f>SUMIF(88:88,E26,89:89)-SUMIF(88:88,C26,89:89)+100</f>
        <v>100</v>
      </c>
      <c r="G26" s="93"/>
      <c r="H26" s="777">
        <f>SUMIF(88:88,G26,89:89)-SUMIF(88:88,C26,89:89)+100</f>
        <v>100</v>
      </c>
      <c r="I26" s="93"/>
      <c r="J26" s="777">
        <f>SUMIF(88:88,I26,89:89)-SUMIF(88:88,C26,89:89)+100</f>
        <v>100</v>
      </c>
      <c r="K26" s="188"/>
      <c r="L26" s="2297"/>
      <c r="M26" s="2292"/>
      <c r="N26" s="2292"/>
      <c r="O26" s="2292"/>
      <c r="P26" s="3685"/>
      <c r="Q26" s="1350" t="str">
        <f t="shared" si="8"/>
        <v>平面位置/可视性</v>
      </c>
      <c r="R26" s="1351" t="s">
        <v>65</v>
      </c>
      <c r="S26" s="1352">
        <f>F26</f>
        <v>100</v>
      </c>
      <c r="T26" s="1351" t="s">
        <v>65</v>
      </c>
      <c r="U26" s="1352">
        <f>H26</f>
        <v>100</v>
      </c>
      <c r="V26" s="1351" t="s">
        <v>65</v>
      </c>
      <c r="W26" s="1352">
        <f>J26</f>
        <v>100</v>
      </c>
      <c r="X26" s="1339"/>
      <c r="Y26" s="3678"/>
      <c r="Z26" s="1353" t="str">
        <f>Q26</f>
        <v>平面位置/可视性</v>
      </c>
      <c r="AA26" s="1354">
        <f t="shared" si="3"/>
        <v>1</v>
      </c>
      <c r="AB26" s="1354">
        <f t="shared" si="4"/>
        <v>1</v>
      </c>
      <c r="AC26" s="1354">
        <f t="shared" si="5"/>
        <v>1</v>
      </c>
    </row>
    <row r="27" spans="1:29" s="40" customFormat="1" ht="15">
      <c r="A27" s="1029"/>
      <c r="B27" s="1355" t="s">
        <v>1027</v>
      </c>
      <c r="C27" s="1386"/>
      <c r="D27" s="804">
        <v>100</v>
      </c>
      <c r="E27" s="1386"/>
      <c r="F27" s="806">
        <f>SUMIF(90:90,E27,91:91)-SUMIF(90:90,C27,91:91)+100</f>
        <v>100</v>
      </c>
      <c r="G27" s="1386"/>
      <c r="H27" s="804">
        <f>SUMIF(90:90,G27,91:91)-SUMIF(90:90,C27,91:91)+100</f>
        <v>100</v>
      </c>
      <c r="I27" s="1386"/>
      <c r="J27" s="804">
        <f>SUMIF(90:90,I27,91:91)-SUMIF(90:90,C27,91:91)+100</f>
        <v>100</v>
      </c>
      <c r="K27" s="954"/>
      <c r="L27" s="2293"/>
      <c r="M27" s="2255"/>
      <c r="N27" s="2255"/>
      <c r="O27" s="2255"/>
      <c r="P27" s="3685"/>
      <c r="Q27" s="7" t="str">
        <f t="shared" si="8"/>
        <v>人流量</v>
      </c>
      <c r="R27" s="1341" t="s">
        <v>65</v>
      </c>
      <c r="S27" s="1342">
        <f>F27</f>
        <v>100</v>
      </c>
      <c r="T27" s="1341" t="s">
        <v>65</v>
      </c>
      <c r="U27" s="1342">
        <f>H27</f>
        <v>100</v>
      </c>
      <c r="V27" s="1341" t="s">
        <v>65</v>
      </c>
      <c r="W27" s="1342">
        <f>J27</f>
        <v>100</v>
      </c>
      <c r="X27" s="287"/>
      <c r="Y27" s="3678"/>
      <c r="Z27" s="288" t="str">
        <f>Q27</f>
        <v>人流量</v>
      </c>
      <c r="AA27" s="1354">
        <f>D27/F27</f>
        <v>1</v>
      </c>
      <c r="AB27" s="1354">
        <f>D27/H27</f>
        <v>1</v>
      </c>
      <c r="AC27" s="1354">
        <f>D27/J27</f>
        <v>1</v>
      </c>
    </row>
    <row r="28" spans="1:29" ht="14.25">
      <c r="A28" s="151"/>
      <c r="B28" s="12" t="s">
        <v>132</v>
      </c>
      <c r="C28" s="182"/>
      <c r="D28" s="777">
        <v>100</v>
      </c>
      <c r="E28" s="182"/>
      <c r="F28" s="803">
        <f>SUMIF(92:92,E28,93:93)-SUMIF(92:92,C28,93:93)+100</f>
        <v>100</v>
      </c>
      <c r="G28" s="182"/>
      <c r="H28" s="777">
        <f>SUMIF(92:92,G28,93:93)-SUMIF(92:92,C28,93:93)+100</f>
        <v>100</v>
      </c>
      <c r="I28" s="182"/>
      <c r="J28" s="777">
        <f>SUMIF(92:92,I28,93:93)-SUMIF(92:92,C28,93:93)+100</f>
        <v>100</v>
      </c>
      <c r="K28" s="188"/>
      <c r="L28" s="2297"/>
      <c r="M28" s="2292"/>
      <c r="N28" s="2292"/>
      <c r="O28" s="2292"/>
      <c r="P28" s="3685"/>
      <c r="Q28" s="1350" t="str">
        <f t="shared" si="8"/>
        <v>楼层</v>
      </c>
      <c r="R28" s="1351" t="s">
        <v>65</v>
      </c>
      <c r="S28" s="1352">
        <f t="shared" ref="S28:S46" si="9">F28</f>
        <v>100</v>
      </c>
      <c r="T28" s="1351" t="s">
        <v>65</v>
      </c>
      <c r="U28" s="1352">
        <f t="shared" ref="U28:U46" si="10">H28</f>
        <v>100</v>
      </c>
      <c r="V28" s="1351" t="s">
        <v>65</v>
      </c>
      <c r="W28" s="1352">
        <f t="shared" ref="W28:W46" si="11">J28</f>
        <v>100</v>
      </c>
      <c r="X28" s="1339"/>
      <c r="Y28" s="3678"/>
      <c r="Z28" s="1353" t="str">
        <f t="shared" ref="Z28:Z46" si="12">Q28</f>
        <v>楼层</v>
      </c>
      <c r="AA28" s="1354">
        <f t="shared" si="3"/>
        <v>1</v>
      </c>
      <c r="AB28" s="1354">
        <f t="shared" si="4"/>
        <v>1</v>
      </c>
      <c r="AC28" s="1354">
        <f t="shared" si="5"/>
        <v>1</v>
      </c>
    </row>
    <row r="29" spans="1:29" ht="14.25">
      <c r="A29" s="151"/>
      <c r="B29" s="1356">
        <v>111</v>
      </c>
      <c r="C29" s="93"/>
      <c r="D29" s="777">
        <v>100</v>
      </c>
      <c r="E29" s="93"/>
      <c r="F29" s="803">
        <f>SUMIF(94:94,E29,95:95)-SUMIF(94:94,C29,95:95)+100</f>
        <v>100</v>
      </c>
      <c r="G29" s="93"/>
      <c r="H29" s="777">
        <f>SUMIF(94:94,G29,95:95)-SUMIF(94:94,C29,95:95)+100</f>
        <v>100</v>
      </c>
      <c r="I29" s="93"/>
      <c r="J29" s="777">
        <f>SUMIF(94:94,I29,95:95)-SUMIF(94:94,C29,95:95)+100</f>
        <v>100</v>
      </c>
      <c r="K29" s="188"/>
      <c r="L29" s="2297"/>
      <c r="M29" s="2292"/>
      <c r="N29" s="2292"/>
      <c r="O29" s="2292"/>
      <c r="P29" s="3685"/>
      <c r="Q29" s="1350">
        <f t="shared" si="8"/>
        <v>111</v>
      </c>
      <c r="R29" s="1351" t="s">
        <v>65</v>
      </c>
      <c r="S29" s="1352">
        <f t="shared" si="9"/>
        <v>100</v>
      </c>
      <c r="T29" s="1351" t="s">
        <v>65</v>
      </c>
      <c r="U29" s="1352">
        <f t="shared" si="10"/>
        <v>100</v>
      </c>
      <c r="V29" s="1351" t="s">
        <v>65</v>
      </c>
      <c r="W29" s="1352">
        <f t="shared" si="11"/>
        <v>100</v>
      </c>
      <c r="X29" s="1339"/>
      <c r="Y29" s="3678"/>
      <c r="Z29" s="1353">
        <f t="shared" si="12"/>
        <v>111</v>
      </c>
      <c r="AA29" s="1354">
        <f t="shared" si="3"/>
        <v>1</v>
      </c>
      <c r="AB29" s="1354">
        <f t="shared" si="4"/>
        <v>1</v>
      </c>
      <c r="AC29" s="1354">
        <f t="shared" si="5"/>
        <v>1</v>
      </c>
    </row>
    <row r="30" spans="1:29" ht="14.25">
      <c r="A30" s="151"/>
      <c r="B30" s="1356">
        <v>111</v>
      </c>
      <c r="C30" s="93"/>
      <c r="D30" s="777">
        <v>100</v>
      </c>
      <c r="E30" s="93"/>
      <c r="F30" s="803">
        <f>SUMIF(96:96,E30,97:97)-SUMIF(96:96,C30,97:97)+100</f>
        <v>100</v>
      </c>
      <c r="G30" s="93"/>
      <c r="H30" s="777">
        <f>SUMIF(96:96,G30,97:97)-SUMIF(96:96,C30,97:97)+100</f>
        <v>100</v>
      </c>
      <c r="I30" s="93"/>
      <c r="J30" s="777">
        <f>SUMIF(96:96,I30,97:97)-SUMIF(96:96,C30,97:97)+100</f>
        <v>100</v>
      </c>
      <c r="K30" s="188"/>
      <c r="L30" s="2297"/>
      <c r="M30" s="2292"/>
      <c r="N30" s="2292"/>
      <c r="O30" s="2292"/>
      <c r="P30" s="3685"/>
      <c r="Q30" s="1350">
        <f t="shared" si="8"/>
        <v>111</v>
      </c>
      <c r="R30" s="1351" t="s">
        <v>65</v>
      </c>
      <c r="S30" s="1352">
        <f t="shared" si="9"/>
        <v>100</v>
      </c>
      <c r="T30" s="1351" t="s">
        <v>65</v>
      </c>
      <c r="U30" s="1352">
        <f t="shared" si="10"/>
        <v>100</v>
      </c>
      <c r="V30" s="1351" t="s">
        <v>65</v>
      </c>
      <c r="W30" s="1352">
        <f t="shared" si="11"/>
        <v>100</v>
      </c>
      <c r="X30" s="1339"/>
      <c r="Y30" s="3678"/>
      <c r="Z30" s="1353">
        <f t="shared" si="12"/>
        <v>111</v>
      </c>
      <c r="AA30" s="1354">
        <f t="shared" si="3"/>
        <v>1</v>
      </c>
      <c r="AB30" s="1354">
        <f t="shared" si="4"/>
        <v>1</v>
      </c>
      <c r="AC30" s="1354">
        <f t="shared" si="5"/>
        <v>1</v>
      </c>
    </row>
    <row r="31" spans="1:29" ht="15" thickBot="1">
      <c r="A31" s="154"/>
      <c r="B31" s="1356">
        <v>111</v>
      </c>
      <c r="C31" s="94"/>
      <c r="D31" s="780">
        <v>100</v>
      </c>
      <c r="E31" s="93"/>
      <c r="F31" s="781">
        <f>SUMIF(98:98,E31,99:99)-SUMIF(98:98,C31,99:99)+100</f>
        <v>100</v>
      </c>
      <c r="G31" s="93"/>
      <c r="H31" s="780">
        <f>SUMIF(98:98,G31,99:99)-SUMIF(98:98,C31,99:99)+100</f>
        <v>100</v>
      </c>
      <c r="I31" s="93"/>
      <c r="J31" s="780">
        <f>SUMIF(98:98,I31,99:99)-SUMIF(98:98,C31,99:99)+100</f>
        <v>100</v>
      </c>
      <c r="K31" s="188"/>
      <c r="L31" s="2297"/>
      <c r="M31" s="2292"/>
      <c r="N31" s="2292"/>
      <c r="O31" s="2292"/>
      <c r="P31" s="3685"/>
      <c r="Q31" s="1350">
        <f t="shared" si="8"/>
        <v>111</v>
      </c>
      <c r="R31" s="1351" t="s">
        <v>65</v>
      </c>
      <c r="S31" s="1352">
        <f t="shared" si="9"/>
        <v>100</v>
      </c>
      <c r="T31" s="1351" t="s">
        <v>65</v>
      </c>
      <c r="U31" s="1352">
        <f t="shared" si="10"/>
        <v>100</v>
      </c>
      <c r="V31" s="1351" t="s">
        <v>65</v>
      </c>
      <c r="W31" s="1352">
        <f t="shared" si="11"/>
        <v>100</v>
      </c>
      <c r="X31" s="1339"/>
      <c r="Y31" s="3678"/>
      <c r="Z31" s="1353">
        <f t="shared" si="12"/>
        <v>111</v>
      </c>
      <c r="AA31" s="1354">
        <f t="shared" si="3"/>
        <v>1</v>
      </c>
      <c r="AB31" s="1354">
        <f t="shared" si="4"/>
        <v>1</v>
      </c>
      <c r="AC31" s="1354">
        <f t="shared" si="5"/>
        <v>1</v>
      </c>
    </row>
    <row r="32" spans="1:29" ht="15">
      <c r="A32" s="155" t="s">
        <v>1028</v>
      </c>
      <c r="B32" s="62" t="s">
        <v>1029</v>
      </c>
      <c r="C32" s="110"/>
      <c r="D32" s="809">
        <v>100</v>
      </c>
      <c r="E32" s="110"/>
      <c r="F32" s="803">
        <f>SUMIF(100:100,E32,101:101)-SUMIF(100:100,C32,101:101)+100</f>
        <v>100</v>
      </c>
      <c r="G32" s="110"/>
      <c r="H32" s="777">
        <f>SUMIF(100:100,G32,101:101)-SUMIF(100:100,C32,101:101)+100</f>
        <v>100</v>
      </c>
      <c r="I32" s="110"/>
      <c r="J32" s="809">
        <f>SUMIF(100:100,I32,101:101)-SUMIF(100:100,C32,101:101)+100</f>
        <v>100</v>
      </c>
      <c r="K32" s="954"/>
      <c r="L32" s="2297"/>
      <c r="M32" s="2292"/>
      <c r="N32" s="2292"/>
      <c r="O32" s="2292"/>
      <c r="P32" s="3679" t="s">
        <v>1030</v>
      </c>
      <c r="Q32" s="1350" t="str">
        <f t="shared" si="8"/>
        <v>商业类型</v>
      </c>
      <c r="R32" s="1351" t="s">
        <v>65</v>
      </c>
      <c r="S32" s="1352">
        <f t="shared" si="9"/>
        <v>100</v>
      </c>
      <c r="T32" s="1351" t="s">
        <v>65</v>
      </c>
      <c r="U32" s="1352">
        <f t="shared" si="10"/>
        <v>100</v>
      </c>
      <c r="V32" s="1351" t="s">
        <v>65</v>
      </c>
      <c r="W32" s="1352">
        <f t="shared" si="11"/>
        <v>100</v>
      </c>
      <c r="X32" s="1339"/>
      <c r="Y32" s="3682" t="s">
        <v>1030</v>
      </c>
      <c r="Z32" s="1353" t="str">
        <f t="shared" si="12"/>
        <v>商业类型</v>
      </c>
      <c r="AA32" s="1354">
        <f t="shared" si="3"/>
        <v>1</v>
      </c>
      <c r="AB32" s="1354">
        <f t="shared" si="4"/>
        <v>1</v>
      </c>
      <c r="AC32" s="1354">
        <f t="shared" si="5"/>
        <v>1</v>
      </c>
    </row>
    <row r="33" spans="1:29" s="1038" customFormat="1" ht="14.25">
      <c r="A33" s="1042"/>
      <c r="B33" s="12" t="s">
        <v>76</v>
      </c>
      <c r="C33" s="811"/>
      <c r="D33" s="426">
        <v>100</v>
      </c>
      <c r="E33" s="772"/>
      <c r="F33" s="767" t="e">
        <f>LOOKUP(E33,103:103,104:104)-LOOKUP(C33,103:103,104:104)+100</f>
        <v>#N/A</v>
      </c>
      <c r="G33" s="771"/>
      <c r="H33" s="426" t="e">
        <f>LOOKUP(G33,103:103,104:104)-LOOKUP(C33,103:103,104:104)+100</f>
        <v>#N/A</v>
      </c>
      <c r="I33" s="771"/>
      <c r="J33" s="426" t="e">
        <f>LOOKUP(I33,103:103,104:104)-LOOKUP(C33,103:103,104:104)+100</f>
        <v>#N/A</v>
      </c>
      <c r="K33" s="188"/>
      <c r="L33" s="2296"/>
      <c r="M33" s="2298"/>
      <c r="N33" s="2298"/>
      <c r="O33" s="2298"/>
      <c r="P33" s="3680"/>
      <c r="Q33" s="1358" t="str">
        <f t="shared" si="8"/>
        <v>项目建筑规模</v>
      </c>
      <c r="R33" s="1359" t="s">
        <v>65</v>
      </c>
      <c r="S33" s="1360" t="e">
        <f t="shared" si="9"/>
        <v>#N/A</v>
      </c>
      <c r="T33" s="1359" t="s">
        <v>65</v>
      </c>
      <c r="U33" s="1360" t="e">
        <f t="shared" si="10"/>
        <v>#N/A</v>
      </c>
      <c r="V33" s="1359" t="s">
        <v>65</v>
      </c>
      <c r="W33" s="1360" t="e">
        <f t="shared" si="11"/>
        <v>#N/A</v>
      </c>
      <c r="X33" s="1361"/>
      <c r="Y33" s="3682"/>
      <c r="Z33" s="1362" t="str">
        <f t="shared" si="12"/>
        <v>项目建筑规模</v>
      </c>
      <c r="AA33" s="1354" t="e">
        <f t="shared" si="3"/>
        <v>#N/A</v>
      </c>
      <c r="AB33" s="1354" t="e">
        <f t="shared" si="4"/>
        <v>#N/A</v>
      </c>
      <c r="AC33" s="1354" t="e">
        <f t="shared" si="5"/>
        <v>#N/A</v>
      </c>
    </row>
    <row r="34" spans="1:29" ht="15">
      <c r="A34" s="161"/>
      <c r="B34" s="12" t="s">
        <v>77</v>
      </c>
      <c r="C34" s="112"/>
      <c r="D34" s="777">
        <v>100</v>
      </c>
      <c r="E34" s="113"/>
      <c r="F34" s="803">
        <f>SUMIF(105:105,E34,106:106)-SUMIF(105:105,C34,106:106)+100</f>
        <v>100</v>
      </c>
      <c r="G34" s="112"/>
      <c r="H34" s="777">
        <f>SUMIF(105:105,G34,106:106)-SUMIF(105:105,C34,106:106)+100</f>
        <v>100</v>
      </c>
      <c r="I34" s="112"/>
      <c r="J34" s="777">
        <f>SUMIF(105:105,I34,106:106)-SUMIF(105:105,C34,106:106)+100</f>
        <v>100</v>
      </c>
      <c r="K34" s="954"/>
      <c r="L34" s="2297"/>
      <c r="M34" s="2292"/>
      <c r="N34" s="2292"/>
      <c r="O34" s="2292"/>
      <c r="P34" s="3680"/>
      <c r="Q34" s="1350" t="str">
        <f t="shared" si="8"/>
        <v>建筑结构</v>
      </c>
      <c r="R34" s="1351" t="s">
        <v>65</v>
      </c>
      <c r="S34" s="1352">
        <f t="shared" si="9"/>
        <v>100</v>
      </c>
      <c r="T34" s="1351" t="s">
        <v>65</v>
      </c>
      <c r="U34" s="1352">
        <f t="shared" si="10"/>
        <v>100</v>
      </c>
      <c r="V34" s="1351" t="s">
        <v>65</v>
      </c>
      <c r="W34" s="1352">
        <f t="shared" si="11"/>
        <v>100</v>
      </c>
      <c r="X34" s="1339"/>
      <c r="Y34" s="3682"/>
      <c r="Z34" s="1353" t="str">
        <f t="shared" si="12"/>
        <v>建筑结构</v>
      </c>
      <c r="AA34" s="1354">
        <f t="shared" si="3"/>
        <v>1</v>
      </c>
      <c r="AB34" s="1354">
        <f t="shared" si="4"/>
        <v>1</v>
      </c>
      <c r="AC34" s="1354">
        <f t="shared" si="5"/>
        <v>1</v>
      </c>
    </row>
    <row r="35" spans="1:29" ht="15">
      <c r="A35" s="161"/>
      <c r="B35" s="12" t="s">
        <v>1031</v>
      </c>
      <c r="C35" s="109"/>
      <c r="D35" s="777">
        <v>100</v>
      </c>
      <c r="E35" s="109"/>
      <c r="F35" s="803">
        <f>SUMIF(107:107,E35,108:108)-SUMIF(107:107,C35,108:108)+100</f>
        <v>100</v>
      </c>
      <c r="G35" s="109"/>
      <c r="H35" s="777">
        <f>SUMIF(107:107,G35,108:108)-SUMIF(107:107,C35,108:108)+100</f>
        <v>100</v>
      </c>
      <c r="I35" s="109"/>
      <c r="J35" s="777">
        <f>SUMIF(107:107,I35,108:108)-SUMIF(107:107,C35,108:108)+100</f>
        <v>100</v>
      </c>
      <c r="K35" s="954"/>
      <c r="L35" s="2297"/>
      <c r="M35" s="2292"/>
      <c r="N35" s="2292"/>
      <c r="O35" s="2292"/>
      <c r="P35" s="3680"/>
      <c r="Q35" s="1350" t="str">
        <f t="shared" si="8"/>
        <v>公共部分装修</v>
      </c>
      <c r="R35" s="1351" t="s">
        <v>65</v>
      </c>
      <c r="S35" s="1352">
        <f t="shared" si="9"/>
        <v>100</v>
      </c>
      <c r="T35" s="1351" t="s">
        <v>65</v>
      </c>
      <c r="U35" s="1352">
        <f t="shared" si="10"/>
        <v>100</v>
      </c>
      <c r="V35" s="1351" t="s">
        <v>65</v>
      </c>
      <c r="W35" s="1352">
        <f t="shared" si="11"/>
        <v>100</v>
      </c>
      <c r="X35" s="1339"/>
      <c r="Y35" s="3682"/>
      <c r="Z35" s="1353" t="str">
        <f t="shared" si="12"/>
        <v>公共部分装修</v>
      </c>
      <c r="AA35" s="1354">
        <f t="shared" si="3"/>
        <v>1</v>
      </c>
      <c r="AB35" s="1354">
        <f t="shared" si="4"/>
        <v>1</v>
      </c>
      <c r="AC35" s="1354">
        <f t="shared" si="5"/>
        <v>1</v>
      </c>
    </row>
    <row r="36" spans="1:29" ht="15">
      <c r="A36" s="161"/>
      <c r="B36" s="12" t="s">
        <v>1032</v>
      </c>
      <c r="C36" s="816"/>
      <c r="D36" s="777">
        <v>100</v>
      </c>
      <c r="E36" s="816"/>
      <c r="F36" s="803" t="e">
        <f>LOOKUP(E36,110:110,111:111)-LOOKUP(C36,110:110,111:111)+100</f>
        <v>#N/A</v>
      </c>
      <c r="G36" s="816"/>
      <c r="H36" s="803" t="e">
        <f>LOOKUP(G36,110:110,111:111)-LOOKUP(C36,110:110,111:111)+100</f>
        <v>#N/A</v>
      </c>
      <c r="I36" s="816"/>
      <c r="J36" s="777" t="e">
        <f>LOOKUP(I36,110:110,111:111)-LOOKUP(C36,110:110,111:111)+100</f>
        <v>#N/A</v>
      </c>
      <c r="K36" s="954"/>
      <c r="L36" s="2297"/>
      <c r="M36" s="2292"/>
      <c r="N36" s="2292"/>
      <c r="O36" s="2292"/>
      <c r="P36" s="3680"/>
      <c r="Q36" s="1350" t="str">
        <f t="shared" si="8"/>
        <v>成新度</v>
      </c>
      <c r="R36" s="1351" t="s">
        <v>65</v>
      </c>
      <c r="S36" s="1352" t="e">
        <f t="shared" si="9"/>
        <v>#N/A</v>
      </c>
      <c r="T36" s="1351" t="s">
        <v>65</v>
      </c>
      <c r="U36" s="1352" t="e">
        <f t="shared" si="10"/>
        <v>#N/A</v>
      </c>
      <c r="V36" s="1351" t="s">
        <v>65</v>
      </c>
      <c r="W36" s="1352" t="e">
        <f t="shared" si="11"/>
        <v>#N/A</v>
      </c>
      <c r="X36" s="1339"/>
      <c r="Y36" s="3682"/>
      <c r="Z36" s="1353" t="str">
        <f t="shared" si="12"/>
        <v>成新度</v>
      </c>
      <c r="AA36" s="1354" t="e">
        <f t="shared" si="3"/>
        <v>#N/A</v>
      </c>
      <c r="AB36" s="1354" t="e">
        <f t="shared" si="4"/>
        <v>#N/A</v>
      </c>
      <c r="AC36" s="1354" t="e">
        <f t="shared" si="5"/>
        <v>#N/A</v>
      </c>
    </row>
    <row r="37" spans="1:29" s="40" customFormat="1" ht="15">
      <c r="A37" s="1040"/>
      <c r="B37" s="12" t="s">
        <v>2659</v>
      </c>
      <c r="C37" s="109"/>
      <c r="D37" s="426">
        <v>100</v>
      </c>
      <c r="E37" s="109"/>
      <c r="F37" s="803">
        <f>SUMIF(112:112,E37,113:113)-SUMIF(112:112,C37,113:113)+100</f>
        <v>100</v>
      </c>
      <c r="G37" s="109"/>
      <c r="H37" s="777">
        <f>SUMIF(112:112,G37,113:113)-SUMIF(112:112,C37,113:113)+100</f>
        <v>100</v>
      </c>
      <c r="I37" s="109"/>
      <c r="J37" s="777">
        <f>SUMIF(112:112,I37,113:113)-SUMIF(112:112,C37,113:113)+100</f>
        <v>100</v>
      </c>
      <c r="K37" s="954"/>
      <c r="L37" s="2293"/>
      <c r="M37" s="2255"/>
      <c r="N37" s="2255"/>
      <c r="O37" s="2255"/>
      <c r="P37" s="3680"/>
      <c r="Q37" s="7" t="str">
        <f t="shared" si="8"/>
        <v>市政基础设施</v>
      </c>
      <c r="R37" s="1341" t="s">
        <v>65</v>
      </c>
      <c r="S37" s="1342">
        <f t="shared" si="9"/>
        <v>100</v>
      </c>
      <c r="T37" s="1341" t="s">
        <v>65</v>
      </c>
      <c r="U37" s="1342">
        <f t="shared" si="10"/>
        <v>100</v>
      </c>
      <c r="V37" s="1341" t="s">
        <v>65</v>
      </c>
      <c r="W37" s="1342">
        <f t="shared" si="11"/>
        <v>100</v>
      </c>
      <c r="X37" s="287"/>
      <c r="Y37" s="3682"/>
      <c r="Z37" s="288" t="str">
        <f t="shared" si="12"/>
        <v>市政基础设施</v>
      </c>
      <c r="AA37" s="1343">
        <f t="shared" si="3"/>
        <v>1</v>
      </c>
      <c r="AB37" s="1343">
        <f t="shared" si="4"/>
        <v>1</v>
      </c>
      <c r="AC37" s="1343">
        <f t="shared" si="5"/>
        <v>1</v>
      </c>
    </row>
    <row r="38" spans="1:29" ht="15">
      <c r="A38" s="161"/>
      <c r="B38" s="12" t="s">
        <v>135</v>
      </c>
      <c r="C38" s="109"/>
      <c r="D38" s="777">
        <v>100</v>
      </c>
      <c r="E38" s="109"/>
      <c r="F38" s="803">
        <f>SUMIF(114:114,E38,115:115)-SUMIF(114:114,C38,115:115)+100</f>
        <v>100</v>
      </c>
      <c r="G38" s="109"/>
      <c r="H38" s="777">
        <f>SUMIF(114:114,G38,115:115)-SUMIF(114:114,C38,115:115)+100</f>
        <v>100</v>
      </c>
      <c r="I38" s="109"/>
      <c r="J38" s="777">
        <f>SUMIF(114:114,I38,115:115)-SUMIF(114:114,C38,115:115)+100</f>
        <v>100</v>
      </c>
      <c r="K38" s="954"/>
      <c r="L38" s="2297"/>
      <c r="M38" s="2292"/>
      <c r="N38" s="2292"/>
      <c r="O38" s="2292"/>
      <c r="P38" s="3680" t="s">
        <v>1033</v>
      </c>
      <c r="Q38" s="1350" t="str">
        <f t="shared" si="8"/>
        <v>业态</v>
      </c>
      <c r="R38" s="1351" t="s">
        <v>65</v>
      </c>
      <c r="S38" s="1352">
        <f t="shared" si="9"/>
        <v>100</v>
      </c>
      <c r="T38" s="1351" t="s">
        <v>65</v>
      </c>
      <c r="U38" s="1352">
        <f t="shared" si="10"/>
        <v>100</v>
      </c>
      <c r="V38" s="1351" t="s">
        <v>65</v>
      </c>
      <c r="W38" s="1352">
        <f t="shared" si="11"/>
        <v>100</v>
      </c>
      <c r="X38" s="1339"/>
      <c r="Y38" s="3682" t="s">
        <v>1033</v>
      </c>
      <c r="Z38" s="1353" t="str">
        <f t="shared" si="12"/>
        <v>业态</v>
      </c>
      <c r="AA38" s="1354">
        <f t="shared" si="3"/>
        <v>1</v>
      </c>
      <c r="AB38" s="1354">
        <f t="shared" si="4"/>
        <v>1</v>
      </c>
      <c r="AC38" s="1354">
        <f t="shared" si="5"/>
        <v>1</v>
      </c>
    </row>
    <row r="39" spans="1:29" ht="15">
      <c r="A39" s="161"/>
      <c r="B39" s="12" t="s">
        <v>1034</v>
      </c>
      <c r="C39" s="109"/>
      <c r="D39" s="777">
        <v>100</v>
      </c>
      <c r="E39" s="109"/>
      <c r="F39" s="803">
        <f>SUMIF(116:116,E39,117:117)-SUMIF(116:116,C39,117:117)+100</f>
        <v>100</v>
      </c>
      <c r="G39" s="109"/>
      <c r="H39" s="777">
        <f>SUMIF(116:116,G39,117:117)-SUMIF(116:116,C39,117:117)+100</f>
        <v>100</v>
      </c>
      <c r="I39" s="109"/>
      <c r="J39" s="777">
        <f>SUMIF(116:116,I39,117:117)-SUMIF(116:116,C39,117:117)+100</f>
        <v>100</v>
      </c>
      <c r="K39" s="954"/>
      <c r="L39" s="2297"/>
      <c r="M39" s="2292"/>
      <c r="N39" s="2292"/>
      <c r="O39" s="2292"/>
      <c r="P39" s="3680"/>
      <c r="Q39" s="1350" t="str">
        <f t="shared" si="8"/>
        <v>层高</v>
      </c>
      <c r="R39" s="1351" t="s">
        <v>65</v>
      </c>
      <c r="S39" s="1352">
        <f t="shared" si="9"/>
        <v>100</v>
      </c>
      <c r="T39" s="1351" t="s">
        <v>65</v>
      </c>
      <c r="U39" s="1352">
        <f t="shared" si="10"/>
        <v>100</v>
      </c>
      <c r="V39" s="1351" t="s">
        <v>65</v>
      </c>
      <c r="W39" s="1352">
        <f t="shared" si="11"/>
        <v>100</v>
      </c>
      <c r="X39" s="1339"/>
      <c r="Y39" s="3682"/>
      <c r="Z39" s="1353" t="str">
        <f t="shared" si="12"/>
        <v>层高</v>
      </c>
      <c r="AA39" s="1354">
        <f t="shared" si="3"/>
        <v>1</v>
      </c>
      <c r="AB39" s="1354">
        <f t="shared" si="4"/>
        <v>1</v>
      </c>
      <c r="AC39" s="1354">
        <f t="shared" si="5"/>
        <v>1</v>
      </c>
    </row>
    <row r="40" spans="1:29" ht="14.25">
      <c r="A40" s="161"/>
      <c r="B40" s="12" t="s">
        <v>1035</v>
      </c>
      <c r="C40" s="959"/>
      <c r="D40" s="777">
        <v>100</v>
      </c>
      <c r="E40" s="960"/>
      <c r="F40" s="803">
        <f>SUMIF(118:118,E40,119:119)-SUMIF(118:118,C40,119:119)+100</f>
        <v>100</v>
      </c>
      <c r="G40" s="960"/>
      <c r="H40" s="777">
        <f>SUMIF(118:118,G40,119:119)-SUMIF(118:118,C40,119:119)+100</f>
        <v>100</v>
      </c>
      <c r="I40" s="960"/>
      <c r="J40" s="777">
        <f>SUMIF(118:118,I40,119:119)-SUMIF(118:118,C40,119:119)+100</f>
        <v>100</v>
      </c>
      <c r="K40" s="188"/>
      <c r="L40" s="2297"/>
      <c r="M40" s="2292"/>
      <c r="N40" s="2292"/>
      <c r="O40" s="2292"/>
      <c r="P40" s="3680"/>
      <c r="Q40" s="1350" t="str">
        <f t="shared" si="8"/>
        <v>单套建筑面积</v>
      </c>
      <c r="R40" s="1351" t="s">
        <v>65</v>
      </c>
      <c r="S40" s="1352">
        <f t="shared" si="9"/>
        <v>100</v>
      </c>
      <c r="T40" s="1351" t="s">
        <v>65</v>
      </c>
      <c r="U40" s="1352">
        <f t="shared" si="10"/>
        <v>100</v>
      </c>
      <c r="V40" s="1351" t="s">
        <v>65</v>
      </c>
      <c r="W40" s="1352">
        <f t="shared" si="11"/>
        <v>100</v>
      </c>
      <c r="X40" s="1339"/>
      <c r="Y40" s="3682"/>
      <c r="Z40" s="1353" t="str">
        <f t="shared" si="12"/>
        <v>单套建筑面积</v>
      </c>
      <c r="AA40" s="1354">
        <f t="shared" si="3"/>
        <v>1</v>
      </c>
      <c r="AB40" s="1354">
        <f t="shared" si="4"/>
        <v>1</v>
      </c>
      <c r="AC40" s="1354">
        <f t="shared" si="5"/>
        <v>1</v>
      </c>
    </row>
    <row r="41" spans="1:29" s="1038" customFormat="1" ht="15">
      <c r="A41" s="1042"/>
      <c r="B41" s="191" t="s">
        <v>1036</v>
      </c>
      <c r="C41" s="182"/>
      <c r="D41" s="777">
        <v>100</v>
      </c>
      <c r="E41" s="182"/>
      <c r="F41" s="803">
        <f>SUMIF(120:120,E41,121:121)-SUMIF(120:120,C41,121:121)+100</f>
        <v>100</v>
      </c>
      <c r="G41" s="182"/>
      <c r="H41" s="777">
        <f>SUMIF(120:120,G41,121:121)-SUMIF(120:120,C41,121:121)+100</f>
        <v>100</v>
      </c>
      <c r="I41" s="182"/>
      <c r="J41" s="777">
        <f>SUMIF(120:120,I41,121:121)-SUMIF(120:120,C41,121:121)+100</f>
        <v>100</v>
      </c>
      <c r="K41" s="954"/>
      <c r="L41" s="2296"/>
      <c r="M41" s="2298"/>
      <c r="N41" s="2298"/>
      <c r="O41" s="2298"/>
      <c r="P41" s="3680"/>
      <c r="Q41" s="1358" t="str">
        <f t="shared" si="8"/>
        <v>进深比</v>
      </c>
      <c r="R41" s="1359" t="s">
        <v>65</v>
      </c>
      <c r="S41" s="1360">
        <f t="shared" si="9"/>
        <v>100</v>
      </c>
      <c r="T41" s="1359" t="s">
        <v>65</v>
      </c>
      <c r="U41" s="1360">
        <f t="shared" si="10"/>
        <v>100</v>
      </c>
      <c r="V41" s="1359" t="s">
        <v>65</v>
      </c>
      <c r="W41" s="1360">
        <f t="shared" si="11"/>
        <v>100</v>
      </c>
      <c r="X41" s="1361"/>
      <c r="Y41" s="3682"/>
      <c r="Z41" s="1362" t="str">
        <f t="shared" si="12"/>
        <v>进深比</v>
      </c>
      <c r="AA41" s="1354">
        <f t="shared" si="3"/>
        <v>1</v>
      </c>
      <c r="AB41" s="1354">
        <f t="shared" si="4"/>
        <v>1</v>
      </c>
      <c r="AC41" s="1354">
        <f t="shared" si="5"/>
        <v>1</v>
      </c>
    </row>
    <row r="42" spans="1:29" ht="15">
      <c r="A42" s="161"/>
      <c r="B42" s="12" t="s">
        <v>1037</v>
      </c>
      <c r="C42" s="109"/>
      <c r="D42" s="777">
        <v>100</v>
      </c>
      <c r="E42" s="109"/>
      <c r="F42" s="803">
        <f>SUMIF(122:122,E42,123:123)-SUMIF(122:122,C42,123:123)+100</f>
        <v>100</v>
      </c>
      <c r="G42" s="109"/>
      <c r="H42" s="777">
        <f>SUMIF(122:122,G42,123:123)-SUMIF(122:122,C42,123:123)+100</f>
        <v>100</v>
      </c>
      <c r="I42" s="109"/>
      <c r="J42" s="777">
        <f>SUMIF(122:122,I42,123:123)-SUMIF(122:122,C42,123:123)+100</f>
        <v>100</v>
      </c>
      <c r="K42" s="954"/>
      <c r="L42" s="2297"/>
      <c r="M42" s="2292"/>
      <c r="N42" s="2292"/>
      <c r="O42" s="2292"/>
      <c r="P42" s="3680"/>
      <c r="Q42" s="1350" t="str">
        <f t="shared" si="8"/>
        <v>内部装修</v>
      </c>
      <c r="R42" s="1351" t="s">
        <v>65</v>
      </c>
      <c r="S42" s="1352">
        <f t="shared" si="9"/>
        <v>100</v>
      </c>
      <c r="T42" s="1351" t="s">
        <v>65</v>
      </c>
      <c r="U42" s="1352">
        <f t="shared" si="10"/>
        <v>100</v>
      </c>
      <c r="V42" s="1351" t="s">
        <v>65</v>
      </c>
      <c r="W42" s="1352">
        <f t="shared" si="11"/>
        <v>100</v>
      </c>
      <c r="X42" s="1339"/>
      <c r="Y42" s="3682"/>
      <c r="Z42" s="1353" t="str">
        <f t="shared" si="12"/>
        <v>内部装修</v>
      </c>
      <c r="AA42" s="1354">
        <f t="shared" si="3"/>
        <v>1</v>
      </c>
      <c r="AB42" s="1354">
        <f t="shared" si="4"/>
        <v>1</v>
      </c>
      <c r="AC42" s="1354">
        <f t="shared" si="5"/>
        <v>1</v>
      </c>
    </row>
    <row r="43" spans="1:29" ht="27">
      <c r="A43" s="161"/>
      <c r="B43" s="12" t="s">
        <v>84</v>
      </c>
      <c r="C43" s="109"/>
      <c r="D43" s="777">
        <v>100</v>
      </c>
      <c r="E43" s="109"/>
      <c r="F43" s="803">
        <f>SUMIF(124:124,E43,125:125)-SUMIF(124:124,C43,125:125)+100</f>
        <v>100</v>
      </c>
      <c r="G43" s="109"/>
      <c r="H43" s="777">
        <f>SUMIF(124:124,G43,125:125)-SUMIF(124:124,C43,125:125)+100</f>
        <v>100</v>
      </c>
      <c r="I43" s="109"/>
      <c r="J43" s="777">
        <f>SUMIF(124:124,I43,125:125)-SUMIF(124:124,C43,125:125)+100</f>
        <v>100</v>
      </c>
      <c r="K43" s="954"/>
      <c r="L43" s="2297"/>
      <c r="M43" s="2292"/>
      <c r="N43" s="2292"/>
      <c r="O43" s="2292"/>
      <c r="P43" s="3680"/>
      <c r="Q43" s="1350" t="str">
        <f t="shared" si="8"/>
        <v>内部装修维护情况</v>
      </c>
      <c r="R43" s="1351" t="s">
        <v>65</v>
      </c>
      <c r="S43" s="1352">
        <f t="shared" si="9"/>
        <v>100</v>
      </c>
      <c r="T43" s="1351" t="s">
        <v>65</v>
      </c>
      <c r="U43" s="1352">
        <f t="shared" si="10"/>
        <v>100</v>
      </c>
      <c r="V43" s="1351" t="s">
        <v>65</v>
      </c>
      <c r="W43" s="1352">
        <f t="shared" si="11"/>
        <v>100</v>
      </c>
      <c r="X43" s="1339"/>
      <c r="Y43" s="3682"/>
      <c r="Z43" s="1353" t="str">
        <f t="shared" si="12"/>
        <v>内部装修维护情况</v>
      </c>
      <c r="AA43" s="1354">
        <f t="shared" si="3"/>
        <v>1</v>
      </c>
      <c r="AB43" s="1354">
        <f t="shared" si="4"/>
        <v>1</v>
      </c>
      <c r="AC43" s="1354">
        <f t="shared" si="5"/>
        <v>1</v>
      </c>
    </row>
    <row r="44" spans="1:29" s="40" customFormat="1" ht="14.25">
      <c r="A44" s="1040"/>
      <c r="B44" s="1356">
        <v>111</v>
      </c>
      <c r="C44" s="1357"/>
      <c r="D44" s="426">
        <v>100</v>
      </c>
      <c r="E44" s="93"/>
      <c r="F44" s="767">
        <f>SUMIF(126:126,E44,127:127)-SUMIF(126:126,C44,127:127)+100</f>
        <v>100</v>
      </c>
      <c r="G44" s="93"/>
      <c r="H44" s="426">
        <f>SUMIF(126:126,G44,127:127)-SUMIF(126:126,C44,127:127)+100</f>
        <v>100</v>
      </c>
      <c r="I44" s="93"/>
      <c r="J44" s="426">
        <f>SUMIF(126:126,I44,127:127)-SUMIF(126:126,C44,127:127)+100</f>
        <v>100</v>
      </c>
      <c r="K44" s="188"/>
      <c r="L44" s="2293"/>
      <c r="M44" s="2255"/>
      <c r="N44" s="2255"/>
      <c r="O44" s="2255"/>
      <c r="P44" s="3680"/>
      <c r="Q44" s="7">
        <f t="shared" si="8"/>
        <v>111</v>
      </c>
      <c r="R44" s="1341" t="s">
        <v>65</v>
      </c>
      <c r="S44" s="1342">
        <f t="shared" si="9"/>
        <v>100</v>
      </c>
      <c r="T44" s="1341" t="s">
        <v>65</v>
      </c>
      <c r="U44" s="1342">
        <f t="shared" si="10"/>
        <v>100</v>
      </c>
      <c r="V44" s="1341" t="s">
        <v>65</v>
      </c>
      <c r="W44" s="1342">
        <f t="shared" si="11"/>
        <v>100</v>
      </c>
      <c r="X44" s="287"/>
      <c r="Y44" s="3682"/>
      <c r="Z44" s="288">
        <f t="shared" si="12"/>
        <v>111</v>
      </c>
      <c r="AA44" s="1343">
        <f t="shared" si="3"/>
        <v>1</v>
      </c>
      <c r="AB44" s="1343">
        <f t="shared" si="4"/>
        <v>1</v>
      </c>
      <c r="AC44" s="1343">
        <f t="shared" si="5"/>
        <v>1</v>
      </c>
    </row>
    <row r="45" spans="1:29" ht="14.25">
      <c r="A45" s="161"/>
      <c r="B45" s="1356">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88"/>
      <c r="L45" s="2297"/>
      <c r="M45" s="2292"/>
      <c r="N45" s="2292"/>
      <c r="O45" s="2292"/>
      <c r="P45" s="3680"/>
      <c r="Q45" s="1350">
        <f t="shared" si="8"/>
        <v>111</v>
      </c>
      <c r="R45" s="1351" t="s">
        <v>65</v>
      </c>
      <c r="S45" s="1352">
        <f t="shared" si="9"/>
        <v>100</v>
      </c>
      <c r="T45" s="1351" t="s">
        <v>65</v>
      </c>
      <c r="U45" s="1352">
        <f t="shared" si="10"/>
        <v>100</v>
      </c>
      <c r="V45" s="1351" t="s">
        <v>65</v>
      </c>
      <c r="W45" s="1352">
        <f t="shared" si="11"/>
        <v>100</v>
      </c>
      <c r="X45" s="1339"/>
      <c r="Y45" s="3682"/>
      <c r="Z45" s="1353">
        <f t="shared" si="12"/>
        <v>111</v>
      </c>
      <c r="AA45" s="1354">
        <f t="shared" si="3"/>
        <v>1</v>
      </c>
      <c r="AB45" s="1354">
        <f t="shared" si="4"/>
        <v>1</v>
      </c>
      <c r="AC45" s="1354">
        <f t="shared" si="5"/>
        <v>1</v>
      </c>
    </row>
    <row r="46" spans="1:29" ht="15" thickBot="1">
      <c r="A46" s="162"/>
      <c r="B46" s="1031">
        <v>111</v>
      </c>
      <c r="C46" s="94"/>
      <c r="D46" s="780">
        <v>100</v>
      </c>
      <c r="E46" s="93"/>
      <c r="F46" s="781">
        <f>SUMIF(130:130,E46,131:131)-SUMIF(130:130,C46,131:131)+100</f>
        <v>100</v>
      </c>
      <c r="G46" s="93"/>
      <c r="H46" s="780">
        <f>SUMIF(130:130,G46,131:131)-SUMIF(130:130,C46,131:131)+100</f>
        <v>100</v>
      </c>
      <c r="I46" s="93"/>
      <c r="J46" s="780">
        <f>SUMIF(130:130,I46,131:131)-SUMIF(130:130,C46,131:131)+100</f>
        <v>100</v>
      </c>
      <c r="K46" s="188"/>
      <c r="L46" s="2297"/>
      <c r="M46" s="2292"/>
      <c r="N46" s="2292"/>
      <c r="O46" s="2292"/>
      <c r="P46" s="3681"/>
      <c r="Q46" s="1350">
        <f t="shared" si="8"/>
        <v>111</v>
      </c>
      <c r="R46" s="1351" t="s">
        <v>65</v>
      </c>
      <c r="S46" s="1352">
        <f t="shared" si="9"/>
        <v>100</v>
      </c>
      <c r="T46" s="1351" t="s">
        <v>65</v>
      </c>
      <c r="U46" s="1352">
        <f t="shared" si="10"/>
        <v>100</v>
      </c>
      <c r="V46" s="1351" t="s">
        <v>65</v>
      </c>
      <c r="W46" s="1352">
        <f t="shared" si="11"/>
        <v>100</v>
      </c>
      <c r="X46" s="1339"/>
      <c r="Y46" s="3683"/>
      <c r="Z46" s="1353">
        <f t="shared" si="12"/>
        <v>111</v>
      </c>
      <c r="AA46" s="1354">
        <f t="shared" si="3"/>
        <v>1</v>
      </c>
      <c r="AB46" s="1354">
        <f t="shared" si="4"/>
        <v>1</v>
      </c>
      <c r="AC46" s="1354">
        <f t="shared" si="5"/>
        <v>1</v>
      </c>
    </row>
    <row r="47" spans="1:29" ht="15">
      <c r="A47" s="163" t="s">
        <v>1038</v>
      </c>
      <c r="B47" s="164"/>
      <c r="C47" s="2829" t="s">
        <v>23</v>
      </c>
      <c r="D47" s="2830"/>
      <c r="E47" s="2831"/>
      <c r="F47" s="2832"/>
      <c r="G47" s="2833"/>
      <c r="H47" s="2834"/>
      <c r="I47" s="2831"/>
      <c r="J47" s="2834"/>
      <c r="K47" s="1392"/>
      <c r="L47" s="2299"/>
      <c r="M47" s="2300"/>
      <c r="N47" s="2292"/>
      <c r="O47" s="2300"/>
      <c r="P47" s="3675" t="str">
        <f>A47</f>
        <v>成交单价（元/平方米）</v>
      </c>
      <c r="Q47" s="3675"/>
      <c r="R47" s="3670">
        <f>E47</f>
        <v>0</v>
      </c>
      <c r="S47" s="3670"/>
      <c r="T47" s="3670">
        <f>G47</f>
        <v>0</v>
      </c>
      <c r="U47" s="3670"/>
      <c r="V47" s="3670">
        <f>I47</f>
        <v>0</v>
      </c>
      <c r="W47" s="3670"/>
      <c r="X47" s="1364"/>
      <c r="Y47" s="1365"/>
      <c r="Z47" s="1364"/>
      <c r="AA47" s="1364"/>
      <c r="AB47" s="1364"/>
      <c r="AC47" s="1364"/>
    </row>
    <row r="48" spans="1:29" ht="15.75" thickBot="1">
      <c r="A48" s="165" t="s">
        <v>1039</v>
      </c>
      <c r="B48" s="166"/>
      <c r="C48" s="2835" t="e">
        <f>R49</f>
        <v>#DIV/0!</v>
      </c>
      <c r="D48" s="2836"/>
      <c r="E48" s="2837" t="e">
        <f>R48</f>
        <v>#DIV/0!</v>
      </c>
      <c r="F48" s="2837"/>
      <c r="G48" s="2835" t="e">
        <f>T48</f>
        <v>#DIV/0!</v>
      </c>
      <c r="H48" s="2836"/>
      <c r="I48" s="2837" t="e">
        <f>V48</f>
        <v>#DIV/0!</v>
      </c>
      <c r="J48" s="2836"/>
      <c r="K48" s="1393"/>
      <c r="L48" s="2299"/>
      <c r="M48" s="2300"/>
      <c r="N48" s="2292"/>
      <c r="O48" s="2300"/>
      <c r="P48" s="3675" t="str">
        <f>A48</f>
        <v>比较价值（元/平方米）</v>
      </c>
      <c r="Q48" s="3675"/>
      <c r="R48" s="3676" t="e">
        <f>IF(F1="售价",ROUND(PRODUCT(R47,AA7:AA46),0),ROUND(PRODUCT(R47,AA7:AA46),1))</f>
        <v>#DIV/0!</v>
      </c>
      <c r="S48" s="3676"/>
      <c r="T48" s="3676" t="e">
        <f>IF(F1="售价",ROUND(PRODUCT(T47,AB7:AB46),0),ROUND(PRODUCT(T47,AB7:AB46),1))</f>
        <v>#DIV/0!</v>
      </c>
      <c r="U48" s="3676"/>
      <c r="V48" s="3676" t="e">
        <f>IF(F1="售价",ROUND(PRODUCT(V47,AC7:AC46),0),ROUND(PRODUCT(V47,AC7:AC46),1))</f>
        <v>#DIV/0!</v>
      </c>
      <c r="W48" s="3676"/>
      <c r="X48" s="1364"/>
      <c r="Y48" s="1364"/>
      <c r="Z48" s="1364"/>
      <c r="AA48" s="1364"/>
      <c r="AB48" s="1364"/>
      <c r="AC48" s="1364"/>
    </row>
    <row r="49" spans="1:29" ht="15.75" thickBot="1">
      <c r="A49" s="115" t="s">
        <v>3019</v>
      </c>
      <c r="B49" s="116"/>
      <c r="C49" s="2839" t="e">
        <f>R49</f>
        <v>#DIV/0!</v>
      </c>
      <c r="D49" s="2839"/>
      <c r="E49" s="2839"/>
      <c r="F49" s="2839"/>
      <c r="G49" s="2839"/>
      <c r="H49" s="2839"/>
      <c r="I49" s="2839"/>
      <c r="J49" s="2839"/>
      <c r="K49" s="1394"/>
      <c r="L49" s="2299"/>
      <c r="M49" s="2300"/>
      <c r="N49" s="2292"/>
      <c r="O49" s="2300"/>
      <c r="P49" s="3672" t="str">
        <f>A49</f>
        <v>估价对象XX用房的比较价值（楼面单价，元/平方米）</v>
      </c>
      <c r="Q49" s="3673"/>
      <c r="R49" s="3674" t="e">
        <f>IF(F1="售价",ROUND(AVERAGE(R48:V48),0),ROUND(AVERAGE(R48:V48),1))</f>
        <v>#DIV/0!</v>
      </c>
      <c r="S49" s="3674"/>
      <c r="T49" s="3674"/>
      <c r="U49" s="3674"/>
      <c r="V49" s="3674"/>
      <c r="W49" s="3674"/>
      <c r="X49" s="1364"/>
      <c r="Y49" s="1364"/>
      <c r="Z49" s="1364"/>
      <c r="AA49" s="1364"/>
      <c r="AB49" s="1364"/>
      <c r="AC49" s="1364"/>
    </row>
    <row r="50" spans="1:29">
      <c r="A50" s="2300"/>
      <c r="B50" s="2300"/>
      <c r="C50" s="2300"/>
      <c r="D50" s="2300"/>
      <c r="E50" s="2300"/>
      <c r="F50" s="2300"/>
      <c r="G50" s="2309"/>
      <c r="H50" s="2300"/>
      <c r="I50" s="2300"/>
      <c r="J50" s="2300"/>
      <c r="K50" s="2301"/>
      <c r="L50" s="2302"/>
      <c r="M50" s="2300"/>
      <c r="N50" s="2300"/>
      <c r="O50" s="2300"/>
      <c r="P50" s="214"/>
      <c r="Q50" s="1364"/>
      <c r="R50" s="1364"/>
      <c r="S50" s="1364"/>
      <c r="T50" s="1364"/>
      <c r="U50" s="1364"/>
      <c r="V50" s="1364"/>
      <c r="W50" s="1364"/>
      <c r="X50" s="1364"/>
      <c r="Y50" s="1364"/>
      <c r="Z50" s="1364"/>
      <c r="AA50" s="1364"/>
      <c r="AB50" s="1364"/>
      <c r="AC50" s="1364"/>
    </row>
    <row r="51" spans="1:29">
      <c r="A51" s="2300"/>
      <c r="B51" s="2300"/>
      <c r="C51" s="2300"/>
      <c r="D51" s="2300"/>
      <c r="E51" s="2300"/>
      <c r="F51" s="2300"/>
      <c r="G51" s="2300"/>
      <c r="H51" s="2300"/>
      <c r="I51" s="2300"/>
      <c r="J51" s="2300"/>
      <c r="K51" s="2301"/>
      <c r="L51" s="2302"/>
      <c r="M51" s="2300"/>
      <c r="N51" s="2300"/>
      <c r="O51" s="2300"/>
      <c r="P51" s="214"/>
      <c r="Q51" s="1364"/>
      <c r="R51" s="1364"/>
      <c r="S51" s="1364"/>
      <c r="T51" s="1364"/>
      <c r="U51" s="1364"/>
      <c r="V51" s="1364"/>
      <c r="W51" s="1364"/>
      <c r="X51" s="1364"/>
      <c r="Y51" s="1364"/>
      <c r="Z51" s="1364"/>
      <c r="AA51" s="1364"/>
      <c r="AB51" s="1364"/>
      <c r="AC51" s="1364"/>
    </row>
    <row r="52" spans="1:29" ht="13.5" customHeight="1">
      <c r="A52" s="2300"/>
      <c r="B52" s="2300"/>
      <c r="C52" s="839" t="s">
        <v>1008</v>
      </c>
      <c r="D52" s="840"/>
      <c r="E52" s="841" t="e">
        <f>IF(E47&lt;E48,E48/E47-1,E47/E48-1)</f>
        <v>#DIV/0!</v>
      </c>
      <c r="F52" s="842" t="e">
        <f>IF(OR(E52&gt;=0.3,E52&lt;=-0.3),"超过30%","")</f>
        <v>#DIV/0!</v>
      </c>
      <c r="G52" s="841" t="e">
        <f>IF(G47&lt;G48,G48/G47-1,G47/G48-1)</f>
        <v>#DIV/0!</v>
      </c>
      <c r="H52" s="842" t="e">
        <f>IF(OR(G52&gt;=0.3,G52&lt;=-0.3),"超过30%","")</f>
        <v>#DIV/0!</v>
      </c>
      <c r="I52" s="841" t="e">
        <f>IF(I47&lt;I48,I48/I47-1,I47/I48-1)</f>
        <v>#DIV/0!</v>
      </c>
      <c r="J52" s="842" t="e">
        <f>IF(OR(I52&gt;=0.3,I52&lt;=-0.3),"超过30%","")</f>
        <v>#DIV/0!</v>
      </c>
      <c r="K52" s="2301"/>
      <c r="L52" s="2302"/>
      <c r="M52" s="2300"/>
      <c r="N52" s="2300"/>
      <c r="O52" s="2300"/>
      <c r="P52" s="214"/>
      <c r="Q52" s="1364"/>
      <c r="R52" s="1364"/>
      <c r="S52" s="1364"/>
      <c r="T52" s="1364"/>
      <c r="U52" s="1364"/>
      <c r="V52" s="1364"/>
      <c r="W52" s="1364"/>
      <c r="X52" s="1364"/>
      <c r="Y52" s="1364"/>
      <c r="Z52" s="1364"/>
      <c r="AA52" s="1364"/>
      <c r="AB52" s="1364"/>
      <c r="AC52" s="1364"/>
    </row>
    <row r="53" spans="1:29" ht="13.5" customHeight="1">
      <c r="A53" s="2300"/>
      <c r="B53" s="2300"/>
      <c r="C53" s="839" t="s">
        <v>1009</v>
      </c>
      <c r="D53" s="843"/>
      <c r="E53" s="841" t="e">
        <f>IF(E48&lt;G48,G48/E48-1,E48/G48-1)</f>
        <v>#DIV/0!</v>
      </c>
      <c r="F53" s="842" t="e">
        <f>IF(OR(E53&gt;=0.2,E53&lt;=-0.2),"超过20%","")</f>
        <v>#DIV/0!</v>
      </c>
      <c r="G53" s="841" t="e">
        <f>IF(G48&lt;I48,I48/G48-1,G48/I48-1)</f>
        <v>#DIV/0!</v>
      </c>
      <c r="H53" s="842" t="e">
        <f>IF(OR(G53&gt;=0.2,G53&lt;=-0.2),"超过20%","")</f>
        <v>#DIV/0!</v>
      </c>
      <c r="I53" s="841" t="e">
        <f>IF(I48&lt;E48,E48/I48-1,I48/E48-1)</f>
        <v>#DIV/0!</v>
      </c>
      <c r="J53" s="842" t="e">
        <f>IF(OR(I53&gt;=0.2,I53&lt;=-0.2),"超过20%","")</f>
        <v>#DIV/0!</v>
      </c>
      <c r="K53" s="2301"/>
      <c r="L53" s="2302"/>
      <c r="M53" s="2300"/>
      <c r="N53" s="2300"/>
      <c r="O53" s="2300"/>
      <c r="P53" s="214"/>
      <c r="Q53" s="1364"/>
      <c r="R53" s="1364"/>
      <c r="S53" s="1364"/>
      <c r="T53" s="1364"/>
      <c r="U53" s="1364"/>
      <c r="V53" s="1364"/>
      <c r="W53" s="1364"/>
      <c r="X53" s="1364"/>
      <c r="Y53" s="1364"/>
      <c r="Z53" s="1364"/>
      <c r="AA53" s="1364"/>
      <c r="AB53" s="1364"/>
      <c r="AC53" s="1364"/>
    </row>
    <row r="54" spans="1:29" s="119" customFormat="1" ht="13.5" customHeight="1">
      <c r="A54" s="2305"/>
      <c r="B54" s="2305"/>
      <c r="C54" s="839" t="s">
        <v>1010</v>
      </c>
      <c r="D54" s="843"/>
      <c r="E54" s="841" t="e">
        <f>IF(E47&lt;G47,G47/E47-1,E47/G47-1)</f>
        <v>#DIV/0!</v>
      </c>
      <c r="F54" s="842" t="e">
        <f>IF(OR(E54&gt;=0.3,E54&lt;=-0.3),"超过30%","")</f>
        <v>#DIV/0!</v>
      </c>
      <c r="G54" s="841" t="e">
        <f>IF(G47&lt;I47,I47/G47-1,G47/I47-1)</f>
        <v>#DIV/0!</v>
      </c>
      <c r="H54" s="842" t="e">
        <f>IF(OR(G54&gt;=0.3,G54&lt;=-0.3),"超过30%","")</f>
        <v>#DIV/0!</v>
      </c>
      <c r="I54" s="841" t="e">
        <f>IF(I47&lt;E47,E47/I47-1,I47/E47-1)</f>
        <v>#DIV/0!</v>
      </c>
      <c r="J54" s="842" t="e">
        <f>IF(OR(I54&gt;=0.3,I54&lt;=-0.3),"超过30%","")</f>
        <v>#DIV/0!</v>
      </c>
      <c r="K54" s="2303"/>
      <c r="L54" s="2304"/>
      <c r="M54" s="2305"/>
      <c r="N54" s="2305"/>
      <c r="O54" s="2305"/>
      <c r="P54" s="1395"/>
      <c r="Q54" s="1369"/>
      <c r="R54" s="1369"/>
      <c r="S54" s="1369"/>
      <c r="T54" s="1369"/>
      <c r="U54" s="1369"/>
      <c r="V54" s="1369"/>
      <c r="W54" s="1369"/>
      <c r="X54" s="1369"/>
      <c r="Y54" s="1369"/>
      <c r="Z54" s="1369"/>
      <c r="AA54" s="1369"/>
      <c r="AB54" s="1369"/>
      <c r="AC54" s="1369"/>
    </row>
    <row r="55" spans="1:29" s="119" customFormat="1">
      <c r="A55" s="2305"/>
      <c r="B55" s="2310"/>
      <c r="C55" s="2311"/>
      <c r="D55" s="2305"/>
      <c r="E55" s="2305"/>
      <c r="F55" s="2305"/>
      <c r="G55" s="2305"/>
      <c r="H55" s="2305"/>
      <c r="I55" s="2305"/>
      <c r="J55" s="2305"/>
      <c r="K55" s="2303"/>
      <c r="L55" s="2304"/>
      <c r="M55" s="2305"/>
      <c r="N55" s="2305"/>
      <c r="O55" s="2305"/>
      <c r="P55" s="1395"/>
      <c r="Q55" s="1369"/>
      <c r="R55" s="1369"/>
      <c r="S55" s="1369"/>
      <c r="T55" s="1369"/>
      <c r="U55" s="1369"/>
      <c r="V55" s="1369"/>
      <c r="W55" s="1369"/>
      <c r="X55" s="1369"/>
      <c r="Y55" s="1369"/>
      <c r="Z55" s="1369"/>
      <c r="AA55" s="1369"/>
      <c r="AB55" s="1369"/>
      <c r="AC55" s="1369"/>
    </row>
    <row r="56" spans="1:29">
      <c r="A56" s="2300"/>
      <c r="B56" s="2310"/>
      <c r="C56" s="2311"/>
      <c r="D56" s="2300"/>
      <c r="E56" s="2300"/>
      <c r="F56" s="2300"/>
      <c r="G56" s="2300"/>
      <c r="H56" s="2300"/>
      <c r="I56" s="2300"/>
      <c r="J56" s="2300"/>
      <c r="K56" s="2301"/>
      <c r="L56" s="2302"/>
      <c r="M56" s="2300"/>
      <c r="N56" s="2300"/>
      <c r="O56" s="2300"/>
      <c r="P56" s="214"/>
      <c r="Q56" s="1364"/>
      <c r="R56" s="1364"/>
      <c r="S56" s="1364"/>
      <c r="T56" s="1364"/>
      <c r="U56" s="1364"/>
      <c r="V56" s="1364"/>
      <c r="W56" s="1364"/>
      <c r="X56" s="1364"/>
      <c r="Y56" s="1364"/>
      <c r="Z56" s="1364"/>
      <c r="AA56" s="1364"/>
      <c r="AB56" s="1364"/>
      <c r="AC56" s="1364"/>
    </row>
    <row r="57" spans="1:29" ht="21" thickBot="1">
      <c r="A57" s="1371" t="s">
        <v>1040</v>
      </c>
      <c r="B57" s="1364"/>
      <c r="C57" s="1372"/>
      <c r="D57" s="1372"/>
      <c r="E57" s="1372"/>
      <c r="F57" s="1373"/>
      <c r="G57" s="1373"/>
      <c r="H57" s="1372"/>
      <c r="I57" s="1372"/>
      <c r="J57" s="1372"/>
      <c r="K57" s="1374"/>
      <c r="L57" s="2307"/>
      <c r="M57" s="2308"/>
      <c r="N57" s="2308"/>
      <c r="O57" s="2308"/>
      <c r="P57" s="1396"/>
      <c r="Q57" s="1397"/>
      <c r="R57" s="1364"/>
      <c r="S57" s="1364"/>
      <c r="T57" s="1364"/>
      <c r="U57" s="1364"/>
      <c r="V57" s="1364"/>
      <c r="W57" s="1364"/>
      <c r="X57" s="1364"/>
      <c r="Y57" s="1364"/>
      <c r="Z57" s="1364"/>
      <c r="AA57" s="1364"/>
      <c r="AB57" s="1364"/>
      <c r="AC57" s="1364"/>
    </row>
    <row r="58" spans="1:29" s="850" customFormat="1" ht="15">
      <c r="A58" s="847" t="s">
        <v>2796</v>
      </c>
      <c r="B58" s="848"/>
      <c r="C58" s="3037" t="str">
        <f>YEAR(C7)&amp;"-"&amp;MONTH(C7)</f>
        <v>2017-8</v>
      </c>
      <c r="D58" s="3038">
        <f>EDATE(C58,-1)</f>
        <v>42917</v>
      </c>
      <c r="E58" s="3038">
        <f t="shared" ref="E58:N58" si="13">EDATE(D58,-1)</f>
        <v>42887</v>
      </c>
      <c r="F58" s="3038">
        <f t="shared" si="13"/>
        <v>42856</v>
      </c>
      <c r="G58" s="3038">
        <f t="shared" si="13"/>
        <v>42826</v>
      </c>
      <c r="H58" s="3038">
        <f t="shared" si="13"/>
        <v>42795</v>
      </c>
      <c r="I58" s="3038">
        <f t="shared" si="13"/>
        <v>42767</v>
      </c>
      <c r="J58" s="3038">
        <f t="shared" si="13"/>
        <v>42736</v>
      </c>
      <c r="K58" s="3038">
        <f t="shared" si="13"/>
        <v>42705</v>
      </c>
      <c r="L58" s="3038">
        <f t="shared" si="13"/>
        <v>42675</v>
      </c>
      <c r="M58" s="3038">
        <f t="shared" si="13"/>
        <v>42644</v>
      </c>
      <c r="N58" s="3038">
        <f t="shared" si="13"/>
        <v>42614</v>
      </c>
      <c r="O58" s="3038">
        <f>EDATE(N58,-1)</f>
        <v>42583</v>
      </c>
      <c r="P58" s="3031"/>
    </row>
    <row r="59" spans="1:29" s="40" customFormat="1" ht="14.25">
      <c r="A59" s="1044"/>
      <c r="B59" s="1045"/>
      <c r="C59" s="3035">
        <v>100</v>
      </c>
      <c r="D59" s="854"/>
      <c r="E59" s="854"/>
      <c r="F59" s="854"/>
      <c r="G59" s="854"/>
      <c r="H59" s="854"/>
      <c r="I59" s="854"/>
      <c r="J59" s="854"/>
      <c r="K59" s="854"/>
      <c r="L59" s="854"/>
      <c r="M59" s="855"/>
      <c r="N59" s="854"/>
      <c r="O59" s="855"/>
      <c r="P59" s="1376"/>
    </row>
    <row r="60" spans="1:29" s="40" customFormat="1" ht="15" thickBot="1">
      <c r="A60" s="1046" t="s">
        <v>1041</v>
      </c>
      <c r="B60" s="1047"/>
      <c r="C60" s="859"/>
      <c r="D60" s="860"/>
      <c r="E60" s="860"/>
      <c r="F60" s="860"/>
      <c r="G60" s="860"/>
      <c r="H60" s="860"/>
      <c r="I60" s="860"/>
      <c r="J60" s="860"/>
      <c r="K60" s="860"/>
      <c r="L60" s="860"/>
      <c r="M60" s="861"/>
      <c r="N60" s="860"/>
      <c r="O60" s="861"/>
      <c r="P60" s="1376"/>
      <c r="Q60" s="121"/>
    </row>
    <row r="61" spans="1:29" s="40" customFormat="1">
      <c r="A61" s="1048" t="s">
        <v>1042</v>
      </c>
      <c r="B61" s="1045"/>
      <c r="C61" s="1049" t="s">
        <v>1043</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1044</v>
      </c>
      <c r="B63" s="286" t="s">
        <v>1045</v>
      </c>
      <c r="C63" s="176">
        <f>C9</f>
        <v>0</v>
      </c>
      <c r="D63" s="122"/>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1046</v>
      </c>
      <c r="C65" s="881" t="s">
        <v>1011</v>
      </c>
      <c r="D65" s="881" t="s">
        <v>1012</v>
      </c>
      <c r="E65" s="881" t="s">
        <v>1013</v>
      </c>
      <c r="F65" s="881" t="s">
        <v>1014</v>
      </c>
      <c r="G65" s="881" t="s">
        <v>1015</v>
      </c>
      <c r="H65" s="881" t="s">
        <v>1016</v>
      </c>
      <c r="I65" s="881" t="s">
        <v>1017</v>
      </c>
      <c r="J65" s="881"/>
      <c r="K65" s="882"/>
      <c r="L65" s="883"/>
      <c r="M65" s="884"/>
      <c r="N65" s="1388"/>
      <c r="O65" s="1388"/>
      <c r="P65" s="1378"/>
      <c r="Q65" s="121"/>
    </row>
    <row r="66" spans="1:17" ht="15" thickBot="1">
      <c r="A66" s="173"/>
      <c r="B66" s="1054"/>
      <c r="C66" s="886" t="s">
        <v>138</v>
      </c>
      <c r="D66" s="886" t="s">
        <v>139</v>
      </c>
      <c r="E66" s="886" t="s">
        <v>140</v>
      </c>
      <c r="F66" s="886">
        <v>100</v>
      </c>
      <c r="G66" s="886">
        <f>F66-$K10</f>
        <v>100</v>
      </c>
      <c r="H66" s="886">
        <f>G66-$K10</f>
        <v>100</v>
      </c>
      <c r="I66" s="886">
        <f>H66-$K10</f>
        <v>100</v>
      </c>
      <c r="J66" s="886"/>
      <c r="K66" s="886"/>
      <c r="L66" s="886"/>
      <c r="M66" s="887"/>
      <c r="N66" s="1389"/>
      <c r="O66" s="1389"/>
      <c r="P66" s="1378"/>
      <c r="Q66" s="121"/>
    </row>
    <row r="67" spans="1:17" ht="15" thickTop="1">
      <c r="A67" s="173"/>
      <c r="B67" s="1055" t="s">
        <v>1047</v>
      </c>
      <c r="C67" s="889" t="str">
        <f>C68&amp;"（含）"&amp;"-"&amp;D68</f>
        <v>（含）-</v>
      </c>
      <c r="D67" s="889" t="str">
        <f t="shared" ref="D67:L67" si="14">D68&amp;"（含）"&amp;"-"&amp;E68</f>
        <v>（含）-</v>
      </c>
      <c r="E67" s="889" t="str">
        <f t="shared" si="14"/>
        <v>（含）-</v>
      </c>
      <c r="F67" s="889" t="str">
        <f t="shared" si="14"/>
        <v>（含）-</v>
      </c>
      <c r="G67" s="889" t="str">
        <f t="shared" si="14"/>
        <v>（含）-</v>
      </c>
      <c r="H67" s="889" t="str">
        <f t="shared" si="14"/>
        <v>（含）-</v>
      </c>
      <c r="I67" s="889" t="str">
        <f t="shared" si="14"/>
        <v>（含）-</v>
      </c>
      <c r="J67" s="889" t="str">
        <f t="shared" si="14"/>
        <v>（含）-</v>
      </c>
      <c r="K67" s="889" t="str">
        <f t="shared" si="14"/>
        <v>（含）-</v>
      </c>
      <c r="L67" s="889" t="str">
        <f t="shared" si="14"/>
        <v>（含）-</v>
      </c>
      <c r="M67" s="790" t="str">
        <f>M68&amp;"（含）"&amp;"-"&amp;P68</f>
        <v>（含）-</v>
      </c>
      <c r="N67" s="1389"/>
      <c r="O67" s="1389"/>
      <c r="P67" s="1378"/>
      <c r="Q67" s="121"/>
    </row>
    <row r="68" spans="1:17" ht="14.25">
      <c r="A68" s="173"/>
      <c r="B68" s="1056"/>
      <c r="C68" s="891"/>
      <c r="D68" s="891"/>
      <c r="E68" s="891"/>
      <c r="F68" s="891"/>
      <c r="G68" s="891"/>
      <c r="H68" s="891"/>
      <c r="I68" s="891"/>
      <c r="J68" s="891"/>
      <c r="K68" s="892"/>
      <c r="L68" s="893"/>
      <c r="M68" s="894"/>
      <c r="N68" s="1388"/>
      <c r="O68" s="1388"/>
      <c r="P68" s="1378"/>
      <c r="Q68" s="121"/>
    </row>
    <row r="69" spans="1:17" ht="15" thickBot="1">
      <c r="A69" s="173"/>
      <c r="B69" s="1052"/>
      <c r="C69" s="886">
        <v>100</v>
      </c>
      <c r="D69" s="886">
        <f t="shared" ref="D69:M69" si="15">C69-$K11</f>
        <v>100</v>
      </c>
      <c r="E69" s="886">
        <f t="shared" si="15"/>
        <v>100</v>
      </c>
      <c r="F69" s="886">
        <f t="shared" si="15"/>
        <v>100</v>
      </c>
      <c r="G69" s="886">
        <f t="shared" si="15"/>
        <v>100</v>
      </c>
      <c r="H69" s="886">
        <f t="shared" si="15"/>
        <v>100</v>
      </c>
      <c r="I69" s="886">
        <f t="shared" si="15"/>
        <v>100</v>
      </c>
      <c r="J69" s="886">
        <f t="shared" si="15"/>
        <v>100</v>
      </c>
      <c r="K69" s="886">
        <f t="shared" si="15"/>
        <v>100</v>
      </c>
      <c r="L69" s="886">
        <f t="shared" si="15"/>
        <v>100</v>
      </c>
      <c r="M69" s="887">
        <f t="shared" si="15"/>
        <v>100</v>
      </c>
      <c r="N69" s="1389"/>
      <c r="O69" s="1389"/>
      <c r="P69" s="1378"/>
      <c r="Q69" s="121"/>
    </row>
    <row r="70" spans="1:17" s="1038" customFormat="1" ht="14.25" thickTop="1">
      <c r="A70" s="1057"/>
      <c r="B70" s="1053">
        <f>B12</f>
        <v>111</v>
      </c>
      <c r="C70" s="139"/>
      <c r="D70" s="139"/>
      <c r="E70" s="139"/>
      <c r="F70" s="139"/>
      <c r="G70" s="139"/>
      <c r="H70" s="1058"/>
      <c r="I70" s="1058"/>
      <c r="J70" s="1058"/>
      <c r="K70" s="1058"/>
      <c r="L70" s="1059"/>
      <c r="M70" s="1060"/>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4.25" thickTop="1">
      <c r="A72" s="1057"/>
      <c r="B72" s="1053">
        <f>B13</f>
        <v>111</v>
      </c>
      <c r="C72" s="139"/>
      <c r="D72" s="139"/>
      <c r="E72" s="139"/>
      <c r="F72" s="139"/>
      <c r="G72" s="139"/>
      <c r="H72" s="1058"/>
      <c r="I72" s="1058"/>
      <c r="J72" s="1058"/>
      <c r="K72" s="1058"/>
      <c r="L72" s="1059"/>
      <c r="M72" s="1060"/>
      <c r="N72" s="1390"/>
      <c r="O72" s="1390"/>
      <c r="P72" s="1380"/>
      <c r="Q72" s="1064"/>
    </row>
    <row r="73" spans="1:17" s="1038" customFormat="1" ht="15" thickBot="1">
      <c r="A73" s="1057"/>
      <c r="B73" s="1054"/>
      <c r="C73" s="902"/>
      <c r="D73" s="878"/>
      <c r="E73" s="878"/>
      <c r="F73" s="878"/>
      <c r="G73" s="902"/>
      <c r="H73" s="904"/>
      <c r="I73" s="904"/>
      <c r="J73" s="904"/>
      <c r="K73" s="904"/>
      <c r="L73" s="904"/>
      <c r="M73" s="905"/>
      <c r="N73" s="1390"/>
      <c r="O73" s="1390"/>
      <c r="P73" s="1379"/>
      <c r="Q73" s="1062"/>
    </row>
    <row r="74" spans="1:17" s="1038" customFormat="1" ht="14.25" thickTop="1">
      <c r="A74" s="1057"/>
      <c r="B74" s="1055">
        <f>B14</f>
        <v>111</v>
      </c>
      <c r="C74" s="139"/>
      <c r="D74" s="139"/>
      <c r="E74" s="139"/>
      <c r="F74" s="139"/>
      <c r="G74" s="140"/>
      <c r="H74" s="1065"/>
      <c r="I74" s="1065"/>
      <c r="J74" s="1065"/>
      <c r="K74" s="1065"/>
      <c r="L74" s="1066"/>
      <c r="M74" s="1067"/>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1048</v>
      </c>
      <c r="B76" s="286" t="s">
        <v>1049</v>
      </c>
      <c r="C76" s="915" t="s">
        <v>1018</v>
      </c>
      <c r="D76" s="915" t="s">
        <v>1019</v>
      </c>
      <c r="E76" s="915" t="s">
        <v>1020</v>
      </c>
      <c r="F76" s="915" t="s">
        <v>1021</v>
      </c>
      <c r="G76" s="915" t="s">
        <v>1022</v>
      </c>
      <c r="H76" s="871"/>
      <c r="I76" s="871"/>
      <c r="J76" s="871"/>
      <c r="K76" s="916"/>
      <c r="L76" s="917"/>
      <c r="M76" s="918"/>
      <c r="N76" s="1388"/>
      <c r="O76" s="1388"/>
      <c r="P76" s="1382"/>
      <c r="Q76" s="121"/>
    </row>
    <row r="77" spans="1:17" ht="15" thickBot="1">
      <c r="A77" s="173"/>
      <c r="B77" s="1054"/>
      <c r="C77" s="886">
        <v>100</v>
      </c>
      <c r="D77" s="886">
        <f>C77-$K15</f>
        <v>100</v>
      </c>
      <c r="E77" s="886">
        <f>D77-$K15</f>
        <v>100</v>
      </c>
      <c r="F77" s="886">
        <f>E77-$K15</f>
        <v>100</v>
      </c>
      <c r="G77" s="886">
        <f>F77-$K15</f>
        <v>100</v>
      </c>
      <c r="H77" s="886"/>
      <c r="I77" s="886"/>
      <c r="J77" s="886"/>
      <c r="K77" s="886"/>
      <c r="L77" s="886"/>
      <c r="M77" s="887"/>
      <c r="N77" s="1389"/>
      <c r="O77" s="1389"/>
      <c r="P77" s="1378"/>
      <c r="Q77" s="121"/>
    </row>
    <row r="78" spans="1:17" ht="15" thickTop="1">
      <c r="A78" s="173"/>
      <c r="B78" s="1053" t="s">
        <v>1055</v>
      </c>
      <c r="C78" s="920" t="s">
        <v>425</v>
      </c>
      <c r="D78" s="920" t="s">
        <v>426</v>
      </c>
      <c r="E78" s="920" t="s">
        <v>427</v>
      </c>
      <c r="F78" s="920" t="s">
        <v>428</v>
      </c>
      <c r="G78" s="920" t="s">
        <v>429</v>
      </c>
      <c r="H78" s="881"/>
      <c r="I78" s="881"/>
      <c r="J78" s="881"/>
      <c r="K78" s="882"/>
      <c r="L78" s="883"/>
      <c r="M78" s="884"/>
      <c r="N78" s="1388"/>
      <c r="O78" s="1388"/>
      <c r="P78" s="1378"/>
      <c r="Q78" s="121"/>
    </row>
    <row r="79" spans="1:17" ht="15" thickBot="1">
      <c r="A79" s="173"/>
      <c r="B79" s="1054"/>
      <c r="C79" s="886">
        <v>100</v>
      </c>
      <c r="D79" s="886">
        <f>C79-$K17</f>
        <v>100</v>
      </c>
      <c r="E79" s="886">
        <f>D79-$K17</f>
        <v>100</v>
      </c>
      <c r="F79" s="886">
        <f>E79-$K17</f>
        <v>100</v>
      </c>
      <c r="G79" s="886">
        <f>F79-$K17</f>
        <v>100</v>
      </c>
      <c r="H79" s="886"/>
      <c r="I79" s="886"/>
      <c r="J79" s="886"/>
      <c r="K79" s="886"/>
      <c r="L79" s="886"/>
      <c r="M79" s="887"/>
      <c r="N79" s="1389"/>
      <c r="O79" s="1389"/>
      <c r="P79" s="1378"/>
      <c r="Q79" s="121"/>
    </row>
    <row r="80" spans="1:17" ht="15" thickTop="1">
      <c r="A80" s="173"/>
      <c r="B80" s="1053" t="s">
        <v>2641</v>
      </c>
      <c r="C80" s="920" t="s">
        <v>425</v>
      </c>
      <c r="D80" s="920" t="s">
        <v>426</v>
      </c>
      <c r="E80" s="920" t="s">
        <v>427</v>
      </c>
      <c r="F80" s="920" t="s">
        <v>428</v>
      </c>
      <c r="G80" s="920" t="s">
        <v>429</v>
      </c>
      <c r="H80" s="881"/>
      <c r="I80" s="881"/>
      <c r="J80" s="881"/>
      <c r="K80" s="882"/>
      <c r="L80" s="883"/>
      <c r="M80" s="884"/>
      <c r="N80" s="1388"/>
      <c r="O80" s="1388"/>
      <c r="P80" s="1378"/>
      <c r="Q80" s="121"/>
    </row>
    <row r="81" spans="1:17" ht="15" thickBot="1">
      <c r="A81" s="173"/>
      <c r="B81" s="1054"/>
      <c r="C81" s="886">
        <v>100</v>
      </c>
      <c r="D81" s="886">
        <f>C81-$K19</f>
        <v>100</v>
      </c>
      <c r="E81" s="886">
        <f>D81-$K19</f>
        <v>100</v>
      </c>
      <c r="F81" s="886">
        <f>E81-$K19</f>
        <v>100</v>
      </c>
      <c r="G81" s="886">
        <f>F81-$K19</f>
        <v>100</v>
      </c>
      <c r="H81" s="886"/>
      <c r="I81" s="886"/>
      <c r="J81" s="886"/>
      <c r="K81" s="886"/>
      <c r="L81" s="886"/>
      <c r="M81" s="887"/>
      <c r="N81" s="1389"/>
      <c r="O81" s="1389"/>
      <c r="P81" s="1378"/>
      <c r="Q81" s="121"/>
    </row>
    <row r="82" spans="1:17" ht="15" thickTop="1">
      <c r="A82" s="173"/>
      <c r="B82" s="1055" t="s">
        <v>2660</v>
      </c>
      <c r="C82" s="213" t="s">
        <v>2661</v>
      </c>
      <c r="D82" s="213" t="s">
        <v>2662</v>
      </c>
      <c r="E82" s="213" t="s">
        <v>2663</v>
      </c>
      <c r="F82" s="213" t="s">
        <v>2664</v>
      </c>
      <c r="G82" s="213" t="s">
        <v>2665</v>
      </c>
      <c r="H82" s="881"/>
      <c r="I82" s="881"/>
      <c r="J82" s="881"/>
      <c r="K82" s="881"/>
      <c r="L82" s="881"/>
      <c r="M82" s="2761"/>
      <c r="N82" s="1389"/>
      <c r="O82" s="1389"/>
      <c r="P82" s="1378"/>
      <c r="Q82" s="121"/>
    </row>
    <row r="83" spans="1:17" ht="15" thickBot="1">
      <c r="A83" s="173"/>
      <c r="B83" s="1055"/>
      <c r="C83" s="886">
        <v>100</v>
      </c>
      <c r="D83" s="886">
        <f>C83-$K21</f>
        <v>100</v>
      </c>
      <c r="E83" s="886">
        <f>D83-$K21</f>
        <v>100</v>
      </c>
      <c r="F83" s="886">
        <f>E83-$K21</f>
        <v>100</v>
      </c>
      <c r="G83" s="886">
        <f>F83-$K21</f>
        <v>100</v>
      </c>
      <c r="H83" s="1002"/>
      <c r="I83" s="1002"/>
      <c r="J83" s="1002"/>
      <c r="K83" s="1002"/>
      <c r="L83" s="1002"/>
      <c r="M83" s="792"/>
      <c r="N83" s="1389"/>
      <c r="O83" s="1389"/>
      <c r="P83" s="1378"/>
      <c r="Q83" s="121"/>
    </row>
    <row r="84" spans="1:17" ht="15" thickTop="1">
      <c r="A84" s="173"/>
      <c r="B84" s="1053" t="s">
        <v>1056</v>
      </c>
      <c r="C84" s="920" t="s">
        <v>425</v>
      </c>
      <c r="D84" s="920" t="s">
        <v>426</v>
      </c>
      <c r="E84" s="920" t="s">
        <v>427</v>
      </c>
      <c r="F84" s="920" t="s">
        <v>428</v>
      </c>
      <c r="G84" s="920" t="s">
        <v>429</v>
      </c>
      <c r="H84" s="881"/>
      <c r="I84" s="881"/>
      <c r="J84" s="881"/>
      <c r="K84" s="882"/>
      <c r="L84" s="883"/>
      <c r="M84" s="884"/>
      <c r="N84" s="1388"/>
      <c r="O84" s="1388"/>
      <c r="P84" s="1378"/>
      <c r="Q84" s="121"/>
    </row>
    <row r="85" spans="1:17" ht="15" thickBot="1">
      <c r="A85" s="173"/>
      <c r="B85" s="1054"/>
      <c r="C85" s="886">
        <v>100</v>
      </c>
      <c r="D85" s="886">
        <f>C85-$K23</f>
        <v>100</v>
      </c>
      <c r="E85" s="886">
        <f>D85-$K23</f>
        <v>100</v>
      </c>
      <c r="F85" s="886">
        <f>E85-$K23</f>
        <v>100</v>
      </c>
      <c r="G85" s="886">
        <f>F85-$K23</f>
        <v>100</v>
      </c>
      <c r="H85" s="886"/>
      <c r="I85" s="886"/>
      <c r="J85" s="886"/>
      <c r="K85" s="886"/>
      <c r="L85" s="886"/>
      <c r="M85" s="887"/>
      <c r="N85" s="1389"/>
      <c r="O85" s="1389"/>
      <c r="P85" s="1378"/>
      <c r="Q85" s="121"/>
    </row>
    <row r="86" spans="1:17" s="40" customFormat="1" ht="14.25" thickTop="1">
      <c r="A86" s="1071"/>
      <c r="B86" s="1053" t="s">
        <v>1057</v>
      </c>
      <c r="C86" s="139"/>
      <c r="D86" s="139"/>
      <c r="E86" s="139"/>
      <c r="F86" s="139"/>
      <c r="G86" s="139"/>
      <c r="H86" s="139"/>
      <c r="I86" s="139"/>
      <c r="J86" s="139"/>
      <c r="K86" s="139"/>
      <c r="L86" s="1383"/>
      <c r="M86" s="1384"/>
      <c r="N86" s="1387"/>
      <c r="O86" s="1387"/>
      <c r="P86" s="1378"/>
      <c r="Q86" s="121"/>
    </row>
    <row r="87" spans="1:17" s="40" customFormat="1" ht="15" thickBot="1">
      <c r="A87" s="1071"/>
      <c r="B87" s="1054"/>
      <c r="C87" s="924">
        <v>100</v>
      </c>
      <c r="D87" s="886">
        <f t="shared" ref="D87:M87" si="16">C87-$K25</f>
        <v>100</v>
      </c>
      <c r="E87" s="886">
        <f t="shared" si="16"/>
        <v>100</v>
      </c>
      <c r="F87" s="886">
        <f t="shared" si="16"/>
        <v>100</v>
      </c>
      <c r="G87" s="886">
        <f t="shared" si="16"/>
        <v>100</v>
      </c>
      <c r="H87" s="886">
        <f t="shared" si="16"/>
        <v>100</v>
      </c>
      <c r="I87" s="886">
        <f t="shared" si="16"/>
        <v>100</v>
      </c>
      <c r="J87" s="886">
        <f t="shared" si="16"/>
        <v>100</v>
      </c>
      <c r="K87" s="886">
        <f t="shared" si="16"/>
        <v>100</v>
      </c>
      <c r="L87" s="886">
        <f t="shared" si="16"/>
        <v>100</v>
      </c>
      <c r="M87" s="886">
        <f t="shared" si="16"/>
        <v>100</v>
      </c>
      <c r="N87" s="1389"/>
      <c r="O87" s="1389"/>
      <c r="P87" s="1378"/>
      <c r="Q87" s="121"/>
    </row>
    <row r="88" spans="1:17" s="40" customFormat="1" ht="14.25" thickTop="1">
      <c r="A88" s="1071"/>
      <c r="B88" s="1053" t="str">
        <f>B26</f>
        <v>平面位置/可视性</v>
      </c>
      <c r="C88" s="139"/>
      <c r="D88" s="139"/>
      <c r="E88" s="139"/>
      <c r="F88" s="1385"/>
      <c r="G88" s="139"/>
      <c r="H88" s="139"/>
      <c r="I88" s="139"/>
      <c r="J88" s="139"/>
      <c r="K88" s="139"/>
      <c r="L88" s="139"/>
      <c r="M88" s="1384"/>
      <c r="N88" s="1387"/>
      <c r="O88" s="1387"/>
      <c r="P88" s="1378"/>
      <c r="Q88" s="121"/>
    </row>
    <row r="89" spans="1:17" s="40" customFormat="1" ht="15" thickBot="1">
      <c r="A89" s="1071"/>
      <c r="B89" s="1054"/>
      <c r="C89" s="902"/>
      <c r="D89" s="878"/>
      <c r="E89" s="878"/>
      <c r="F89" s="878"/>
      <c r="G89" s="878"/>
      <c r="H89" s="878"/>
      <c r="I89" s="878"/>
      <c r="J89" s="878"/>
      <c r="K89" s="878"/>
      <c r="L89" s="878"/>
      <c r="M89" s="878"/>
      <c r="N89" s="1389"/>
      <c r="O89" s="1389"/>
      <c r="P89" s="1378"/>
      <c r="Q89" s="121"/>
    </row>
    <row r="90" spans="1:17" s="1038" customFormat="1" ht="14.25" thickTop="1">
      <c r="A90" s="1057"/>
      <c r="B90" s="1053" t="str">
        <f>B27</f>
        <v>人流量</v>
      </c>
      <c r="C90" s="139"/>
      <c r="D90" s="139"/>
      <c r="E90" s="139"/>
      <c r="F90" s="139"/>
      <c r="G90" s="139"/>
      <c r="H90" s="1058"/>
      <c r="I90" s="1058"/>
      <c r="J90" s="1058"/>
      <c r="K90" s="1058"/>
      <c r="L90" s="1059"/>
      <c r="M90" s="1060"/>
      <c r="N90" s="1390"/>
      <c r="O90" s="1390"/>
      <c r="P90" s="1379"/>
      <c r="Q90" s="1062"/>
    </row>
    <row r="91" spans="1:17" s="1038" customFormat="1" ht="15" thickBot="1">
      <c r="A91" s="1057"/>
      <c r="B91" s="1054"/>
      <c r="C91" s="924">
        <v>100</v>
      </c>
      <c r="D91" s="886">
        <f>C91-$K27</f>
        <v>100</v>
      </c>
      <c r="E91" s="886">
        <f t="shared" ref="E91:M91" si="17">D91-$K27</f>
        <v>100</v>
      </c>
      <c r="F91" s="886">
        <f t="shared" si="17"/>
        <v>100</v>
      </c>
      <c r="G91" s="886">
        <f t="shared" si="17"/>
        <v>100</v>
      </c>
      <c r="H91" s="886">
        <f t="shared" si="17"/>
        <v>100</v>
      </c>
      <c r="I91" s="886">
        <f t="shared" si="17"/>
        <v>100</v>
      </c>
      <c r="J91" s="886">
        <f t="shared" si="17"/>
        <v>100</v>
      </c>
      <c r="K91" s="886">
        <f t="shared" si="17"/>
        <v>100</v>
      </c>
      <c r="L91" s="886">
        <f t="shared" si="17"/>
        <v>100</v>
      </c>
      <c r="M91" s="886">
        <f t="shared" si="17"/>
        <v>100</v>
      </c>
      <c r="N91" s="1390"/>
      <c r="O91" s="1390"/>
      <c r="P91" s="1379"/>
      <c r="Q91" s="1062"/>
    </row>
    <row r="92" spans="1:17" ht="14.25" thickTop="1">
      <c r="A92" s="173"/>
      <c r="B92" s="1053" t="str">
        <f>B28</f>
        <v>楼层</v>
      </c>
      <c r="C92" s="139"/>
      <c r="D92" s="139"/>
      <c r="E92" s="139"/>
      <c r="F92" s="139"/>
      <c r="G92" s="139"/>
      <c r="H92" s="139"/>
      <c r="I92" s="139"/>
      <c r="J92" s="139"/>
      <c r="K92" s="139"/>
      <c r="L92" s="1383"/>
      <c r="M92" s="1384"/>
      <c r="N92" s="1388"/>
      <c r="O92" s="1388"/>
      <c r="P92" s="1378"/>
      <c r="Q92" s="121"/>
    </row>
    <row r="93" spans="1:17" ht="15" thickBot="1">
      <c r="A93" s="173"/>
      <c r="B93" s="1054"/>
      <c r="C93" s="878"/>
      <c r="D93" s="878"/>
      <c r="E93" s="878"/>
      <c r="F93" s="878"/>
      <c r="G93" s="878"/>
      <c r="H93" s="878"/>
      <c r="I93" s="878"/>
      <c r="J93" s="878"/>
      <c r="K93" s="878"/>
      <c r="L93" s="878"/>
      <c r="M93" s="879"/>
      <c r="N93" s="1389"/>
      <c r="O93" s="1389"/>
      <c r="P93" s="1378"/>
      <c r="Q93" s="121"/>
    </row>
    <row r="94" spans="1:17" ht="14.25" thickTop="1">
      <c r="A94" s="173"/>
      <c r="B94" s="1053">
        <f>B29</f>
        <v>111</v>
      </c>
      <c r="C94" s="139"/>
      <c r="D94" s="139"/>
      <c r="E94" s="139"/>
      <c r="F94" s="139"/>
      <c r="G94" s="131"/>
      <c r="H94" s="131"/>
      <c r="I94" s="131"/>
      <c r="J94" s="131"/>
      <c r="K94" s="132"/>
      <c r="L94" s="133"/>
      <c r="M94" s="134"/>
      <c r="N94" s="1388"/>
      <c r="O94" s="1388"/>
      <c r="P94" s="1378"/>
      <c r="Q94" s="121"/>
    </row>
    <row r="95" spans="1:17" ht="15" thickBot="1">
      <c r="A95" s="173"/>
      <c r="B95" s="1054"/>
      <c r="C95" s="902"/>
      <c r="D95" s="878"/>
      <c r="E95" s="878"/>
      <c r="F95" s="878"/>
      <c r="G95" s="878"/>
      <c r="H95" s="878"/>
      <c r="I95" s="878"/>
      <c r="J95" s="878"/>
      <c r="K95" s="878"/>
      <c r="L95" s="878"/>
      <c r="M95" s="879"/>
      <c r="N95" s="1389"/>
      <c r="O95" s="1389"/>
      <c r="P95" s="1378"/>
      <c r="Q95" s="121"/>
    </row>
    <row r="96" spans="1:17" ht="14.25" thickTop="1">
      <c r="A96" s="173"/>
      <c r="B96" s="1053">
        <f>B30</f>
        <v>111</v>
      </c>
      <c r="C96" s="139"/>
      <c r="D96" s="139"/>
      <c r="E96" s="139"/>
      <c r="F96" s="139"/>
      <c r="G96" s="131"/>
      <c r="H96" s="131"/>
      <c r="I96" s="131"/>
      <c r="J96" s="131"/>
      <c r="K96" s="132"/>
      <c r="L96" s="133"/>
      <c r="M96" s="134"/>
      <c r="N96" s="1388"/>
      <c r="O96" s="1388"/>
      <c r="P96" s="1378"/>
      <c r="Q96" s="121"/>
    </row>
    <row r="97" spans="1:17" ht="15" thickBot="1">
      <c r="A97" s="173"/>
      <c r="B97" s="1054"/>
      <c r="C97" s="902"/>
      <c r="D97" s="878"/>
      <c r="E97" s="878"/>
      <c r="F97" s="878"/>
      <c r="G97" s="878"/>
      <c r="H97" s="878"/>
      <c r="I97" s="878"/>
      <c r="J97" s="878"/>
      <c r="K97" s="878"/>
      <c r="L97" s="878"/>
      <c r="M97" s="879"/>
      <c r="N97" s="1389"/>
      <c r="O97" s="1389"/>
      <c r="P97" s="1378"/>
      <c r="Q97" s="121"/>
    </row>
    <row r="98" spans="1:17" ht="14.25" thickTop="1">
      <c r="A98" s="173"/>
      <c r="B98" s="1055">
        <f>B31</f>
        <v>111</v>
      </c>
      <c r="C98" s="139"/>
      <c r="D98" s="139"/>
      <c r="E98" s="139"/>
      <c r="F98" s="139"/>
      <c r="G98" s="135"/>
      <c r="H98" s="135"/>
      <c r="I98" s="135"/>
      <c r="J98" s="135"/>
      <c r="K98" s="136"/>
      <c r="L98" s="137"/>
      <c r="M98" s="138"/>
      <c r="N98" s="1388"/>
      <c r="O98" s="1388"/>
      <c r="P98" s="1378"/>
      <c r="Q98" s="121"/>
    </row>
    <row r="99" spans="1:17" ht="15" thickBot="1">
      <c r="A99" s="174"/>
      <c r="B99" s="1070"/>
      <c r="C99" s="912"/>
      <c r="D99" s="912"/>
      <c r="E99" s="912"/>
      <c r="F99" s="912"/>
      <c r="G99" s="933"/>
      <c r="H99" s="933"/>
      <c r="I99" s="933"/>
      <c r="J99" s="933"/>
      <c r="K99" s="933"/>
      <c r="L99" s="933"/>
      <c r="M99" s="934"/>
      <c r="N99" s="1389"/>
      <c r="O99" s="1389"/>
      <c r="P99" s="1378"/>
      <c r="Q99" s="121"/>
    </row>
    <row r="100" spans="1:17">
      <c r="A100" s="172" t="s">
        <v>1058</v>
      </c>
      <c r="B100" s="286" t="s">
        <v>1059</v>
      </c>
      <c r="C100" s="122"/>
      <c r="D100" s="122"/>
      <c r="E100" s="122"/>
      <c r="F100" s="122"/>
      <c r="G100" s="122"/>
      <c r="H100" s="122"/>
      <c r="I100" s="122"/>
      <c r="J100" s="122"/>
      <c r="K100" s="123"/>
      <c r="L100" s="124"/>
      <c r="M100" s="125"/>
      <c r="N100" s="1388"/>
      <c r="O100" s="1388"/>
      <c r="P100" s="1378"/>
      <c r="Q100" s="121"/>
    </row>
    <row r="101" spans="1:17" ht="15" thickBot="1">
      <c r="A101" s="173"/>
      <c r="B101" s="1054"/>
      <c r="C101" s="886">
        <v>100</v>
      </c>
      <c r="D101" s="886">
        <f t="shared" ref="D101:M101" si="18">C101-$K32</f>
        <v>100</v>
      </c>
      <c r="E101" s="886">
        <f t="shared" si="18"/>
        <v>100</v>
      </c>
      <c r="F101" s="886">
        <f t="shared" si="18"/>
        <v>100</v>
      </c>
      <c r="G101" s="886">
        <f t="shared" si="18"/>
        <v>100</v>
      </c>
      <c r="H101" s="886">
        <f t="shared" si="18"/>
        <v>100</v>
      </c>
      <c r="I101" s="886">
        <f t="shared" si="18"/>
        <v>100</v>
      </c>
      <c r="J101" s="886">
        <f t="shared" si="18"/>
        <v>100</v>
      </c>
      <c r="K101" s="886">
        <f t="shared" si="18"/>
        <v>100</v>
      </c>
      <c r="L101" s="886">
        <f t="shared" si="18"/>
        <v>100</v>
      </c>
      <c r="M101" s="887">
        <f t="shared" si="18"/>
        <v>100</v>
      </c>
      <c r="N101" s="1389"/>
      <c r="O101" s="1389"/>
      <c r="P101" s="1378"/>
      <c r="Q101" s="121"/>
    </row>
    <row r="102" spans="1:17" ht="15" thickTop="1">
      <c r="A102" s="173"/>
      <c r="B102" s="1053" t="s">
        <v>1060</v>
      </c>
      <c r="C102" s="920" t="str">
        <f>C103&amp;"(含)"&amp;"-"&amp;D103</f>
        <v>(含)-</v>
      </c>
      <c r="D102" s="920" t="str">
        <f t="shared" ref="D102:L102" si="19">D103&amp;"(含)"&amp;"-"&amp;E103</f>
        <v>(含)-</v>
      </c>
      <c r="E102" s="920" t="str">
        <f t="shared" si="19"/>
        <v>(含)-</v>
      </c>
      <c r="F102" s="920" t="str">
        <f t="shared" si="19"/>
        <v>(含)-</v>
      </c>
      <c r="G102" s="920" t="str">
        <f t="shared" si="19"/>
        <v>(含)-</v>
      </c>
      <c r="H102" s="920" t="str">
        <f t="shared" si="19"/>
        <v>(含)-</v>
      </c>
      <c r="I102" s="920" t="str">
        <f t="shared" si="19"/>
        <v>(含)-</v>
      </c>
      <c r="J102" s="920" t="str">
        <f t="shared" si="19"/>
        <v>(含)-</v>
      </c>
      <c r="K102" s="920" t="str">
        <f t="shared" si="19"/>
        <v>(含)-</v>
      </c>
      <c r="L102" s="920" t="str">
        <f t="shared" si="19"/>
        <v>(含)-</v>
      </c>
      <c r="M102" s="964" t="str">
        <f>M103&amp;"(含)"&amp;"-"&amp;P103</f>
        <v>(含)-</v>
      </c>
      <c r="N102" s="1387"/>
      <c r="O102" s="1387"/>
      <c r="P102" s="1378"/>
      <c r="Q102" s="121"/>
    </row>
    <row r="103" spans="1:17" s="1038" customFormat="1" ht="14.25">
      <c r="A103" s="1072"/>
      <c r="B103" s="1073"/>
      <c r="C103" s="937"/>
      <c r="D103" s="937"/>
      <c r="E103" s="937"/>
      <c r="F103" s="937"/>
      <c r="G103" s="937"/>
      <c r="H103" s="937"/>
      <c r="I103" s="937"/>
      <c r="J103" s="938"/>
      <c r="K103" s="938"/>
      <c r="L103" s="939"/>
      <c r="M103" s="940"/>
      <c r="N103" s="1390"/>
      <c r="O103" s="1390"/>
      <c r="P103" s="1379"/>
      <c r="Q103" s="1062"/>
    </row>
    <row r="104" spans="1:17" s="1038" customFormat="1" ht="15" thickBot="1">
      <c r="A104" s="1057"/>
      <c r="B104" s="1054"/>
      <c r="C104" s="902"/>
      <c r="D104" s="878"/>
      <c r="E104" s="878"/>
      <c r="F104" s="878"/>
      <c r="G104" s="878"/>
      <c r="H104" s="878"/>
      <c r="I104" s="878"/>
      <c r="J104" s="878"/>
      <c r="K104" s="878"/>
      <c r="L104" s="878"/>
      <c r="M104" s="879"/>
      <c r="N104" s="1389"/>
      <c r="O104" s="1389"/>
      <c r="P104" s="1379"/>
      <c r="Q104" s="1062"/>
    </row>
    <row r="105" spans="1:17" ht="14.25" thickTop="1">
      <c r="A105" s="175"/>
      <c r="B105" s="1053" t="s">
        <v>1061</v>
      </c>
      <c r="C105" s="139"/>
      <c r="D105" s="139"/>
      <c r="E105" s="131"/>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0">C106-$K34</f>
        <v>100</v>
      </c>
      <c r="E106" s="886">
        <f t="shared" si="20"/>
        <v>100</v>
      </c>
      <c r="F106" s="886">
        <f t="shared" si="20"/>
        <v>100</v>
      </c>
      <c r="G106" s="886">
        <f t="shared" si="20"/>
        <v>100</v>
      </c>
      <c r="H106" s="886">
        <f t="shared" si="20"/>
        <v>100</v>
      </c>
      <c r="I106" s="886">
        <f t="shared" si="20"/>
        <v>100</v>
      </c>
      <c r="J106" s="886">
        <f t="shared" si="20"/>
        <v>100</v>
      </c>
      <c r="K106" s="886">
        <f t="shared" si="20"/>
        <v>100</v>
      </c>
      <c r="L106" s="886">
        <f t="shared" si="20"/>
        <v>100</v>
      </c>
      <c r="M106" s="887">
        <f t="shared" si="20"/>
        <v>100</v>
      </c>
      <c r="N106" s="1389"/>
      <c r="O106" s="1389"/>
      <c r="P106" s="1378"/>
      <c r="Q106" s="121"/>
    </row>
    <row r="107" spans="1:17" ht="14.25" thickTop="1">
      <c r="A107" s="175"/>
      <c r="B107" s="1053" t="s">
        <v>1062</v>
      </c>
      <c r="C107" s="139"/>
      <c r="D107" s="139"/>
      <c r="E107" s="139"/>
      <c r="F107" s="131"/>
      <c r="G107" s="131"/>
      <c r="H107" s="131"/>
      <c r="I107" s="131"/>
      <c r="J107" s="131"/>
      <c r="K107" s="132"/>
      <c r="L107" s="133"/>
      <c r="M107" s="134"/>
      <c r="N107" s="1388"/>
      <c r="O107" s="1388"/>
      <c r="P107" s="1378"/>
      <c r="Q107" s="121"/>
    </row>
    <row r="108" spans="1:17" ht="15" thickBot="1">
      <c r="A108" s="173"/>
      <c r="B108" s="1054"/>
      <c r="C108" s="886">
        <v>100</v>
      </c>
      <c r="D108" s="886">
        <f t="shared" ref="D108:M108" si="21">C108-$K35</f>
        <v>100</v>
      </c>
      <c r="E108" s="886">
        <f t="shared" si="21"/>
        <v>100</v>
      </c>
      <c r="F108" s="886">
        <f t="shared" si="21"/>
        <v>100</v>
      </c>
      <c r="G108" s="886">
        <f t="shared" si="21"/>
        <v>100</v>
      </c>
      <c r="H108" s="886">
        <f t="shared" si="21"/>
        <v>100</v>
      </c>
      <c r="I108" s="886">
        <f t="shared" si="21"/>
        <v>100</v>
      </c>
      <c r="J108" s="886">
        <f t="shared" si="21"/>
        <v>100</v>
      </c>
      <c r="K108" s="886">
        <f t="shared" si="21"/>
        <v>100</v>
      </c>
      <c r="L108" s="886">
        <f t="shared" si="21"/>
        <v>100</v>
      </c>
      <c r="M108" s="887">
        <f t="shared" si="21"/>
        <v>100</v>
      </c>
      <c r="N108" s="1389"/>
      <c r="O108" s="1389"/>
      <c r="P108" s="1378"/>
      <c r="Q108" s="121"/>
    </row>
    <row r="109" spans="1:17" ht="15" thickTop="1">
      <c r="A109" s="175"/>
      <c r="B109" s="1053" t="s">
        <v>1063</v>
      </c>
      <c r="C109" s="920" t="str">
        <f>C110&amp;"(含)"&amp;"-"&amp;D110</f>
        <v>0.5(含)-0.6</v>
      </c>
      <c r="D109" s="920" t="str">
        <f>D110&amp;"(含)"&amp;"-"&amp;E110</f>
        <v>0.6(含)-0.7</v>
      </c>
      <c r="E109" s="920" t="str">
        <f>E110&amp;"(含)"&amp;"-"&amp;F110</f>
        <v>0.7(含)-0.8</v>
      </c>
      <c r="F109" s="920" t="str">
        <f>F110&amp;"(含)"&amp;"-"&amp;G110</f>
        <v>0.8(含)-0.9</v>
      </c>
      <c r="G109" s="920" t="str">
        <f>G110&amp;"(含)"&amp;"-"&amp;ROUND(H110,0)&amp;"(含)"</f>
        <v>0.9(含)-1(含)</v>
      </c>
      <c r="H109" s="920"/>
      <c r="I109" s="131"/>
      <c r="J109" s="131"/>
      <c r="K109" s="132"/>
      <c r="L109" s="133"/>
      <c r="M109" s="134"/>
      <c r="N109" s="1388"/>
      <c r="O109" s="1388"/>
      <c r="P109" s="1378"/>
      <c r="Q109" s="121"/>
    </row>
    <row r="110" spans="1:17" ht="14.25">
      <c r="A110" s="175"/>
      <c r="B110" s="1055"/>
      <c r="C110" s="945">
        <v>0.5</v>
      </c>
      <c r="D110" s="945">
        <v>0.6</v>
      </c>
      <c r="E110" s="945">
        <v>0.7</v>
      </c>
      <c r="F110" s="945">
        <v>0.8</v>
      </c>
      <c r="G110" s="945">
        <v>0.9</v>
      </c>
      <c r="H110" s="945">
        <v>1.0001</v>
      </c>
      <c r="I110" s="183"/>
      <c r="J110" s="183"/>
      <c r="K110" s="184"/>
      <c r="L110" s="185"/>
      <c r="M110" s="186"/>
      <c r="N110" s="1388"/>
      <c r="O110" s="1388"/>
      <c r="P110" s="1378"/>
      <c r="Q110" s="121"/>
    </row>
    <row r="111" spans="1:17" ht="15" thickBot="1">
      <c r="A111" s="173"/>
      <c r="B111" s="1054"/>
      <c r="C111" s="924">
        <v>100</v>
      </c>
      <c r="D111" s="886">
        <f>C111+$K36</f>
        <v>100</v>
      </c>
      <c r="E111" s="886">
        <f t="shared" ref="E111:M111" si="22">D111+$K36</f>
        <v>100</v>
      </c>
      <c r="F111" s="886">
        <f t="shared" si="22"/>
        <v>100</v>
      </c>
      <c r="G111" s="886">
        <f t="shared" si="22"/>
        <v>100</v>
      </c>
      <c r="H111" s="886">
        <f t="shared" si="22"/>
        <v>100</v>
      </c>
      <c r="I111" s="886">
        <f t="shared" si="22"/>
        <v>100</v>
      </c>
      <c r="J111" s="886">
        <f t="shared" si="22"/>
        <v>100</v>
      </c>
      <c r="K111" s="886">
        <f t="shared" si="22"/>
        <v>100</v>
      </c>
      <c r="L111" s="886">
        <f t="shared" si="22"/>
        <v>100</v>
      </c>
      <c r="M111" s="886">
        <f t="shared" si="22"/>
        <v>100</v>
      </c>
      <c r="N111" s="1389"/>
      <c r="O111" s="1389"/>
      <c r="P111" s="1378"/>
      <c r="Q111" s="121"/>
    </row>
    <row r="112" spans="1:17" s="1038" customFormat="1" ht="14.25" thickTop="1">
      <c r="A112" s="1072"/>
      <c r="B112" s="1053" t="s">
        <v>2643</v>
      </c>
      <c r="C112" s="139"/>
      <c r="D112" s="139"/>
      <c r="E112" s="139"/>
      <c r="F112" s="139"/>
      <c r="G112" s="139"/>
      <c r="H112" s="131"/>
      <c r="I112" s="131"/>
      <c r="J112" s="131"/>
      <c r="K112" s="132"/>
      <c r="L112" s="133"/>
      <c r="M112" s="134"/>
      <c r="N112" s="1390"/>
      <c r="O112" s="1390"/>
      <c r="P112" s="1379"/>
      <c r="Q112" s="1062"/>
    </row>
    <row r="113" spans="1:17" s="1038" customFormat="1" ht="15" thickBot="1">
      <c r="A113" s="1057"/>
      <c r="B113" s="1054"/>
      <c r="C113" s="886">
        <v>100</v>
      </c>
      <c r="D113" s="886">
        <f>C113-$K37</f>
        <v>100</v>
      </c>
      <c r="E113" s="886">
        <f t="shared" ref="E113:M113" si="23">D113-$K37</f>
        <v>100</v>
      </c>
      <c r="F113" s="886">
        <f t="shared" si="23"/>
        <v>100</v>
      </c>
      <c r="G113" s="886">
        <f t="shared" si="23"/>
        <v>100</v>
      </c>
      <c r="H113" s="886">
        <f t="shared" si="23"/>
        <v>100</v>
      </c>
      <c r="I113" s="886">
        <f t="shared" si="23"/>
        <v>100</v>
      </c>
      <c r="J113" s="886">
        <f t="shared" si="23"/>
        <v>100</v>
      </c>
      <c r="K113" s="886">
        <f t="shared" si="23"/>
        <v>100</v>
      </c>
      <c r="L113" s="886">
        <f t="shared" si="23"/>
        <v>100</v>
      </c>
      <c r="M113" s="886">
        <f t="shared" si="23"/>
        <v>100</v>
      </c>
      <c r="N113" s="1390"/>
      <c r="O113" s="1390"/>
      <c r="P113" s="1379"/>
      <c r="Q113" s="1062"/>
    </row>
    <row r="114" spans="1:17" ht="14.25" thickTop="1">
      <c r="A114" s="175"/>
      <c r="B114" s="1053" t="s">
        <v>1064</v>
      </c>
      <c r="C114" s="139"/>
      <c r="D114" s="139"/>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24">C115-$K38</f>
        <v>100</v>
      </c>
      <c r="E115" s="886">
        <f t="shared" si="24"/>
        <v>100</v>
      </c>
      <c r="F115" s="886">
        <f t="shared" si="24"/>
        <v>100</v>
      </c>
      <c r="G115" s="886">
        <f t="shared" si="24"/>
        <v>100</v>
      </c>
      <c r="H115" s="886">
        <f t="shared" si="24"/>
        <v>100</v>
      </c>
      <c r="I115" s="886">
        <f t="shared" si="24"/>
        <v>100</v>
      </c>
      <c r="J115" s="886">
        <f t="shared" si="24"/>
        <v>100</v>
      </c>
      <c r="K115" s="886">
        <f t="shared" si="24"/>
        <v>100</v>
      </c>
      <c r="L115" s="886">
        <f t="shared" si="24"/>
        <v>100</v>
      </c>
      <c r="M115" s="887">
        <f t="shared" si="24"/>
        <v>100</v>
      </c>
      <c r="N115" s="1389"/>
      <c r="O115" s="1389"/>
      <c r="P115" s="1378"/>
      <c r="Q115" s="121"/>
    </row>
    <row r="116" spans="1:17" ht="14.25" thickTop="1">
      <c r="A116" s="175"/>
      <c r="B116" s="1053" t="s">
        <v>1065</v>
      </c>
      <c r="C116" s="139"/>
      <c r="D116" s="139"/>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9"/>
      <c r="O117" s="1389"/>
      <c r="P117" s="1378"/>
      <c r="Q117" s="121"/>
    </row>
    <row r="118" spans="1:17" ht="15" thickTop="1">
      <c r="A118" s="175"/>
      <c r="B118" s="1053" t="s">
        <v>1066</v>
      </c>
      <c r="C118" s="969"/>
      <c r="D118" s="969"/>
      <c r="E118" s="969"/>
      <c r="F118" s="969"/>
      <c r="G118" s="969"/>
      <c r="H118" s="897"/>
      <c r="I118" s="897"/>
      <c r="J118" s="897"/>
      <c r="K118" s="897"/>
      <c r="L118" s="898"/>
      <c r="M118" s="899"/>
      <c r="N118" s="1388"/>
      <c r="O118" s="1388"/>
      <c r="P118" s="1378"/>
      <c r="Q118" s="121"/>
    </row>
    <row r="119" spans="1:17" ht="15" thickBot="1">
      <c r="A119" s="173"/>
      <c r="B119" s="1054"/>
      <c r="C119" s="902"/>
      <c r="D119" s="878"/>
      <c r="E119" s="878"/>
      <c r="F119" s="878"/>
      <c r="G119" s="878"/>
      <c r="H119" s="878"/>
      <c r="I119" s="878"/>
      <c r="J119" s="878"/>
      <c r="K119" s="878"/>
      <c r="L119" s="878"/>
      <c r="M119" s="879"/>
      <c r="N119" s="1389"/>
      <c r="O119" s="1389"/>
      <c r="P119" s="1378"/>
      <c r="Q119" s="121"/>
    </row>
    <row r="120" spans="1:17" s="1038" customFormat="1" ht="14.25" thickTop="1">
      <c r="A120" s="1072"/>
      <c r="B120" s="1053" t="s">
        <v>1067</v>
      </c>
      <c r="C120" s="131"/>
      <c r="D120" s="131"/>
      <c r="E120" s="131"/>
      <c r="F120" s="131"/>
      <c r="G120" s="1058"/>
      <c r="H120" s="1058"/>
      <c r="I120" s="1058"/>
      <c r="J120" s="1058"/>
      <c r="K120" s="1058"/>
      <c r="L120" s="1059"/>
      <c r="M120" s="1060"/>
      <c r="N120" s="1390"/>
      <c r="O120" s="1390"/>
      <c r="P120" s="1379"/>
      <c r="Q120" s="1062"/>
    </row>
    <row r="121" spans="1:17" s="1038" customFormat="1" ht="15" thickBot="1">
      <c r="A121" s="1057"/>
      <c r="B121" s="1052"/>
      <c r="C121" s="924">
        <v>100</v>
      </c>
      <c r="D121" s="886">
        <f>C121-$K41</f>
        <v>100</v>
      </c>
      <c r="E121" s="886">
        <f t="shared" ref="E121:M121" si="25">D121-$K41</f>
        <v>100</v>
      </c>
      <c r="F121" s="886">
        <f t="shared" si="25"/>
        <v>100</v>
      </c>
      <c r="G121" s="886">
        <f t="shared" si="25"/>
        <v>100</v>
      </c>
      <c r="H121" s="886">
        <f t="shared" si="25"/>
        <v>100</v>
      </c>
      <c r="I121" s="886">
        <f t="shared" si="25"/>
        <v>100</v>
      </c>
      <c r="J121" s="886">
        <f t="shared" si="25"/>
        <v>100</v>
      </c>
      <c r="K121" s="886">
        <f t="shared" si="25"/>
        <v>100</v>
      </c>
      <c r="L121" s="886">
        <f t="shared" si="25"/>
        <v>100</v>
      </c>
      <c r="M121" s="887">
        <f t="shared" si="25"/>
        <v>100</v>
      </c>
      <c r="N121" s="1390"/>
      <c r="O121" s="1390"/>
      <c r="P121" s="1379"/>
      <c r="Q121" s="1062"/>
    </row>
    <row r="122" spans="1:17" ht="14.25" thickTop="1">
      <c r="A122" s="175"/>
      <c r="B122" s="1053" t="s">
        <v>1068</v>
      </c>
      <c r="C122" s="139"/>
      <c r="D122" s="139"/>
      <c r="E122" s="139"/>
      <c r="F122" s="131"/>
      <c r="G122" s="131"/>
      <c r="H122" s="131"/>
      <c r="I122" s="131"/>
      <c r="J122" s="131"/>
      <c r="K122" s="132"/>
      <c r="L122" s="133"/>
      <c r="M122" s="134"/>
      <c r="N122" s="1388"/>
      <c r="O122" s="1388"/>
      <c r="P122" s="1378"/>
      <c r="Q122" s="121"/>
    </row>
    <row r="123" spans="1:17" ht="15" thickBot="1">
      <c r="A123" s="173"/>
      <c r="B123" s="1054"/>
      <c r="C123" s="886">
        <v>100</v>
      </c>
      <c r="D123" s="886">
        <f t="shared" ref="D123:M123" si="26">C123-$K42</f>
        <v>100</v>
      </c>
      <c r="E123" s="886">
        <f t="shared" si="26"/>
        <v>100</v>
      </c>
      <c r="F123" s="886">
        <f t="shared" si="26"/>
        <v>100</v>
      </c>
      <c r="G123" s="886">
        <f t="shared" si="26"/>
        <v>100</v>
      </c>
      <c r="H123" s="886">
        <f t="shared" si="26"/>
        <v>100</v>
      </c>
      <c r="I123" s="886">
        <f t="shared" si="26"/>
        <v>100</v>
      </c>
      <c r="J123" s="886">
        <f t="shared" si="26"/>
        <v>100</v>
      </c>
      <c r="K123" s="886">
        <f t="shared" si="26"/>
        <v>100</v>
      </c>
      <c r="L123" s="886">
        <f t="shared" si="26"/>
        <v>100</v>
      </c>
      <c r="M123" s="887">
        <f t="shared" si="26"/>
        <v>100</v>
      </c>
      <c r="N123" s="1389"/>
      <c r="O123" s="1389"/>
      <c r="P123" s="1378"/>
      <c r="Q123" s="121"/>
    </row>
    <row r="124" spans="1:17" ht="27.75" thickTop="1">
      <c r="A124" s="175"/>
      <c r="B124" s="1053" t="s">
        <v>1069</v>
      </c>
      <c r="C124" s="181" t="s">
        <v>1050</v>
      </c>
      <c r="D124" s="181" t="s">
        <v>1051</v>
      </c>
      <c r="E124" s="181" t="s">
        <v>1052</v>
      </c>
      <c r="F124" s="181" t="s">
        <v>1053</v>
      </c>
      <c r="G124" s="181" t="s">
        <v>1054</v>
      </c>
      <c r="H124" s="177"/>
      <c r="I124" s="177"/>
      <c r="J124" s="177"/>
      <c r="K124" s="178"/>
      <c r="L124" s="179"/>
      <c r="M124" s="180"/>
      <c r="N124" s="1388"/>
      <c r="O124" s="1388"/>
      <c r="P124" s="1379"/>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878"/>
      <c r="E129" s="878"/>
      <c r="F129" s="878"/>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45" priority="17" stopIfTrue="1" operator="containsText" text="超过">
      <formula>NOT(ISERROR(SEARCH("超过",F52)))</formula>
    </cfRule>
  </conditionalFormatting>
  <conditionalFormatting sqref="H54">
    <cfRule type="containsText" dxfId="144" priority="15" stopIfTrue="1" operator="containsText" text="超过">
      <formula>NOT(ISERROR(SEARCH("超过",H54)))</formula>
    </cfRule>
  </conditionalFormatting>
  <conditionalFormatting sqref="F54">
    <cfRule type="containsText" dxfId="143" priority="14" stopIfTrue="1" operator="containsText" text="超过">
      <formula>NOT(ISERROR(SEARCH("超过",F54)))</formula>
    </cfRule>
  </conditionalFormatting>
  <conditionalFormatting sqref="F53 H53">
    <cfRule type="containsText" dxfId="142" priority="13" stopIfTrue="1" operator="containsText" text="超过">
      <formula>NOT(ISERROR(SEARCH("超过",F53)))</formula>
    </cfRule>
  </conditionalFormatting>
  <conditionalFormatting sqref="E52">
    <cfRule type="expression" dxfId="141" priority="12" stopIfTrue="1">
      <formula>$F$52="超过30%"</formula>
    </cfRule>
  </conditionalFormatting>
  <conditionalFormatting sqref="E53">
    <cfRule type="expression" dxfId="140" priority="11" stopIfTrue="1">
      <formula>$F$53="超过20%"</formula>
    </cfRule>
  </conditionalFormatting>
  <conditionalFormatting sqref="E54">
    <cfRule type="expression" dxfId="139" priority="10" stopIfTrue="1">
      <formula>$F$54="超过30%"</formula>
    </cfRule>
  </conditionalFormatting>
  <conditionalFormatting sqref="G54">
    <cfRule type="expression" dxfId="138" priority="9" stopIfTrue="1">
      <formula>$H$54="超过30%"</formula>
    </cfRule>
  </conditionalFormatting>
  <conditionalFormatting sqref="G52">
    <cfRule type="expression" dxfId="137" priority="8" stopIfTrue="1">
      <formula>$H$52="超过30%"</formula>
    </cfRule>
  </conditionalFormatting>
  <conditionalFormatting sqref="G53">
    <cfRule type="expression" dxfId="136" priority="7" stopIfTrue="1">
      <formula>$H$53="超过20%"</formula>
    </cfRule>
  </conditionalFormatting>
  <conditionalFormatting sqref="J52">
    <cfRule type="containsText" dxfId="135" priority="6" stopIfTrue="1" operator="containsText" text="超过">
      <formula>NOT(ISERROR(SEARCH("超过",J52)))</formula>
    </cfRule>
  </conditionalFormatting>
  <conditionalFormatting sqref="J54">
    <cfRule type="containsText" dxfId="134" priority="5" stopIfTrue="1" operator="containsText" text="超过">
      <formula>NOT(ISERROR(SEARCH("超过",J54)))</formula>
    </cfRule>
  </conditionalFormatting>
  <conditionalFormatting sqref="J53">
    <cfRule type="containsText" dxfId="133" priority="4" stopIfTrue="1" operator="containsText" text="超过">
      <formula>NOT(ISERROR(SEARCH("超过",J53)))</formula>
    </cfRule>
  </conditionalFormatting>
  <conditionalFormatting sqref="I52">
    <cfRule type="expression" dxfId="132" priority="3" stopIfTrue="1">
      <formula>$J$52="超过30%"</formula>
    </cfRule>
  </conditionalFormatting>
  <conditionalFormatting sqref="I53">
    <cfRule type="expression" dxfId="131" priority="2" stopIfTrue="1">
      <formula>$J$53="超过20%"</formula>
    </cfRule>
  </conditionalFormatting>
  <conditionalFormatting sqref="I54">
    <cfRule type="expression" dxfId="130"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0"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1070</v>
      </c>
      <c r="B1" s="3114" t="s">
        <v>1071</v>
      </c>
      <c r="C1" s="3108" t="s">
        <v>1072</v>
      </c>
      <c r="D1" s="3099"/>
      <c r="E1" s="3104"/>
      <c r="F1" s="3101"/>
      <c r="G1" s="3103" t="s">
        <v>1073</v>
      </c>
      <c r="H1" s="3104"/>
      <c r="I1" s="3104"/>
      <c r="J1" s="3104"/>
      <c r="K1" s="3105"/>
      <c r="L1" s="3106"/>
      <c r="M1" s="3098"/>
      <c r="N1" s="3098"/>
      <c r="O1" s="3098"/>
      <c r="P1" s="3108"/>
      <c r="Q1" s="3108"/>
      <c r="R1" s="3108"/>
      <c r="S1" s="3108"/>
      <c r="T1" s="3108"/>
      <c r="U1" s="3108"/>
      <c r="V1" s="3108"/>
      <c r="W1" s="3108"/>
      <c r="X1" s="3108"/>
      <c r="Y1" s="3108"/>
      <c r="Z1" s="3108"/>
      <c r="AA1" s="3108"/>
      <c r="AB1" s="3108"/>
      <c r="AC1" s="3109"/>
    </row>
    <row r="2" spans="1:29" s="90" customFormat="1" ht="28.5" customHeight="1" thickTop="1">
      <c r="A2" s="3092" t="s">
        <v>1074</v>
      </c>
      <c r="B2" s="2840" t="e">
        <f ca="1">IF(C2="——",ROUND(C50*D3/10000,0),ROUND(C50*D3/10000,0)-D2)</f>
        <v>#DIV/0!</v>
      </c>
      <c r="C2" s="3093"/>
      <c r="D2" s="2720" t="e">
        <f ca="1">SUMIF(INDIRECT("'"&amp;F2&amp;"'"&amp;"!A:A"),"承租人权益价值",INDIRECT("'"&amp;F2&amp;"'"&amp;"!c:c"))</f>
        <v>#REF!</v>
      </c>
      <c r="E2" s="3094" t="s">
        <v>870</v>
      </c>
      <c r="F2" s="3095"/>
      <c r="G2" s="2314"/>
      <c r="H2" s="2314"/>
      <c r="I2" s="2314"/>
      <c r="J2" s="2314"/>
      <c r="K2" s="2314"/>
      <c r="L2" s="2315"/>
      <c r="M2" s="2316"/>
      <c r="N2" s="2316"/>
      <c r="O2" s="2316"/>
      <c r="P2" s="1333"/>
      <c r="Q2" s="1333"/>
      <c r="R2" s="1333"/>
      <c r="S2" s="1333"/>
      <c r="T2" s="1333"/>
      <c r="U2" s="1333"/>
      <c r="V2" s="1333"/>
      <c r="W2" s="1333"/>
      <c r="X2" s="1333"/>
      <c r="Y2" s="1333"/>
      <c r="Z2" s="1333"/>
      <c r="AA2" s="1333"/>
      <c r="AB2" s="1333"/>
      <c r="AC2" s="1334"/>
    </row>
    <row r="3" spans="1:29" s="90" customFormat="1" ht="28.5" customHeight="1" thickBot="1">
      <c r="A3" s="87" t="s">
        <v>1075</v>
      </c>
      <c r="B3" s="951" t="e">
        <f ca="1">IF(C2="——",C50,ROUND(B2*10000/D3,0))</f>
        <v>#DIV/0!</v>
      </c>
      <c r="C3" s="142" t="s">
        <v>1076</v>
      </c>
      <c r="D3" s="742">
        <f>IF(D1="",'数据-汇总表'!E3,SUMIF('数据-汇总表'!$C19:$C33,D1,'数据-汇总表'!$E19:$E33))</f>
        <v>4043.7000000000003</v>
      </c>
      <c r="E3" s="2312"/>
      <c r="F3" s="2313"/>
      <c r="G3" s="2314"/>
      <c r="H3" s="2314"/>
      <c r="I3" s="2314"/>
      <c r="J3" s="2314"/>
      <c r="K3" s="2317"/>
      <c r="L3" s="2315"/>
      <c r="M3" s="2316"/>
      <c r="N3" s="2316"/>
      <c r="O3" s="2316"/>
      <c r="P3" s="1333"/>
      <c r="Q3" s="1333"/>
      <c r="R3" s="1333"/>
      <c r="S3" s="1333"/>
      <c r="T3" s="1333"/>
      <c r="U3" s="1333"/>
      <c r="V3" s="1333"/>
      <c r="W3" s="1333"/>
      <c r="X3" s="1333"/>
      <c r="Y3" s="1333"/>
      <c r="Z3" s="1333"/>
      <c r="AA3" s="1333"/>
      <c r="AB3" s="1333"/>
      <c r="AC3" s="1334"/>
    </row>
    <row r="4" spans="1:29">
      <c r="A4" s="143" t="s">
        <v>1077</v>
      </c>
      <c r="B4" s="144"/>
      <c r="C4" s="3658" t="s">
        <v>1078</v>
      </c>
      <c r="D4" s="3659"/>
      <c r="E4" s="3660" t="s">
        <v>1079</v>
      </c>
      <c r="F4" s="3661"/>
      <c r="G4" s="3658" t="s">
        <v>1080</v>
      </c>
      <c r="H4" s="3659"/>
      <c r="I4" s="3658" t="s">
        <v>1081</v>
      </c>
      <c r="J4" s="3659"/>
      <c r="K4" s="187" t="s">
        <v>1082</v>
      </c>
      <c r="L4" s="2291"/>
      <c r="M4" s="2292"/>
      <c r="N4" s="2292"/>
      <c r="O4" s="2292"/>
      <c r="P4" s="3714" t="s">
        <v>1077</v>
      </c>
      <c r="Q4" s="3715"/>
      <c r="R4" s="3709" t="s">
        <v>1079</v>
      </c>
      <c r="S4" s="3710"/>
      <c r="T4" s="3709" t="s">
        <v>1080</v>
      </c>
      <c r="U4" s="3710"/>
      <c r="V4" s="3718" t="s">
        <v>1081</v>
      </c>
      <c r="W4" s="3718"/>
      <c r="X4" s="2331"/>
      <c r="Y4" s="3709" t="s">
        <v>1077</v>
      </c>
      <c r="Z4" s="3710"/>
      <c r="AA4" s="3708" t="s">
        <v>1079</v>
      </c>
      <c r="AB4" s="3708" t="s">
        <v>1080</v>
      </c>
      <c r="AC4" s="3711" t="s">
        <v>1081</v>
      </c>
    </row>
    <row r="5" spans="1:29">
      <c r="A5" s="146"/>
      <c r="B5" s="147"/>
      <c r="C5" s="3651" t="s">
        <v>1083</v>
      </c>
      <c r="D5" s="3652"/>
      <c r="E5" s="3649" t="s">
        <v>1084</v>
      </c>
      <c r="F5" s="3650"/>
      <c r="G5" s="3651" t="s">
        <v>1085</v>
      </c>
      <c r="H5" s="3652"/>
      <c r="I5" s="3651" t="s">
        <v>1086</v>
      </c>
      <c r="J5" s="3652"/>
      <c r="K5" s="187"/>
      <c r="L5" s="2291"/>
      <c r="M5" s="2292"/>
      <c r="N5" s="2292"/>
      <c r="O5" s="2292"/>
      <c r="P5" s="3716"/>
      <c r="Q5" s="3665"/>
      <c r="R5" s="3647"/>
      <c r="S5" s="3648"/>
      <c r="T5" s="3647"/>
      <c r="U5" s="3648"/>
      <c r="V5" s="3670"/>
      <c r="W5" s="3670"/>
      <c r="X5" s="2217"/>
      <c r="Y5" s="3647"/>
      <c r="Z5" s="3648"/>
      <c r="AA5" s="3641"/>
      <c r="AB5" s="3641"/>
      <c r="AC5" s="3712"/>
    </row>
    <row r="6" spans="1:29" ht="14.25" thickBot="1">
      <c r="A6" s="148"/>
      <c r="B6" s="149"/>
      <c r="C6" s="3653" t="s">
        <v>1087</v>
      </c>
      <c r="D6" s="3654"/>
      <c r="E6" s="3655" t="s">
        <v>1087</v>
      </c>
      <c r="F6" s="3656"/>
      <c r="G6" s="3653" t="s">
        <v>1087</v>
      </c>
      <c r="H6" s="3654"/>
      <c r="I6" s="3653" t="s">
        <v>1087</v>
      </c>
      <c r="J6" s="3654"/>
      <c r="K6" s="187" t="s">
        <v>1088</v>
      </c>
      <c r="L6" s="2291"/>
      <c r="M6" s="2292"/>
      <c r="N6" s="2292"/>
      <c r="O6" s="2292"/>
      <c r="P6" s="3717"/>
      <c r="Q6" s="3667"/>
      <c r="R6" s="3647"/>
      <c r="S6" s="3648"/>
      <c r="T6" s="3668"/>
      <c r="U6" s="3669"/>
      <c r="V6" s="3670"/>
      <c r="W6" s="3670"/>
      <c r="X6" s="2217"/>
      <c r="Y6" s="3668"/>
      <c r="Z6" s="3669"/>
      <c r="AA6" s="3642"/>
      <c r="AB6" s="3642"/>
      <c r="AC6" s="3713"/>
    </row>
    <row r="7" spans="1:29" s="40" customFormat="1" ht="15" thickBot="1">
      <c r="A7" s="1013" t="s">
        <v>1089</v>
      </c>
      <c r="B7" s="1014"/>
      <c r="C7" s="753">
        <f>'数据-取费表'!B2</f>
        <v>42958</v>
      </c>
      <c r="D7" s="754">
        <v>100</v>
      </c>
      <c r="E7" s="1016"/>
      <c r="F7" s="756">
        <f>SUMIF(59:59,YEAR(E7)&amp;"-"&amp;MONTH(E7),60:60)</f>
        <v>0</v>
      </c>
      <c r="G7" s="1016"/>
      <c r="H7" s="754">
        <f>SUMIF(59:59,YEAR(G7)&amp;"-"&amp;MONTH(G7),60:60)</f>
        <v>0</v>
      </c>
      <c r="I7" s="1016"/>
      <c r="J7" s="754">
        <f>SUMIF(59:59,YEAR(I7)&amp;"-"&amp;MONTH(I7),60:60)</f>
        <v>0</v>
      </c>
      <c r="K7" s="1018"/>
      <c r="L7" s="2293"/>
      <c r="M7" s="2255"/>
      <c r="N7" s="2255"/>
      <c r="O7" s="2255"/>
      <c r="P7" s="3719" t="s">
        <v>1089</v>
      </c>
      <c r="Q7" s="3671"/>
      <c r="R7" s="1341" t="s">
        <v>65</v>
      </c>
      <c r="S7" s="1342">
        <f t="shared" ref="S7:S15" si="0">F7</f>
        <v>0</v>
      </c>
      <c r="T7" s="1341" t="s">
        <v>65</v>
      </c>
      <c r="U7" s="1342">
        <f t="shared" ref="U7:U15" si="1">H7</f>
        <v>0</v>
      </c>
      <c r="V7" s="1341" t="s">
        <v>65</v>
      </c>
      <c r="W7" s="1342">
        <f t="shared" ref="W7:W15" si="2">J7</f>
        <v>0</v>
      </c>
      <c r="X7" s="287"/>
      <c r="Y7" s="3643" t="s">
        <v>1089</v>
      </c>
      <c r="Z7" s="3644"/>
      <c r="AA7" s="1343" t="e">
        <f>D7/F7</f>
        <v>#DIV/0!</v>
      </c>
      <c r="AB7" s="1343" t="e">
        <f>D7/H7</f>
        <v>#DIV/0!</v>
      </c>
      <c r="AC7" s="2332" t="e">
        <f>D7/J7</f>
        <v>#DIV/0!</v>
      </c>
    </row>
    <row r="8" spans="1:29" s="40" customFormat="1" ht="15" thickBot="1">
      <c r="A8" s="1013" t="s">
        <v>1090</v>
      </c>
      <c r="B8" s="1014"/>
      <c r="C8" s="1019" t="s">
        <v>1091</v>
      </c>
      <c r="D8" s="754">
        <v>100</v>
      </c>
      <c r="E8" s="1019"/>
      <c r="F8" s="756">
        <f>SUMIF(62:62,E8,63:63)-SUMIF(62:62,C8,63:63)+100</f>
        <v>0</v>
      </c>
      <c r="G8" s="1019"/>
      <c r="H8" s="754">
        <f>SUMIF(62:62,G8,63:63)-SUMIF(62:62,C8,63:63)+100</f>
        <v>0</v>
      </c>
      <c r="I8" s="1019"/>
      <c r="J8" s="754">
        <f>SUMIF(62:62,I8,63:63)-SUMIF(62:62,C8,63:63)+100</f>
        <v>0</v>
      </c>
      <c r="K8" s="1018"/>
      <c r="L8" s="2293"/>
      <c r="M8" s="2255"/>
      <c r="N8" s="2255"/>
      <c r="O8" s="2255"/>
      <c r="P8" s="3719" t="s">
        <v>1023</v>
      </c>
      <c r="Q8" s="3644"/>
      <c r="R8" s="1341" t="s">
        <v>65</v>
      </c>
      <c r="S8" s="1342">
        <f t="shared" si="0"/>
        <v>0</v>
      </c>
      <c r="T8" s="1341" t="s">
        <v>65</v>
      </c>
      <c r="U8" s="1342">
        <f t="shared" si="1"/>
        <v>0</v>
      </c>
      <c r="V8" s="1341" t="s">
        <v>65</v>
      </c>
      <c r="W8" s="1342">
        <f t="shared" si="2"/>
        <v>0</v>
      </c>
      <c r="X8" s="287"/>
      <c r="Y8" s="3643" t="s">
        <v>1023</v>
      </c>
      <c r="Z8" s="3644"/>
      <c r="AA8" s="1343" t="e">
        <f t="shared" ref="AA8:AA47" si="3">D8/F8</f>
        <v>#DIV/0!</v>
      </c>
      <c r="AB8" s="1343" t="e">
        <f t="shared" ref="AB8:AB47" si="4">D8/H8</f>
        <v>#DIV/0!</v>
      </c>
      <c r="AC8" s="2332" t="e">
        <f t="shared" ref="AC8:AC47" si="5">D8/J8</f>
        <v>#DIV/0!</v>
      </c>
    </row>
    <row r="9" spans="1:29" s="40" customFormat="1" ht="14.25">
      <c r="A9" s="1020" t="s">
        <v>1024</v>
      </c>
      <c r="B9" s="62" t="s">
        <v>1025</v>
      </c>
      <c r="C9" s="1345"/>
      <c r="D9" s="425">
        <v>100</v>
      </c>
      <c r="E9" s="1347"/>
      <c r="F9" s="425">
        <f>SUMIF(64:64,E9,65:65)-SUMIF(64:64,C9,65:65)+100</f>
        <v>100</v>
      </c>
      <c r="G9" s="1346"/>
      <c r="H9" s="425">
        <f>SUMIF(64:64,G9,65:65)-SUMIF(64:64,C9,65:65)+100</f>
        <v>100</v>
      </c>
      <c r="I9" s="1346"/>
      <c r="J9" s="425">
        <f>SUMIF(64:64,I9,65:65)-SUMIF(64:64,C9,65:65)+100</f>
        <v>100</v>
      </c>
      <c r="K9" s="1018"/>
      <c r="L9" s="2293"/>
      <c r="M9" s="2255"/>
      <c r="N9" s="2255"/>
      <c r="O9" s="2255"/>
      <c r="P9" s="3657" t="s">
        <v>67</v>
      </c>
      <c r="Q9" s="2208" t="str">
        <f t="shared" ref="Q9:Q15" si="6">B9</f>
        <v>用途</v>
      </c>
      <c r="R9" s="1341" t="s">
        <v>65</v>
      </c>
      <c r="S9" s="1342">
        <f t="shared" si="0"/>
        <v>100</v>
      </c>
      <c r="T9" s="1341" t="s">
        <v>65</v>
      </c>
      <c r="U9" s="1342">
        <f t="shared" si="1"/>
        <v>100</v>
      </c>
      <c r="V9" s="1341" t="s">
        <v>65</v>
      </c>
      <c r="W9" s="1342">
        <f t="shared" si="2"/>
        <v>100</v>
      </c>
      <c r="X9" s="287"/>
      <c r="Y9" s="3503" t="s">
        <v>67</v>
      </c>
      <c r="Z9" s="2207" t="str">
        <f t="shared" ref="Z9:Z15" si="7">Q9</f>
        <v>用途</v>
      </c>
      <c r="AA9" s="1343">
        <f t="shared" si="3"/>
        <v>1</v>
      </c>
      <c r="AB9" s="1343">
        <f t="shared" si="4"/>
        <v>1</v>
      </c>
      <c r="AC9" s="2332">
        <f t="shared" si="5"/>
        <v>1</v>
      </c>
    </row>
    <row r="10" spans="1:29" s="92" customFormat="1" ht="27">
      <c r="A10" s="150"/>
      <c r="B10" s="12" t="s">
        <v>106</v>
      </c>
      <c r="C10" s="1348"/>
      <c r="D10" s="426">
        <v>100</v>
      </c>
      <c r="E10" s="1348"/>
      <c r="F10" s="426">
        <f>SUMIF(66:66,E10,67:67)-SUMIF(66:66,C10,67:67)+100</f>
        <v>100</v>
      </c>
      <c r="G10" s="1349"/>
      <c r="H10" s="426">
        <f>SUMIF(66:66,G10,67:67)-SUMIF(66:66,C10,67:67)+100</f>
        <v>100</v>
      </c>
      <c r="I10" s="1348"/>
      <c r="J10" s="426">
        <f>SUMIF(66:66,I10,67:67)-SUMIF(66:66,C10,67:67)+100</f>
        <v>100</v>
      </c>
      <c r="K10" s="954"/>
      <c r="L10" s="2294"/>
      <c r="M10" s="2295"/>
      <c r="N10" s="2295"/>
      <c r="O10" s="2295"/>
      <c r="P10" s="3657"/>
      <c r="Q10" s="2208" t="str">
        <f t="shared" si="6"/>
        <v>土地使用年限（年）</v>
      </c>
      <c r="R10" s="1341" t="s">
        <v>65</v>
      </c>
      <c r="S10" s="1342">
        <f t="shared" si="0"/>
        <v>100</v>
      </c>
      <c r="T10" s="1341" t="s">
        <v>65</v>
      </c>
      <c r="U10" s="1342">
        <f t="shared" si="1"/>
        <v>100</v>
      </c>
      <c r="V10" s="1341" t="s">
        <v>65</v>
      </c>
      <c r="W10" s="1342">
        <f t="shared" si="2"/>
        <v>100</v>
      </c>
      <c r="X10" s="287"/>
      <c r="Y10" s="3503"/>
      <c r="Z10" s="2207" t="str">
        <f t="shared" si="7"/>
        <v>土地使用年限（年）</v>
      </c>
      <c r="AA10" s="1343">
        <f t="shared" si="3"/>
        <v>1</v>
      </c>
      <c r="AB10" s="1343">
        <f t="shared" si="4"/>
        <v>1</v>
      </c>
      <c r="AC10" s="2332">
        <f t="shared" si="5"/>
        <v>1</v>
      </c>
    </row>
    <row r="11" spans="1:29" ht="15">
      <c r="A11" s="151"/>
      <c r="B11" s="12" t="s">
        <v>93</v>
      </c>
      <c r="C11" s="771"/>
      <c r="D11" s="426">
        <v>100</v>
      </c>
      <c r="E11" s="771"/>
      <c r="F11" s="426" t="e">
        <f>LOOKUP(E11,69:69,70:70)-LOOKUP(C11,69:69,70:70)+100</f>
        <v>#N/A</v>
      </c>
      <c r="G11" s="772"/>
      <c r="H11" s="426" t="e">
        <f>LOOKUP(G11,69:69,70:70)-LOOKUP(C11,69:69,70:70)+100</f>
        <v>#N/A</v>
      </c>
      <c r="I11" s="771"/>
      <c r="J11" s="426" t="e">
        <f>LOOKUP(I11,69:69,70:70)-LOOKUP(C11,69:69,70:70)+100</f>
        <v>#N/A</v>
      </c>
      <c r="K11" s="954"/>
      <c r="L11" s="2296"/>
      <c r="M11" s="2292"/>
      <c r="N11" s="2292"/>
      <c r="O11" s="2292"/>
      <c r="P11" s="3657"/>
      <c r="Q11" s="2208" t="str">
        <f t="shared" si="6"/>
        <v>容积率</v>
      </c>
      <c r="R11" s="1341" t="s">
        <v>65</v>
      </c>
      <c r="S11" s="1342" t="e">
        <f t="shared" si="0"/>
        <v>#N/A</v>
      </c>
      <c r="T11" s="1341" t="s">
        <v>65</v>
      </c>
      <c r="U11" s="1342" t="e">
        <f t="shared" si="1"/>
        <v>#N/A</v>
      </c>
      <c r="V11" s="1341" t="s">
        <v>65</v>
      </c>
      <c r="W11" s="1342" t="e">
        <f t="shared" si="2"/>
        <v>#N/A</v>
      </c>
      <c r="X11" s="287"/>
      <c r="Y11" s="3503"/>
      <c r="Z11" s="2207" t="str">
        <f t="shared" si="7"/>
        <v>容积率</v>
      </c>
      <c r="AA11" s="1343" t="e">
        <f t="shared" si="3"/>
        <v>#N/A</v>
      </c>
      <c r="AB11" s="1343" t="e">
        <f t="shared" si="4"/>
        <v>#N/A</v>
      </c>
      <c r="AC11" s="2332" t="e">
        <f t="shared" si="5"/>
        <v>#N/A</v>
      </c>
    </row>
    <row r="12" spans="1:29" s="40" customFormat="1" ht="14.25">
      <c r="A12" s="1029"/>
      <c r="B12" s="1030">
        <v>111</v>
      </c>
      <c r="C12" s="1023"/>
      <c r="D12" s="775">
        <v>100</v>
      </c>
      <c r="E12" s="1023"/>
      <c r="F12" s="426">
        <f>SUMIF(71:71,E12,72:72)-SUMIF(71:71,C12,72:72)+100</f>
        <v>100</v>
      </c>
      <c r="G12" s="1402"/>
      <c r="H12" s="426">
        <f>SUMIF(71:71,G12,72:72)-SUMIF(71:71,C12,72:72)+100</f>
        <v>100</v>
      </c>
      <c r="I12" s="1023"/>
      <c r="J12" s="426">
        <f>SUMIF(71:71,I12,72:72)-SUMIF(71:71,C12,72:72)+100</f>
        <v>100</v>
      </c>
      <c r="K12" s="188"/>
      <c r="L12" s="2293"/>
      <c r="M12" s="2255"/>
      <c r="N12" s="2255"/>
      <c r="O12" s="2255"/>
      <c r="P12" s="3657"/>
      <c r="Q12" s="2208">
        <f t="shared" si="6"/>
        <v>111</v>
      </c>
      <c r="R12" s="1341" t="s">
        <v>65</v>
      </c>
      <c r="S12" s="1342">
        <f t="shared" si="0"/>
        <v>100</v>
      </c>
      <c r="T12" s="1341" t="s">
        <v>65</v>
      </c>
      <c r="U12" s="1342">
        <f t="shared" si="1"/>
        <v>100</v>
      </c>
      <c r="V12" s="1341" t="s">
        <v>65</v>
      </c>
      <c r="W12" s="1342">
        <f t="shared" si="2"/>
        <v>100</v>
      </c>
      <c r="X12" s="287"/>
      <c r="Y12" s="3503"/>
      <c r="Z12" s="2207">
        <f t="shared" si="7"/>
        <v>111</v>
      </c>
      <c r="AA12" s="1343">
        <f>D12/F12</f>
        <v>1</v>
      </c>
      <c r="AB12" s="1343">
        <f>D12/H12</f>
        <v>1</v>
      </c>
      <c r="AC12" s="2332">
        <f>D12/J12</f>
        <v>1</v>
      </c>
    </row>
    <row r="13" spans="1:29" ht="14.25">
      <c r="A13" s="151"/>
      <c r="B13" s="1030">
        <v>111</v>
      </c>
      <c r="C13" s="93"/>
      <c r="D13" s="777">
        <v>100</v>
      </c>
      <c r="E13" s="1023"/>
      <c r="F13" s="426">
        <f>SUMIF(73:73,E13,74:74)-SUMIF(73:73,C13,74:74)+100</f>
        <v>100</v>
      </c>
      <c r="G13" s="1402"/>
      <c r="H13" s="777">
        <f>SUMIF(73:73,G13,74:74)-SUMIF(73:73,C13,74:74)+100</f>
        <v>100</v>
      </c>
      <c r="I13" s="1023"/>
      <c r="J13" s="777">
        <f>SUMIF(73:73,I13,74:74)-SUMIF(73:73,C13,74:74)+100</f>
        <v>100</v>
      </c>
      <c r="K13" s="188"/>
      <c r="L13" s="2297"/>
      <c r="M13" s="2292"/>
      <c r="N13" s="2292"/>
      <c r="O13" s="2292"/>
      <c r="P13" s="3657"/>
      <c r="Q13" s="2208">
        <f t="shared" si="6"/>
        <v>111</v>
      </c>
      <c r="R13" s="1341" t="s">
        <v>65</v>
      </c>
      <c r="S13" s="1342">
        <f t="shared" si="0"/>
        <v>100</v>
      </c>
      <c r="T13" s="1341" t="s">
        <v>65</v>
      </c>
      <c r="U13" s="1342">
        <f t="shared" si="1"/>
        <v>100</v>
      </c>
      <c r="V13" s="1341" t="s">
        <v>65</v>
      </c>
      <c r="W13" s="1342">
        <f t="shared" si="2"/>
        <v>100</v>
      </c>
      <c r="X13" s="287"/>
      <c r="Y13" s="3503"/>
      <c r="Z13" s="2207">
        <f t="shared" si="7"/>
        <v>111</v>
      </c>
      <c r="AA13" s="1343">
        <f t="shared" si="3"/>
        <v>1</v>
      </c>
      <c r="AB13" s="1343">
        <f t="shared" si="4"/>
        <v>1</v>
      </c>
      <c r="AC13" s="2332">
        <f t="shared" si="5"/>
        <v>1</v>
      </c>
    </row>
    <row r="14" spans="1:29" ht="15" thickBot="1">
      <c r="A14" s="154"/>
      <c r="B14" s="1031">
        <v>111</v>
      </c>
      <c r="C14" s="94"/>
      <c r="D14" s="780">
        <v>100</v>
      </c>
      <c r="E14" s="1403"/>
      <c r="F14" s="780">
        <f>SUMIF(75:75,E14,76:76)-SUMIF(75:75,C14,76:76)+100</f>
        <v>100</v>
      </c>
      <c r="G14" s="1402"/>
      <c r="H14" s="780">
        <f>SUMIF(75:75,G14,76:76)-SUMIF(75:75,C14,76:76)+100</f>
        <v>100</v>
      </c>
      <c r="I14" s="1023"/>
      <c r="J14" s="780">
        <f>SUMIF(75:75,I14,76:76)-SUMIF(75:75,C14,76:76)+100</f>
        <v>100</v>
      </c>
      <c r="K14" s="188"/>
      <c r="L14" s="2297"/>
      <c r="M14" s="2292"/>
      <c r="N14" s="2292"/>
      <c r="O14" s="2292"/>
      <c r="P14" s="3657"/>
      <c r="Q14" s="2208">
        <f t="shared" si="6"/>
        <v>111</v>
      </c>
      <c r="R14" s="1341" t="s">
        <v>65</v>
      </c>
      <c r="S14" s="1342">
        <f t="shared" si="0"/>
        <v>100</v>
      </c>
      <c r="T14" s="1341" t="s">
        <v>65</v>
      </c>
      <c r="U14" s="1342">
        <f t="shared" si="1"/>
        <v>100</v>
      </c>
      <c r="V14" s="1341" t="s">
        <v>65</v>
      </c>
      <c r="W14" s="1342">
        <f t="shared" si="2"/>
        <v>100</v>
      </c>
      <c r="X14" s="287"/>
      <c r="Y14" s="3503"/>
      <c r="Z14" s="2207">
        <f t="shared" si="7"/>
        <v>111</v>
      </c>
      <c r="AA14" s="1343">
        <f t="shared" si="3"/>
        <v>1</v>
      </c>
      <c r="AB14" s="1343">
        <f t="shared" si="4"/>
        <v>1</v>
      </c>
      <c r="AC14" s="2332">
        <f t="shared" si="5"/>
        <v>1</v>
      </c>
    </row>
    <row r="15" spans="1:29" ht="67.5">
      <c r="A15" s="155" t="s">
        <v>69</v>
      </c>
      <c r="B15" s="1032" t="s">
        <v>142</v>
      </c>
      <c r="C15" s="208" t="str">
        <f>估价对象房地状况!C5</f>
        <v>估价对象位于XX商圈，周边办公楼项目较多，入驻率高，办公集聚程度较好</v>
      </c>
      <c r="D15" s="783">
        <v>100</v>
      </c>
      <c r="E15" s="96"/>
      <c r="F15" s="783">
        <f>SUMIF(77:77,E16,78:78)-SUMIF(77:77,C16,78:78)+100</f>
        <v>100</v>
      </c>
      <c r="G15" s="95"/>
      <c r="H15" s="783">
        <f>SUMIF(77:77,G16,78:78)-SUMIF(77:77,C16,78:78)+100</f>
        <v>100</v>
      </c>
      <c r="I15" s="95"/>
      <c r="J15" s="783">
        <f>SUMIF(77:77,I16,78:78)-SUMIF(77:77,C16,78:78)+100</f>
        <v>100</v>
      </c>
      <c r="K15" s="956"/>
      <c r="L15" s="2297"/>
      <c r="M15" s="2292"/>
      <c r="N15" s="2292"/>
      <c r="O15" s="2292"/>
      <c r="P15" s="3684" t="s">
        <v>69</v>
      </c>
      <c r="Q15" s="2215" t="str">
        <f t="shared" si="6"/>
        <v>办公集聚程度</v>
      </c>
      <c r="R15" s="1351" t="s">
        <v>65</v>
      </c>
      <c r="S15" s="1352">
        <f t="shared" si="0"/>
        <v>100</v>
      </c>
      <c r="T15" s="1351" t="s">
        <v>65</v>
      </c>
      <c r="U15" s="1352">
        <f t="shared" si="1"/>
        <v>100</v>
      </c>
      <c r="V15" s="1351" t="s">
        <v>65</v>
      </c>
      <c r="W15" s="1352">
        <f t="shared" si="2"/>
        <v>100</v>
      </c>
      <c r="X15" s="2217"/>
      <c r="Y15" s="3677" t="s">
        <v>69</v>
      </c>
      <c r="Z15" s="2216" t="str">
        <f t="shared" si="7"/>
        <v>办公集聚程度</v>
      </c>
      <c r="AA15" s="1354">
        <f t="shared" si="3"/>
        <v>1</v>
      </c>
      <c r="AB15" s="1354">
        <f t="shared" si="4"/>
        <v>1</v>
      </c>
      <c r="AC15" s="2333">
        <f t="shared" si="5"/>
        <v>1</v>
      </c>
    </row>
    <row r="16" spans="1:29" ht="14.25">
      <c r="A16" s="151"/>
      <c r="B16" s="209"/>
      <c r="C16" s="192"/>
      <c r="D16" s="790"/>
      <c r="E16" s="97"/>
      <c r="F16" s="790"/>
      <c r="G16" s="192"/>
      <c r="H16" s="792"/>
      <c r="I16" s="97"/>
      <c r="J16" s="790"/>
      <c r="K16" s="189"/>
      <c r="L16" s="2297"/>
      <c r="M16" s="2292"/>
      <c r="N16" s="2292"/>
      <c r="O16" s="2292"/>
      <c r="P16" s="3685"/>
      <c r="Q16" s="2215"/>
      <c r="R16" s="1351"/>
      <c r="S16" s="1352"/>
      <c r="T16" s="1351"/>
      <c r="U16" s="1352"/>
      <c r="V16" s="1351"/>
      <c r="W16" s="1352"/>
      <c r="X16" s="2217"/>
      <c r="Y16" s="3678"/>
      <c r="Z16" s="2216"/>
      <c r="AA16" s="1354">
        <v>1</v>
      </c>
      <c r="AB16" s="1354">
        <v>1</v>
      </c>
      <c r="AC16" s="2333">
        <v>1</v>
      </c>
    </row>
    <row r="17" spans="1:29" ht="81">
      <c r="A17" s="151"/>
      <c r="B17" s="1033" t="s">
        <v>72</v>
      </c>
      <c r="C17" s="210" t="str">
        <f>估价对象房地状况!C6</f>
        <v>估价对象周边道路状况、公共交通通达情况、停车便捷程度，综合评价交通便捷度较好</v>
      </c>
      <c r="D17" s="792">
        <v>100</v>
      </c>
      <c r="E17" s="101"/>
      <c r="F17" s="792">
        <f>SUMIF(79:79,E18,80:80)-SUMIF(79:79,C18,80:80)+100</f>
        <v>100</v>
      </c>
      <c r="G17" s="100"/>
      <c r="H17" s="797">
        <f>SUMIF(79:79,G18,80:80)-SUMIF(79:79,C18,80:80)+100</f>
        <v>100</v>
      </c>
      <c r="I17" s="100"/>
      <c r="J17" s="797">
        <f>SUMIF(79:79,I18,80:80)-SUMIF(79:79,C18,80:80)+100</f>
        <v>100</v>
      </c>
      <c r="K17" s="956"/>
      <c r="L17" s="2297"/>
      <c r="M17" s="2292"/>
      <c r="N17" s="2292"/>
      <c r="O17" s="2292"/>
      <c r="P17" s="3685"/>
      <c r="Q17" s="2215" t="str">
        <f>B17</f>
        <v>交通便捷度</v>
      </c>
      <c r="R17" s="1351" t="s">
        <v>65</v>
      </c>
      <c r="S17" s="1352">
        <f>F17</f>
        <v>100</v>
      </c>
      <c r="T17" s="1351" t="s">
        <v>65</v>
      </c>
      <c r="U17" s="1352">
        <f>H17</f>
        <v>100</v>
      </c>
      <c r="V17" s="1351" t="s">
        <v>65</v>
      </c>
      <c r="W17" s="1352">
        <f>J17</f>
        <v>100</v>
      </c>
      <c r="X17" s="2217"/>
      <c r="Y17" s="3678"/>
      <c r="Z17" s="2216" t="str">
        <f>Q17</f>
        <v>交通便捷度</v>
      </c>
      <c r="AA17" s="1354">
        <f t="shared" si="3"/>
        <v>1</v>
      </c>
      <c r="AB17" s="1354">
        <f t="shared" si="4"/>
        <v>1</v>
      </c>
      <c r="AC17" s="2333">
        <f t="shared" si="5"/>
        <v>1</v>
      </c>
    </row>
    <row r="18" spans="1:29" ht="14.25">
      <c r="A18" s="151"/>
      <c r="B18" s="1034"/>
      <c r="C18" s="193"/>
      <c r="D18" s="792"/>
      <c r="E18" s="104"/>
      <c r="F18" s="792"/>
      <c r="G18" s="103"/>
      <c r="H18" s="790"/>
      <c r="I18" s="103"/>
      <c r="J18" s="790"/>
      <c r="K18" s="189"/>
      <c r="L18" s="2297"/>
      <c r="M18" s="2292"/>
      <c r="N18" s="2292"/>
      <c r="O18" s="2292"/>
      <c r="P18" s="3685"/>
      <c r="Q18" s="2215"/>
      <c r="R18" s="1351"/>
      <c r="S18" s="1352"/>
      <c r="T18" s="1351"/>
      <c r="U18" s="1352"/>
      <c r="V18" s="1351"/>
      <c r="W18" s="1352"/>
      <c r="X18" s="2217"/>
      <c r="Y18" s="3678"/>
      <c r="Z18" s="2216"/>
      <c r="AA18" s="1354">
        <v>1</v>
      </c>
      <c r="AB18" s="1354">
        <v>1</v>
      </c>
      <c r="AC18" s="2333">
        <v>1</v>
      </c>
    </row>
    <row r="19" spans="1:29" ht="40.5">
      <c r="A19" s="151"/>
      <c r="B19" s="1033" t="s">
        <v>2666</v>
      </c>
      <c r="C19" s="210" t="str">
        <f>估价对象房地状况!C7</f>
        <v>估价对象所在区域公共配套设施齐备情况</v>
      </c>
      <c r="D19" s="797">
        <v>100</v>
      </c>
      <c r="E19" s="106"/>
      <c r="F19" s="797">
        <f>SUMIF(81:81,E20,82:82)-SUMIF(81:81,C20,82:82)+100</f>
        <v>100</v>
      </c>
      <c r="G19" s="105"/>
      <c r="H19" s="792">
        <f>SUMIF(81:81,G20,82:82)-SUMIF(81:81,C20,82:82)+100</f>
        <v>100</v>
      </c>
      <c r="I19" s="105"/>
      <c r="J19" s="792">
        <f>SUMIF(81:81,I20,82:82)-SUMIF(81:81,C20,82:82)+100</f>
        <v>100</v>
      </c>
      <c r="K19" s="956"/>
      <c r="L19" s="2297"/>
      <c r="M19" s="2292"/>
      <c r="N19" s="2292"/>
      <c r="O19" s="2292"/>
      <c r="P19" s="3685"/>
      <c r="Q19" s="2215" t="str">
        <f>B19</f>
        <v>公共配套设施</v>
      </c>
      <c r="R19" s="1351" t="s">
        <v>65</v>
      </c>
      <c r="S19" s="1352">
        <f>F19</f>
        <v>100</v>
      </c>
      <c r="T19" s="1351" t="s">
        <v>65</v>
      </c>
      <c r="U19" s="1352">
        <f>H19</f>
        <v>100</v>
      </c>
      <c r="V19" s="1351" t="s">
        <v>65</v>
      </c>
      <c r="W19" s="1352">
        <f>J19</f>
        <v>100</v>
      </c>
      <c r="X19" s="2217"/>
      <c r="Y19" s="3678"/>
      <c r="Z19" s="2216" t="str">
        <f>Q19</f>
        <v>公共配套设施</v>
      </c>
      <c r="AA19" s="1354">
        <f t="shared" si="3"/>
        <v>1</v>
      </c>
      <c r="AB19" s="1354">
        <f t="shared" si="4"/>
        <v>1</v>
      </c>
      <c r="AC19" s="2333">
        <f t="shared" si="5"/>
        <v>1</v>
      </c>
    </row>
    <row r="20" spans="1:29" ht="14.25">
      <c r="A20" s="151"/>
      <c r="B20" s="1034"/>
      <c r="C20" s="192"/>
      <c r="D20" s="790"/>
      <c r="E20" s="99"/>
      <c r="F20" s="790"/>
      <c r="G20" s="98"/>
      <c r="H20" s="790"/>
      <c r="I20" s="98"/>
      <c r="J20" s="790"/>
      <c r="K20" s="189"/>
      <c r="L20" s="2297"/>
      <c r="M20" s="2292"/>
      <c r="N20" s="2292"/>
      <c r="O20" s="2292"/>
      <c r="P20" s="3685"/>
      <c r="Q20" s="2215"/>
      <c r="R20" s="1351"/>
      <c r="S20" s="1352"/>
      <c r="T20" s="1351"/>
      <c r="U20" s="1352"/>
      <c r="V20" s="1351"/>
      <c r="W20" s="1352"/>
      <c r="X20" s="2217"/>
      <c r="Y20" s="3678"/>
      <c r="Z20" s="2216"/>
      <c r="AA20" s="1354">
        <v>1</v>
      </c>
      <c r="AB20" s="1354">
        <v>1</v>
      </c>
      <c r="AC20" s="2333">
        <v>1</v>
      </c>
    </row>
    <row r="21" spans="1:29" ht="27">
      <c r="A21" s="151"/>
      <c r="B21" s="1035" t="s">
        <v>2667</v>
      </c>
      <c r="C21" s="210" t="str">
        <f>估价对象房地状况!C8</f>
        <v>估价对象所在区域基础设施水平</v>
      </c>
      <c r="D21" s="792">
        <v>100</v>
      </c>
      <c r="E21" s="106"/>
      <c r="F21" s="797">
        <f>SUMIF(83:83,E22,84:84)-SUMIF(83:83,C22,84:84)+100</f>
        <v>100</v>
      </c>
      <c r="G21" s="105"/>
      <c r="H21" s="792">
        <f>SUMIF(83:83,G22,84:84)-SUMIF(83:83,C22,84:84)+100</f>
        <v>100</v>
      </c>
      <c r="I21" s="105"/>
      <c r="J21" s="792">
        <f>SUMIF(83:83,I22,84:84)-SUMIF(83:83,C22,84:84)+100</f>
        <v>100</v>
      </c>
      <c r="K21" s="956"/>
      <c r="L21" s="2297"/>
      <c r="M21" s="2292"/>
      <c r="N21" s="2292"/>
      <c r="O21" s="2292"/>
      <c r="P21" s="3685"/>
      <c r="Q21" s="2742" t="str">
        <f>B21</f>
        <v>基础设施水平</v>
      </c>
      <c r="R21" s="1351" t="s">
        <v>65</v>
      </c>
      <c r="S21" s="1352">
        <f>F21</f>
        <v>100</v>
      </c>
      <c r="T21" s="1351" t="s">
        <v>65</v>
      </c>
      <c r="U21" s="1352">
        <f>H21</f>
        <v>100</v>
      </c>
      <c r="V21" s="1351" t="s">
        <v>65</v>
      </c>
      <c r="W21" s="1352">
        <f>J21</f>
        <v>100</v>
      </c>
      <c r="X21" s="2744"/>
      <c r="Y21" s="3678"/>
      <c r="Z21" s="2743" t="str">
        <f>Q21</f>
        <v>基础设施水平</v>
      </c>
      <c r="AA21" s="1354">
        <f>D21/F21</f>
        <v>1</v>
      </c>
      <c r="AB21" s="1354">
        <f>D21/H21</f>
        <v>1</v>
      </c>
      <c r="AC21" s="2333">
        <f>D21/J21</f>
        <v>1</v>
      </c>
    </row>
    <row r="22" spans="1:29" ht="14.25">
      <c r="A22" s="151"/>
      <c r="B22" s="1035"/>
      <c r="C22" s="193"/>
      <c r="D22" s="790"/>
      <c r="E22" s="97"/>
      <c r="F22" s="790"/>
      <c r="G22" s="192"/>
      <c r="H22" s="790"/>
      <c r="I22" s="192"/>
      <c r="J22" s="790"/>
      <c r="K22" s="2762"/>
      <c r="L22" s="2297"/>
      <c r="M22" s="2292"/>
      <c r="N22" s="2292"/>
      <c r="O22" s="2292"/>
      <c r="P22" s="3685"/>
      <c r="Q22" s="2742"/>
      <c r="R22" s="1351"/>
      <c r="S22" s="1352"/>
      <c r="T22" s="1351"/>
      <c r="U22" s="1352"/>
      <c r="V22" s="1351"/>
      <c r="W22" s="1352"/>
      <c r="X22" s="2744"/>
      <c r="Y22" s="3678"/>
      <c r="Z22" s="2743"/>
      <c r="AA22" s="1354">
        <v>1</v>
      </c>
      <c r="AB22" s="1354">
        <v>1</v>
      </c>
      <c r="AC22" s="2333">
        <v>1</v>
      </c>
    </row>
    <row r="23" spans="1:29" ht="54">
      <c r="A23" s="151"/>
      <c r="B23" s="1033" t="s">
        <v>143</v>
      </c>
      <c r="C23" s="210" t="str">
        <f>估价对象房地状况!C9</f>
        <v>区域自然环境：；人文环境；综合评价环境状况一般</v>
      </c>
      <c r="D23" s="792">
        <v>100</v>
      </c>
      <c r="E23" s="101"/>
      <c r="F23" s="792">
        <f>SUMIF(85:85,E24,86:86)-SUMIF(85:85,C24,86:86)+100</f>
        <v>100</v>
      </c>
      <c r="G23" s="100"/>
      <c r="H23" s="792">
        <f>SUMIF(85:85,G24,86:86)-SUMIF(85:85,C24,86:86)+100</f>
        <v>100</v>
      </c>
      <c r="I23" s="100"/>
      <c r="J23" s="792">
        <f>SUMIF(85:85,I24,86:86)-SUMIF(85:85,C24,86:86)+100</f>
        <v>100</v>
      </c>
      <c r="K23" s="956"/>
      <c r="L23" s="2297"/>
      <c r="M23" s="2292"/>
      <c r="N23" s="2292"/>
      <c r="O23" s="2292"/>
      <c r="P23" s="3685"/>
      <c r="Q23" s="2215" t="str">
        <f>B23</f>
        <v>环境质量</v>
      </c>
      <c r="R23" s="1351" t="s">
        <v>65</v>
      </c>
      <c r="S23" s="1352">
        <f>F23</f>
        <v>100</v>
      </c>
      <c r="T23" s="1351" t="s">
        <v>65</v>
      </c>
      <c r="U23" s="1352">
        <f>H23</f>
        <v>100</v>
      </c>
      <c r="V23" s="1351" t="s">
        <v>65</v>
      </c>
      <c r="W23" s="1352">
        <f>J23</f>
        <v>100</v>
      </c>
      <c r="X23" s="2217"/>
      <c r="Y23" s="3678"/>
      <c r="Z23" s="2216" t="str">
        <f>Q23</f>
        <v>环境质量</v>
      </c>
      <c r="AA23" s="1354">
        <f t="shared" si="3"/>
        <v>1</v>
      </c>
      <c r="AB23" s="1354">
        <f t="shared" si="4"/>
        <v>1</v>
      </c>
      <c r="AC23" s="2333">
        <f t="shared" si="5"/>
        <v>1</v>
      </c>
    </row>
    <row r="24" spans="1:29" ht="14.25">
      <c r="A24" s="151"/>
      <c r="B24" s="1035"/>
      <c r="C24" s="192"/>
      <c r="D24" s="790"/>
      <c r="E24" s="99"/>
      <c r="F24" s="790"/>
      <c r="G24" s="98"/>
      <c r="H24" s="790"/>
      <c r="I24" s="98"/>
      <c r="J24" s="790"/>
      <c r="K24" s="189"/>
      <c r="L24" s="2297"/>
      <c r="M24" s="2292"/>
      <c r="N24" s="2292"/>
      <c r="O24" s="2292"/>
      <c r="P24" s="3685"/>
      <c r="Q24" s="2215"/>
      <c r="R24" s="1351"/>
      <c r="S24" s="1352"/>
      <c r="T24" s="1351"/>
      <c r="U24" s="1352"/>
      <c r="V24" s="1351"/>
      <c r="W24" s="1352"/>
      <c r="X24" s="2217"/>
      <c r="Y24" s="3678"/>
      <c r="Z24" s="2216"/>
      <c r="AA24" s="1354">
        <v>1</v>
      </c>
      <c r="AB24" s="1354">
        <v>1</v>
      </c>
      <c r="AC24" s="2333">
        <v>1</v>
      </c>
    </row>
    <row r="25" spans="1:29" ht="27">
      <c r="A25" s="146"/>
      <c r="B25" s="1033" t="s">
        <v>144</v>
      </c>
      <c r="C25" s="194"/>
      <c r="D25" s="777">
        <v>100</v>
      </c>
      <c r="E25" s="93"/>
      <c r="F25" s="777">
        <f>SUMIF(87:87,E26,88:88)-SUMIF(87:87,C26,88:88)+100</f>
        <v>100</v>
      </c>
      <c r="G25" s="194"/>
      <c r="H25" s="777">
        <f>SUMIF(87:87,G26,88:88)-SUMIF(87:87,C26,88:88)+100</f>
        <v>100</v>
      </c>
      <c r="I25" s="93"/>
      <c r="J25" s="777">
        <f>SUMIF(87:87,I26,88:88)-SUMIF(87:87,C26,88:88)+100</f>
        <v>100</v>
      </c>
      <c r="K25" s="956"/>
      <c r="L25" s="2297"/>
      <c r="M25" s="2292"/>
      <c r="N25" s="2292"/>
      <c r="O25" s="2292"/>
      <c r="P25" s="3685"/>
      <c r="Q25" s="2215" t="str">
        <f>B25</f>
        <v>毗邻道路的类型与等级</v>
      </c>
      <c r="R25" s="1351" t="s">
        <v>65</v>
      </c>
      <c r="S25" s="1352">
        <f>F25</f>
        <v>100</v>
      </c>
      <c r="T25" s="1351" t="s">
        <v>65</v>
      </c>
      <c r="U25" s="1352">
        <f>H25</f>
        <v>100</v>
      </c>
      <c r="V25" s="1351" t="s">
        <v>65</v>
      </c>
      <c r="W25" s="1352">
        <f>J25</f>
        <v>100</v>
      </c>
      <c r="X25" s="2217"/>
      <c r="Y25" s="3678"/>
      <c r="Z25" s="2216" t="str">
        <f>Q25</f>
        <v>毗邻道路的类型与等级</v>
      </c>
      <c r="AA25" s="1354">
        <f t="shared" si="3"/>
        <v>1</v>
      </c>
      <c r="AB25" s="1354">
        <f t="shared" si="4"/>
        <v>1</v>
      </c>
      <c r="AC25" s="2333">
        <f t="shared" si="5"/>
        <v>1</v>
      </c>
    </row>
    <row r="26" spans="1:29" ht="14.25">
      <c r="A26" s="146"/>
      <c r="B26" s="1034"/>
      <c r="C26" s="195"/>
      <c r="D26" s="777"/>
      <c r="E26" s="182"/>
      <c r="F26" s="777"/>
      <c r="G26" s="195"/>
      <c r="H26" s="777"/>
      <c r="I26" s="182"/>
      <c r="J26" s="777"/>
      <c r="K26" s="189"/>
      <c r="L26" s="2297"/>
      <c r="M26" s="2292"/>
      <c r="N26" s="2292"/>
      <c r="O26" s="2292"/>
      <c r="P26" s="3685"/>
      <c r="Q26" s="2215"/>
      <c r="R26" s="1351"/>
      <c r="S26" s="1352"/>
      <c r="T26" s="1351"/>
      <c r="U26" s="1352"/>
      <c r="V26" s="1351"/>
      <c r="W26" s="1352"/>
      <c r="X26" s="2217"/>
      <c r="Y26" s="3678"/>
      <c r="Z26" s="2216"/>
      <c r="AA26" s="1354">
        <v>1</v>
      </c>
      <c r="AB26" s="1354">
        <v>1</v>
      </c>
      <c r="AC26" s="2333">
        <v>1</v>
      </c>
    </row>
    <row r="27" spans="1:29" ht="15">
      <c r="A27" s="151"/>
      <c r="B27" s="1034" t="s">
        <v>1092</v>
      </c>
      <c r="C27" s="195"/>
      <c r="D27" s="777">
        <v>100</v>
      </c>
      <c r="E27" s="182"/>
      <c r="F27" s="777">
        <f>SUMIF(89:89,E27,90:90)-SUMIF(89:89,C27,90:90)+100</f>
        <v>100</v>
      </c>
      <c r="G27" s="195"/>
      <c r="H27" s="777">
        <f>SUMIF(89:89,G27,90:90)-SUMIF(89:89,C27,90:90)+100</f>
        <v>100</v>
      </c>
      <c r="I27" s="182"/>
      <c r="J27" s="777">
        <f>SUMIF(89:89,I27,90:90)-SUMIF(89:89,C27,90:90)+100</f>
        <v>100</v>
      </c>
      <c r="K27" s="954"/>
      <c r="L27" s="2297"/>
      <c r="M27" s="2292"/>
      <c r="N27" s="2292"/>
      <c r="O27" s="2292"/>
      <c r="P27" s="3685"/>
      <c r="Q27" s="2215" t="str">
        <f t="shared" ref="Q27:Q47" si="8">B27</f>
        <v>楼层</v>
      </c>
      <c r="R27" s="1351" t="s">
        <v>65</v>
      </c>
      <c r="S27" s="1352">
        <f>F27</f>
        <v>100</v>
      </c>
      <c r="T27" s="1351" t="s">
        <v>65</v>
      </c>
      <c r="U27" s="1352">
        <f>H27</f>
        <v>100</v>
      </c>
      <c r="V27" s="1351" t="s">
        <v>65</v>
      </c>
      <c r="W27" s="1352">
        <f>J27</f>
        <v>100</v>
      </c>
      <c r="X27" s="2217"/>
      <c r="Y27" s="3678"/>
      <c r="Z27" s="2216" t="str">
        <f>Q27</f>
        <v>楼层</v>
      </c>
      <c r="AA27" s="1354">
        <f t="shared" si="3"/>
        <v>1</v>
      </c>
      <c r="AB27" s="1354">
        <f t="shared" si="4"/>
        <v>1</v>
      </c>
      <c r="AC27" s="2333">
        <f t="shared" si="5"/>
        <v>1</v>
      </c>
    </row>
    <row r="28" spans="1:29" s="40" customFormat="1" ht="15">
      <c r="A28" s="1029"/>
      <c r="B28" s="1033" t="s">
        <v>145</v>
      </c>
      <c r="C28" s="1404"/>
      <c r="D28" s="804">
        <v>100</v>
      </c>
      <c r="E28" s="1386"/>
      <c r="F28" s="804">
        <f>SUMIF(91:91,E28,92:92)-SUMIF(91:91,C28,92:92)+100</f>
        <v>100</v>
      </c>
      <c r="G28" s="1404"/>
      <c r="H28" s="804">
        <f>SUMIF(91:91,G28,92:92)-SUMIF(91:91,C28,92:92)+100</f>
        <v>100</v>
      </c>
      <c r="I28" s="1386"/>
      <c r="J28" s="804">
        <f>SUMIF(91:91,I28,92:92)-SUMIF(91:91,C28,92:92)+100</f>
        <v>100</v>
      </c>
      <c r="K28" s="954"/>
      <c r="L28" s="2293"/>
      <c r="M28" s="2255"/>
      <c r="N28" s="2255"/>
      <c r="O28" s="2255"/>
      <c r="P28" s="3685"/>
      <c r="Q28" s="2208" t="str">
        <f t="shared" si="8"/>
        <v>朝向</v>
      </c>
      <c r="R28" s="1341" t="s">
        <v>65</v>
      </c>
      <c r="S28" s="1342">
        <f>F28</f>
        <v>100</v>
      </c>
      <c r="T28" s="1341" t="s">
        <v>65</v>
      </c>
      <c r="U28" s="1342">
        <f>H28</f>
        <v>100</v>
      </c>
      <c r="V28" s="1341" t="s">
        <v>65</v>
      </c>
      <c r="W28" s="1342">
        <f>J28</f>
        <v>100</v>
      </c>
      <c r="X28" s="287"/>
      <c r="Y28" s="3678"/>
      <c r="Z28" s="2207" t="str">
        <f>Q28</f>
        <v>朝向</v>
      </c>
      <c r="AA28" s="1354">
        <f>D28/F28</f>
        <v>1</v>
      </c>
      <c r="AB28" s="1354">
        <f>D28/H28</f>
        <v>1</v>
      </c>
      <c r="AC28" s="2333">
        <f>D28/J28</f>
        <v>1</v>
      </c>
    </row>
    <row r="29" spans="1:29" ht="14.25">
      <c r="A29" s="151"/>
      <c r="B29" s="1037">
        <v>111</v>
      </c>
      <c r="C29" s="194"/>
      <c r="D29" s="777">
        <v>100</v>
      </c>
      <c r="E29" s="1023"/>
      <c r="F29" s="777">
        <f>SUMIF(93:93,E29,94:94)-SUMIF(93:93,C29,94:94)+100</f>
        <v>100</v>
      </c>
      <c r="G29" s="1402"/>
      <c r="H29" s="777">
        <f>SUMIF(93:93,G29,94:94)-SUMIF(93:93,C29,94:94)+100</f>
        <v>100</v>
      </c>
      <c r="I29" s="1023"/>
      <c r="J29" s="777">
        <f>SUMIF(93:93,I29,94:94)-SUMIF(93:93,C29,94:94)+100</f>
        <v>100</v>
      </c>
      <c r="K29" s="188"/>
      <c r="L29" s="2297"/>
      <c r="M29" s="2292"/>
      <c r="N29" s="2292"/>
      <c r="O29" s="2292"/>
      <c r="P29" s="3685"/>
      <c r="Q29" s="2215">
        <f t="shared" si="8"/>
        <v>111</v>
      </c>
      <c r="R29" s="1351" t="s">
        <v>65</v>
      </c>
      <c r="S29" s="1352">
        <f t="shared" ref="S29:S47" si="9">F29</f>
        <v>100</v>
      </c>
      <c r="T29" s="1351" t="s">
        <v>65</v>
      </c>
      <c r="U29" s="1352">
        <f t="shared" ref="U29:U47" si="10">H29</f>
        <v>100</v>
      </c>
      <c r="V29" s="1351" t="s">
        <v>65</v>
      </c>
      <c r="W29" s="1352">
        <f t="shared" ref="W29:W47" si="11">J29</f>
        <v>100</v>
      </c>
      <c r="X29" s="2217"/>
      <c r="Y29" s="3678"/>
      <c r="Z29" s="2216">
        <f t="shared" ref="Z29:Z47" si="12">Q29</f>
        <v>111</v>
      </c>
      <c r="AA29" s="1354">
        <f t="shared" si="3"/>
        <v>1</v>
      </c>
      <c r="AB29" s="1354">
        <f t="shared" si="4"/>
        <v>1</v>
      </c>
      <c r="AC29" s="2333">
        <f t="shared" si="5"/>
        <v>1</v>
      </c>
    </row>
    <row r="30" spans="1:29" ht="14.25">
      <c r="A30" s="151"/>
      <c r="B30" s="1037">
        <v>111</v>
      </c>
      <c r="C30" s="194"/>
      <c r="D30" s="777">
        <v>100</v>
      </c>
      <c r="E30" s="1023"/>
      <c r="F30" s="777">
        <f>SUMIF(95:95,E30,96:96)-SUMIF(95:95,C30,96:96)+100</f>
        <v>100</v>
      </c>
      <c r="G30" s="1402"/>
      <c r="H30" s="777">
        <f>SUMIF(95:95,G30,96:96)-SUMIF(95:95,C30,96:96)+100</f>
        <v>100</v>
      </c>
      <c r="I30" s="1023"/>
      <c r="J30" s="777">
        <f>SUMIF(95:95,I30,96:96)-SUMIF(95:95,C30,96:96)+100</f>
        <v>100</v>
      </c>
      <c r="K30" s="188"/>
      <c r="L30" s="2297"/>
      <c r="M30" s="2292"/>
      <c r="N30" s="2292"/>
      <c r="O30" s="2292"/>
      <c r="P30" s="3685"/>
      <c r="Q30" s="2215">
        <f t="shared" si="8"/>
        <v>111</v>
      </c>
      <c r="R30" s="1351" t="s">
        <v>65</v>
      </c>
      <c r="S30" s="1352">
        <f t="shared" si="9"/>
        <v>100</v>
      </c>
      <c r="T30" s="1351" t="s">
        <v>65</v>
      </c>
      <c r="U30" s="1352">
        <f t="shared" si="10"/>
        <v>100</v>
      </c>
      <c r="V30" s="1351" t="s">
        <v>65</v>
      </c>
      <c r="W30" s="1352">
        <f t="shared" si="11"/>
        <v>100</v>
      </c>
      <c r="X30" s="2217"/>
      <c r="Y30" s="3678"/>
      <c r="Z30" s="2216">
        <f t="shared" si="12"/>
        <v>111</v>
      </c>
      <c r="AA30" s="1354">
        <f t="shared" si="3"/>
        <v>1</v>
      </c>
      <c r="AB30" s="1354">
        <f t="shared" si="4"/>
        <v>1</v>
      </c>
      <c r="AC30" s="2333">
        <f t="shared" si="5"/>
        <v>1</v>
      </c>
    </row>
    <row r="31" spans="1:29" ht="14.25">
      <c r="A31" s="151"/>
      <c r="B31" s="1037">
        <v>111</v>
      </c>
      <c r="C31" s="194"/>
      <c r="D31" s="777">
        <v>100</v>
      </c>
      <c r="E31" s="1023"/>
      <c r="F31" s="777">
        <f>SUMIF(97:97,E31,98:98)-SUMIF(97:97,C31,98:98)+100</f>
        <v>100</v>
      </c>
      <c r="G31" s="1402"/>
      <c r="H31" s="777">
        <f>SUMIF(97:97,G31,98:98)-SUMIF(97:97,C31,98:98)+100</f>
        <v>100</v>
      </c>
      <c r="I31" s="1023"/>
      <c r="J31" s="777">
        <f>SUMIF(97:97,I31,98:98)-SUMIF(97:97,C31,98:98)+100</f>
        <v>100</v>
      </c>
      <c r="K31" s="188"/>
      <c r="L31" s="2297"/>
      <c r="M31" s="2292"/>
      <c r="N31" s="2292"/>
      <c r="O31" s="2292"/>
      <c r="P31" s="3685"/>
      <c r="Q31" s="2215">
        <f t="shared" si="8"/>
        <v>111</v>
      </c>
      <c r="R31" s="1351" t="s">
        <v>65</v>
      </c>
      <c r="S31" s="1352">
        <f t="shared" si="9"/>
        <v>100</v>
      </c>
      <c r="T31" s="1351" t="s">
        <v>65</v>
      </c>
      <c r="U31" s="1352">
        <f t="shared" si="10"/>
        <v>100</v>
      </c>
      <c r="V31" s="1351" t="s">
        <v>65</v>
      </c>
      <c r="W31" s="1352">
        <f t="shared" si="11"/>
        <v>100</v>
      </c>
      <c r="X31" s="2217"/>
      <c r="Y31" s="3678"/>
      <c r="Z31" s="2216">
        <f t="shared" si="12"/>
        <v>111</v>
      </c>
      <c r="AA31" s="1354">
        <f t="shared" si="3"/>
        <v>1</v>
      </c>
      <c r="AB31" s="1354">
        <f t="shared" si="4"/>
        <v>1</v>
      </c>
      <c r="AC31" s="2333">
        <f t="shared" si="5"/>
        <v>1</v>
      </c>
    </row>
    <row r="32" spans="1:29" ht="15" thickBot="1">
      <c r="A32" s="154"/>
      <c r="B32" s="1405">
        <v>111</v>
      </c>
      <c r="C32" s="196"/>
      <c r="D32" s="780">
        <v>100</v>
      </c>
      <c r="E32" s="1403"/>
      <c r="F32" s="780">
        <f>SUMIF(99:99,E32,100:100)-SUMIF(99:99,C32,100:100)+100</f>
        <v>100</v>
      </c>
      <c r="G32" s="1402"/>
      <c r="H32" s="780">
        <f>SUMIF(99:99,G32,100:100)-SUMIF(99:99,C32,100:100)+100</f>
        <v>100</v>
      </c>
      <c r="I32" s="1023"/>
      <c r="J32" s="780">
        <f>SUMIF(99:99,I32,100:100)-SUMIF(99:99,C32,100:100)+100</f>
        <v>100</v>
      </c>
      <c r="K32" s="188"/>
      <c r="L32" s="2297"/>
      <c r="M32" s="2292"/>
      <c r="N32" s="2292"/>
      <c r="O32" s="2292"/>
      <c r="P32" s="3685"/>
      <c r="Q32" s="2215">
        <f t="shared" si="8"/>
        <v>111</v>
      </c>
      <c r="R32" s="1351" t="s">
        <v>65</v>
      </c>
      <c r="S32" s="1352">
        <f t="shared" si="9"/>
        <v>100</v>
      </c>
      <c r="T32" s="1351" t="s">
        <v>65</v>
      </c>
      <c r="U32" s="1352">
        <f t="shared" si="10"/>
        <v>100</v>
      </c>
      <c r="V32" s="1351" t="s">
        <v>65</v>
      </c>
      <c r="W32" s="1352">
        <f t="shared" si="11"/>
        <v>100</v>
      </c>
      <c r="X32" s="2217"/>
      <c r="Y32" s="3678"/>
      <c r="Z32" s="2216">
        <f t="shared" si="12"/>
        <v>111</v>
      </c>
      <c r="AA32" s="1354">
        <f t="shared" si="3"/>
        <v>1</v>
      </c>
      <c r="AB32" s="1354">
        <f t="shared" si="4"/>
        <v>1</v>
      </c>
      <c r="AC32" s="2333">
        <f t="shared" si="5"/>
        <v>1</v>
      </c>
    </row>
    <row r="33" spans="1:29" ht="15">
      <c r="A33" s="155" t="s">
        <v>1093</v>
      </c>
      <c r="B33" s="62" t="s">
        <v>1094</v>
      </c>
      <c r="C33" s="197"/>
      <c r="D33" s="809">
        <v>100</v>
      </c>
      <c r="E33" s="197"/>
      <c r="F33" s="803">
        <f>SUMIF(101:101,E33,102:102)-SUMIF(101:101,C33,102:102)+100</f>
        <v>100</v>
      </c>
      <c r="G33" s="197"/>
      <c r="H33" s="777">
        <f>SUMIF(101:101,G33,102:102)-SUMIF(101:101,C33,102:102)+100</f>
        <v>100</v>
      </c>
      <c r="I33" s="197"/>
      <c r="J33" s="809">
        <f>SUMIF(101:101,I33,102:102)-SUMIF(101:101,C33,102:102)+100</f>
        <v>100</v>
      </c>
      <c r="K33" s="954"/>
      <c r="L33" s="2297"/>
      <c r="M33" s="2292"/>
      <c r="N33" s="2292"/>
      <c r="O33" s="2292"/>
      <c r="P33" s="3679" t="s">
        <v>1095</v>
      </c>
      <c r="Q33" s="2215" t="str">
        <f t="shared" si="8"/>
        <v>建筑类型</v>
      </c>
      <c r="R33" s="1351" t="s">
        <v>65</v>
      </c>
      <c r="S33" s="1352">
        <f t="shared" si="9"/>
        <v>100</v>
      </c>
      <c r="T33" s="1351" t="s">
        <v>65</v>
      </c>
      <c r="U33" s="1352">
        <f t="shared" si="10"/>
        <v>100</v>
      </c>
      <c r="V33" s="1351" t="s">
        <v>65</v>
      </c>
      <c r="W33" s="1352">
        <f t="shared" si="11"/>
        <v>100</v>
      </c>
      <c r="X33" s="2217"/>
      <c r="Y33" s="3682" t="s">
        <v>1095</v>
      </c>
      <c r="Z33" s="2216" t="str">
        <f t="shared" si="12"/>
        <v>建筑类型</v>
      </c>
      <c r="AA33" s="1354">
        <f t="shared" si="3"/>
        <v>1</v>
      </c>
      <c r="AB33" s="1354">
        <f t="shared" si="4"/>
        <v>1</v>
      </c>
      <c r="AC33" s="2333">
        <f t="shared" si="5"/>
        <v>1</v>
      </c>
    </row>
    <row r="34" spans="1:29" s="1038" customFormat="1" ht="14.25">
      <c r="A34" s="1042"/>
      <c r="B34" s="12" t="s">
        <v>76</v>
      </c>
      <c r="C34" s="811"/>
      <c r="D34" s="426">
        <v>100</v>
      </c>
      <c r="E34" s="772"/>
      <c r="F34" s="767" t="e">
        <f>LOOKUP(E34,104:104,105:105)-LOOKUP(C34,104:104,105:105)+100</f>
        <v>#N/A</v>
      </c>
      <c r="G34" s="771"/>
      <c r="H34" s="426" t="e">
        <f>LOOKUP(G34,104:104,105:105)-LOOKUP(C34,104:104,105:105)+100</f>
        <v>#N/A</v>
      </c>
      <c r="I34" s="771"/>
      <c r="J34" s="426" t="e">
        <f>LOOKUP(I34,104:104,105:105)-LOOKUP(C34,104:104,105:105)+100</f>
        <v>#N/A</v>
      </c>
      <c r="K34" s="188"/>
      <c r="L34" s="2296"/>
      <c r="M34" s="2298"/>
      <c r="N34" s="2298"/>
      <c r="O34" s="2298"/>
      <c r="P34" s="3680"/>
      <c r="Q34" s="1358" t="str">
        <f t="shared" si="8"/>
        <v>项目建筑规模</v>
      </c>
      <c r="R34" s="1359" t="s">
        <v>65</v>
      </c>
      <c r="S34" s="1360" t="e">
        <f t="shared" si="9"/>
        <v>#N/A</v>
      </c>
      <c r="T34" s="1359" t="s">
        <v>65</v>
      </c>
      <c r="U34" s="1360" t="e">
        <f t="shared" si="10"/>
        <v>#N/A</v>
      </c>
      <c r="V34" s="1359" t="s">
        <v>65</v>
      </c>
      <c r="W34" s="1360" t="e">
        <f t="shared" si="11"/>
        <v>#N/A</v>
      </c>
      <c r="X34" s="1361"/>
      <c r="Y34" s="3682"/>
      <c r="Z34" s="1362" t="str">
        <f t="shared" si="12"/>
        <v>项目建筑规模</v>
      </c>
      <c r="AA34" s="1354" t="e">
        <f t="shared" si="3"/>
        <v>#N/A</v>
      </c>
      <c r="AB34" s="1354" t="e">
        <f t="shared" si="4"/>
        <v>#N/A</v>
      </c>
      <c r="AC34" s="2333" t="e">
        <f t="shared" si="5"/>
        <v>#N/A</v>
      </c>
    </row>
    <row r="35" spans="1:29" ht="15">
      <c r="A35" s="161"/>
      <c r="B35" s="12" t="s">
        <v>77</v>
      </c>
      <c r="C35" s="107"/>
      <c r="D35" s="777">
        <v>100</v>
      </c>
      <c r="E35" s="107"/>
      <c r="F35" s="803">
        <f>SUMIF(106:106,E35,107:107)-SUMIF(106:106,C35,107:107)+100</f>
        <v>100</v>
      </c>
      <c r="G35" s="107"/>
      <c r="H35" s="777">
        <f>SUMIF(106:106,G35,107:107)-SUMIF(106:106,C35,107:107)+100</f>
        <v>100</v>
      </c>
      <c r="I35" s="107"/>
      <c r="J35" s="777">
        <f>SUMIF(106:106,I35,107:107)-SUMIF(106:106,C35,107:107)+100</f>
        <v>100</v>
      </c>
      <c r="K35" s="954"/>
      <c r="L35" s="2297"/>
      <c r="M35" s="2292"/>
      <c r="N35" s="2292"/>
      <c r="O35" s="2292"/>
      <c r="P35" s="3680"/>
      <c r="Q35" s="2215" t="str">
        <f t="shared" si="8"/>
        <v>建筑结构</v>
      </c>
      <c r="R35" s="1351" t="s">
        <v>65</v>
      </c>
      <c r="S35" s="1352">
        <f t="shared" si="9"/>
        <v>100</v>
      </c>
      <c r="T35" s="1351" t="s">
        <v>65</v>
      </c>
      <c r="U35" s="1352">
        <f t="shared" si="10"/>
        <v>100</v>
      </c>
      <c r="V35" s="1351" t="s">
        <v>65</v>
      </c>
      <c r="W35" s="1352">
        <f t="shared" si="11"/>
        <v>100</v>
      </c>
      <c r="X35" s="2217"/>
      <c r="Y35" s="3682"/>
      <c r="Z35" s="2216" t="str">
        <f t="shared" si="12"/>
        <v>建筑结构</v>
      </c>
      <c r="AA35" s="1354">
        <f t="shared" si="3"/>
        <v>1</v>
      </c>
      <c r="AB35" s="1354">
        <f t="shared" si="4"/>
        <v>1</v>
      </c>
      <c r="AC35" s="2333">
        <f t="shared" si="5"/>
        <v>1</v>
      </c>
    </row>
    <row r="36" spans="1:29" ht="15">
      <c r="A36" s="161"/>
      <c r="B36" s="12" t="s">
        <v>133</v>
      </c>
      <c r="C36" s="107"/>
      <c r="D36" s="777">
        <v>100</v>
      </c>
      <c r="E36" s="107"/>
      <c r="F36" s="803">
        <f>SUMIF(108:108,E36,109:109)-SUMIF(108:108,C36,109:109)+100</f>
        <v>100</v>
      </c>
      <c r="G36" s="107"/>
      <c r="H36" s="777">
        <f>SUMIF(108:108,G36,109:109)-SUMIF(108:108,C36,109:109)+100</f>
        <v>100</v>
      </c>
      <c r="I36" s="107"/>
      <c r="J36" s="777">
        <f>SUMIF(108:108,I36,109:109)-SUMIF(108:108,C36,109:109)+100</f>
        <v>100</v>
      </c>
      <c r="K36" s="954"/>
      <c r="L36" s="2297"/>
      <c r="M36" s="2292"/>
      <c r="N36" s="2292"/>
      <c r="O36" s="2292"/>
      <c r="P36" s="3680"/>
      <c r="Q36" s="2215" t="str">
        <f t="shared" si="8"/>
        <v>公共部分装修</v>
      </c>
      <c r="R36" s="1351" t="s">
        <v>65</v>
      </c>
      <c r="S36" s="1352">
        <f t="shared" si="9"/>
        <v>100</v>
      </c>
      <c r="T36" s="1351" t="s">
        <v>65</v>
      </c>
      <c r="U36" s="1352">
        <f t="shared" si="10"/>
        <v>100</v>
      </c>
      <c r="V36" s="1351" t="s">
        <v>65</v>
      </c>
      <c r="W36" s="1352">
        <f t="shared" si="11"/>
        <v>100</v>
      </c>
      <c r="X36" s="2217"/>
      <c r="Y36" s="3682"/>
      <c r="Z36" s="2216" t="str">
        <f t="shared" si="12"/>
        <v>公共部分装修</v>
      </c>
      <c r="AA36" s="1354">
        <f t="shared" si="3"/>
        <v>1</v>
      </c>
      <c r="AB36" s="1354">
        <f t="shared" si="4"/>
        <v>1</v>
      </c>
      <c r="AC36" s="2333">
        <f t="shared" si="5"/>
        <v>1</v>
      </c>
    </row>
    <row r="37" spans="1:29" ht="15">
      <c r="A37" s="161"/>
      <c r="B37" s="12" t="s">
        <v>134</v>
      </c>
      <c r="C37" s="816"/>
      <c r="D37" s="777">
        <v>100</v>
      </c>
      <c r="E37" s="816"/>
      <c r="F37" s="803" t="e">
        <f>LOOKUP(E37,111:111,112:112)-LOOKUP(C37,111:111,112:112)+100</f>
        <v>#N/A</v>
      </c>
      <c r="G37" s="816"/>
      <c r="H37" s="803" t="e">
        <f>LOOKUP(G37,111:111,112:112)-LOOKUP(C37,111:111,112:112)+100</f>
        <v>#N/A</v>
      </c>
      <c r="I37" s="816"/>
      <c r="J37" s="777" t="e">
        <f>LOOKUP(I37,111:111,112:112)-LOOKUP(C37,111:111,112:112)+100</f>
        <v>#N/A</v>
      </c>
      <c r="K37" s="954"/>
      <c r="L37" s="2297"/>
      <c r="M37" s="2292"/>
      <c r="N37" s="2292"/>
      <c r="O37" s="2292"/>
      <c r="P37" s="3680"/>
      <c r="Q37" s="2215" t="str">
        <f t="shared" si="8"/>
        <v>成新度</v>
      </c>
      <c r="R37" s="1351" t="s">
        <v>65</v>
      </c>
      <c r="S37" s="1352" t="e">
        <f t="shared" si="9"/>
        <v>#N/A</v>
      </c>
      <c r="T37" s="1351" t="s">
        <v>65</v>
      </c>
      <c r="U37" s="1352" t="e">
        <f t="shared" si="10"/>
        <v>#N/A</v>
      </c>
      <c r="V37" s="1351" t="s">
        <v>65</v>
      </c>
      <c r="W37" s="1352" t="e">
        <f t="shared" si="11"/>
        <v>#N/A</v>
      </c>
      <c r="X37" s="2217"/>
      <c r="Y37" s="3682"/>
      <c r="Z37" s="2216" t="str">
        <f t="shared" si="12"/>
        <v>成新度</v>
      </c>
      <c r="AA37" s="1354" t="e">
        <f t="shared" si="3"/>
        <v>#N/A</v>
      </c>
      <c r="AB37" s="1354" t="e">
        <f t="shared" si="4"/>
        <v>#N/A</v>
      </c>
      <c r="AC37" s="2333" t="e">
        <f t="shared" si="5"/>
        <v>#N/A</v>
      </c>
    </row>
    <row r="38" spans="1:29" s="40" customFormat="1" ht="15">
      <c r="A38" s="1040"/>
      <c r="B38" s="12" t="s">
        <v>147</v>
      </c>
      <c r="C38" s="107"/>
      <c r="D38" s="426">
        <v>100</v>
      </c>
      <c r="E38" s="107"/>
      <c r="F38" s="803">
        <f>SUMIF(113:113,E38,114:114)-SUMIF(113:113,C38,114:114)+100</f>
        <v>100</v>
      </c>
      <c r="G38" s="107"/>
      <c r="H38" s="777">
        <f>SUMIF(113:113,G38,114:114)-SUMIF(113:113,C38,114:114)+100</f>
        <v>100</v>
      </c>
      <c r="I38" s="107"/>
      <c r="J38" s="777">
        <f>SUMIF(113:113,I38,114:114)-SUMIF(113:113,C38,114:114)+100</f>
        <v>100</v>
      </c>
      <c r="K38" s="954"/>
      <c r="L38" s="2293"/>
      <c r="M38" s="2255"/>
      <c r="N38" s="2255"/>
      <c r="O38" s="2255"/>
      <c r="P38" s="3680"/>
      <c r="Q38" s="2208" t="str">
        <f t="shared" si="8"/>
        <v>写字楼等级</v>
      </c>
      <c r="R38" s="1341" t="s">
        <v>65</v>
      </c>
      <c r="S38" s="1342">
        <f t="shared" si="9"/>
        <v>100</v>
      </c>
      <c r="T38" s="1341" t="s">
        <v>65</v>
      </c>
      <c r="U38" s="1342">
        <f t="shared" si="10"/>
        <v>100</v>
      </c>
      <c r="V38" s="1341" t="s">
        <v>65</v>
      </c>
      <c r="W38" s="1342">
        <f t="shared" si="11"/>
        <v>100</v>
      </c>
      <c r="X38" s="287"/>
      <c r="Y38" s="3682"/>
      <c r="Z38" s="2207" t="str">
        <f t="shared" si="12"/>
        <v>写字楼等级</v>
      </c>
      <c r="AA38" s="1343">
        <f t="shared" si="3"/>
        <v>1</v>
      </c>
      <c r="AB38" s="1343">
        <f t="shared" si="4"/>
        <v>1</v>
      </c>
      <c r="AC38" s="2332">
        <f t="shared" si="5"/>
        <v>1</v>
      </c>
    </row>
    <row r="39" spans="1:29" ht="15">
      <c r="A39" s="161"/>
      <c r="B39" s="12" t="s">
        <v>148</v>
      </c>
      <c r="C39" s="107"/>
      <c r="D39" s="777">
        <v>100</v>
      </c>
      <c r="E39" s="107"/>
      <c r="F39" s="803">
        <f>SUMIF(115:115,E39,116:116)-SUMIF(115:115,C39,116:116)+100</f>
        <v>100</v>
      </c>
      <c r="G39" s="107"/>
      <c r="H39" s="777">
        <f>SUMIF(115:115,G39,116:116)-SUMIF(115:115,C39,116:116)+100</f>
        <v>100</v>
      </c>
      <c r="I39" s="107"/>
      <c r="J39" s="777">
        <f>SUMIF(115:115,I39,116:116)-SUMIF(115:115,C39,116:116)+100</f>
        <v>100</v>
      </c>
      <c r="K39" s="954"/>
      <c r="L39" s="2297"/>
      <c r="M39" s="2292"/>
      <c r="N39" s="2292"/>
      <c r="O39" s="2292"/>
      <c r="P39" s="3680" t="s">
        <v>70</v>
      </c>
      <c r="Q39" s="2215" t="str">
        <f t="shared" si="8"/>
        <v>物业管理</v>
      </c>
      <c r="R39" s="1351" t="s">
        <v>65</v>
      </c>
      <c r="S39" s="1352">
        <f t="shared" si="9"/>
        <v>100</v>
      </c>
      <c r="T39" s="1351" t="s">
        <v>65</v>
      </c>
      <c r="U39" s="1352">
        <f t="shared" si="10"/>
        <v>100</v>
      </c>
      <c r="V39" s="1351" t="s">
        <v>65</v>
      </c>
      <c r="W39" s="1352">
        <f t="shared" si="11"/>
        <v>100</v>
      </c>
      <c r="X39" s="2217"/>
      <c r="Y39" s="3682" t="s">
        <v>70</v>
      </c>
      <c r="Z39" s="2216" t="str">
        <f t="shared" si="12"/>
        <v>物业管理</v>
      </c>
      <c r="AA39" s="1354">
        <f t="shared" si="3"/>
        <v>1</v>
      </c>
      <c r="AB39" s="1354">
        <f t="shared" si="4"/>
        <v>1</v>
      </c>
      <c r="AC39" s="2333">
        <f t="shared" si="5"/>
        <v>1</v>
      </c>
    </row>
    <row r="40" spans="1:29" ht="15">
      <c r="A40" s="161"/>
      <c r="B40" s="12" t="s">
        <v>2659</v>
      </c>
      <c r="C40" s="107"/>
      <c r="D40" s="777">
        <v>100</v>
      </c>
      <c r="E40" s="107"/>
      <c r="F40" s="803">
        <f>SUMIF(117:117,E40,118:118)-SUMIF(117:117,C40,118:118)+100</f>
        <v>100</v>
      </c>
      <c r="G40" s="107"/>
      <c r="H40" s="777">
        <f>SUMIF(117:117,G40,118:118)-SUMIF(117:117,C40,118:118)+100</f>
        <v>100</v>
      </c>
      <c r="I40" s="107"/>
      <c r="J40" s="777">
        <f>SUMIF(117:117,I40,118:118)-SUMIF(117:117,C40,118:118)+100</f>
        <v>100</v>
      </c>
      <c r="K40" s="954"/>
      <c r="L40" s="2297"/>
      <c r="M40" s="2292"/>
      <c r="N40" s="2292"/>
      <c r="O40" s="2292"/>
      <c r="P40" s="3680"/>
      <c r="Q40" s="2215" t="str">
        <f t="shared" si="8"/>
        <v>市政基础设施</v>
      </c>
      <c r="R40" s="1351" t="s">
        <v>65</v>
      </c>
      <c r="S40" s="1352">
        <f t="shared" si="9"/>
        <v>100</v>
      </c>
      <c r="T40" s="1351" t="s">
        <v>65</v>
      </c>
      <c r="U40" s="1352">
        <f t="shared" si="10"/>
        <v>100</v>
      </c>
      <c r="V40" s="1351" t="s">
        <v>65</v>
      </c>
      <c r="W40" s="1352">
        <f t="shared" si="11"/>
        <v>100</v>
      </c>
      <c r="X40" s="2217"/>
      <c r="Y40" s="3682"/>
      <c r="Z40" s="2216" t="str">
        <f t="shared" si="12"/>
        <v>市政基础设施</v>
      </c>
      <c r="AA40" s="1354">
        <f t="shared" si="3"/>
        <v>1</v>
      </c>
      <c r="AB40" s="1354">
        <f t="shared" si="4"/>
        <v>1</v>
      </c>
      <c r="AC40" s="2333">
        <f t="shared" si="5"/>
        <v>1</v>
      </c>
    </row>
    <row r="41" spans="1:29" ht="15">
      <c r="A41" s="161"/>
      <c r="B41" s="12" t="s">
        <v>136</v>
      </c>
      <c r="C41" s="182"/>
      <c r="D41" s="777">
        <v>100</v>
      </c>
      <c r="E41" s="182"/>
      <c r="F41" s="803">
        <f>SUMIF(119:119,E41,120:120)-SUMIF(119:119,C41,120:120)+100</f>
        <v>100</v>
      </c>
      <c r="G41" s="182"/>
      <c r="H41" s="777">
        <f>SUMIF(119:119,G41,120:120)-SUMIF(119:119,C41,120:120)+100</f>
        <v>100</v>
      </c>
      <c r="I41" s="182"/>
      <c r="J41" s="777">
        <f>SUMIF(119:119,I41,120:120)-SUMIF(119:119,C41,120:120)+100</f>
        <v>100</v>
      </c>
      <c r="K41" s="954"/>
      <c r="L41" s="2297"/>
      <c r="M41" s="2292"/>
      <c r="N41" s="2292"/>
      <c r="O41" s="2292"/>
      <c r="P41" s="3680"/>
      <c r="Q41" s="2215" t="str">
        <f t="shared" si="8"/>
        <v>层高</v>
      </c>
      <c r="R41" s="1351" t="s">
        <v>65</v>
      </c>
      <c r="S41" s="1352">
        <f t="shared" si="9"/>
        <v>100</v>
      </c>
      <c r="T41" s="1351" t="s">
        <v>65</v>
      </c>
      <c r="U41" s="1352">
        <f t="shared" si="10"/>
        <v>100</v>
      </c>
      <c r="V41" s="1351" t="s">
        <v>65</v>
      </c>
      <c r="W41" s="1352">
        <f t="shared" si="11"/>
        <v>100</v>
      </c>
      <c r="X41" s="2217"/>
      <c r="Y41" s="3682"/>
      <c r="Z41" s="2216" t="str">
        <f t="shared" si="12"/>
        <v>层高</v>
      </c>
      <c r="AA41" s="1354">
        <f t="shared" si="3"/>
        <v>1</v>
      </c>
      <c r="AB41" s="1354">
        <f t="shared" si="4"/>
        <v>1</v>
      </c>
      <c r="AC41" s="2333">
        <f t="shared" si="5"/>
        <v>1</v>
      </c>
    </row>
    <row r="42" spans="1:29" s="1038" customFormat="1" ht="14.25">
      <c r="A42" s="1042"/>
      <c r="B42" s="191" t="s">
        <v>1096</v>
      </c>
      <c r="C42" s="776"/>
      <c r="D42" s="777">
        <v>100</v>
      </c>
      <c r="E42" s="776"/>
      <c r="F42" s="803">
        <f>SUMIF(121:121,E42,122:122)-SUMIF(121:121,C42,122:122)+100</f>
        <v>100</v>
      </c>
      <c r="G42" s="776"/>
      <c r="H42" s="777">
        <f>SUMIF(121:121,G42,122:122)-SUMIF(121:121,C42,122:122)+100</f>
        <v>100</v>
      </c>
      <c r="I42" s="776"/>
      <c r="J42" s="777">
        <f>SUMIF(121:121,I42,122:122)-SUMIF(121:121,C42,122:122)+100</f>
        <v>100</v>
      </c>
      <c r="K42" s="188"/>
      <c r="L42" s="2296"/>
      <c r="M42" s="2298"/>
      <c r="N42" s="2298"/>
      <c r="O42" s="2298"/>
      <c r="P42" s="3680"/>
      <c r="Q42" s="1358" t="str">
        <f t="shared" si="8"/>
        <v>单套建筑面积</v>
      </c>
      <c r="R42" s="1359" t="s">
        <v>65</v>
      </c>
      <c r="S42" s="1360">
        <f t="shared" si="9"/>
        <v>100</v>
      </c>
      <c r="T42" s="1359" t="s">
        <v>65</v>
      </c>
      <c r="U42" s="1360">
        <f t="shared" si="10"/>
        <v>100</v>
      </c>
      <c r="V42" s="1359" t="s">
        <v>65</v>
      </c>
      <c r="W42" s="1360">
        <f t="shared" si="11"/>
        <v>100</v>
      </c>
      <c r="X42" s="1361"/>
      <c r="Y42" s="3682"/>
      <c r="Z42" s="1362" t="str">
        <f t="shared" si="12"/>
        <v>单套建筑面积</v>
      </c>
      <c r="AA42" s="1354">
        <f t="shared" si="3"/>
        <v>1</v>
      </c>
      <c r="AB42" s="1354">
        <f t="shared" si="4"/>
        <v>1</v>
      </c>
      <c r="AC42" s="2333">
        <f t="shared" si="5"/>
        <v>1</v>
      </c>
    </row>
    <row r="43" spans="1:29" ht="15">
      <c r="A43" s="161"/>
      <c r="B43" s="12" t="s">
        <v>1097</v>
      </c>
      <c r="C43" s="107"/>
      <c r="D43" s="777">
        <v>100</v>
      </c>
      <c r="E43" s="107"/>
      <c r="F43" s="803">
        <f>SUMIF(123:123,E43,124:124)-SUMIF(123:123,C43,124:124)+100</f>
        <v>100</v>
      </c>
      <c r="G43" s="107"/>
      <c r="H43" s="777">
        <f>SUMIF(123:123,G43,124:124)-SUMIF(123:123,C43,124:124)+100</f>
        <v>100</v>
      </c>
      <c r="I43" s="107"/>
      <c r="J43" s="777">
        <f>SUMIF(123:123,I43,124:124)-SUMIF(123:123,C43,124:124)+100</f>
        <v>100</v>
      </c>
      <c r="K43" s="954"/>
      <c r="L43" s="2297"/>
      <c r="M43" s="2292"/>
      <c r="N43" s="2292"/>
      <c r="O43" s="2292"/>
      <c r="P43" s="3680"/>
      <c r="Q43" s="2215" t="str">
        <f t="shared" si="8"/>
        <v>内部装修</v>
      </c>
      <c r="R43" s="1351" t="s">
        <v>65</v>
      </c>
      <c r="S43" s="1352">
        <f t="shared" si="9"/>
        <v>100</v>
      </c>
      <c r="T43" s="1351" t="s">
        <v>65</v>
      </c>
      <c r="U43" s="1352">
        <f t="shared" si="10"/>
        <v>100</v>
      </c>
      <c r="V43" s="1351" t="s">
        <v>65</v>
      </c>
      <c r="W43" s="1352">
        <f t="shared" si="11"/>
        <v>100</v>
      </c>
      <c r="X43" s="2217"/>
      <c r="Y43" s="3682"/>
      <c r="Z43" s="2216" t="str">
        <f t="shared" si="12"/>
        <v>内部装修</v>
      </c>
      <c r="AA43" s="1354">
        <f t="shared" si="3"/>
        <v>1</v>
      </c>
      <c r="AB43" s="1354">
        <f t="shared" si="4"/>
        <v>1</v>
      </c>
      <c r="AC43" s="2333">
        <f t="shared" si="5"/>
        <v>1</v>
      </c>
    </row>
    <row r="44" spans="1:29" ht="27">
      <c r="A44" s="161"/>
      <c r="B44" s="12" t="s">
        <v>84</v>
      </c>
      <c r="C44" s="107"/>
      <c r="D44" s="777">
        <v>100</v>
      </c>
      <c r="E44" s="109"/>
      <c r="F44" s="803">
        <f>SUMIF(125:125,E44,126:126)-SUMIF(125:125,C44,126:126)+100</f>
        <v>100</v>
      </c>
      <c r="G44" s="109"/>
      <c r="H44" s="777">
        <f>SUMIF(125:125,G44,126:126)-SUMIF(125:125,C44,126:126)+100</f>
        <v>100</v>
      </c>
      <c r="I44" s="109"/>
      <c r="J44" s="777">
        <f>SUMIF(125:125,I44,126:126)-SUMIF(125:125,C44,126:126)+100</f>
        <v>100</v>
      </c>
      <c r="K44" s="954"/>
      <c r="L44" s="2297"/>
      <c r="M44" s="2292"/>
      <c r="N44" s="2292"/>
      <c r="O44" s="2292"/>
      <c r="P44" s="3680"/>
      <c r="Q44" s="2215" t="str">
        <f t="shared" si="8"/>
        <v>内部装修维护情况</v>
      </c>
      <c r="R44" s="1351" t="s">
        <v>65</v>
      </c>
      <c r="S44" s="1352">
        <f t="shared" si="9"/>
        <v>100</v>
      </c>
      <c r="T44" s="1351" t="s">
        <v>65</v>
      </c>
      <c r="U44" s="1352">
        <f t="shared" si="10"/>
        <v>100</v>
      </c>
      <c r="V44" s="1351" t="s">
        <v>65</v>
      </c>
      <c r="W44" s="1352">
        <f t="shared" si="11"/>
        <v>100</v>
      </c>
      <c r="X44" s="2217"/>
      <c r="Y44" s="3682"/>
      <c r="Z44" s="2216" t="str">
        <f t="shared" si="12"/>
        <v>内部装修维护情况</v>
      </c>
      <c r="AA44" s="1354">
        <f t="shared" si="3"/>
        <v>1</v>
      </c>
      <c r="AB44" s="1354">
        <f t="shared" si="4"/>
        <v>1</v>
      </c>
      <c r="AC44" s="2333">
        <f t="shared" si="5"/>
        <v>1</v>
      </c>
    </row>
    <row r="45" spans="1:29" s="40" customFormat="1" ht="14.25">
      <c r="A45" s="1040"/>
      <c r="B45" s="1356">
        <v>111</v>
      </c>
      <c r="C45" s="1357"/>
      <c r="D45" s="426">
        <v>100</v>
      </c>
      <c r="E45" s="1023"/>
      <c r="F45" s="767">
        <f>SUMIF(127:127,E45,128:128)-SUMIF(127:127,C45,128:128)+100</f>
        <v>100</v>
      </c>
      <c r="G45" s="1023"/>
      <c r="H45" s="426">
        <f>SUMIF(127:127,G45,128:128)-SUMIF(127:127,C45,128:128)+100</f>
        <v>100</v>
      </c>
      <c r="I45" s="1023"/>
      <c r="J45" s="426">
        <f>SUMIF(127:127,I45,128:128)-SUMIF(127:127,C45,128:128)+100</f>
        <v>100</v>
      </c>
      <c r="K45" s="188"/>
      <c r="L45" s="2293"/>
      <c r="M45" s="2255"/>
      <c r="N45" s="2255"/>
      <c r="O45" s="2255"/>
      <c r="P45" s="3680"/>
      <c r="Q45" s="2208">
        <f t="shared" si="8"/>
        <v>111</v>
      </c>
      <c r="R45" s="1341" t="s">
        <v>65</v>
      </c>
      <c r="S45" s="1342">
        <f t="shared" si="9"/>
        <v>100</v>
      </c>
      <c r="T45" s="1341" t="s">
        <v>65</v>
      </c>
      <c r="U45" s="1342">
        <f t="shared" si="10"/>
        <v>100</v>
      </c>
      <c r="V45" s="1341" t="s">
        <v>65</v>
      </c>
      <c r="W45" s="1342">
        <f t="shared" si="11"/>
        <v>100</v>
      </c>
      <c r="X45" s="287"/>
      <c r="Y45" s="3682"/>
      <c r="Z45" s="2207">
        <f t="shared" si="12"/>
        <v>111</v>
      </c>
      <c r="AA45" s="1343">
        <f t="shared" si="3"/>
        <v>1</v>
      </c>
      <c r="AB45" s="1343">
        <f t="shared" si="4"/>
        <v>1</v>
      </c>
      <c r="AC45" s="2332">
        <f t="shared" si="5"/>
        <v>1</v>
      </c>
    </row>
    <row r="46" spans="1:29" ht="14.25">
      <c r="A46" s="161"/>
      <c r="B46" s="1356">
        <v>111</v>
      </c>
      <c r="C46" s="93"/>
      <c r="D46" s="777">
        <v>100</v>
      </c>
      <c r="E46" s="1023"/>
      <c r="F46" s="803">
        <f>SUMIF(129:129,E46,130:130)-SUMIF(129:129,C46,130:130)+100</f>
        <v>100</v>
      </c>
      <c r="G46" s="1023"/>
      <c r="H46" s="777">
        <f>SUMIF(129:129,G46,130:130)-SUMIF(129:129,C46,130:130)+100</f>
        <v>100</v>
      </c>
      <c r="I46" s="1023"/>
      <c r="J46" s="777">
        <f>SUMIF(129:129,I46,130:130)-SUMIF(129:129,C46,130:130)+100</f>
        <v>100</v>
      </c>
      <c r="K46" s="188"/>
      <c r="L46" s="2297"/>
      <c r="M46" s="2292"/>
      <c r="N46" s="2292"/>
      <c r="O46" s="2292"/>
      <c r="P46" s="3680"/>
      <c r="Q46" s="2215">
        <f t="shared" si="8"/>
        <v>111</v>
      </c>
      <c r="R46" s="1351" t="s">
        <v>65</v>
      </c>
      <c r="S46" s="1352">
        <f t="shared" si="9"/>
        <v>100</v>
      </c>
      <c r="T46" s="1351" t="s">
        <v>65</v>
      </c>
      <c r="U46" s="1352">
        <f t="shared" si="10"/>
        <v>100</v>
      </c>
      <c r="V46" s="1351" t="s">
        <v>65</v>
      </c>
      <c r="W46" s="1352">
        <f t="shared" si="11"/>
        <v>100</v>
      </c>
      <c r="X46" s="2217"/>
      <c r="Y46" s="3682"/>
      <c r="Z46" s="2216">
        <f t="shared" si="12"/>
        <v>111</v>
      </c>
      <c r="AA46" s="1354">
        <f t="shared" si="3"/>
        <v>1</v>
      </c>
      <c r="AB46" s="1354">
        <f t="shared" si="4"/>
        <v>1</v>
      </c>
      <c r="AC46" s="2333">
        <f t="shared" si="5"/>
        <v>1</v>
      </c>
    </row>
    <row r="47" spans="1:29" ht="15" thickBot="1">
      <c r="A47" s="162"/>
      <c r="B47" s="1031">
        <v>111</v>
      </c>
      <c r="C47" s="94"/>
      <c r="D47" s="780">
        <v>100</v>
      </c>
      <c r="E47" s="1023"/>
      <c r="F47" s="781">
        <f>SUMIF(131:131,E47,132:132)-SUMIF(131:131,C47,132:132)+100</f>
        <v>100</v>
      </c>
      <c r="G47" s="1023"/>
      <c r="H47" s="780">
        <f>SUMIF(131:131,G47,132:132)-SUMIF(131:131,C47,132:132)+100</f>
        <v>100</v>
      </c>
      <c r="I47" s="1023"/>
      <c r="J47" s="780">
        <f>SUMIF(131:131,I47,132:132)-SUMIF(131:131,C47,132:132)+100</f>
        <v>100</v>
      </c>
      <c r="K47" s="188"/>
      <c r="L47" s="2297"/>
      <c r="M47" s="2292"/>
      <c r="N47" s="2292"/>
      <c r="O47" s="2292"/>
      <c r="P47" s="3681"/>
      <c r="Q47" s="2215">
        <f t="shared" si="8"/>
        <v>111</v>
      </c>
      <c r="R47" s="1351" t="s">
        <v>65</v>
      </c>
      <c r="S47" s="1352">
        <f t="shared" si="9"/>
        <v>100</v>
      </c>
      <c r="T47" s="1351" t="s">
        <v>65</v>
      </c>
      <c r="U47" s="1352">
        <f t="shared" si="10"/>
        <v>100</v>
      </c>
      <c r="V47" s="1351" t="s">
        <v>65</v>
      </c>
      <c r="W47" s="1352">
        <f t="shared" si="11"/>
        <v>100</v>
      </c>
      <c r="X47" s="2217"/>
      <c r="Y47" s="3683"/>
      <c r="Z47" s="2216">
        <f t="shared" si="12"/>
        <v>111</v>
      </c>
      <c r="AA47" s="1354">
        <f t="shared" si="3"/>
        <v>1</v>
      </c>
      <c r="AB47" s="1354">
        <f t="shared" si="4"/>
        <v>1</v>
      </c>
      <c r="AC47" s="2333">
        <f t="shared" si="5"/>
        <v>1</v>
      </c>
    </row>
    <row r="48" spans="1:29" ht="15">
      <c r="A48" s="163" t="s">
        <v>1038</v>
      </c>
      <c r="B48" s="164"/>
      <c r="C48" s="2829" t="s">
        <v>23</v>
      </c>
      <c r="D48" s="2830"/>
      <c r="E48" s="2831"/>
      <c r="F48" s="2832"/>
      <c r="G48" s="2833"/>
      <c r="H48" s="2834"/>
      <c r="I48" s="2831"/>
      <c r="J48" s="827"/>
      <c r="K48" s="1392"/>
      <c r="L48" s="2299"/>
      <c r="M48" s="2292"/>
      <c r="N48" s="2292"/>
      <c r="O48" s="2292"/>
      <c r="P48" s="3657" t="str">
        <f>A48</f>
        <v>成交单价（元/平方米）</v>
      </c>
      <c r="Q48" s="3675"/>
      <c r="R48" s="3676">
        <f>E48</f>
        <v>0</v>
      </c>
      <c r="S48" s="3676"/>
      <c r="T48" s="3676">
        <f>G48</f>
        <v>0</v>
      </c>
      <c r="U48" s="3676"/>
      <c r="V48" s="3676">
        <f>I48</f>
        <v>0</v>
      </c>
      <c r="W48" s="3676"/>
      <c r="X48" s="156"/>
      <c r="Y48" s="1365"/>
      <c r="Z48" s="156"/>
      <c r="AA48" s="156"/>
      <c r="AB48" s="156"/>
      <c r="AC48" s="209"/>
    </row>
    <row r="49" spans="1:29" ht="15.75" thickBot="1">
      <c r="A49" s="165" t="s">
        <v>1039</v>
      </c>
      <c r="B49" s="166"/>
      <c r="C49" s="2835" t="e">
        <f>R50</f>
        <v>#DIV/0!</v>
      </c>
      <c r="D49" s="2836"/>
      <c r="E49" s="2837" t="e">
        <f>R49</f>
        <v>#DIV/0!</v>
      </c>
      <c r="F49" s="2837"/>
      <c r="G49" s="2835" t="e">
        <f>T49</f>
        <v>#DIV/0!</v>
      </c>
      <c r="H49" s="2836"/>
      <c r="I49" s="2837" t="e">
        <f>V49</f>
        <v>#DIV/0!</v>
      </c>
      <c r="J49" s="831"/>
      <c r="K49" s="1393"/>
      <c r="L49" s="2299"/>
      <c r="M49" s="2292"/>
      <c r="N49" s="2292"/>
      <c r="O49" s="2292"/>
      <c r="P49" s="3657" t="str">
        <f>A49</f>
        <v>比较价值（元/平方米）</v>
      </c>
      <c r="Q49" s="3675"/>
      <c r="R49" s="3676" t="e">
        <f>IF(F1="售价",ROUND(PRODUCT(R48,AA7:AA47),0),ROUND(PRODUCT(R48,AA7:AA47),1))</f>
        <v>#DIV/0!</v>
      </c>
      <c r="S49" s="3676"/>
      <c r="T49" s="3676" t="e">
        <f>IF(F1="售价",ROUND(PRODUCT(T48,AB7:AB47),0),ROUND(PRODUCT(T48,AB7:AB47),1))</f>
        <v>#DIV/0!</v>
      </c>
      <c r="U49" s="3676"/>
      <c r="V49" s="3676" t="e">
        <f>IF(F1="售价",ROUND(PRODUCT(V48,AC7:AC47),0),ROUND(PRODUCT(V48,AC7:AC47),1))</f>
        <v>#DIV/0!</v>
      </c>
      <c r="W49" s="3676"/>
      <c r="X49" s="156"/>
      <c r="Y49" s="156"/>
      <c r="Z49" s="156"/>
      <c r="AA49" s="156"/>
      <c r="AB49" s="156"/>
      <c r="AC49" s="209"/>
    </row>
    <row r="50" spans="1:29" ht="15.75" thickBot="1">
      <c r="A50" s="115" t="s">
        <v>3019</v>
      </c>
      <c r="B50" s="116"/>
      <c r="C50" s="2839" t="e">
        <f>R50</f>
        <v>#DIV/0!</v>
      </c>
      <c r="D50" s="2839"/>
      <c r="E50" s="2839"/>
      <c r="F50" s="2839"/>
      <c r="G50" s="2839"/>
      <c r="H50" s="2839"/>
      <c r="I50" s="2839"/>
      <c r="J50" s="836"/>
      <c r="K50" s="1394"/>
      <c r="L50" s="2299"/>
      <c r="M50" s="2292"/>
      <c r="N50" s="2292"/>
      <c r="O50" s="2292"/>
      <c r="P50" s="3720" t="str">
        <f>A50</f>
        <v>估价对象XX用房的比较价值（楼面单价，元/平方米）</v>
      </c>
      <c r="Q50" s="3721"/>
      <c r="R50" s="3722" t="e">
        <f>IF(F1="售价",ROUND(AVERAGE(R49:V49),0),ROUND(AVERAGE(R49:V49),1))</f>
        <v>#DIV/0!</v>
      </c>
      <c r="S50" s="3722"/>
      <c r="T50" s="3722"/>
      <c r="U50" s="3722"/>
      <c r="V50" s="3722"/>
      <c r="W50" s="3722"/>
      <c r="X50" s="2173"/>
      <c r="Y50" s="2173"/>
      <c r="Z50" s="2173"/>
      <c r="AA50" s="2173"/>
      <c r="AB50" s="2173"/>
      <c r="AC50" s="2174"/>
    </row>
    <row r="51" spans="1:29">
      <c r="A51" s="2300"/>
      <c r="B51" s="2300"/>
      <c r="C51" s="2300"/>
      <c r="D51" s="2300"/>
      <c r="E51" s="2300"/>
      <c r="F51" s="2300"/>
      <c r="G51" s="2309"/>
      <c r="H51" s="2300"/>
      <c r="I51" s="2300"/>
      <c r="J51" s="2300"/>
      <c r="K51" s="2301"/>
      <c r="L51" s="2302"/>
      <c r="M51" s="2300"/>
      <c r="N51" s="2300"/>
      <c r="O51" s="2300"/>
    </row>
    <row r="52" spans="1:29">
      <c r="A52" s="2300"/>
      <c r="B52" s="2300"/>
      <c r="C52" s="2300"/>
      <c r="D52" s="2300"/>
      <c r="E52" s="2300"/>
      <c r="F52" s="2300"/>
      <c r="G52" s="2300"/>
      <c r="H52" s="2300"/>
      <c r="I52" s="2300"/>
      <c r="J52" s="2300"/>
      <c r="K52" s="2301"/>
      <c r="L52" s="2302"/>
      <c r="M52" s="2300"/>
      <c r="N52" s="2300"/>
      <c r="O52" s="2300"/>
    </row>
    <row r="53" spans="1:29" ht="13.5" customHeight="1">
      <c r="A53" s="2300"/>
      <c r="B53" s="2300"/>
      <c r="C53" s="839" t="s">
        <v>1008</v>
      </c>
      <c r="D53" s="840"/>
      <c r="E53" s="841" t="e">
        <f>IF(E48&lt;E49,E49/E48-1,E48/E49-1)</f>
        <v>#DIV/0!</v>
      </c>
      <c r="F53" s="842" t="e">
        <f>IF(OR(E53&gt;=0.3,E53&lt;=-0.3),"超过30%","")</f>
        <v>#DIV/0!</v>
      </c>
      <c r="G53" s="841" t="e">
        <f>IF(G48&lt;G49,G49/G48-1,G48/G49-1)</f>
        <v>#DIV/0!</v>
      </c>
      <c r="H53" s="842" t="e">
        <f>IF(OR(G53&gt;=0.3,G53&lt;=-0.3),"超过30%","")</f>
        <v>#DIV/0!</v>
      </c>
      <c r="I53" s="841" t="e">
        <f>IF(I48&lt;I49,I49/I48-1,I48/I49-1)</f>
        <v>#DIV/0!</v>
      </c>
      <c r="J53" s="842" t="e">
        <f>IF(OR(I53&gt;=0.3,I53&lt;=-0.3),"超过30%","")</f>
        <v>#DIV/0!</v>
      </c>
      <c r="K53" s="2301"/>
      <c r="L53" s="2302"/>
      <c r="M53" s="2300"/>
      <c r="N53" s="2300"/>
      <c r="O53" s="2300"/>
    </row>
    <row r="54" spans="1:29" ht="13.5" customHeight="1">
      <c r="A54" s="2300"/>
      <c r="B54" s="2300"/>
      <c r="C54" s="839" t="s">
        <v>1009</v>
      </c>
      <c r="D54" s="843"/>
      <c r="E54" s="841" t="e">
        <f>IF(E49&lt;G49,G49/E49-1,E49/G49-1)</f>
        <v>#DIV/0!</v>
      </c>
      <c r="F54" s="842" t="e">
        <f>IF(OR(E54&gt;=0.2,E54&lt;=-0.2),"超过20%","")</f>
        <v>#DIV/0!</v>
      </c>
      <c r="G54" s="841" t="e">
        <f>IF(G49&lt;I49,I49/G49-1,G49/I49-1)</f>
        <v>#DIV/0!</v>
      </c>
      <c r="H54" s="842" t="e">
        <f>IF(OR(G54&gt;=0.2,G54&lt;=-0.2),"超过20%","")</f>
        <v>#DIV/0!</v>
      </c>
      <c r="I54" s="841" t="e">
        <f>IF(I49&lt;E49,E49/I49-1,I49/E49-1)</f>
        <v>#DIV/0!</v>
      </c>
      <c r="J54" s="842" t="e">
        <f>IF(OR(I54&gt;=0.2,I54&lt;=-0.2),"超过20%","")</f>
        <v>#DIV/0!</v>
      </c>
      <c r="K54" s="2301"/>
      <c r="L54" s="2302"/>
      <c r="M54" s="2300"/>
      <c r="N54" s="2300"/>
      <c r="O54" s="2300"/>
    </row>
    <row r="55" spans="1:29" s="119" customFormat="1" ht="13.5" customHeight="1">
      <c r="A55" s="2305"/>
      <c r="B55" s="2305"/>
      <c r="C55" s="839" t="s">
        <v>1010</v>
      </c>
      <c r="D55" s="843"/>
      <c r="E55" s="841" t="e">
        <f>IF(E48&lt;G48,G48/E48-1,E48/G48-1)</f>
        <v>#DIV/0!</v>
      </c>
      <c r="F55" s="842" t="e">
        <f>IF(OR(E55&gt;=0.3,E55&lt;=-0.3),"超过30%","")</f>
        <v>#DIV/0!</v>
      </c>
      <c r="G55" s="841" t="e">
        <f>IF(G48&lt;I48,I48/G48-1,G48/I48-1)</f>
        <v>#DIV/0!</v>
      </c>
      <c r="H55" s="842" t="e">
        <f>IF(OR(G55&gt;=0.3,G55&lt;=-0.3),"超过30%","")</f>
        <v>#DIV/0!</v>
      </c>
      <c r="I55" s="841" t="e">
        <f>IF(I48&lt;E48,E48/I48-1,I48/E48-1)</f>
        <v>#DIV/0!</v>
      </c>
      <c r="J55" s="842" t="e">
        <f>IF(OR(I55&gt;=0.3,I55&lt;=-0.3),"超过30%","")</f>
        <v>#DIV/0!</v>
      </c>
      <c r="K55" s="2303"/>
      <c r="L55" s="2304"/>
      <c r="M55" s="2305"/>
      <c r="N55" s="2305"/>
      <c r="O55" s="2305"/>
      <c r="P55" s="2321"/>
    </row>
    <row r="56" spans="1:29" s="119" customFormat="1">
      <c r="A56" s="2305"/>
      <c r="B56" s="2310"/>
      <c r="C56" s="2311"/>
      <c r="D56" s="2305"/>
      <c r="E56" s="2305"/>
      <c r="F56" s="2305"/>
      <c r="G56" s="2305"/>
      <c r="H56" s="2305"/>
      <c r="I56" s="2305"/>
      <c r="J56" s="2305"/>
      <c r="K56" s="2303"/>
      <c r="L56" s="2304"/>
      <c r="M56" s="2305"/>
      <c r="N56" s="2305"/>
      <c r="O56" s="2305"/>
      <c r="P56" s="2321"/>
    </row>
    <row r="57" spans="1:29">
      <c r="A57" s="2300"/>
      <c r="B57" s="2310"/>
      <c r="C57" s="2311"/>
      <c r="D57" s="2300"/>
      <c r="E57" s="2300"/>
      <c r="F57" s="2300"/>
      <c r="G57" s="2300"/>
      <c r="H57" s="2300"/>
      <c r="I57" s="2300"/>
      <c r="J57" s="2300"/>
      <c r="K57" s="2301"/>
      <c r="L57" s="2302"/>
      <c r="M57" s="2300"/>
      <c r="N57" s="2300"/>
      <c r="O57" s="2300"/>
    </row>
    <row r="58" spans="1:29" ht="21" thickBot="1">
      <c r="A58" s="1371" t="s">
        <v>1040</v>
      </c>
      <c r="B58" s="1364"/>
      <c r="C58" s="1372"/>
      <c r="D58" s="1372"/>
      <c r="E58" s="1372"/>
      <c r="F58" s="1373"/>
      <c r="G58" s="1373"/>
      <c r="H58" s="1372"/>
      <c r="I58" s="1372"/>
      <c r="J58" s="1372"/>
      <c r="K58" s="1374"/>
      <c r="L58" s="2307"/>
      <c r="M58" s="2308"/>
      <c r="N58" s="2308"/>
      <c r="O58" s="2308"/>
      <c r="P58" s="2322"/>
      <c r="Q58" s="121"/>
    </row>
    <row r="59" spans="1:29" s="850" customFormat="1" ht="15">
      <c r="A59" s="847" t="s">
        <v>2797</v>
      </c>
      <c r="B59" s="848"/>
      <c r="C59" s="3037" t="str">
        <f>YEAR(C7)&amp;"-"&amp;MONTH(C7)</f>
        <v>2017-8</v>
      </c>
      <c r="D59" s="3038">
        <f>EDATE(C59,-1)</f>
        <v>42917</v>
      </c>
      <c r="E59" s="3038">
        <f>EDATE(D59,-1)</f>
        <v>42887</v>
      </c>
      <c r="F59" s="3038">
        <f t="shared" ref="F59:O59" si="13">EDATE(E59,-1)</f>
        <v>42856</v>
      </c>
      <c r="G59" s="3038">
        <f t="shared" si="13"/>
        <v>42826</v>
      </c>
      <c r="H59" s="3038">
        <f t="shared" si="13"/>
        <v>42795</v>
      </c>
      <c r="I59" s="3038">
        <f t="shared" si="13"/>
        <v>42767</v>
      </c>
      <c r="J59" s="3038">
        <f t="shared" si="13"/>
        <v>42736</v>
      </c>
      <c r="K59" s="3038">
        <f t="shared" si="13"/>
        <v>42705</v>
      </c>
      <c r="L59" s="3038">
        <f t="shared" si="13"/>
        <v>42675</v>
      </c>
      <c r="M59" s="3038">
        <f t="shared" si="13"/>
        <v>42644</v>
      </c>
      <c r="N59" s="3038">
        <f t="shared" si="13"/>
        <v>42614</v>
      </c>
      <c r="O59" s="3038">
        <f t="shared" si="13"/>
        <v>42583</v>
      </c>
      <c r="P59" s="3032"/>
    </row>
    <row r="60" spans="1:29" s="40" customFormat="1" ht="14.25">
      <c r="A60" s="1044"/>
      <c r="B60" s="1045"/>
      <c r="C60" s="3035">
        <v>100</v>
      </c>
      <c r="D60" s="854"/>
      <c r="E60" s="854"/>
      <c r="F60" s="854"/>
      <c r="G60" s="854"/>
      <c r="H60" s="854"/>
      <c r="I60" s="854"/>
      <c r="J60" s="854"/>
      <c r="K60" s="854"/>
      <c r="L60" s="854"/>
      <c r="M60" s="855"/>
      <c r="N60" s="854"/>
      <c r="O60" s="855"/>
      <c r="P60" s="2323"/>
    </row>
    <row r="61" spans="1:29" s="40" customFormat="1" ht="15" thickBot="1">
      <c r="A61" s="1046" t="s">
        <v>1041</v>
      </c>
      <c r="B61" s="1047"/>
      <c r="C61" s="859"/>
      <c r="D61" s="860"/>
      <c r="E61" s="860"/>
      <c r="F61" s="860"/>
      <c r="G61" s="860"/>
      <c r="H61" s="860"/>
      <c r="I61" s="860"/>
      <c r="J61" s="860"/>
      <c r="K61" s="860"/>
      <c r="L61" s="860"/>
      <c r="M61" s="861"/>
      <c r="N61" s="860"/>
      <c r="O61" s="861"/>
      <c r="P61" s="2323"/>
      <c r="Q61" s="121"/>
    </row>
    <row r="62" spans="1:29" s="40" customFormat="1">
      <c r="A62" s="1048" t="s">
        <v>1042</v>
      </c>
      <c r="B62" s="1045"/>
      <c r="C62" s="1049" t="s">
        <v>1043</v>
      </c>
      <c r="D62" s="140"/>
      <c r="E62" s="140"/>
      <c r="F62" s="140"/>
      <c r="G62" s="140"/>
      <c r="H62" s="140"/>
      <c r="I62" s="140"/>
      <c r="J62" s="140"/>
      <c r="K62" s="140"/>
      <c r="L62" s="141"/>
      <c r="M62" s="1050"/>
      <c r="N62" s="1387"/>
      <c r="O62" s="1387"/>
      <c r="P62" s="2324"/>
      <c r="Q62" s="121"/>
    </row>
    <row r="63" spans="1:29" s="40" customFormat="1" ht="15" thickBot="1">
      <c r="A63" s="1048"/>
      <c r="B63" s="1045"/>
      <c r="C63" s="853">
        <v>100</v>
      </c>
      <c r="D63" s="854"/>
      <c r="E63" s="854"/>
      <c r="F63" s="854"/>
      <c r="G63" s="854"/>
      <c r="H63" s="854"/>
      <c r="I63" s="854"/>
      <c r="J63" s="854"/>
      <c r="K63" s="854"/>
      <c r="L63" s="854"/>
      <c r="M63" s="856"/>
      <c r="N63" s="1387"/>
      <c r="O63" s="1387"/>
      <c r="P63" s="2323"/>
      <c r="Q63" s="121"/>
    </row>
    <row r="64" spans="1:29">
      <c r="A64" s="172" t="s">
        <v>1044</v>
      </c>
      <c r="B64" s="286" t="s">
        <v>1045</v>
      </c>
      <c r="C64" s="176">
        <f>C9</f>
        <v>0</v>
      </c>
      <c r="D64" s="122"/>
      <c r="E64" s="122"/>
      <c r="F64" s="122"/>
      <c r="G64" s="122"/>
      <c r="H64" s="122"/>
      <c r="I64" s="122"/>
      <c r="J64" s="122"/>
      <c r="K64" s="123"/>
      <c r="L64" s="124"/>
      <c r="M64" s="125"/>
      <c r="N64" s="1388"/>
      <c r="O64" s="1388"/>
      <c r="P64" s="2325"/>
      <c r="Q64" s="121"/>
    </row>
    <row r="65" spans="1:17" ht="15" thickBot="1">
      <c r="A65" s="173"/>
      <c r="B65" s="1052"/>
      <c r="C65" s="878">
        <v>100</v>
      </c>
      <c r="D65" s="878"/>
      <c r="E65" s="878"/>
      <c r="F65" s="878"/>
      <c r="G65" s="878"/>
      <c r="H65" s="878"/>
      <c r="I65" s="878"/>
      <c r="J65" s="878"/>
      <c r="K65" s="878"/>
      <c r="L65" s="878"/>
      <c r="M65" s="879"/>
      <c r="N65" s="1389"/>
      <c r="O65" s="1389"/>
      <c r="P65" s="2325"/>
      <c r="Q65" s="121"/>
    </row>
    <row r="66" spans="1:17" ht="27.75" thickTop="1">
      <c r="A66" s="173"/>
      <c r="B66" s="1053" t="s">
        <v>1046</v>
      </c>
      <c r="C66" s="881" t="s">
        <v>1011</v>
      </c>
      <c r="D66" s="881" t="s">
        <v>1012</v>
      </c>
      <c r="E66" s="881" t="s">
        <v>1013</v>
      </c>
      <c r="F66" s="881" t="s">
        <v>1014</v>
      </c>
      <c r="G66" s="881" t="s">
        <v>1015</v>
      </c>
      <c r="H66" s="881" t="s">
        <v>1016</v>
      </c>
      <c r="I66" s="881" t="s">
        <v>1017</v>
      </c>
      <c r="J66" s="881"/>
      <c r="K66" s="882"/>
      <c r="L66" s="883"/>
      <c r="M66" s="884"/>
      <c r="N66" s="1388"/>
      <c r="O66" s="1388"/>
      <c r="P66" s="2325"/>
      <c r="Q66" s="121"/>
    </row>
    <row r="67" spans="1:17" ht="15" thickBot="1">
      <c r="A67" s="173"/>
      <c r="B67" s="1054"/>
      <c r="C67" s="886" t="s">
        <v>138</v>
      </c>
      <c r="D67" s="886" t="s">
        <v>139</v>
      </c>
      <c r="E67" s="886">
        <v>100</v>
      </c>
      <c r="F67" s="886">
        <f>E67-$K10</f>
        <v>100</v>
      </c>
      <c r="G67" s="886">
        <f>F67-$K10</f>
        <v>100</v>
      </c>
      <c r="H67" s="886">
        <f>G67-$K10</f>
        <v>100</v>
      </c>
      <c r="I67" s="886">
        <f>H67-$K10</f>
        <v>100</v>
      </c>
      <c r="J67" s="886"/>
      <c r="K67" s="886"/>
      <c r="L67" s="886"/>
      <c r="M67" s="887"/>
      <c r="N67" s="1389"/>
      <c r="O67" s="1389"/>
      <c r="P67" s="2325"/>
      <c r="Q67" s="121"/>
    </row>
    <row r="68" spans="1:17" ht="15" thickTop="1">
      <c r="A68" s="173"/>
      <c r="B68" s="1055" t="s">
        <v>1047</v>
      </c>
      <c r="C68" s="889" t="str">
        <f>C69&amp;"（含）"&amp;"-"&amp;D69</f>
        <v>（含）-</v>
      </c>
      <c r="D68" s="889" t="str">
        <f t="shared" ref="D68:L68" si="14">D69&amp;"（含）"&amp;"-"&amp;E69</f>
        <v>（含）-</v>
      </c>
      <c r="E68" s="889" t="str">
        <f t="shared" si="14"/>
        <v>（含）-</v>
      </c>
      <c r="F68" s="889" t="str">
        <f t="shared" si="14"/>
        <v>（含）-</v>
      </c>
      <c r="G68" s="889" t="str">
        <f t="shared" si="14"/>
        <v>（含）-</v>
      </c>
      <c r="H68" s="889" t="str">
        <f t="shared" si="14"/>
        <v>（含）-</v>
      </c>
      <c r="I68" s="889" t="str">
        <f t="shared" si="14"/>
        <v>（含）-</v>
      </c>
      <c r="J68" s="889" t="str">
        <f t="shared" si="14"/>
        <v>（含）-</v>
      </c>
      <c r="K68" s="889" t="str">
        <f t="shared" si="14"/>
        <v>（含）-</v>
      </c>
      <c r="L68" s="889" t="str">
        <f t="shared" si="14"/>
        <v>（含）-</v>
      </c>
      <c r="M68" s="790" t="str">
        <f>M69&amp;"（含）"&amp;"-"&amp;P69</f>
        <v>（含）-</v>
      </c>
      <c r="N68" s="1389"/>
      <c r="O68" s="1389"/>
      <c r="P68" s="2325"/>
      <c r="Q68" s="121"/>
    </row>
    <row r="69" spans="1:17" ht="14.25">
      <c r="A69" s="173"/>
      <c r="B69" s="1056"/>
      <c r="C69" s="891"/>
      <c r="D69" s="891"/>
      <c r="E69" s="891"/>
      <c r="F69" s="891"/>
      <c r="G69" s="891"/>
      <c r="H69" s="891"/>
      <c r="I69" s="891"/>
      <c r="J69" s="891"/>
      <c r="K69" s="892"/>
      <c r="L69" s="893"/>
      <c r="M69" s="894"/>
      <c r="N69" s="1388"/>
      <c r="O69" s="1388"/>
      <c r="P69" s="2325"/>
      <c r="Q69" s="121"/>
    </row>
    <row r="70" spans="1:17" ht="15" thickBot="1">
      <c r="A70" s="173"/>
      <c r="B70" s="1052"/>
      <c r="C70" s="886">
        <v>100</v>
      </c>
      <c r="D70" s="886">
        <f t="shared" ref="D70:M70" si="15">C70-$K11</f>
        <v>100</v>
      </c>
      <c r="E70" s="886">
        <f t="shared" si="15"/>
        <v>100</v>
      </c>
      <c r="F70" s="886">
        <f t="shared" si="15"/>
        <v>100</v>
      </c>
      <c r="G70" s="886">
        <f t="shared" si="15"/>
        <v>100</v>
      </c>
      <c r="H70" s="886">
        <f t="shared" si="15"/>
        <v>100</v>
      </c>
      <c r="I70" s="886">
        <f t="shared" si="15"/>
        <v>100</v>
      </c>
      <c r="J70" s="886">
        <f t="shared" si="15"/>
        <v>100</v>
      </c>
      <c r="K70" s="886">
        <f t="shared" si="15"/>
        <v>100</v>
      </c>
      <c r="L70" s="886">
        <f t="shared" si="15"/>
        <v>100</v>
      </c>
      <c r="M70" s="887">
        <f t="shared" si="15"/>
        <v>100</v>
      </c>
      <c r="N70" s="1389"/>
      <c r="O70" s="1389"/>
      <c r="P70" s="2325"/>
      <c r="Q70" s="121"/>
    </row>
    <row r="71" spans="1:17" s="1038" customFormat="1" ht="14.25" thickTop="1">
      <c r="A71" s="1057"/>
      <c r="B71" s="1053">
        <f>B12</f>
        <v>111</v>
      </c>
      <c r="C71" s="139"/>
      <c r="D71" s="139"/>
      <c r="E71" s="139"/>
      <c r="F71" s="139"/>
      <c r="G71" s="139"/>
      <c r="H71" s="1058"/>
      <c r="I71" s="1058"/>
      <c r="J71" s="1058"/>
      <c r="K71" s="1058"/>
      <c r="L71" s="1059"/>
      <c r="M71" s="1060"/>
      <c r="N71" s="1390"/>
      <c r="O71" s="1390"/>
      <c r="P71" s="2326"/>
      <c r="Q71" s="1062"/>
    </row>
    <row r="72" spans="1:17" s="1038" customFormat="1" ht="15" thickBot="1">
      <c r="A72" s="1057"/>
      <c r="B72" s="1054"/>
      <c r="C72" s="902"/>
      <c r="D72" s="878"/>
      <c r="E72" s="878"/>
      <c r="F72" s="878"/>
      <c r="G72" s="878"/>
      <c r="H72" s="878"/>
      <c r="I72" s="878"/>
      <c r="J72" s="878"/>
      <c r="K72" s="878"/>
      <c r="L72" s="878"/>
      <c r="M72" s="879"/>
      <c r="N72" s="1389"/>
      <c r="O72" s="1389"/>
      <c r="P72" s="2326"/>
      <c r="Q72" s="1062"/>
    </row>
    <row r="73" spans="1:17" s="1038" customFormat="1" ht="14.25" thickTop="1">
      <c r="A73" s="1057"/>
      <c r="B73" s="1053">
        <f>B13</f>
        <v>111</v>
      </c>
      <c r="C73" s="139"/>
      <c r="D73" s="139"/>
      <c r="E73" s="139"/>
      <c r="F73" s="139"/>
      <c r="G73" s="139"/>
      <c r="H73" s="1058"/>
      <c r="I73" s="1058"/>
      <c r="J73" s="1058"/>
      <c r="K73" s="1058"/>
      <c r="L73" s="1059"/>
      <c r="M73" s="1060"/>
      <c r="N73" s="1390"/>
      <c r="O73" s="1390"/>
      <c r="P73" s="2327"/>
      <c r="Q73" s="1064"/>
    </row>
    <row r="74" spans="1:17" s="1038" customFormat="1" ht="15" thickBot="1">
      <c r="A74" s="1057"/>
      <c r="B74" s="1054"/>
      <c r="C74" s="902"/>
      <c r="D74" s="902"/>
      <c r="E74" s="902"/>
      <c r="F74" s="902"/>
      <c r="G74" s="902"/>
      <c r="H74" s="904"/>
      <c r="I74" s="904"/>
      <c r="J74" s="904"/>
      <c r="K74" s="904"/>
      <c r="L74" s="904"/>
      <c r="M74" s="905"/>
      <c r="N74" s="1390"/>
      <c r="O74" s="1390"/>
      <c r="P74" s="2326"/>
      <c r="Q74" s="1062"/>
    </row>
    <row r="75" spans="1:17" s="1038" customFormat="1" ht="14.25" thickTop="1">
      <c r="A75" s="1057"/>
      <c r="B75" s="1055">
        <f>B14</f>
        <v>111</v>
      </c>
      <c r="C75" s="140"/>
      <c r="D75" s="140"/>
      <c r="E75" s="140"/>
      <c r="F75" s="140"/>
      <c r="G75" s="140"/>
      <c r="H75" s="1065"/>
      <c r="I75" s="1065"/>
      <c r="J75" s="1065"/>
      <c r="K75" s="1065"/>
      <c r="L75" s="1066"/>
      <c r="M75" s="1067"/>
      <c r="N75" s="1390"/>
      <c r="O75" s="1390"/>
      <c r="P75" s="2328"/>
      <c r="Q75" s="1062"/>
    </row>
    <row r="76" spans="1:17" s="1038" customFormat="1" ht="15" thickBot="1">
      <c r="A76" s="1069"/>
      <c r="B76" s="1070"/>
      <c r="C76" s="912"/>
      <c r="D76" s="912"/>
      <c r="E76" s="912"/>
      <c r="F76" s="912"/>
      <c r="G76" s="912"/>
      <c r="H76" s="913"/>
      <c r="I76" s="913"/>
      <c r="J76" s="913"/>
      <c r="K76" s="913"/>
      <c r="L76" s="913"/>
      <c r="M76" s="914"/>
      <c r="N76" s="1390"/>
      <c r="O76" s="1390"/>
      <c r="P76" s="2326"/>
      <c r="Q76" s="1062"/>
    </row>
    <row r="77" spans="1:17" ht="14.25">
      <c r="A77" s="172" t="s">
        <v>1048</v>
      </c>
      <c r="B77" s="286" t="s">
        <v>1098</v>
      </c>
      <c r="C77" s="915" t="s">
        <v>1018</v>
      </c>
      <c r="D77" s="915" t="s">
        <v>1019</v>
      </c>
      <c r="E77" s="915" t="s">
        <v>1020</v>
      </c>
      <c r="F77" s="915" t="s">
        <v>1021</v>
      </c>
      <c r="G77" s="915" t="s">
        <v>1022</v>
      </c>
      <c r="H77" s="871"/>
      <c r="I77" s="871"/>
      <c r="J77" s="871"/>
      <c r="K77" s="916"/>
      <c r="L77" s="917"/>
      <c r="M77" s="918"/>
      <c r="N77" s="1388"/>
      <c r="O77" s="1388"/>
      <c r="P77" s="2329"/>
      <c r="Q77" s="121"/>
    </row>
    <row r="78" spans="1:17" ht="15" thickBot="1">
      <c r="A78" s="173"/>
      <c r="B78" s="1054"/>
      <c r="C78" s="886">
        <v>100</v>
      </c>
      <c r="D78" s="886">
        <f>C78-$K15</f>
        <v>100</v>
      </c>
      <c r="E78" s="886">
        <f>D78-$K15</f>
        <v>100</v>
      </c>
      <c r="F78" s="886">
        <f>E78-$K15</f>
        <v>100</v>
      </c>
      <c r="G78" s="886">
        <f>F78-$K15</f>
        <v>100</v>
      </c>
      <c r="H78" s="886"/>
      <c r="I78" s="886"/>
      <c r="J78" s="886"/>
      <c r="K78" s="886"/>
      <c r="L78" s="886"/>
      <c r="M78" s="887"/>
      <c r="N78" s="1389"/>
      <c r="O78" s="1389"/>
      <c r="P78" s="2325"/>
      <c r="Q78" s="121"/>
    </row>
    <row r="79" spans="1:17" ht="15" thickTop="1">
      <c r="A79" s="173"/>
      <c r="B79" s="1053" t="s">
        <v>1055</v>
      </c>
      <c r="C79" s="920" t="s">
        <v>1018</v>
      </c>
      <c r="D79" s="920" t="s">
        <v>1019</v>
      </c>
      <c r="E79" s="920" t="s">
        <v>1020</v>
      </c>
      <c r="F79" s="920" t="s">
        <v>1107</v>
      </c>
      <c r="G79" s="920" t="s">
        <v>1022</v>
      </c>
      <c r="H79" s="881"/>
      <c r="I79" s="881"/>
      <c r="J79" s="881"/>
      <c r="K79" s="882"/>
      <c r="L79" s="883"/>
      <c r="M79" s="884"/>
      <c r="N79" s="1388"/>
      <c r="O79" s="1388"/>
      <c r="P79" s="2325"/>
      <c r="Q79" s="121"/>
    </row>
    <row r="80" spans="1:17" ht="15" thickBot="1">
      <c r="A80" s="173"/>
      <c r="B80" s="1054"/>
      <c r="C80" s="886">
        <v>100</v>
      </c>
      <c r="D80" s="886">
        <f>C80-$K17</f>
        <v>100</v>
      </c>
      <c r="E80" s="886">
        <f>D80-$K17</f>
        <v>100</v>
      </c>
      <c r="F80" s="886">
        <f>E80-$K17</f>
        <v>100</v>
      </c>
      <c r="G80" s="886">
        <f>F80-$K17</f>
        <v>100</v>
      </c>
      <c r="H80" s="886"/>
      <c r="I80" s="886"/>
      <c r="J80" s="886"/>
      <c r="K80" s="886"/>
      <c r="L80" s="886"/>
      <c r="M80" s="887"/>
      <c r="N80" s="1389"/>
      <c r="O80" s="1389"/>
      <c r="P80" s="2325"/>
      <c r="Q80" s="121"/>
    </row>
    <row r="81" spans="1:17" ht="15" thickTop="1">
      <c r="A81" s="173"/>
      <c r="B81" s="1053" t="s">
        <v>31</v>
      </c>
      <c r="C81" s="920" t="s">
        <v>1018</v>
      </c>
      <c r="D81" s="920" t="s">
        <v>1019</v>
      </c>
      <c r="E81" s="920" t="s">
        <v>1020</v>
      </c>
      <c r="F81" s="920" t="s">
        <v>1021</v>
      </c>
      <c r="G81" s="920" t="s">
        <v>1022</v>
      </c>
      <c r="H81" s="881"/>
      <c r="I81" s="881"/>
      <c r="J81" s="881"/>
      <c r="K81" s="882"/>
      <c r="L81" s="883"/>
      <c r="M81" s="884"/>
      <c r="N81" s="1388"/>
      <c r="O81" s="1388"/>
      <c r="P81" s="2325"/>
      <c r="Q81" s="121"/>
    </row>
    <row r="82" spans="1:17" ht="15" thickBot="1">
      <c r="A82" s="173"/>
      <c r="B82" s="1054"/>
      <c r="C82" s="886">
        <v>100</v>
      </c>
      <c r="D82" s="886">
        <f>C82-$K19</f>
        <v>100</v>
      </c>
      <c r="E82" s="886">
        <f>D82-$K19</f>
        <v>100</v>
      </c>
      <c r="F82" s="886">
        <f>E82-$K19</f>
        <v>100</v>
      </c>
      <c r="G82" s="886">
        <f>F82-$K19</f>
        <v>100</v>
      </c>
      <c r="H82" s="886"/>
      <c r="I82" s="886"/>
      <c r="J82" s="886"/>
      <c r="K82" s="886"/>
      <c r="L82" s="886"/>
      <c r="M82" s="887"/>
      <c r="N82" s="1389"/>
      <c r="O82" s="1389"/>
      <c r="P82" s="2325"/>
      <c r="Q82" s="121"/>
    </row>
    <row r="83" spans="1:17" ht="15" thickTop="1">
      <c r="A83" s="173"/>
      <c r="B83" s="1055" t="s">
        <v>2668</v>
      </c>
      <c r="C83" s="213" t="s">
        <v>2661</v>
      </c>
      <c r="D83" s="213" t="s">
        <v>2662</v>
      </c>
      <c r="E83" s="213" t="s">
        <v>2663</v>
      </c>
      <c r="F83" s="213" t="s">
        <v>2664</v>
      </c>
      <c r="G83" s="213" t="s">
        <v>2665</v>
      </c>
      <c r="H83" s="881"/>
      <c r="I83" s="881"/>
      <c r="J83" s="881"/>
      <c r="K83" s="881"/>
      <c r="L83" s="881"/>
      <c r="M83" s="2761"/>
      <c r="N83" s="1389"/>
      <c r="O83" s="1389"/>
      <c r="P83" s="2325"/>
      <c r="Q83" s="121"/>
    </row>
    <row r="84" spans="1:17" ht="15" thickBot="1">
      <c r="A84" s="173"/>
      <c r="B84" s="1055"/>
      <c r="C84" s="886">
        <v>100</v>
      </c>
      <c r="D84" s="886">
        <f>C84-$K21</f>
        <v>100</v>
      </c>
      <c r="E84" s="886">
        <f>D84-$K21</f>
        <v>100</v>
      </c>
      <c r="F84" s="886">
        <f>E84-$K21</f>
        <v>100</v>
      </c>
      <c r="G84" s="886">
        <f>F84-$K21</f>
        <v>100</v>
      </c>
      <c r="H84" s="1002"/>
      <c r="I84" s="1002"/>
      <c r="J84" s="1002"/>
      <c r="K84" s="1002"/>
      <c r="L84" s="1002"/>
      <c r="M84" s="792"/>
      <c r="N84" s="1389"/>
      <c r="O84" s="1389"/>
      <c r="P84" s="2325"/>
      <c r="Q84" s="121"/>
    </row>
    <row r="85" spans="1:17" ht="15" thickTop="1">
      <c r="A85" s="173"/>
      <c r="B85" s="1053" t="s">
        <v>1099</v>
      </c>
      <c r="C85" s="920" t="s">
        <v>1018</v>
      </c>
      <c r="D85" s="920" t="s">
        <v>1019</v>
      </c>
      <c r="E85" s="920" t="s">
        <v>1020</v>
      </c>
      <c r="F85" s="920" t="s">
        <v>1021</v>
      </c>
      <c r="G85" s="920" t="s">
        <v>1022</v>
      </c>
      <c r="H85" s="881"/>
      <c r="I85" s="881"/>
      <c r="J85" s="881"/>
      <c r="K85" s="882"/>
      <c r="L85" s="883"/>
      <c r="M85" s="884"/>
      <c r="N85" s="1388"/>
      <c r="O85" s="1388"/>
      <c r="P85" s="2325"/>
      <c r="Q85" s="121"/>
    </row>
    <row r="86" spans="1:17" ht="15" thickBot="1">
      <c r="A86" s="173"/>
      <c r="B86" s="1054"/>
      <c r="C86" s="886">
        <v>100</v>
      </c>
      <c r="D86" s="886">
        <f>C86-$K23</f>
        <v>100</v>
      </c>
      <c r="E86" s="886">
        <f>D86-$K23</f>
        <v>100</v>
      </c>
      <c r="F86" s="886">
        <f>E86-$K23</f>
        <v>100</v>
      </c>
      <c r="G86" s="886">
        <f>F86-$K23</f>
        <v>100</v>
      </c>
      <c r="H86" s="886"/>
      <c r="I86" s="886"/>
      <c r="J86" s="886"/>
      <c r="K86" s="886"/>
      <c r="L86" s="886"/>
      <c r="M86" s="887"/>
      <c r="N86" s="1389"/>
      <c r="O86" s="1389"/>
      <c r="P86" s="2325"/>
      <c r="Q86" s="121"/>
    </row>
    <row r="87" spans="1:17" s="40" customFormat="1" ht="27.75" thickTop="1">
      <c r="A87" s="1071"/>
      <c r="B87" s="1053" t="s">
        <v>1100</v>
      </c>
      <c r="C87" s="139"/>
      <c r="D87" s="139"/>
      <c r="E87" s="139"/>
      <c r="F87" s="139"/>
      <c r="G87" s="139"/>
      <c r="H87" s="139"/>
      <c r="I87" s="139"/>
      <c r="J87" s="139"/>
      <c r="K87" s="139"/>
      <c r="L87" s="1383"/>
      <c r="M87" s="1384"/>
      <c r="N87" s="1387"/>
      <c r="O87" s="1387"/>
      <c r="P87" s="2325"/>
      <c r="Q87" s="121"/>
    </row>
    <row r="88" spans="1:17" s="40" customFormat="1" ht="15" thickBot="1">
      <c r="A88" s="1071"/>
      <c r="B88" s="1054"/>
      <c r="C88" s="924">
        <v>100</v>
      </c>
      <c r="D88" s="886">
        <f t="shared" ref="D88:M88" si="16">C88-$K25</f>
        <v>100</v>
      </c>
      <c r="E88" s="886">
        <f t="shared" si="16"/>
        <v>100</v>
      </c>
      <c r="F88" s="886">
        <f t="shared" si="16"/>
        <v>100</v>
      </c>
      <c r="G88" s="886">
        <f t="shared" si="16"/>
        <v>100</v>
      </c>
      <c r="H88" s="886">
        <f t="shared" si="16"/>
        <v>100</v>
      </c>
      <c r="I88" s="886">
        <f t="shared" si="16"/>
        <v>100</v>
      </c>
      <c r="J88" s="886">
        <f t="shared" si="16"/>
        <v>100</v>
      </c>
      <c r="K88" s="886">
        <f t="shared" si="16"/>
        <v>100</v>
      </c>
      <c r="L88" s="886">
        <f t="shared" si="16"/>
        <v>100</v>
      </c>
      <c r="M88" s="886">
        <f t="shared" si="16"/>
        <v>100</v>
      </c>
      <c r="N88" s="1389"/>
      <c r="O88" s="1389"/>
      <c r="P88" s="2325"/>
      <c r="Q88" s="121"/>
    </row>
    <row r="89" spans="1:17" s="40" customFormat="1" ht="14.25" thickTop="1">
      <c r="A89" s="1071"/>
      <c r="B89" s="1053" t="str">
        <f>B27</f>
        <v>楼层</v>
      </c>
      <c r="C89" s="139"/>
      <c r="D89" s="139"/>
      <c r="E89" s="139"/>
      <c r="F89" s="1385"/>
      <c r="G89" s="139"/>
      <c r="H89" s="139"/>
      <c r="I89" s="139"/>
      <c r="J89" s="139"/>
      <c r="K89" s="139"/>
      <c r="L89" s="139"/>
      <c r="M89" s="1384"/>
      <c r="N89" s="1387"/>
      <c r="O89" s="1387"/>
      <c r="P89" s="2325"/>
      <c r="Q89" s="121"/>
    </row>
    <row r="90" spans="1:17" s="40" customFormat="1" ht="15" thickBot="1">
      <c r="A90" s="1071"/>
      <c r="B90" s="1054"/>
      <c r="C90" s="924">
        <v>100</v>
      </c>
      <c r="D90" s="886">
        <f>C90-$K27</f>
        <v>100</v>
      </c>
      <c r="E90" s="886">
        <f t="shared" ref="E90:M90" si="17">D90-$K27</f>
        <v>100</v>
      </c>
      <c r="F90" s="886">
        <f t="shared" si="17"/>
        <v>100</v>
      </c>
      <c r="G90" s="886">
        <f t="shared" si="17"/>
        <v>100</v>
      </c>
      <c r="H90" s="886">
        <f t="shared" si="17"/>
        <v>100</v>
      </c>
      <c r="I90" s="886">
        <f t="shared" si="17"/>
        <v>100</v>
      </c>
      <c r="J90" s="886">
        <f t="shared" si="17"/>
        <v>100</v>
      </c>
      <c r="K90" s="886">
        <f t="shared" si="17"/>
        <v>100</v>
      </c>
      <c r="L90" s="886">
        <f t="shared" si="17"/>
        <v>100</v>
      </c>
      <c r="M90" s="886">
        <f t="shared" si="17"/>
        <v>100</v>
      </c>
      <c r="N90" s="1389"/>
      <c r="O90" s="1389"/>
      <c r="P90" s="2325"/>
      <c r="Q90" s="121"/>
    </row>
    <row r="91" spans="1:17" s="1038" customFormat="1" ht="14.25" thickTop="1">
      <c r="A91" s="1057"/>
      <c r="B91" s="1053" t="str">
        <f>B28</f>
        <v>朝向</v>
      </c>
      <c r="C91" s="139"/>
      <c r="D91" s="139"/>
      <c r="E91" s="139"/>
      <c r="F91" s="139"/>
      <c r="G91" s="139"/>
      <c r="H91" s="1058"/>
      <c r="I91" s="1058"/>
      <c r="J91" s="1058"/>
      <c r="K91" s="1058"/>
      <c r="L91" s="1059"/>
      <c r="M91" s="1060"/>
      <c r="N91" s="1390"/>
      <c r="O91" s="1390"/>
      <c r="P91" s="2326"/>
      <c r="Q91" s="1062"/>
    </row>
    <row r="92" spans="1:17" s="1038" customFormat="1" ht="15" thickBot="1">
      <c r="A92" s="1057"/>
      <c r="B92" s="1054"/>
      <c r="C92" s="924">
        <v>100</v>
      </c>
      <c r="D92" s="886">
        <f t="shared" ref="D92:M92" si="18">C92-$K28</f>
        <v>100</v>
      </c>
      <c r="E92" s="886">
        <f t="shared" si="18"/>
        <v>100</v>
      </c>
      <c r="F92" s="886">
        <f t="shared" si="18"/>
        <v>100</v>
      </c>
      <c r="G92" s="886">
        <f t="shared" si="18"/>
        <v>100</v>
      </c>
      <c r="H92" s="886">
        <f t="shared" si="18"/>
        <v>100</v>
      </c>
      <c r="I92" s="886">
        <f t="shared" si="18"/>
        <v>100</v>
      </c>
      <c r="J92" s="886">
        <f t="shared" si="18"/>
        <v>100</v>
      </c>
      <c r="K92" s="886">
        <f t="shared" si="18"/>
        <v>100</v>
      </c>
      <c r="L92" s="886">
        <f t="shared" si="18"/>
        <v>100</v>
      </c>
      <c r="M92" s="886">
        <f t="shared" si="18"/>
        <v>100</v>
      </c>
      <c r="N92" s="1390"/>
      <c r="O92" s="1390"/>
      <c r="P92" s="2326"/>
      <c r="Q92" s="1062"/>
    </row>
    <row r="93" spans="1:17" ht="14.25" thickTop="1">
      <c r="A93" s="173"/>
      <c r="B93" s="1053">
        <f>B29</f>
        <v>111</v>
      </c>
      <c r="C93" s="139"/>
      <c r="D93" s="139"/>
      <c r="E93" s="139"/>
      <c r="F93" s="139"/>
      <c r="G93" s="139"/>
      <c r="H93" s="139"/>
      <c r="I93" s="139"/>
      <c r="J93" s="139"/>
      <c r="K93" s="139"/>
      <c r="L93" s="1383"/>
      <c r="M93" s="1384"/>
      <c r="N93" s="1388"/>
      <c r="O93" s="1388"/>
      <c r="P93" s="2325"/>
      <c r="Q93" s="121"/>
    </row>
    <row r="94" spans="1:17" ht="15" thickBot="1">
      <c r="A94" s="173"/>
      <c r="B94" s="1054"/>
      <c r="C94" s="902"/>
      <c r="D94" s="878"/>
      <c r="E94" s="878"/>
      <c r="F94" s="878"/>
      <c r="G94" s="878"/>
      <c r="H94" s="878"/>
      <c r="I94" s="878"/>
      <c r="J94" s="878"/>
      <c r="K94" s="878"/>
      <c r="L94" s="878"/>
      <c r="M94" s="879"/>
      <c r="N94" s="1389"/>
      <c r="O94" s="1389"/>
      <c r="P94" s="2325"/>
      <c r="Q94" s="121"/>
    </row>
    <row r="95" spans="1:17" ht="14.25" thickTop="1">
      <c r="A95" s="173"/>
      <c r="B95" s="1053">
        <f>B30</f>
        <v>111</v>
      </c>
      <c r="C95" s="139"/>
      <c r="D95" s="139"/>
      <c r="E95" s="139"/>
      <c r="F95" s="139"/>
      <c r="G95" s="131"/>
      <c r="H95" s="131"/>
      <c r="I95" s="131"/>
      <c r="J95" s="131"/>
      <c r="K95" s="132"/>
      <c r="L95" s="133"/>
      <c r="M95" s="134"/>
      <c r="N95" s="1388"/>
      <c r="O95" s="1388"/>
      <c r="P95" s="2325"/>
      <c r="Q95" s="121"/>
    </row>
    <row r="96" spans="1:17" ht="15" thickBot="1">
      <c r="A96" s="173"/>
      <c r="B96" s="1054"/>
      <c r="C96" s="902"/>
      <c r="D96" s="902"/>
      <c r="E96" s="902"/>
      <c r="F96" s="902"/>
      <c r="G96" s="878"/>
      <c r="H96" s="878"/>
      <c r="I96" s="878"/>
      <c r="J96" s="878"/>
      <c r="K96" s="878"/>
      <c r="L96" s="878"/>
      <c r="M96" s="879"/>
      <c r="N96" s="1389"/>
      <c r="O96" s="1389"/>
      <c r="P96" s="2325"/>
      <c r="Q96" s="121"/>
    </row>
    <row r="97" spans="1:17" ht="14.25" thickTop="1">
      <c r="A97" s="173"/>
      <c r="B97" s="1053">
        <f>B31</f>
        <v>111</v>
      </c>
      <c r="C97" s="139"/>
      <c r="D97" s="139"/>
      <c r="E97" s="139"/>
      <c r="F97" s="139"/>
      <c r="G97" s="131"/>
      <c r="H97" s="131"/>
      <c r="I97" s="131"/>
      <c r="J97" s="131"/>
      <c r="K97" s="132"/>
      <c r="L97" s="133"/>
      <c r="M97" s="134"/>
      <c r="N97" s="1388"/>
      <c r="O97" s="1388"/>
      <c r="P97" s="2325"/>
      <c r="Q97" s="121"/>
    </row>
    <row r="98" spans="1:17" ht="15" thickBot="1">
      <c r="A98" s="173"/>
      <c r="B98" s="1054"/>
      <c r="C98" s="902"/>
      <c r="D98" s="878"/>
      <c r="E98" s="878"/>
      <c r="F98" s="878"/>
      <c r="G98" s="878"/>
      <c r="H98" s="878"/>
      <c r="I98" s="878"/>
      <c r="J98" s="878"/>
      <c r="K98" s="878"/>
      <c r="L98" s="878"/>
      <c r="M98" s="879"/>
      <c r="N98" s="1389"/>
      <c r="O98" s="1389"/>
      <c r="P98" s="2325"/>
      <c r="Q98" s="121"/>
    </row>
    <row r="99" spans="1:17" ht="14.25" thickTop="1">
      <c r="A99" s="173"/>
      <c r="B99" s="1055">
        <f>B32</f>
        <v>111</v>
      </c>
      <c r="C99" s="140"/>
      <c r="D99" s="140"/>
      <c r="E99" s="140"/>
      <c r="F99" s="140"/>
      <c r="G99" s="135"/>
      <c r="H99" s="135"/>
      <c r="I99" s="135"/>
      <c r="J99" s="135"/>
      <c r="K99" s="136"/>
      <c r="L99" s="137"/>
      <c r="M99" s="138"/>
      <c r="N99" s="1388"/>
      <c r="O99" s="1388"/>
      <c r="P99" s="2325"/>
      <c r="Q99" s="121"/>
    </row>
    <row r="100" spans="1:17" ht="15" thickBot="1">
      <c r="A100" s="174"/>
      <c r="B100" s="1070"/>
      <c r="C100" s="912"/>
      <c r="D100" s="912"/>
      <c r="E100" s="912"/>
      <c r="F100" s="912"/>
      <c r="G100" s="933"/>
      <c r="H100" s="933"/>
      <c r="I100" s="933"/>
      <c r="J100" s="933"/>
      <c r="K100" s="933"/>
      <c r="L100" s="933"/>
      <c r="M100" s="934"/>
      <c r="N100" s="1389"/>
      <c r="O100" s="1389"/>
      <c r="P100" s="2325"/>
      <c r="Q100" s="121"/>
    </row>
    <row r="101" spans="1:17">
      <c r="A101" s="172" t="s">
        <v>1058</v>
      </c>
      <c r="B101" s="286" t="s">
        <v>1101</v>
      </c>
      <c r="C101" s="122"/>
      <c r="D101" s="122"/>
      <c r="E101" s="122"/>
      <c r="F101" s="122"/>
      <c r="G101" s="122"/>
      <c r="H101" s="122"/>
      <c r="I101" s="122"/>
      <c r="J101" s="122"/>
      <c r="K101" s="123"/>
      <c r="L101" s="124"/>
      <c r="M101" s="125"/>
      <c r="N101" s="1388"/>
      <c r="O101" s="1388"/>
      <c r="P101" s="2325"/>
      <c r="Q101" s="121"/>
    </row>
    <row r="102" spans="1:17" ht="15" thickBot="1">
      <c r="A102" s="173"/>
      <c r="B102" s="1054"/>
      <c r="C102" s="886">
        <v>100</v>
      </c>
      <c r="D102" s="886">
        <f t="shared" ref="D102:M102" si="19">C102-$K33</f>
        <v>100</v>
      </c>
      <c r="E102" s="886">
        <f t="shared" si="19"/>
        <v>100</v>
      </c>
      <c r="F102" s="886">
        <f t="shared" si="19"/>
        <v>100</v>
      </c>
      <c r="G102" s="886">
        <f t="shared" si="19"/>
        <v>100</v>
      </c>
      <c r="H102" s="886">
        <f t="shared" si="19"/>
        <v>100</v>
      </c>
      <c r="I102" s="886">
        <f t="shared" si="19"/>
        <v>100</v>
      </c>
      <c r="J102" s="886">
        <f t="shared" si="19"/>
        <v>100</v>
      </c>
      <c r="K102" s="886">
        <f t="shared" si="19"/>
        <v>100</v>
      </c>
      <c r="L102" s="886">
        <f t="shared" si="19"/>
        <v>100</v>
      </c>
      <c r="M102" s="887">
        <f t="shared" si="19"/>
        <v>100</v>
      </c>
      <c r="N102" s="1389"/>
      <c r="O102" s="1389"/>
      <c r="P102" s="2325"/>
      <c r="Q102" s="121"/>
    </row>
    <row r="103" spans="1:17" ht="15" thickTop="1">
      <c r="A103" s="173"/>
      <c r="B103" s="1053" t="s">
        <v>1060</v>
      </c>
      <c r="C103" s="920" t="str">
        <f>C104&amp;"(含)"&amp;"-"&amp;D104</f>
        <v>(含)-</v>
      </c>
      <c r="D103" s="920" t="str">
        <f t="shared" ref="D103:L103" si="20">D104&amp;"(含)"&amp;"-"&amp;E104</f>
        <v>(含)-</v>
      </c>
      <c r="E103" s="920" t="str">
        <f t="shared" si="20"/>
        <v>(含)-</v>
      </c>
      <c r="F103" s="920" t="str">
        <f t="shared" si="20"/>
        <v>(含)-</v>
      </c>
      <c r="G103" s="920" t="str">
        <f t="shared" si="20"/>
        <v>(含)-</v>
      </c>
      <c r="H103" s="920" t="str">
        <f t="shared" si="20"/>
        <v>(含)-</v>
      </c>
      <c r="I103" s="920" t="str">
        <f t="shared" si="20"/>
        <v>(含)-</v>
      </c>
      <c r="J103" s="920" t="str">
        <f t="shared" si="20"/>
        <v>(含)-</v>
      </c>
      <c r="K103" s="920" t="str">
        <f t="shared" si="20"/>
        <v>(含)-</v>
      </c>
      <c r="L103" s="920" t="str">
        <f t="shared" si="20"/>
        <v>(含)-</v>
      </c>
      <c r="M103" s="964" t="str">
        <f>M104&amp;"(含)"&amp;"-"&amp;P104</f>
        <v>(含)-</v>
      </c>
      <c r="N103" s="1387"/>
      <c r="O103" s="1387"/>
      <c r="P103" s="2325"/>
      <c r="Q103" s="121"/>
    </row>
    <row r="104" spans="1:17" s="1038" customFormat="1" ht="14.25">
      <c r="A104" s="1072"/>
      <c r="B104" s="1073"/>
      <c r="C104" s="937"/>
      <c r="D104" s="937"/>
      <c r="E104" s="937"/>
      <c r="F104" s="937"/>
      <c r="G104" s="937"/>
      <c r="H104" s="937"/>
      <c r="I104" s="937"/>
      <c r="J104" s="938"/>
      <c r="K104" s="938"/>
      <c r="L104" s="939"/>
      <c r="M104" s="940"/>
      <c r="N104" s="1390"/>
      <c r="O104" s="1390"/>
      <c r="P104" s="2326"/>
      <c r="Q104" s="1062"/>
    </row>
    <row r="105" spans="1:17" s="1038" customFormat="1" ht="15" thickBot="1">
      <c r="A105" s="1057"/>
      <c r="B105" s="1054"/>
      <c r="C105" s="902"/>
      <c r="D105" s="878"/>
      <c r="E105" s="878"/>
      <c r="F105" s="878"/>
      <c r="G105" s="878"/>
      <c r="H105" s="878"/>
      <c r="I105" s="878"/>
      <c r="J105" s="878"/>
      <c r="K105" s="878"/>
      <c r="L105" s="878"/>
      <c r="M105" s="879"/>
      <c r="N105" s="1389"/>
      <c r="O105" s="1389"/>
      <c r="P105" s="2326"/>
      <c r="Q105" s="1062"/>
    </row>
    <row r="106" spans="1:17" ht="14.25" thickTop="1">
      <c r="A106" s="175"/>
      <c r="B106" s="1053" t="s">
        <v>1061</v>
      </c>
      <c r="C106" s="139"/>
      <c r="D106" s="139"/>
      <c r="E106" s="131"/>
      <c r="F106" s="131"/>
      <c r="G106" s="131"/>
      <c r="H106" s="131"/>
      <c r="I106" s="131"/>
      <c r="J106" s="131"/>
      <c r="K106" s="132"/>
      <c r="L106" s="133"/>
      <c r="M106" s="134"/>
      <c r="N106" s="1388"/>
      <c r="O106" s="1388"/>
      <c r="P106" s="2325"/>
      <c r="Q106" s="121"/>
    </row>
    <row r="107" spans="1:17" ht="15" thickBot="1">
      <c r="A107" s="173"/>
      <c r="B107" s="1054"/>
      <c r="C107" s="886">
        <v>100</v>
      </c>
      <c r="D107" s="886">
        <f t="shared" ref="D107:M107" si="21">C107-$K35</f>
        <v>100</v>
      </c>
      <c r="E107" s="886">
        <f t="shared" si="21"/>
        <v>100</v>
      </c>
      <c r="F107" s="886">
        <f t="shared" si="21"/>
        <v>100</v>
      </c>
      <c r="G107" s="886">
        <f t="shared" si="21"/>
        <v>100</v>
      </c>
      <c r="H107" s="886">
        <f t="shared" si="21"/>
        <v>100</v>
      </c>
      <c r="I107" s="886">
        <f t="shared" si="21"/>
        <v>100</v>
      </c>
      <c r="J107" s="886">
        <f t="shared" si="21"/>
        <v>100</v>
      </c>
      <c r="K107" s="886">
        <f t="shared" si="21"/>
        <v>100</v>
      </c>
      <c r="L107" s="886">
        <f t="shared" si="21"/>
        <v>100</v>
      </c>
      <c r="M107" s="887">
        <f t="shared" si="21"/>
        <v>100</v>
      </c>
      <c r="N107" s="1389"/>
      <c r="O107" s="1389"/>
      <c r="P107" s="2325"/>
      <c r="Q107" s="121"/>
    </row>
    <row r="108" spans="1:17" ht="14.25" thickTop="1">
      <c r="A108" s="175"/>
      <c r="B108" s="1053" t="s">
        <v>1062</v>
      </c>
      <c r="C108" s="139"/>
      <c r="D108" s="139"/>
      <c r="E108" s="139"/>
      <c r="F108" s="131"/>
      <c r="G108" s="131"/>
      <c r="H108" s="131"/>
      <c r="I108" s="131"/>
      <c r="J108" s="131"/>
      <c r="K108" s="132"/>
      <c r="L108" s="133"/>
      <c r="M108" s="134"/>
      <c r="N108" s="1388"/>
      <c r="O108" s="1388"/>
      <c r="P108" s="2325"/>
      <c r="Q108" s="121"/>
    </row>
    <row r="109" spans="1:17" ht="15" thickBot="1">
      <c r="A109" s="173"/>
      <c r="B109" s="1054"/>
      <c r="C109" s="886">
        <v>100</v>
      </c>
      <c r="D109" s="886">
        <f t="shared" ref="D109:M109" si="22">C109-$K36</f>
        <v>100</v>
      </c>
      <c r="E109" s="886">
        <f t="shared" si="22"/>
        <v>100</v>
      </c>
      <c r="F109" s="886">
        <f t="shared" si="22"/>
        <v>100</v>
      </c>
      <c r="G109" s="886">
        <f t="shared" si="22"/>
        <v>100</v>
      </c>
      <c r="H109" s="886">
        <f t="shared" si="22"/>
        <v>100</v>
      </c>
      <c r="I109" s="886">
        <f t="shared" si="22"/>
        <v>100</v>
      </c>
      <c r="J109" s="886">
        <f t="shared" si="22"/>
        <v>100</v>
      </c>
      <c r="K109" s="886">
        <f t="shared" si="22"/>
        <v>100</v>
      </c>
      <c r="L109" s="886">
        <f t="shared" si="22"/>
        <v>100</v>
      </c>
      <c r="M109" s="887">
        <f t="shared" si="22"/>
        <v>100</v>
      </c>
      <c r="N109" s="1389"/>
      <c r="O109" s="1389"/>
      <c r="P109" s="2325"/>
      <c r="Q109" s="121"/>
    </row>
    <row r="110" spans="1:17" ht="15" thickTop="1">
      <c r="A110" s="175"/>
      <c r="B110" s="1053" t="s">
        <v>1063</v>
      </c>
      <c r="C110" s="920" t="str">
        <f>C111&amp;"(含)"&amp;"-"&amp;D111</f>
        <v>0.5(含)-0.6</v>
      </c>
      <c r="D110" s="920" t="str">
        <f>D111&amp;"(含)"&amp;"-"&amp;E111</f>
        <v>0.6(含)-0.7</v>
      </c>
      <c r="E110" s="920" t="str">
        <f>E111&amp;"(含)"&amp;"-"&amp;F111</f>
        <v>0.7(含)-0.8</v>
      </c>
      <c r="F110" s="920" t="str">
        <f>F111&amp;"(含)"&amp;"-"&amp;G111</f>
        <v>0.8(含)-0.9</v>
      </c>
      <c r="G110" s="920" t="str">
        <f>G111&amp;"(含)"&amp;"-"&amp;ROUND(H111,0)&amp;"(含)"</f>
        <v>0.9(含)-1(含)</v>
      </c>
      <c r="H110" s="920"/>
      <c r="I110" s="131"/>
      <c r="J110" s="131"/>
      <c r="K110" s="132"/>
      <c r="L110" s="133"/>
      <c r="M110" s="134"/>
      <c r="N110" s="1388"/>
      <c r="O110" s="1388"/>
      <c r="P110" s="2325"/>
      <c r="Q110" s="121"/>
    </row>
    <row r="111" spans="1:17" ht="14.25">
      <c r="A111" s="175"/>
      <c r="B111" s="1055"/>
      <c r="C111" s="945">
        <v>0.5</v>
      </c>
      <c r="D111" s="945">
        <v>0.6</v>
      </c>
      <c r="E111" s="945">
        <v>0.7</v>
      </c>
      <c r="F111" s="945">
        <v>0.8</v>
      </c>
      <c r="G111" s="945">
        <v>0.9</v>
      </c>
      <c r="H111" s="945">
        <v>1.0001</v>
      </c>
      <c r="I111" s="183"/>
      <c r="J111" s="183"/>
      <c r="K111" s="184"/>
      <c r="L111" s="185"/>
      <c r="M111" s="186"/>
      <c r="N111" s="1388"/>
      <c r="O111" s="1388"/>
      <c r="P111" s="2325"/>
      <c r="Q111" s="121"/>
    </row>
    <row r="112" spans="1:17" ht="15" thickBot="1">
      <c r="A112" s="173"/>
      <c r="B112" s="1054"/>
      <c r="C112" s="924">
        <v>100</v>
      </c>
      <c r="D112" s="886">
        <f>C112+$K37</f>
        <v>100</v>
      </c>
      <c r="E112" s="886">
        <f t="shared" ref="E112:M112" si="23">D112+$K37</f>
        <v>100</v>
      </c>
      <c r="F112" s="886">
        <f t="shared" si="23"/>
        <v>100</v>
      </c>
      <c r="G112" s="886">
        <f t="shared" si="23"/>
        <v>100</v>
      </c>
      <c r="H112" s="886">
        <f t="shared" si="23"/>
        <v>100</v>
      </c>
      <c r="I112" s="886">
        <f t="shared" si="23"/>
        <v>100</v>
      </c>
      <c r="J112" s="886">
        <f t="shared" si="23"/>
        <v>100</v>
      </c>
      <c r="K112" s="886">
        <f t="shared" si="23"/>
        <v>100</v>
      </c>
      <c r="L112" s="886">
        <f t="shared" si="23"/>
        <v>100</v>
      </c>
      <c r="M112" s="886">
        <f t="shared" si="23"/>
        <v>100</v>
      </c>
      <c r="N112" s="1389"/>
      <c r="O112" s="1389"/>
      <c r="P112" s="2325"/>
      <c r="Q112" s="121"/>
    </row>
    <row r="113" spans="1:17" s="1038" customFormat="1" ht="14.25" thickTop="1">
      <c r="A113" s="1072"/>
      <c r="B113" s="1053" t="s">
        <v>1102</v>
      </c>
      <c r="C113" s="139"/>
      <c r="D113" s="139"/>
      <c r="E113" s="139"/>
      <c r="F113" s="139"/>
      <c r="G113" s="139"/>
      <c r="H113" s="131"/>
      <c r="I113" s="131"/>
      <c r="J113" s="131"/>
      <c r="K113" s="132"/>
      <c r="L113" s="133"/>
      <c r="M113" s="134"/>
      <c r="N113" s="1390"/>
      <c r="O113" s="1390"/>
      <c r="P113" s="2326"/>
      <c r="Q113" s="1062"/>
    </row>
    <row r="114" spans="1:17" s="1038" customFormat="1" ht="15" thickBot="1">
      <c r="A114" s="1057"/>
      <c r="B114" s="1054"/>
      <c r="C114" s="886">
        <v>100</v>
      </c>
      <c r="D114" s="886">
        <f>C114-$K38</f>
        <v>100</v>
      </c>
      <c r="E114" s="886">
        <f t="shared" ref="E114:M114" si="24">D114-$K38</f>
        <v>100</v>
      </c>
      <c r="F114" s="886">
        <f t="shared" si="24"/>
        <v>100</v>
      </c>
      <c r="G114" s="886">
        <f t="shared" si="24"/>
        <v>100</v>
      </c>
      <c r="H114" s="886">
        <f t="shared" si="24"/>
        <v>100</v>
      </c>
      <c r="I114" s="886">
        <f t="shared" si="24"/>
        <v>100</v>
      </c>
      <c r="J114" s="886">
        <f t="shared" si="24"/>
        <v>100</v>
      </c>
      <c r="K114" s="886">
        <f t="shared" si="24"/>
        <v>100</v>
      </c>
      <c r="L114" s="886">
        <f t="shared" si="24"/>
        <v>100</v>
      </c>
      <c r="M114" s="886">
        <f t="shared" si="24"/>
        <v>100</v>
      </c>
      <c r="N114" s="1390"/>
      <c r="O114" s="1390"/>
      <c r="P114" s="2326"/>
      <c r="Q114" s="1062"/>
    </row>
    <row r="115" spans="1:17" ht="14.25" thickTop="1">
      <c r="A115" s="175"/>
      <c r="B115" s="1053" t="s">
        <v>1103</v>
      </c>
      <c r="C115" s="139"/>
      <c r="D115" s="139"/>
      <c r="E115" s="131"/>
      <c r="F115" s="131"/>
      <c r="G115" s="131"/>
      <c r="H115" s="131"/>
      <c r="I115" s="131"/>
      <c r="J115" s="131"/>
      <c r="K115" s="132"/>
      <c r="L115" s="133"/>
      <c r="M115" s="134"/>
      <c r="N115" s="1388"/>
      <c r="O115" s="1388"/>
      <c r="P115" s="2325"/>
      <c r="Q115" s="121"/>
    </row>
    <row r="116" spans="1:17" ht="15" thickBot="1">
      <c r="A116" s="173"/>
      <c r="B116" s="1054"/>
      <c r="C116" s="886">
        <v>100</v>
      </c>
      <c r="D116" s="886">
        <f t="shared" ref="D116:M116" si="25">C116-$K39</f>
        <v>100</v>
      </c>
      <c r="E116" s="886">
        <f t="shared" si="25"/>
        <v>100</v>
      </c>
      <c r="F116" s="886">
        <f t="shared" si="25"/>
        <v>100</v>
      </c>
      <c r="G116" s="886">
        <f t="shared" si="25"/>
        <v>100</v>
      </c>
      <c r="H116" s="886">
        <f t="shared" si="25"/>
        <v>100</v>
      </c>
      <c r="I116" s="886">
        <f t="shared" si="25"/>
        <v>100</v>
      </c>
      <c r="J116" s="886">
        <f t="shared" si="25"/>
        <v>100</v>
      </c>
      <c r="K116" s="886">
        <f t="shared" si="25"/>
        <v>100</v>
      </c>
      <c r="L116" s="886">
        <f t="shared" si="25"/>
        <v>100</v>
      </c>
      <c r="M116" s="887">
        <f t="shared" si="25"/>
        <v>100</v>
      </c>
      <c r="N116" s="1389"/>
      <c r="O116" s="1389"/>
      <c r="P116" s="2325"/>
      <c r="Q116" s="121"/>
    </row>
    <row r="117" spans="1:17" ht="14.25" thickTop="1">
      <c r="A117" s="175"/>
      <c r="B117" s="1053" t="s">
        <v>2643</v>
      </c>
      <c r="C117" s="139"/>
      <c r="D117" s="139"/>
      <c r="E117" s="139"/>
      <c r="F117" s="139"/>
      <c r="G117" s="139"/>
      <c r="H117" s="131"/>
      <c r="I117" s="131"/>
      <c r="J117" s="131"/>
      <c r="K117" s="132"/>
      <c r="L117" s="133"/>
      <c r="M117" s="134"/>
      <c r="N117" s="1388"/>
      <c r="O117" s="1388"/>
      <c r="P117" s="2325"/>
      <c r="Q117" s="121"/>
    </row>
    <row r="118" spans="1:17" ht="15" thickBot="1">
      <c r="A118" s="173"/>
      <c r="B118" s="1054"/>
      <c r="C118" s="886">
        <v>100</v>
      </c>
      <c r="D118" s="886">
        <f>C118-$K40</f>
        <v>100</v>
      </c>
      <c r="E118" s="886">
        <f>D118-$K40</f>
        <v>100</v>
      </c>
      <c r="F118" s="886">
        <f>E118-$K40</f>
        <v>100</v>
      </c>
      <c r="G118" s="886">
        <f>F118-$K40</f>
        <v>100</v>
      </c>
      <c r="H118" s="886"/>
      <c r="I118" s="886"/>
      <c r="J118" s="886"/>
      <c r="K118" s="886"/>
      <c r="L118" s="886"/>
      <c r="M118" s="887"/>
      <c r="N118" s="1389"/>
      <c r="O118" s="1389"/>
      <c r="P118" s="2325"/>
      <c r="Q118" s="121"/>
    </row>
    <row r="119" spans="1:17" ht="14.25" thickTop="1">
      <c r="A119" s="175"/>
      <c r="B119" s="211" t="s">
        <v>1065</v>
      </c>
      <c r="C119" s="131"/>
      <c r="D119" s="131"/>
      <c r="E119" s="131"/>
      <c r="F119" s="131"/>
      <c r="G119" s="131"/>
      <c r="H119" s="131"/>
      <c r="I119" s="131"/>
      <c r="J119" s="131"/>
      <c r="K119" s="131"/>
      <c r="L119" s="198"/>
      <c r="M119" s="199"/>
      <c r="N119" s="1389"/>
      <c r="O119" s="1389"/>
      <c r="P119" s="2330"/>
      <c r="Q119" s="201"/>
    </row>
    <row r="120" spans="1:17" ht="15" thickBot="1">
      <c r="A120" s="173"/>
      <c r="B120" s="1054"/>
      <c r="C120" s="924">
        <v>100</v>
      </c>
      <c r="D120" s="886">
        <f>C120-$K41</f>
        <v>100</v>
      </c>
      <c r="E120" s="886">
        <f t="shared" ref="E120:M120" si="26">D120-$K41</f>
        <v>100</v>
      </c>
      <c r="F120" s="886">
        <f t="shared" si="26"/>
        <v>100</v>
      </c>
      <c r="G120" s="886">
        <f t="shared" si="26"/>
        <v>100</v>
      </c>
      <c r="H120" s="886">
        <f t="shared" si="26"/>
        <v>100</v>
      </c>
      <c r="I120" s="886">
        <f t="shared" si="26"/>
        <v>100</v>
      </c>
      <c r="J120" s="886">
        <f t="shared" si="26"/>
        <v>100</v>
      </c>
      <c r="K120" s="886">
        <f t="shared" si="26"/>
        <v>100</v>
      </c>
      <c r="L120" s="886">
        <f t="shared" si="26"/>
        <v>100</v>
      </c>
      <c r="M120" s="886">
        <f t="shared" si="26"/>
        <v>100</v>
      </c>
      <c r="N120" s="1389"/>
      <c r="O120" s="1389"/>
      <c r="P120" s="2325"/>
      <c r="Q120" s="121"/>
    </row>
    <row r="121" spans="1:17" s="1038" customFormat="1" ht="15" thickTop="1">
      <c r="A121" s="1072"/>
      <c r="B121" s="1053" t="s">
        <v>1066</v>
      </c>
      <c r="C121" s="896"/>
      <c r="D121" s="896"/>
      <c r="E121" s="896"/>
      <c r="F121" s="925"/>
      <c r="G121" s="897"/>
      <c r="H121" s="897"/>
      <c r="I121" s="897"/>
      <c r="J121" s="897"/>
      <c r="K121" s="897"/>
      <c r="L121" s="898"/>
      <c r="M121" s="899"/>
      <c r="N121" s="1390"/>
      <c r="O121" s="1390"/>
      <c r="P121" s="2326"/>
      <c r="Q121" s="1062"/>
    </row>
    <row r="122" spans="1:17" s="1038" customFormat="1" ht="15" thickBot="1">
      <c r="A122" s="1057"/>
      <c r="B122" s="1052"/>
      <c r="C122" s="902"/>
      <c r="D122" s="902"/>
      <c r="E122" s="902"/>
      <c r="F122" s="902"/>
      <c r="G122" s="902"/>
      <c r="H122" s="902"/>
      <c r="I122" s="902"/>
      <c r="J122" s="902"/>
      <c r="K122" s="902"/>
      <c r="L122" s="902"/>
      <c r="M122" s="902"/>
      <c r="N122" s="1390"/>
      <c r="O122" s="1390"/>
      <c r="P122" s="2326"/>
      <c r="Q122" s="1062"/>
    </row>
    <row r="123" spans="1:17" ht="14.25" thickTop="1">
      <c r="A123" s="175"/>
      <c r="B123" s="1053" t="s">
        <v>1068</v>
      </c>
      <c r="C123" s="139"/>
      <c r="D123" s="139"/>
      <c r="E123" s="139"/>
      <c r="F123" s="131"/>
      <c r="G123" s="131"/>
      <c r="H123" s="131"/>
      <c r="I123" s="131"/>
      <c r="J123" s="131"/>
      <c r="K123" s="132"/>
      <c r="L123" s="133"/>
      <c r="M123" s="134"/>
      <c r="N123" s="1388"/>
      <c r="O123" s="1388"/>
      <c r="P123" s="2325"/>
      <c r="Q123" s="121"/>
    </row>
    <row r="124" spans="1:17" ht="15" thickBot="1">
      <c r="A124" s="173"/>
      <c r="B124" s="1054"/>
      <c r="C124" s="886">
        <v>100</v>
      </c>
      <c r="D124" s="886">
        <f t="shared" ref="D124:M124" si="27">C124-$K43</f>
        <v>100</v>
      </c>
      <c r="E124" s="886">
        <f t="shared" si="27"/>
        <v>100</v>
      </c>
      <c r="F124" s="886">
        <f t="shared" si="27"/>
        <v>100</v>
      </c>
      <c r="G124" s="886">
        <f t="shared" si="27"/>
        <v>100</v>
      </c>
      <c r="H124" s="886">
        <f t="shared" si="27"/>
        <v>100</v>
      </c>
      <c r="I124" s="886">
        <f t="shared" si="27"/>
        <v>100</v>
      </c>
      <c r="J124" s="886">
        <f t="shared" si="27"/>
        <v>100</v>
      </c>
      <c r="K124" s="886">
        <f t="shared" si="27"/>
        <v>100</v>
      </c>
      <c r="L124" s="886">
        <f t="shared" si="27"/>
        <v>100</v>
      </c>
      <c r="M124" s="887">
        <f t="shared" si="27"/>
        <v>100</v>
      </c>
      <c r="N124" s="1389"/>
      <c r="O124" s="1389"/>
      <c r="P124" s="2325"/>
      <c r="Q124" s="121"/>
    </row>
    <row r="125" spans="1:17" ht="27.75" thickTop="1">
      <c r="A125" s="175"/>
      <c r="B125" s="1053" t="s">
        <v>1069</v>
      </c>
      <c r="C125" s="920" t="s">
        <v>1018</v>
      </c>
      <c r="D125" s="920" t="s">
        <v>1019</v>
      </c>
      <c r="E125" s="920" t="s">
        <v>1020</v>
      </c>
      <c r="F125" s="920" t="s">
        <v>1021</v>
      </c>
      <c r="G125" s="920" t="s">
        <v>1022</v>
      </c>
      <c r="H125" s="881"/>
      <c r="I125" s="881"/>
      <c r="J125" s="881"/>
      <c r="K125" s="882"/>
      <c r="L125" s="883"/>
      <c r="M125" s="884"/>
      <c r="N125" s="1388"/>
      <c r="O125" s="1388"/>
      <c r="P125" s="2326"/>
      <c r="Q125" s="121"/>
    </row>
    <row r="126" spans="1:17" ht="15" thickBot="1">
      <c r="A126" s="173"/>
      <c r="B126" s="1054"/>
      <c r="C126" s="886">
        <v>100</v>
      </c>
      <c r="D126" s="886">
        <f>C126-$K44</f>
        <v>100</v>
      </c>
      <c r="E126" s="886">
        <f>D126-$K44</f>
        <v>100</v>
      </c>
      <c r="F126" s="886">
        <f>E126-$K44</f>
        <v>100</v>
      </c>
      <c r="G126" s="886">
        <f>F126-$K44</f>
        <v>100</v>
      </c>
      <c r="H126" s="886"/>
      <c r="I126" s="886"/>
      <c r="J126" s="886"/>
      <c r="K126" s="886"/>
      <c r="L126" s="886"/>
      <c r="M126" s="887"/>
      <c r="N126" s="1389"/>
      <c r="O126" s="1389"/>
      <c r="P126" s="2325"/>
      <c r="Q126" s="121"/>
    </row>
    <row r="127" spans="1:17" s="1038" customFormat="1" ht="14.25" thickTop="1">
      <c r="A127" s="1072"/>
      <c r="B127" s="1053">
        <f>B45</f>
        <v>111</v>
      </c>
      <c r="C127" s="139"/>
      <c r="D127" s="139"/>
      <c r="E127" s="139"/>
      <c r="F127" s="139"/>
      <c r="G127" s="139"/>
      <c r="H127" s="1058"/>
      <c r="I127" s="1058"/>
      <c r="J127" s="1058"/>
      <c r="K127" s="1058"/>
      <c r="L127" s="1059"/>
      <c r="M127" s="1060"/>
      <c r="N127" s="1390"/>
      <c r="O127" s="1390"/>
      <c r="P127" s="2326"/>
      <c r="Q127" s="1062"/>
    </row>
    <row r="128" spans="1:17" s="1038" customFormat="1" ht="15" thickBot="1">
      <c r="A128" s="1057"/>
      <c r="B128" s="1054"/>
      <c r="C128" s="902"/>
      <c r="D128" s="878"/>
      <c r="E128" s="878"/>
      <c r="F128" s="878"/>
      <c r="G128" s="902"/>
      <c r="H128" s="904"/>
      <c r="I128" s="904"/>
      <c r="J128" s="904"/>
      <c r="K128" s="904"/>
      <c r="L128" s="904"/>
      <c r="M128" s="905"/>
      <c r="N128" s="1390"/>
      <c r="O128" s="1390"/>
      <c r="P128" s="2326"/>
      <c r="Q128" s="1062"/>
    </row>
    <row r="129" spans="1:17" ht="14.25" thickTop="1">
      <c r="A129" s="175"/>
      <c r="B129" s="1053">
        <f>B46</f>
        <v>111</v>
      </c>
      <c r="C129" s="139"/>
      <c r="D129" s="139"/>
      <c r="E129" s="139"/>
      <c r="F129" s="139"/>
      <c r="G129" s="131"/>
      <c r="H129" s="131"/>
      <c r="I129" s="131"/>
      <c r="J129" s="131"/>
      <c r="K129" s="132"/>
      <c r="L129" s="133"/>
      <c r="M129" s="134"/>
      <c r="N129" s="1388"/>
      <c r="O129" s="1388"/>
      <c r="P129" s="2325"/>
      <c r="Q129" s="121"/>
    </row>
    <row r="130" spans="1:17" ht="15" thickBot="1">
      <c r="A130" s="173"/>
      <c r="B130" s="1054"/>
      <c r="C130" s="902"/>
      <c r="D130" s="902"/>
      <c r="E130" s="902"/>
      <c r="F130" s="902"/>
      <c r="G130" s="878"/>
      <c r="H130" s="878"/>
      <c r="I130" s="878"/>
      <c r="J130" s="878"/>
      <c r="K130" s="878"/>
      <c r="L130" s="878"/>
      <c r="M130" s="879"/>
      <c r="N130" s="1389"/>
      <c r="O130" s="1389"/>
      <c r="P130" s="2325"/>
      <c r="Q130" s="121"/>
    </row>
    <row r="131" spans="1:17" ht="14.25" thickTop="1">
      <c r="A131" s="175"/>
      <c r="B131" s="1055">
        <f>B47</f>
        <v>111</v>
      </c>
      <c r="C131" s="140"/>
      <c r="D131" s="140"/>
      <c r="E131" s="140"/>
      <c r="F131" s="140"/>
      <c r="G131" s="135"/>
      <c r="H131" s="135"/>
      <c r="I131" s="135"/>
      <c r="J131" s="135"/>
      <c r="K131" s="140"/>
      <c r="L131" s="141"/>
      <c r="M131" s="138"/>
      <c r="N131" s="1388"/>
      <c r="O131" s="1388"/>
      <c r="P131" s="2325"/>
      <c r="Q131" s="121"/>
    </row>
    <row r="132" spans="1:17" ht="15" thickBot="1">
      <c r="A132" s="174"/>
      <c r="B132" s="1070"/>
      <c r="C132" s="912"/>
      <c r="D132" s="912"/>
      <c r="E132" s="912"/>
      <c r="F132" s="912"/>
      <c r="G132" s="933"/>
      <c r="H132" s="933"/>
      <c r="I132" s="933"/>
      <c r="J132" s="933"/>
      <c r="K132" s="933"/>
      <c r="L132" s="933"/>
      <c r="M132" s="934"/>
      <c r="N132" s="1389"/>
      <c r="O132" s="1389"/>
      <c r="P132" s="2325"/>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129" priority="16" stopIfTrue="1" operator="containsText" text="超过">
      <formula>NOT(ISERROR(SEARCH("超过",F53)))</formula>
    </cfRule>
  </conditionalFormatting>
  <conditionalFormatting sqref="H55">
    <cfRule type="containsText" dxfId="128" priority="15" stopIfTrue="1" operator="containsText" text="超过">
      <formula>NOT(ISERROR(SEARCH("超过",H55)))</formula>
    </cfRule>
  </conditionalFormatting>
  <conditionalFormatting sqref="F55">
    <cfRule type="containsText" dxfId="127" priority="14" stopIfTrue="1" operator="containsText" text="超过">
      <formula>NOT(ISERROR(SEARCH("超过",F55)))</formula>
    </cfRule>
  </conditionalFormatting>
  <conditionalFormatting sqref="F54 H54">
    <cfRule type="containsText" dxfId="126" priority="13" stopIfTrue="1" operator="containsText" text="超过">
      <formula>NOT(ISERROR(SEARCH("超过",F54)))</formula>
    </cfRule>
  </conditionalFormatting>
  <conditionalFormatting sqref="E53">
    <cfRule type="expression" dxfId="125" priority="12" stopIfTrue="1">
      <formula>$F$53="超过30%"</formula>
    </cfRule>
  </conditionalFormatting>
  <conditionalFormatting sqref="E54">
    <cfRule type="expression" dxfId="124" priority="11" stopIfTrue="1">
      <formula>$F$54="超过20%"</formula>
    </cfRule>
  </conditionalFormatting>
  <conditionalFormatting sqref="E55">
    <cfRule type="expression" dxfId="123" priority="10" stopIfTrue="1">
      <formula>$F$55="超过30%"</formula>
    </cfRule>
  </conditionalFormatting>
  <conditionalFormatting sqref="G55">
    <cfRule type="expression" dxfId="122" priority="9" stopIfTrue="1">
      <formula>$H$55="超过30%"</formula>
    </cfRule>
  </conditionalFormatting>
  <conditionalFormatting sqref="G53">
    <cfRule type="expression" dxfId="121" priority="8" stopIfTrue="1">
      <formula>$H$53="超过30%"</formula>
    </cfRule>
  </conditionalFormatting>
  <conditionalFormatting sqref="G54">
    <cfRule type="expression" dxfId="120" priority="7" stopIfTrue="1">
      <formula>$H$54="超过20%"</formula>
    </cfRule>
  </conditionalFormatting>
  <conditionalFormatting sqref="J53">
    <cfRule type="containsText" dxfId="119" priority="6" stopIfTrue="1" operator="containsText" text="超过">
      <formula>NOT(ISERROR(SEARCH("超过",J53)))</formula>
    </cfRule>
  </conditionalFormatting>
  <conditionalFormatting sqref="J55">
    <cfRule type="containsText" dxfId="118" priority="5" stopIfTrue="1" operator="containsText" text="超过">
      <formula>NOT(ISERROR(SEARCH("超过",J55)))</formula>
    </cfRule>
  </conditionalFormatting>
  <conditionalFormatting sqref="J54">
    <cfRule type="containsText" dxfId="117" priority="4" stopIfTrue="1" operator="containsText" text="超过">
      <formula>NOT(ISERROR(SEARCH("超过",J54)))</formula>
    </cfRule>
  </conditionalFormatting>
  <conditionalFormatting sqref="I53">
    <cfRule type="expression" dxfId="116" priority="3" stopIfTrue="1">
      <formula>$J$53="超过30%"</formula>
    </cfRule>
  </conditionalFormatting>
  <conditionalFormatting sqref="I54">
    <cfRule type="expression" dxfId="115" priority="2" stopIfTrue="1">
      <formula>$J$53+$J$54="超过20%"</formula>
    </cfRule>
  </conditionalFormatting>
  <conditionalFormatting sqref="I55">
    <cfRule type="expression" dxfId="114"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1108</v>
      </c>
      <c r="B1" s="3114" t="s">
        <v>1109</v>
      </c>
      <c r="C1" s="3108" t="s">
        <v>1110</v>
      </c>
      <c r="D1" s="3099"/>
      <c r="E1" s="3104"/>
      <c r="F1" s="3101"/>
      <c r="G1" s="3103" t="s">
        <v>1111</v>
      </c>
      <c r="H1" s="3104"/>
      <c r="I1" s="3104"/>
      <c r="J1" s="3104"/>
      <c r="K1" s="3105"/>
      <c r="L1" s="3106"/>
      <c r="M1" s="3098"/>
      <c r="N1" s="3098"/>
      <c r="O1" s="3098"/>
      <c r="P1" s="3108"/>
      <c r="Q1" s="3108"/>
      <c r="R1" s="3108"/>
      <c r="S1" s="3108"/>
      <c r="T1" s="3108"/>
      <c r="U1" s="3108"/>
      <c r="V1" s="3108"/>
      <c r="W1" s="3108"/>
      <c r="X1" s="3108"/>
      <c r="Y1" s="3108"/>
      <c r="Z1" s="3108"/>
      <c r="AA1" s="3108"/>
      <c r="AB1" s="3108"/>
      <c r="AC1" s="3109"/>
    </row>
    <row r="2" spans="1:29" s="90" customFormat="1" ht="28.5" customHeight="1" thickTop="1">
      <c r="A2" s="3092" t="s">
        <v>1112</v>
      </c>
      <c r="B2" s="2840" t="e">
        <f ca="1">IF(C2="——",ROUND(C43*D3/10000,0),ROUND(C43*D3/10000,0)-D2)</f>
        <v>#DIV/0!</v>
      </c>
      <c r="C2" s="3093"/>
      <c r="D2" s="2338" t="e">
        <f ca="1">SUMIF(INDIRECT("'"&amp;F2&amp;"'"&amp;"!A:A"),"承租人权益价值",INDIRECT("'"&amp;F2&amp;"'"&amp;"!c:c"))</f>
        <v>#REF!</v>
      </c>
      <c r="E2" s="3094" t="s">
        <v>870</v>
      </c>
      <c r="F2" s="3095"/>
      <c r="G2" s="2314"/>
      <c r="H2" s="2314"/>
      <c r="I2" s="2314"/>
      <c r="J2" s="2314"/>
      <c r="K2" s="2314"/>
      <c r="L2" s="2315"/>
      <c r="M2" s="2316"/>
      <c r="N2" s="2316"/>
      <c r="O2" s="2316"/>
      <c r="P2" s="1333"/>
      <c r="Q2" s="1333"/>
      <c r="R2" s="1333"/>
      <c r="S2" s="1333"/>
      <c r="T2" s="1333"/>
      <c r="U2" s="1333"/>
      <c r="V2" s="1333"/>
      <c r="W2" s="1333"/>
      <c r="X2" s="1333"/>
      <c r="Y2" s="1333"/>
      <c r="Z2" s="1333"/>
      <c r="AA2" s="1333"/>
      <c r="AB2" s="1333"/>
      <c r="AC2" s="1391"/>
    </row>
    <row r="3" spans="1:29" s="90" customFormat="1" ht="28.5" customHeight="1" thickBot="1">
      <c r="A3" s="87" t="s">
        <v>1113</v>
      </c>
      <c r="B3" s="951" t="e">
        <f ca="1">IF(C2="——",C43,ROUND(B2*10000/D3,0))</f>
        <v>#DIV/0!</v>
      </c>
      <c r="C3" s="142" t="s">
        <v>1114</v>
      </c>
      <c r="D3" s="742">
        <f>IF(D1="",'数据-汇总表'!E3,SUMIF('数据-汇总表'!$C19:$C33,D1,'数据-汇总表'!$E19:$E33))</f>
        <v>4043.7000000000003</v>
      </c>
      <c r="E3" s="2314"/>
      <c r="F3" s="2313"/>
      <c r="G3" s="2314"/>
      <c r="H3" s="2314"/>
      <c r="I3" s="2314"/>
      <c r="J3" s="2314"/>
      <c r="K3" s="2317"/>
      <c r="L3" s="2315"/>
      <c r="M3" s="2316"/>
      <c r="N3" s="2316"/>
      <c r="O3" s="2316"/>
      <c r="P3" s="1333"/>
      <c r="Q3" s="1333"/>
      <c r="R3" s="1333"/>
      <c r="S3" s="1333"/>
      <c r="T3" s="1333"/>
      <c r="U3" s="1333"/>
      <c r="V3" s="1333"/>
      <c r="W3" s="1333"/>
      <c r="X3" s="1333"/>
      <c r="Y3" s="1333"/>
      <c r="Z3" s="1333"/>
      <c r="AA3" s="1333"/>
      <c r="AB3" s="1409"/>
      <c r="AC3" s="1391"/>
    </row>
    <row r="4" spans="1:29">
      <c r="A4" s="143" t="s">
        <v>1115</v>
      </c>
      <c r="B4" s="144"/>
      <c r="C4" s="3658" t="s">
        <v>1116</v>
      </c>
      <c r="D4" s="3659"/>
      <c r="E4" s="3660" t="s">
        <v>1117</v>
      </c>
      <c r="F4" s="3661"/>
      <c r="G4" s="3658" t="s">
        <v>1118</v>
      </c>
      <c r="H4" s="3659"/>
      <c r="I4" s="3658" t="s">
        <v>1119</v>
      </c>
      <c r="J4" s="3659"/>
      <c r="K4" s="187" t="s">
        <v>1120</v>
      </c>
      <c r="L4" s="2291"/>
      <c r="M4" s="2292"/>
      <c r="N4" s="2292"/>
      <c r="O4" s="2292"/>
      <c r="P4" s="3662" t="s">
        <v>1115</v>
      </c>
      <c r="Q4" s="3663"/>
      <c r="R4" s="3645" t="s">
        <v>1117</v>
      </c>
      <c r="S4" s="3646"/>
      <c r="T4" s="3645" t="s">
        <v>1118</v>
      </c>
      <c r="U4" s="3646"/>
      <c r="V4" s="3670" t="s">
        <v>1119</v>
      </c>
      <c r="W4" s="3670"/>
      <c r="X4" s="1339"/>
      <c r="Y4" s="3645" t="s">
        <v>1115</v>
      </c>
      <c r="Z4" s="3646"/>
      <c r="AA4" s="3640" t="s">
        <v>1117</v>
      </c>
      <c r="AB4" s="3641" t="s">
        <v>1118</v>
      </c>
      <c r="AC4" s="3640" t="s">
        <v>1119</v>
      </c>
    </row>
    <row r="5" spans="1:29">
      <c r="A5" s="146"/>
      <c r="B5" s="147"/>
      <c r="C5" s="3651" t="s">
        <v>1121</v>
      </c>
      <c r="D5" s="3652"/>
      <c r="E5" s="3649" t="s">
        <v>1122</v>
      </c>
      <c r="F5" s="3650"/>
      <c r="G5" s="3651" t="s">
        <v>1123</v>
      </c>
      <c r="H5" s="3652"/>
      <c r="I5" s="3651" t="s">
        <v>1124</v>
      </c>
      <c r="J5" s="3652"/>
      <c r="K5" s="187"/>
      <c r="L5" s="2291"/>
      <c r="M5" s="2292"/>
      <c r="N5" s="2292"/>
      <c r="O5" s="2292"/>
      <c r="P5" s="3664"/>
      <c r="Q5" s="3665"/>
      <c r="R5" s="3647"/>
      <c r="S5" s="3648"/>
      <c r="T5" s="3647"/>
      <c r="U5" s="3648"/>
      <c r="V5" s="3670"/>
      <c r="W5" s="3670"/>
      <c r="X5" s="1339"/>
      <c r="Y5" s="3647"/>
      <c r="Z5" s="3648"/>
      <c r="AA5" s="3641"/>
      <c r="AB5" s="3641"/>
      <c r="AC5" s="3641"/>
    </row>
    <row r="6" spans="1:29" ht="14.25" thickBot="1">
      <c r="A6" s="148"/>
      <c r="B6" s="149"/>
      <c r="C6" s="3653" t="s">
        <v>1125</v>
      </c>
      <c r="D6" s="3654"/>
      <c r="E6" s="3655" t="s">
        <v>1125</v>
      </c>
      <c r="F6" s="3656"/>
      <c r="G6" s="3653" t="s">
        <v>1125</v>
      </c>
      <c r="H6" s="3654"/>
      <c r="I6" s="3653" t="s">
        <v>1125</v>
      </c>
      <c r="J6" s="3654"/>
      <c r="K6" s="187" t="s">
        <v>1126</v>
      </c>
      <c r="L6" s="2291"/>
      <c r="M6" s="2292"/>
      <c r="N6" s="2292"/>
      <c r="O6" s="2292"/>
      <c r="P6" s="3666"/>
      <c r="Q6" s="3667"/>
      <c r="R6" s="3647"/>
      <c r="S6" s="3648"/>
      <c r="T6" s="3668"/>
      <c r="U6" s="3669"/>
      <c r="V6" s="3670"/>
      <c r="W6" s="3670"/>
      <c r="X6" s="1339"/>
      <c r="Y6" s="3668"/>
      <c r="Z6" s="3669"/>
      <c r="AA6" s="3642"/>
      <c r="AB6" s="3642"/>
      <c r="AC6" s="3642"/>
    </row>
    <row r="7" spans="1:29" s="40" customFormat="1" ht="15" thickBot="1">
      <c r="A7" s="1013" t="s">
        <v>1127</v>
      </c>
      <c r="B7" s="1014"/>
      <c r="C7" s="753">
        <f>'数据-取费表'!B2</f>
        <v>42958</v>
      </c>
      <c r="D7" s="754">
        <v>100</v>
      </c>
      <c r="E7" s="1016"/>
      <c r="F7" s="756">
        <f>SUMIF(52:52,YEAR(E7)&amp;"-"&amp;MONTH(E7),53:53)</f>
        <v>0</v>
      </c>
      <c r="G7" s="1016"/>
      <c r="H7" s="754">
        <f>SUMIF(52:52,YEAR(G7)&amp;"-"&amp;MONTH(G7),53:53)</f>
        <v>0</v>
      </c>
      <c r="I7" s="1016"/>
      <c r="J7" s="754">
        <f>SUMIF(52:52,YEAR(I7)&amp;"-"&amp;MONTH(I7),53:53)</f>
        <v>0</v>
      </c>
      <c r="K7" s="1018"/>
      <c r="L7" s="2293"/>
      <c r="M7" s="2255"/>
      <c r="N7" s="2255"/>
      <c r="O7" s="2255"/>
      <c r="P7" s="3643" t="s">
        <v>1127</v>
      </c>
      <c r="Q7" s="3671"/>
      <c r="R7" s="1341" t="s">
        <v>65</v>
      </c>
      <c r="S7" s="1342">
        <f t="shared" ref="S7:S15" si="0">F7</f>
        <v>0</v>
      </c>
      <c r="T7" s="1341" t="s">
        <v>65</v>
      </c>
      <c r="U7" s="1342">
        <f t="shared" ref="U7:U15" si="1">H7</f>
        <v>0</v>
      </c>
      <c r="V7" s="1341" t="s">
        <v>65</v>
      </c>
      <c r="W7" s="1342">
        <f t="shared" ref="W7:W15" si="2">J7</f>
        <v>0</v>
      </c>
      <c r="X7" s="287"/>
      <c r="Y7" s="3643" t="s">
        <v>1127</v>
      </c>
      <c r="Z7" s="3644"/>
      <c r="AA7" s="1343" t="e">
        <f>D7/F7</f>
        <v>#DIV/0!</v>
      </c>
      <c r="AB7" s="1343" t="e">
        <f>D7/H7</f>
        <v>#DIV/0!</v>
      </c>
      <c r="AC7" s="1343" t="e">
        <f>D7/J7</f>
        <v>#DIV/0!</v>
      </c>
    </row>
    <row r="8" spans="1:29" s="40" customFormat="1" ht="15" thickBot="1">
      <c r="A8" s="1013" t="s">
        <v>1128</v>
      </c>
      <c r="B8" s="1014"/>
      <c r="C8" s="1019" t="s">
        <v>155</v>
      </c>
      <c r="D8" s="754">
        <v>100</v>
      </c>
      <c r="E8" s="1019"/>
      <c r="F8" s="756">
        <f>SUMIF(55:55,E8,56:56)-SUMIF(55:55,C8,56:56)+100</f>
        <v>0</v>
      </c>
      <c r="G8" s="1019"/>
      <c r="H8" s="754">
        <f>SUMIF(55:55,G8,56:56)-SUMIF(55:55,C8,56:56)+100</f>
        <v>0</v>
      </c>
      <c r="I8" s="1019"/>
      <c r="J8" s="754">
        <f>SUMIF(55:55,I8,56:56)-SUMIF(55:55,C8,56:56)+100</f>
        <v>0</v>
      </c>
      <c r="K8" s="1018"/>
      <c r="L8" s="2293"/>
      <c r="M8" s="2255"/>
      <c r="N8" s="2255"/>
      <c r="O8" s="2255"/>
      <c r="P8" s="3643" t="s">
        <v>1023</v>
      </c>
      <c r="Q8" s="3644"/>
      <c r="R8" s="1341" t="s">
        <v>65</v>
      </c>
      <c r="S8" s="1342">
        <f t="shared" si="0"/>
        <v>0</v>
      </c>
      <c r="T8" s="1341" t="s">
        <v>65</v>
      </c>
      <c r="U8" s="1342">
        <f t="shared" si="1"/>
        <v>0</v>
      </c>
      <c r="V8" s="1341" t="s">
        <v>65</v>
      </c>
      <c r="W8" s="1342">
        <f t="shared" si="2"/>
        <v>0</v>
      </c>
      <c r="X8" s="287"/>
      <c r="Y8" s="3643" t="s">
        <v>1023</v>
      </c>
      <c r="Z8" s="3644"/>
      <c r="AA8" s="1343" t="e">
        <f t="shared" ref="AA8:AA40" si="3">D8/F8</f>
        <v>#DIV/0!</v>
      </c>
      <c r="AB8" s="1343" t="e">
        <f t="shared" ref="AB8:AB40" si="4">D8/H8</f>
        <v>#DIV/0!</v>
      </c>
      <c r="AC8" s="1343" t="e">
        <f t="shared" ref="AC8:AC40" si="5">D8/J8</f>
        <v>#DIV/0!</v>
      </c>
    </row>
    <row r="9" spans="1:29" s="40" customFormat="1" ht="14.25">
      <c r="A9" s="1020" t="s">
        <v>1024</v>
      </c>
      <c r="B9" s="62" t="s">
        <v>1025</v>
      </c>
      <c r="C9" s="1345"/>
      <c r="D9" s="425">
        <v>100</v>
      </c>
      <c r="E9" s="1347"/>
      <c r="F9" s="425">
        <f>SUMIF(57:57,E9,58:58)-SUMIF(57:57,C9,58:58)+100</f>
        <v>100</v>
      </c>
      <c r="G9" s="1346"/>
      <c r="H9" s="425">
        <f>SUMIF(57:57,G9,58:58)-SUMIF(57:57,C9,58:58)+100</f>
        <v>100</v>
      </c>
      <c r="I9" s="1346"/>
      <c r="J9" s="425">
        <f>SUMIF(57:57,I9,58:58)-SUMIF(57:57,C9,58:58)+100</f>
        <v>100</v>
      </c>
      <c r="K9" s="1018"/>
      <c r="L9" s="2293"/>
      <c r="M9" s="2255"/>
      <c r="N9" s="2255"/>
      <c r="O9" s="2334"/>
      <c r="P9" s="3675" t="s">
        <v>67</v>
      </c>
      <c r="Q9" s="7" t="str">
        <f t="shared" ref="Q9:Q15" si="6">B9</f>
        <v>用途</v>
      </c>
      <c r="R9" s="1341" t="s">
        <v>65</v>
      </c>
      <c r="S9" s="1342">
        <f t="shared" si="0"/>
        <v>100</v>
      </c>
      <c r="T9" s="1341" t="s">
        <v>65</v>
      </c>
      <c r="U9" s="1342">
        <f t="shared" si="1"/>
        <v>100</v>
      </c>
      <c r="V9" s="1341" t="s">
        <v>65</v>
      </c>
      <c r="W9" s="1342">
        <f t="shared" si="2"/>
        <v>100</v>
      </c>
      <c r="X9" s="287"/>
      <c r="Y9" s="3503" t="s">
        <v>67</v>
      </c>
      <c r="Z9" s="288" t="str">
        <f t="shared" ref="Z9:Z15" si="7">Q9</f>
        <v>用途</v>
      </c>
      <c r="AA9" s="1343">
        <f t="shared" si="3"/>
        <v>1</v>
      </c>
      <c r="AB9" s="1343">
        <f t="shared" si="4"/>
        <v>1</v>
      </c>
      <c r="AC9" s="1343">
        <f t="shared" si="5"/>
        <v>1</v>
      </c>
    </row>
    <row r="10" spans="1:29" s="92" customFormat="1" ht="27">
      <c r="A10" s="150"/>
      <c r="B10" s="12" t="s">
        <v>106</v>
      </c>
      <c r="C10" s="1348"/>
      <c r="D10" s="426">
        <v>100</v>
      </c>
      <c r="E10" s="1348"/>
      <c r="F10" s="426">
        <f>SUMIF(59:59,E10,60:60)-SUMIF(59:59,C10,60:60)+100</f>
        <v>100</v>
      </c>
      <c r="G10" s="1349"/>
      <c r="H10" s="426">
        <f>SUMIF(59:59,G10,60:60)-SUMIF(59:59,C10,60:60)+100</f>
        <v>100</v>
      </c>
      <c r="I10" s="1348"/>
      <c r="J10" s="426">
        <f>SUMIF(59:59,I10,60:60)-SUMIF(59:59,C10,60:60)+100</f>
        <v>100</v>
      </c>
      <c r="K10" s="954"/>
      <c r="L10" s="2294"/>
      <c r="M10" s="2295"/>
      <c r="N10" s="2295"/>
      <c r="O10" s="2335"/>
      <c r="P10" s="3675"/>
      <c r="Q10" s="7" t="str">
        <f t="shared" si="6"/>
        <v>土地使用年限（年）</v>
      </c>
      <c r="R10" s="1341" t="s">
        <v>65</v>
      </c>
      <c r="S10" s="1342">
        <f t="shared" si="0"/>
        <v>100</v>
      </c>
      <c r="T10" s="1341" t="s">
        <v>65</v>
      </c>
      <c r="U10" s="1342">
        <f t="shared" si="1"/>
        <v>100</v>
      </c>
      <c r="V10" s="1341" t="s">
        <v>65</v>
      </c>
      <c r="W10" s="1342">
        <f t="shared" si="2"/>
        <v>100</v>
      </c>
      <c r="X10" s="287"/>
      <c r="Y10" s="3503"/>
      <c r="Z10" s="288" t="str">
        <f t="shared" si="7"/>
        <v>土地使用年限（年）</v>
      </c>
      <c r="AA10" s="1343">
        <f t="shared" si="3"/>
        <v>1</v>
      </c>
      <c r="AB10" s="1343">
        <f t="shared" si="4"/>
        <v>1</v>
      </c>
      <c r="AC10" s="1343">
        <f t="shared" si="5"/>
        <v>1</v>
      </c>
    </row>
    <row r="11" spans="1:29" ht="15">
      <c r="A11" s="151"/>
      <c r="B11" s="12" t="s">
        <v>93</v>
      </c>
      <c r="C11" s="771"/>
      <c r="D11" s="426">
        <v>100</v>
      </c>
      <c r="E11" s="771"/>
      <c r="F11" s="426" t="e">
        <f>LOOKUP(E11,62:62,63:63)-LOOKUP(C11,62:62,63:63)+100</f>
        <v>#N/A</v>
      </c>
      <c r="G11" s="772"/>
      <c r="H11" s="426" t="e">
        <f>LOOKUP(G11,62:62,63:63)-LOOKUP(C11,62:62,63:63)+100</f>
        <v>#N/A</v>
      </c>
      <c r="I11" s="771"/>
      <c r="J11" s="426" t="e">
        <f>LOOKUP(I11,62:62,63:63)-LOOKUP(C11,62:62,63:63)+100</f>
        <v>#N/A</v>
      </c>
      <c r="K11" s="954"/>
      <c r="L11" s="2296"/>
      <c r="M11" s="2292"/>
      <c r="N11" s="2292"/>
      <c r="O11" s="2336"/>
      <c r="P11" s="3675"/>
      <c r="Q11" s="7" t="str">
        <f t="shared" si="6"/>
        <v>容积率</v>
      </c>
      <c r="R11" s="1341" t="s">
        <v>65</v>
      </c>
      <c r="S11" s="1342" t="e">
        <f t="shared" si="0"/>
        <v>#N/A</v>
      </c>
      <c r="T11" s="1341" t="s">
        <v>65</v>
      </c>
      <c r="U11" s="1342" t="e">
        <f t="shared" si="1"/>
        <v>#N/A</v>
      </c>
      <c r="V11" s="1341" t="s">
        <v>65</v>
      </c>
      <c r="W11" s="1342" t="e">
        <f t="shared" si="2"/>
        <v>#N/A</v>
      </c>
      <c r="X11" s="287"/>
      <c r="Y11" s="3503"/>
      <c r="Z11" s="288" t="str">
        <f t="shared" si="7"/>
        <v>容积率</v>
      </c>
      <c r="AA11" s="1343" t="e">
        <f t="shared" si="3"/>
        <v>#N/A</v>
      </c>
      <c r="AB11" s="1343" t="e">
        <f t="shared" si="4"/>
        <v>#N/A</v>
      </c>
      <c r="AC11" s="1343" t="e">
        <f t="shared" si="5"/>
        <v>#N/A</v>
      </c>
    </row>
    <row r="12" spans="1:29" s="40" customFormat="1" ht="14.25">
      <c r="A12" s="1029"/>
      <c r="B12" s="1030">
        <v>111</v>
      </c>
      <c r="C12" s="1023"/>
      <c r="D12" s="775">
        <v>100</v>
      </c>
      <c r="E12" s="93"/>
      <c r="F12" s="426">
        <f>SUMIF(64:64,E12,65:65)-SUMIF(64:64,C12,65:65)+100</f>
        <v>100</v>
      </c>
      <c r="G12" s="1410"/>
      <c r="H12" s="426">
        <f>SUMIF(64:64,G12,65:65)-SUMIF(64:64,C12,65:65)+100</f>
        <v>100</v>
      </c>
      <c r="I12" s="1357"/>
      <c r="J12" s="426">
        <f>SUMIF(64:64,I12,65:65)-SUMIF(64:64,C12,65:65)+100</f>
        <v>100</v>
      </c>
      <c r="K12" s="188"/>
      <c r="L12" s="2293"/>
      <c r="M12" s="2255"/>
      <c r="N12" s="2255"/>
      <c r="O12" s="2334"/>
      <c r="P12" s="3675"/>
      <c r="Q12" s="7">
        <f t="shared" si="6"/>
        <v>111</v>
      </c>
      <c r="R12" s="1341" t="s">
        <v>65</v>
      </c>
      <c r="S12" s="1342">
        <f t="shared" si="0"/>
        <v>100</v>
      </c>
      <c r="T12" s="1341" t="s">
        <v>65</v>
      </c>
      <c r="U12" s="1342">
        <f t="shared" si="1"/>
        <v>100</v>
      </c>
      <c r="V12" s="1341" t="s">
        <v>65</v>
      </c>
      <c r="W12" s="1342">
        <f t="shared" si="2"/>
        <v>100</v>
      </c>
      <c r="X12" s="287"/>
      <c r="Y12" s="3503"/>
      <c r="Z12" s="288">
        <f t="shared" si="7"/>
        <v>111</v>
      </c>
      <c r="AA12" s="1343">
        <f>D12/F12</f>
        <v>1</v>
      </c>
      <c r="AB12" s="1343">
        <f>D12/H12</f>
        <v>1</v>
      </c>
      <c r="AC12" s="1343">
        <f>D12/J12</f>
        <v>1</v>
      </c>
    </row>
    <row r="13" spans="1:29" ht="14.25">
      <c r="A13" s="151"/>
      <c r="B13" s="1030">
        <v>111</v>
      </c>
      <c r="C13" s="93"/>
      <c r="D13" s="777">
        <v>100</v>
      </c>
      <c r="E13" s="93"/>
      <c r="F13" s="426">
        <f>SUMIF(66:66,E13,67:67)-SUMIF(66:66,C13,67:67)+100</f>
        <v>100</v>
      </c>
      <c r="G13" s="1410"/>
      <c r="H13" s="777">
        <f>SUMIF(66:66,G13,67:67)-SUMIF(66:66,C13,67:67)+100</f>
        <v>100</v>
      </c>
      <c r="I13" s="1357"/>
      <c r="J13" s="777">
        <f>SUMIF(66:66,I13,67:67)-SUMIF(66:66,C13,67:67)+100</f>
        <v>100</v>
      </c>
      <c r="K13" s="188"/>
      <c r="L13" s="2297"/>
      <c r="M13" s="2292"/>
      <c r="N13" s="2292"/>
      <c r="O13" s="2336"/>
      <c r="P13" s="3675"/>
      <c r="Q13" s="7">
        <f t="shared" si="6"/>
        <v>111</v>
      </c>
      <c r="R13" s="1341" t="s">
        <v>65</v>
      </c>
      <c r="S13" s="1342">
        <f t="shared" si="0"/>
        <v>100</v>
      </c>
      <c r="T13" s="1341" t="s">
        <v>65</v>
      </c>
      <c r="U13" s="1342">
        <f t="shared" si="1"/>
        <v>100</v>
      </c>
      <c r="V13" s="1341" t="s">
        <v>65</v>
      </c>
      <c r="W13" s="1342">
        <f t="shared" si="2"/>
        <v>100</v>
      </c>
      <c r="X13" s="287"/>
      <c r="Y13" s="3503"/>
      <c r="Z13" s="288">
        <f t="shared" si="7"/>
        <v>111</v>
      </c>
      <c r="AA13" s="1343">
        <f t="shared" si="3"/>
        <v>1</v>
      </c>
      <c r="AB13" s="1343">
        <f t="shared" si="4"/>
        <v>1</v>
      </c>
      <c r="AC13" s="1343">
        <f t="shared" si="5"/>
        <v>1</v>
      </c>
    </row>
    <row r="14" spans="1:29" ht="15" thickBot="1">
      <c r="A14" s="154"/>
      <c r="B14" s="1031">
        <v>111</v>
      </c>
      <c r="C14" s="94"/>
      <c r="D14" s="780">
        <v>100</v>
      </c>
      <c r="E14" s="94"/>
      <c r="F14" s="780">
        <f>SUMIF(68:68,E14,69:69)-SUMIF(68:68,C14,69:69)+100</f>
        <v>100</v>
      </c>
      <c r="G14" s="1410"/>
      <c r="H14" s="780">
        <f>SUMIF(68:68,G14,69:69)-SUMIF(68:68,C14,69:69)+100</f>
        <v>100</v>
      </c>
      <c r="I14" s="1357"/>
      <c r="J14" s="780">
        <f>SUMIF(68:68,I14,69:69)-SUMIF(68:68,C14,69:69)+100</f>
        <v>100</v>
      </c>
      <c r="K14" s="188"/>
      <c r="L14" s="2297"/>
      <c r="M14" s="2292"/>
      <c r="N14" s="2292"/>
      <c r="O14" s="2336"/>
      <c r="P14" s="3675"/>
      <c r="Q14" s="7">
        <f t="shared" si="6"/>
        <v>111</v>
      </c>
      <c r="R14" s="1341" t="s">
        <v>65</v>
      </c>
      <c r="S14" s="1342">
        <f t="shared" si="0"/>
        <v>100</v>
      </c>
      <c r="T14" s="1341" t="s">
        <v>65</v>
      </c>
      <c r="U14" s="1342">
        <f t="shared" si="1"/>
        <v>100</v>
      </c>
      <c r="V14" s="1341" t="s">
        <v>65</v>
      </c>
      <c r="W14" s="1342">
        <f t="shared" si="2"/>
        <v>100</v>
      </c>
      <c r="X14" s="287"/>
      <c r="Y14" s="3503"/>
      <c r="Z14" s="288">
        <f t="shared" si="7"/>
        <v>111</v>
      </c>
      <c r="AA14" s="1343">
        <f t="shared" si="3"/>
        <v>1</v>
      </c>
      <c r="AB14" s="1343">
        <f t="shared" si="4"/>
        <v>1</v>
      </c>
      <c r="AC14" s="1343">
        <f t="shared" si="5"/>
        <v>1</v>
      </c>
    </row>
    <row r="15" spans="1:29" ht="67.5">
      <c r="A15" s="155" t="s">
        <v>69</v>
      </c>
      <c r="B15" s="58" t="s">
        <v>151</v>
      </c>
      <c r="C15" s="212" t="str">
        <f>估价对象房地状况!G3</f>
        <v>估价对象位于XX开发区，园区建设成熟度XX，产业集聚程度XX</v>
      </c>
      <c r="D15" s="783">
        <v>100</v>
      </c>
      <c r="E15" s="95"/>
      <c r="F15" s="785">
        <f>SUMIF(70:70,E16,71:71)-SUMIF(70:70,C16,71:71)+100</f>
        <v>100</v>
      </c>
      <c r="G15" s="96"/>
      <c r="H15" s="783">
        <f>SUMIF(70:70,G16,71:71)-SUMIF(70:70,C16,71:71)+100</f>
        <v>100</v>
      </c>
      <c r="I15" s="95"/>
      <c r="J15" s="783">
        <f>SUMIF(70:70,I16,71:71)-SUMIF(70:70,C16,71:71)+100</f>
        <v>100</v>
      </c>
      <c r="K15" s="956"/>
      <c r="L15" s="2297"/>
      <c r="M15" s="2292"/>
      <c r="N15" s="2292"/>
      <c r="O15" s="2336"/>
      <c r="P15" s="3677" t="s">
        <v>69</v>
      </c>
      <c r="Q15" s="1350" t="str">
        <f t="shared" si="6"/>
        <v>产业集聚程度</v>
      </c>
      <c r="R15" s="1351" t="s">
        <v>65</v>
      </c>
      <c r="S15" s="1352">
        <f t="shared" si="0"/>
        <v>100</v>
      </c>
      <c r="T15" s="1351" t="s">
        <v>65</v>
      </c>
      <c r="U15" s="1352">
        <f t="shared" si="1"/>
        <v>100</v>
      </c>
      <c r="V15" s="1351" t="s">
        <v>65</v>
      </c>
      <c r="W15" s="1352">
        <f t="shared" si="2"/>
        <v>100</v>
      </c>
      <c r="X15" s="1339"/>
      <c r="Y15" s="3677" t="s">
        <v>69</v>
      </c>
      <c r="Z15" s="1353" t="str">
        <f t="shared" si="7"/>
        <v>产业集聚程度</v>
      </c>
      <c r="AA15" s="1354">
        <f t="shared" si="3"/>
        <v>1</v>
      </c>
      <c r="AB15" s="1354">
        <f t="shared" si="4"/>
        <v>1</v>
      </c>
      <c r="AC15" s="1354">
        <f t="shared" si="5"/>
        <v>1</v>
      </c>
    </row>
    <row r="16" spans="1:29" ht="14.25">
      <c r="A16" s="151"/>
      <c r="B16" s="156"/>
      <c r="C16" s="97"/>
      <c r="D16" s="790"/>
      <c r="E16" s="97"/>
      <c r="F16" s="791"/>
      <c r="G16" s="97"/>
      <c r="H16" s="792"/>
      <c r="I16" s="97"/>
      <c r="J16" s="790"/>
      <c r="K16" s="189"/>
      <c r="L16" s="2297"/>
      <c r="M16" s="2292"/>
      <c r="N16" s="2292"/>
      <c r="O16" s="2336"/>
      <c r="P16" s="3678"/>
      <c r="Q16" s="1350"/>
      <c r="R16" s="1351"/>
      <c r="S16" s="1352"/>
      <c r="T16" s="1351"/>
      <c r="U16" s="1352"/>
      <c r="V16" s="1351"/>
      <c r="W16" s="1352"/>
      <c r="X16" s="1339"/>
      <c r="Y16" s="3678"/>
      <c r="Z16" s="1353"/>
      <c r="AA16" s="1354">
        <v>1</v>
      </c>
      <c r="AB16" s="1354">
        <v>1</v>
      </c>
      <c r="AC16" s="1354">
        <v>1</v>
      </c>
    </row>
    <row r="17" spans="1:29" ht="94.5">
      <c r="A17" s="151"/>
      <c r="B17" s="1355" t="s">
        <v>72</v>
      </c>
      <c r="C17" s="158" t="str">
        <f>估价对象房地状况!G4</f>
        <v>估价对象周边道路状况、公共交通通达情况、停车便捷程度，综合评价交通便捷度较好</v>
      </c>
      <c r="D17" s="792">
        <v>100</v>
      </c>
      <c r="E17" s="100"/>
      <c r="F17" s="795">
        <f>SUMIF(72:72,E18,73:73)-SUMIF(72:72,C18,73:73)+100</f>
        <v>100</v>
      </c>
      <c r="G17" s="101"/>
      <c r="H17" s="797">
        <f>SUMIF(72:72,G18,73:73)-SUMIF(72:72,C18,73:73)+100</f>
        <v>100</v>
      </c>
      <c r="I17" s="100"/>
      <c r="J17" s="797">
        <f>SUMIF(72:72,I18,73:73)-SUMIF(72:72,C18,73:73)+100</f>
        <v>100</v>
      </c>
      <c r="K17" s="956"/>
      <c r="L17" s="2297"/>
      <c r="M17" s="2292"/>
      <c r="N17" s="2292"/>
      <c r="O17" s="2336"/>
      <c r="P17" s="3678"/>
      <c r="Q17" s="1350" t="str">
        <f>B17</f>
        <v>交通便捷度</v>
      </c>
      <c r="R17" s="1351" t="s">
        <v>65</v>
      </c>
      <c r="S17" s="1352">
        <f>F17</f>
        <v>100</v>
      </c>
      <c r="T17" s="1351" t="s">
        <v>65</v>
      </c>
      <c r="U17" s="1352">
        <f>H17</f>
        <v>100</v>
      </c>
      <c r="V17" s="1351" t="s">
        <v>65</v>
      </c>
      <c r="W17" s="1352">
        <f>J17</f>
        <v>100</v>
      </c>
      <c r="X17" s="1339"/>
      <c r="Y17" s="3678"/>
      <c r="Z17" s="1353" t="str">
        <f>Q17</f>
        <v>交通便捷度</v>
      </c>
      <c r="AA17" s="1354">
        <f t="shared" si="3"/>
        <v>1</v>
      </c>
      <c r="AB17" s="1354">
        <f t="shared" si="4"/>
        <v>1</v>
      </c>
      <c r="AC17" s="1354">
        <f t="shared" si="5"/>
        <v>1</v>
      </c>
    </row>
    <row r="18" spans="1:29" ht="14.25">
      <c r="A18" s="151"/>
      <c r="B18" s="1039"/>
      <c r="C18" s="102"/>
      <c r="D18" s="792"/>
      <c r="E18" s="103"/>
      <c r="F18" s="795"/>
      <c r="G18" s="104"/>
      <c r="H18" s="790"/>
      <c r="I18" s="103"/>
      <c r="J18" s="790"/>
      <c r="K18" s="189"/>
      <c r="L18" s="2297"/>
      <c r="M18" s="2292"/>
      <c r="N18" s="2292"/>
      <c r="O18" s="2336"/>
      <c r="P18" s="3678"/>
      <c r="Q18" s="1350"/>
      <c r="R18" s="1351"/>
      <c r="S18" s="1352"/>
      <c r="T18" s="1351"/>
      <c r="U18" s="1352"/>
      <c r="V18" s="1351"/>
      <c r="W18" s="1352"/>
      <c r="X18" s="1339"/>
      <c r="Y18" s="3678"/>
      <c r="Z18" s="1353"/>
      <c r="AA18" s="1354">
        <v>1</v>
      </c>
      <c r="AB18" s="1354">
        <v>1</v>
      </c>
      <c r="AC18" s="1354">
        <v>1</v>
      </c>
    </row>
    <row r="19" spans="1:29" ht="40.5">
      <c r="A19" s="151"/>
      <c r="B19" s="1355" t="s">
        <v>2666</v>
      </c>
      <c r="C19" s="158" t="str">
        <f>估价对象房地状况!G5</f>
        <v>估价对象所在区域公共配套设施齐备情况</v>
      </c>
      <c r="D19" s="797">
        <v>100</v>
      </c>
      <c r="E19" s="105"/>
      <c r="F19" s="800">
        <f>SUMIF(74:74,E20,75:75)-SUMIF(74:74,C20,75:75)+100</f>
        <v>100</v>
      </c>
      <c r="G19" s="106"/>
      <c r="H19" s="792">
        <f>SUMIF(74:74,G20,75:75)-SUMIF(74:74,C20,75:75)+100</f>
        <v>100</v>
      </c>
      <c r="I19" s="105"/>
      <c r="J19" s="792">
        <f>SUMIF(74:74,I20,75:75)-SUMIF(74:74,C20,75:75)+100</f>
        <v>100</v>
      </c>
      <c r="K19" s="956"/>
      <c r="L19" s="2297"/>
      <c r="M19" s="2292"/>
      <c r="N19" s="2292"/>
      <c r="O19" s="2336"/>
      <c r="P19" s="3678"/>
      <c r="Q19" s="1350" t="str">
        <f>B19</f>
        <v>公共配套设施</v>
      </c>
      <c r="R19" s="1351" t="s">
        <v>65</v>
      </c>
      <c r="S19" s="1352">
        <f>F19</f>
        <v>100</v>
      </c>
      <c r="T19" s="1351" t="s">
        <v>65</v>
      </c>
      <c r="U19" s="1352">
        <f>H19</f>
        <v>100</v>
      </c>
      <c r="V19" s="1351" t="s">
        <v>65</v>
      </c>
      <c r="W19" s="1352">
        <f>J19</f>
        <v>100</v>
      </c>
      <c r="X19" s="1339"/>
      <c r="Y19" s="3678"/>
      <c r="Z19" s="1353" t="str">
        <f>Q19</f>
        <v>公共配套设施</v>
      </c>
      <c r="AA19" s="1354">
        <f t="shared" si="3"/>
        <v>1</v>
      </c>
      <c r="AB19" s="1354">
        <f t="shared" si="4"/>
        <v>1</v>
      </c>
      <c r="AC19" s="1354">
        <f t="shared" si="5"/>
        <v>1</v>
      </c>
    </row>
    <row r="20" spans="1:29" ht="14.25">
      <c r="A20" s="151"/>
      <c r="B20" s="1039"/>
      <c r="C20" s="97"/>
      <c r="D20" s="790"/>
      <c r="E20" s="98"/>
      <c r="F20" s="791"/>
      <c r="G20" s="99"/>
      <c r="H20" s="790"/>
      <c r="I20" s="98"/>
      <c r="J20" s="790"/>
      <c r="K20" s="189"/>
      <c r="L20" s="2297"/>
      <c r="M20" s="2292"/>
      <c r="N20" s="2292"/>
      <c r="O20" s="2336"/>
      <c r="P20" s="3678"/>
      <c r="Q20" s="1350"/>
      <c r="R20" s="1351"/>
      <c r="S20" s="1352"/>
      <c r="T20" s="1351"/>
      <c r="U20" s="1352"/>
      <c r="V20" s="1351"/>
      <c r="W20" s="1352"/>
      <c r="X20" s="1339"/>
      <c r="Y20" s="3678"/>
      <c r="Z20" s="1353"/>
      <c r="AA20" s="1354">
        <v>1</v>
      </c>
      <c r="AB20" s="1354">
        <v>1</v>
      </c>
      <c r="AC20" s="1354">
        <v>1</v>
      </c>
    </row>
    <row r="21" spans="1:29" ht="40.5">
      <c r="A21" s="151"/>
      <c r="B21" s="1411" t="s">
        <v>2669</v>
      </c>
      <c r="C21" s="158" t="str">
        <f>估价对象房地状况!G6</f>
        <v>估价对象所在区域基础设施水平</v>
      </c>
      <c r="D21" s="792">
        <v>100</v>
      </c>
      <c r="E21" s="105"/>
      <c r="F21" s="800">
        <f>SUMIF(76:76,E22,77:77)-SUMIF(76:76,C22,77:77)+100</f>
        <v>100</v>
      </c>
      <c r="G21" s="106"/>
      <c r="H21" s="792">
        <f>SUMIF(76:76,G22,77:77)-SUMIF(76:76,C22,77:77)+100</f>
        <v>100</v>
      </c>
      <c r="I21" s="105"/>
      <c r="J21" s="792">
        <f>SUMIF(76:76,I22,77:77)-SUMIF(76:76,C22,77:77)+100</f>
        <v>100</v>
      </c>
      <c r="K21" s="956"/>
      <c r="L21" s="2297"/>
      <c r="M21" s="2292"/>
      <c r="N21" s="2292"/>
      <c r="O21" s="2336"/>
      <c r="P21" s="3678"/>
      <c r="Q21" s="2742" t="str">
        <f>B21</f>
        <v>基础设施水平</v>
      </c>
      <c r="R21" s="1351" t="s">
        <v>65</v>
      </c>
      <c r="S21" s="1352">
        <f>F21</f>
        <v>100</v>
      </c>
      <c r="T21" s="1351" t="s">
        <v>65</v>
      </c>
      <c r="U21" s="1352">
        <f>H21</f>
        <v>100</v>
      </c>
      <c r="V21" s="1351" t="s">
        <v>65</v>
      </c>
      <c r="W21" s="1352">
        <f>J21</f>
        <v>100</v>
      </c>
      <c r="X21" s="2744"/>
      <c r="Y21" s="3678"/>
      <c r="Z21" s="2743" t="str">
        <f>Q21</f>
        <v>基础设施水平</v>
      </c>
      <c r="AA21" s="1354">
        <f>D21/F21</f>
        <v>1</v>
      </c>
      <c r="AB21" s="1354">
        <f>D21/H21</f>
        <v>1</v>
      </c>
      <c r="AC21" s="1354">
        <f>D21/J21</f>
        <v>1</v>
      </c>
    </row>
    <row r="22" spans="1:29" ht="14.25">
      <c r="A22" s="151"/>
      <c r="B22" s="1411"/>
      <c r="C22" s="102"/>
      <c r="D22" s="790"/>
      <c r="E22" s="97"/>
      <c r="F22" s="791"/>
      <c r="G22" s="97"/>
      <c r="H22" s="790"/>
      <c r="I22" s="97"/>
      <c r="J22" s="790"/>
      <c r="K22" s="2762"/>
      <c r="L22" s="2297"/>
      <c r="M22" s="2292"/>
      <c r="N22" s="2292"/>
      <c r="O22" s="2336"/>
      <c r="P22" s="3678"/>
      <c r="Q22" s="2742"/>
      <c r="R22" s="1351"/>
      <c r="S22" s="1352"/>
      <c r="T22" s="1351"/>
      <c r="U22" s="1352"/>
      <c r="V22" s="1351"/>
      <c r="W22" s="1352"/>
      <c r="X22" s="2744"/>
      <c r="Y22" s="3678"/>
      <c r="Z22" s="2743"/>
      <c r="AA22" s="1354">
        <v>1</v>
      </c>
      <c r="AB22" s="1354">
        <v>1</v>
      </c>
      <c r="AC22" s="1354">
        <v>1</v>
      </c>
    </row>
    <row r="23" spans="1:29" ht="81">
      <c r="A23" s="151"/>
      <c r="B23" s="1355" t="s">
        <v>143</v>
      </c>
      <c r="C23" s="158" t="str">
        <f>估价对象房地状况!G7</f>
        <v>该园区内是否有污染型企业，绿化情况，卫生条件，整体环境状况判断</v>
      </c>
      <c r="D23" s="792">
        <v>100</v>
      </c>
      <c r="E23" s="100"/>
      <c r="F23" s="795">
        <f>SUMIF(78:78,E24,79:79)-SUMIF(78:78,C24,79:79)+100</f>
        <v>100</v>
      </c>
      <c r="G23" s="101"/>
      <c r="H23" s="792">
        <f>SUMIF(78:78,G24,79:79)-SUMIF(78:78,C24,79:79)+100</f>
        <v>100</v>
      </c>
      <c r="I23" s="100"/>
      <c r="J23" s="792">
        <f>SUMIF(78:78,I24,79:79)-SUMIF(78:78,C24,79:79)+100</f>
        <v>100</v>
      </c>
      <c r="K23" s="956"/>
      <c r="L23" s="2297"/>
      <c r="M23" s="2292"/>
      <c r="N23" s="2292"/>
      <c r="O23" s="2336"/>
      <c r="P23" s="3678"/>
      <c r="Q23" s="1350" t="str">
        <f>B23</f>
        <v>环境质量</v>
      </c>
      <c r="R23" s="1351" t="s">
        <v>65</v>
      </c>
      <c r="S23" s="1352">
        <f>F23</f>
        <v>100</v>
      </c>
      <c r="T23" s="1351" t="s">
        <v>65</v>
      </c>
      <c r="U23" s="1352">
        <f>H23</f>
        <v>100</v>
      </c>
      <c r="V23" s="1351" t="s">
        <v>65</v>
      </c>
      <c r="W23" s="1352">
        <f>J23</f>
        <v>100</v>
      </c>
      <c r="X23" s="1339"/>
      <c r="Y23" s="3678"/>
      <c r="Z23" s="1353" t="str">
        <f>Q23</f>
        <v>环境质量</v>
      </c>
      <c r="AA23" s="1354">
        <f t="shared" si="3"/>
        <v>1</v>
      </c>
      <c r="AB23" s="1354">
        <f t="shared" si="4"/>
        <v>1</v>
      </c>
      <c r="AC23" s="1354">
        <f t="shared" si="5"/>
        <v>1</v>
      </c>
    </row>
    <row r="24" spans="1:29" ht="14.25">
      <c r="A24" s="151"/>
      <c r="B24" s="1411"/>
      <c r="C24" s="97"/>
      <c r="D24" s="790"/>
      <c r="E24" s="98"/>
      <c r="F24" s="791"/>
      <c r="G24" s="99"/>
      <c r="H24" s="790"/>
      <c r="I24" s="98"/>
      <c r="J24" s="790"/>
      <c r="K24" s="189"/>
      <c r="L24" s="2297"/>
      <c r="M24" s="2292"/>
      <c r="N24" s="2292"/>
      <c r="O24" s="2336"/>
      <c r="P24" s="3678"/>
      <c r="Q24" s="1350"/>
      <c r="R24" s="1351"/>
      <c r="S24" s="1352"/>
      <c r="T24" s="1351"/>
      <c r="U24" s="1352"/>
      <c r="V24" s="1351"/>
      <c r="W24" s="1352"/>
      <c r="X24" s="1339"/>
      <c r="Y24" s="3678"/>
      <c r="Z24" s="1353"/>
      <c r="AA24" s="1354">
        <v>1</v>
      </c>
      <c r="AB24" s="1354">
        <v>1</v>
      </c>
      <c r="AC24" s="1354">
        <v>1</v>
      </c>
    </row>
    <row r="25" spans="1:29" ht="14.25">
      <c r="A25" s="146"/>
      <c r="B25" s="1356">
        <v>111</v>
      </c>
      <c r="C25" s="93">
        <v>111</v>
      </c>
      <c r="D25" s="777">
        <v>100</v>
      </c>
      <c r="E25" s="93"/>
      <c r="F25" s="803">
        <f>SUMIF(80:80,E25,81:81)-SUMIF(80:80,C25,81:81)+100</f>
        <v>100</v>
      </c>
      <c r="G25" s="93"/>
      <c r="H25" s="777">
        <f>SUMIF(80:80,G25,81:81)-SUMIF(80:80,C25,81:81)+100</f>
        <v>100</v>
      </c>
      <c r="I25" s="93"/>
      <c r="J25" s="777">
        <f>SUMIF(80:80,I25,81:81)-SUMIF(80:80,C25,81:81)+100</f>
        <v>100</v>
      </c>
      <c r="K25" s="188"/>
      <c r="L25" s="2297"/>
      <c r="M25" s="2292"/>
      <c r="N25" s="2292"/>
      <c r="O25" s="2336"/>
      <c r="P25" s="3678"/>
      <c r="Q25" s="1350">
        <f>B25</f>
        <v>111</v>
      </c>
      <c r="R25" s="1351" t="s">
        <v>65</v>
      </c>
      <c r="S25" s="1352">
        <f>F25</f>
        <v>100</v>
      </c>
      <c r="T25" s="1351" t="s">
        <v>65</v>
      </c>
      <c r="U25" s="1352">
        <f>H25</f>
        <v>100</v>
      </c>
      <c r="V25" s="1351" t="s">
        <v>65</v>
      </c>
      <c r="W25" s="1352">
        <f>J25</f>
        <v>100</v>
      </c>
      <c r="X25" s="1339"/>
      <c r="Y25" s="3678"/>
      <c r="Z25" s="1353">
        <f>Q25</f>
        <v>111</v>
      </c>
      <c r="AA25" s="1354">
        <f t="shared" si="3"/>
        <v>1</v>
      </c>
      <c r="AB25" s="1354">
        <f t="shared" si="4"/>
        <v>1</v>
      </c>
      <c r="AC25" s="1354">
        <f t="shared" si="5"/>
        <v>1</v>
      </c>
    </row>
    <row r="26" spans="1:29" ht="14.25">
      <c r="A26" s="151"/>
      <c r="B26" s="1356">
        <v>111</v>
      </c>
      <c r="C26" s="93">
        <v>111</v>
      </c>
      <c r="D26" s="777">
        <v>100</v>
      </c>
      <c r="E26" s="93"/>
      <c r="F26" s="803">
        <f>SUMIF(82:82,E26,83:83)-SUMIF(82:82,C26,83:83)+100</f>
        <v>100</v>
      </c>
      <c r="G26" s="93"/>
      <c r="H26" s="777">
        <f>SUMIF(82:82,G26,83:83)-SUMIF(82:82,C26,83:83)+100</f>
        <v>100</v>
      </c>
      <c r="I26" s="93"/>
      <c r="J26" s="777">
        <f>SUMIF(82:82,I26,83:83)-SUMIF(82:82,C26,83:83)+100</f>
        <v>100</v>
      </c>
      <c r="K26" s="188"/>
      <c r="L26" s="2297"/>
      <c r="M26" s="2292"/>
      <c r="N26" s="2292"/>
      <c r="O26" s="2336"/>
      <c r="P26" s="3678"/>
      <c r="Q26" s="1350">
        <f t="shared" ref="Q26:Q40" si="8">B26</f>
        <v>111</v>
      </c>
      <c r="R26" s="1351" t="s">
        <v>65</v>
      </c>
      <c r="S26" s="1352">
        <f>F26</f>
        <v>100</v>
      </c>
      <c r="T26" s="1351" t="s">
        <v>65</v>
      </c>
      <c r="U26" s="1352">
        <f>H26</f>
        <v>100</v>
      </c>
      <c r="V26" s="1351" t="s">
        <v>65</v>
      </c>
      <c r="W26" s="1352">
        <f>J26</f>
        <v>100</v>
      </c>
      <c r="X26" s="1339"/>
      <c r="Y26" s="3678"/>
      <c r="Z26" s="1353">
        <f>Q26</f>
        <v>111</v>
      </c>
      <c r="AA26" s="1354">
        <f t="shared" si="3"/>
        <v>1</v>
      </c>
      <c r="AB26" s="1354">
        <f t="shared" si="4"/>
        <v>1</v>
      </c>
      <c r="AC26" s="1354">
        <f t="shared" si="5"/>
        <v>1</v>
      </c>
    </row>
    <row r="27" spans="1:29" s="40" customFormat="1" ht="14.25">
      <c r="A27" s="1029"/>
      <c r="B27" s="1356">
        <v>111</v>
      </c>
      <c r="C27" s="93">
        <v>111</v>
      </c>
      <c r="D27" s="804">
        <v>100</v>
      </c>
      <c r="E27" s="93"/>
      <c r="F27" s="806">
        <f>SUMIF(84:84,E27,85:85)-SUMIF(84:84,C27,85:85)+100</f>
        <v>100</v>
      </c>
      <c r="G27" s="93"/>
      <c r="H27" s="804">
        <f>SUMIF(84:84,G27,85:85)-SUMIF(84:84,C27,85:85)+100</f>
        <v>100</v>
      </c>
      <c r="I27" s="93"/>
      <c r="J27" s="804">
        <f>SUMIF(84:84,I27,85:85)-SUMIF(84:84,C27,85:85)+100</f>
        <v>100</v>
      </c>
      <c r="K27" s="188"/>
      <c r="L27" s="2293"/>
      <c r="M27" s="2255"/>
      <c r="N27" s="2255"/>
      <c r="O27" s="2334"/>
      <c r="P27" s="3678"/>
      <c r="Q27" s="7">
        <f t="shared" si="8"/>
        <v>111</v>
      </c>
      <c r="R27" s="1341" t="s">
        <v>65</v>
      </c>
      <c r="S27" s="1342">
        <f>F27</f>
        <v>100</v>
      </c>
      <c r="T27" s="1341" t="s">
        <v>65</v>
      </c>
      <c r="U27" s="1342">
        <f>H27</f>
        <v>100</v>
      </c>
      <c r="V27" s="1341" t="s">
        <v>65</v>
      </c>
      <c r="W27" s="1342">
        <f>J27</f>
        <v>100</v>
      </c>
      <c r="X27" s="287"/>
      <c r="Y27" s="3678"/>
      <c r="Z27" s="288">
        <f>Q27</f>
        <v>111</v>
      </c>
      <c r="AA27" s="1354">
        <f>D27/F27</f>
        <v>1</v>
      </c>
      <c r="AB27" s="1354">
        <f>D27/H27</f>
        <v>1</v>
      </c>
      <c r="AC27" s="1354">
        <f>D27/J27</f>
        <v>1</v>
      </c>
    </row>
    <row r="28" spans="1:29" ht="15" thickBot="1">
      <c r="A28" s="154"/>
      <c r="B28" s="1356">
        <v>111</v>
      </c>
      <c r="C28" s="94">
        <v>111</v>
      </c>
      <c r="D28" s="780">
        <v>100</v>
      </c>
      <c r="E28" s="93"/>
      <c r="F28" s="781">
        <f>SUMIF(86:86,E28,87:87)-SUMIF(86:86,C28,87:87)+100</f>
        <v>100</v>
      </c>
      <c r="G28" s="1357"/>
      <c r="H28" s="780">
        <f>SUMIF(86:86,G28,87:87)-SUMIF(86:86,C28,87:87)+100</f>
        <v>100</v>
      </c>
      <c r="I28" s="1357"/>
      <c r="J28" s="780">
        <f>SUMIF(86:86,I28,87:87)-SUMIF(86:86,C28,87:87)+100</f>
        <v>100</v>
      </c>
      <c r="K28" s="188"/>
      <c r="L28" s="2297"/>
      <c r="M28" s="2292"/>
      <c r="N28" s="2292"/>
      <c r="O28" s="2336"/>
      <c r="P28" s="3678"/>
      <c r="Q28" s="1350">
        <f t="shared" si="8"/>
        <v>111</v>
      </c>
      <c r="R28" s="1351" t="s">
        <v>65</v>
      </c>
      <c r="S28" s="1352">
        <f t="shared" ref="S28:S40" si="9">F28</f>
        <v>100</v>
      </c>
      <c r="T28" s="1351" t="s">
        <v>65</v>
      </c>
      <c r="U28" s="1352">
        <f t="shared" ref="U28:U40" si="10">H28</f>
        <v>100</v>
      </c>
      <c r="V28" s="1351" t="s">
        <v>65</v>
      </c>
      <c r="W28" s="1352">
        <f t="shared" ref="W28:W40" si="11">J28</f>
        <v>100</v>
      </c>
      <c r="X28" s="1339"/>
      <c r="Y28" s="3678"/>
      <c r="Z28" s="1353">
        <f t="shared" ref="Z28:Z40" si="12">Q28</f>
        <v>111</v>
      </c>
      <c r="AA28" s="1354">
        <f t="shared" si="3"/>
        <v>1</v>
      </c>
      <c r="AB28" s="1354">
        <f t="shared" si="4"/>
        <v>1</v>
      </c>
      <c r="AC28" s="1354">
        <f t="shared" si="5"/>
        <v>1</v>
      </c>
    </row>
    <row r="29" spans="1:29" ht="15">
      <c r="A29" s="160" t="s">
        <v>70</v>
      </c>
      <c r="B29" s="62" t="s">
        <v>146</v>
      </c>
      <c r="C29" s="197"/>
      <c r="D29" s="809">
        <v>100</v>
      </c>
      <c r="E29" s="197"/>
      <c r="F29" s="803">
        <f>SUMIF(88:88,E29,89:89)-SUMIF(88:88,C29,89:89)+100</f>
        <v>100</v>
      </c>
      <c r="G29" s="197"/>
      <c r="H29" s="777">
        <f>SUMIF(88:88,G29,89:89)-SUMIF(88:88,C29,89:89)+100</f>
        <v>100</v>
      </c>
      <c r="I29" s="197"/>
      <c r="J29" s="809">
        <f>SUMIF(88:88,I29,89:89)-SUMIF(88:88,C29,89:89)+100</f>
        <v>100</v>
      </c>
      <c r="K29" s="954"/>
      <c r="L29" s="2297"/>
      <c r="M29" s="2292"/>
      <c r="N29" s="2292"/>
      <c r="O29" s="2336"/>
      <c r="P29" s="3723" t="s">
        <v>1129</v>
      </c>
      <c r="Q29" s="1350" t="str">
        <f t="shared" si="8"/>
        <v>建筑类型</v>
      </c>
      <c r="R29" s="1351" t="s">
        <v>65</v>
      </c>
      <c r="S29" s="1352">
        <f t="shared" si="9"/>
        <v>100</v>
      </c>
      <c r="T29" s="1351" t="s">
        <v>65</v>
      </c>
      <c r="U29" s="1352">
        <f t="shared" si="10"/>
        <v>100</v>
      </c>
      <c r="V29" s="1351" t="s">
        <v>65</v>
      </c>
      <c r="W29" s="1352">
        <f t="shared" si="11"/>
        <v>100</v>
      </c>
      <c r="X29" s="1339"/>
      <c r="Y29" s="3682" t="s">
        <v>1129</v>
      </c>
      <c r="Z29" s="1353" t="str">
        <f t="shared" si="12"/>
        <v>建筑类型</v>
      </c>
      <c r="AA29" s="1354">
        <f t="shared" si="3"/>
        <v>1</v>
      </c>
      <c r="AB29" s="1354">
        <f t="shared" si="4"/>
        <v>1</v>
      </c>
      <c r="AC29" s="1354">
        <f t="shared" si="5"/>
        <v>1</v>
      </c>
    </row>
    <row r="30" spans="1:29" s="1038" customFormat="1" ht="14.25">
      <c r="A30" s="1042"/>
      <c r="B30" s="12" t="s">
        <v>76</v>
      </c>
      <c r="C30" s="811"/>
      <c r="D30" s="426">
        <v>100</v>
      </c>
      <c r="E30" s="772"/>
      <c r="F30" s="767" t="e">
        <f>LOOKUP(E30,91:91,92:92)-LOOKUP(C30,91:91,92:92)+100</f>
        <v>#N/A</v>
      </c>
      <c r="G30" s="771"/>
      <c r="H30" s="426" t="e">
        <f>LOOKUP(G30,91:91,92:92)-LOOKUP(C30,91:91,92:92)+100</f>
        <v>#N/A</v>
      </c>
      <c r="I30" s="771"/>
      <c r="J30" s="426" t="e">
        <f>LOOKUP(I30,91:91,92:92)-LOOKUP(C30,91:91,92:92)+100</f>
        <v>#N/A</v>
      </c>
      <c r="K30" s="188"/>
      <c r="L30" s="2296"/>
      <c r="M30" s="2298"/>
      <c r="N30" s="2298"/>
      <c r="O30" s="2337"/>
      <c r="P30" s="3682"/>
      <c r="Q30" s="1358" t="str">
        <f t="shared" si="8"/>
        <v>项目建筑规模</v>
      </c>
      <c r="R30" s="1359" t="s">
        <v>65</v>
      </c>
      <c r="S30" s="1360" t="e">
        <f t="shared" si="9"/>
        <v>#N/A</v>
      </c>
      <c r="T30" s="1359" t="s">
        <v>65</v>
      </c>
      <c r="U30" s="1360" t="e">
        <f t="shared" si="10"/>
        <v>#N/A</v>
      </c>
      <c r="V30" s="1359" t="s">
        <v>65</v>
      </c>
      <c r="W30" s="1360" t="e">
        <f t="shared" si="11"/>
        <v>#N/A</v>
      </c>
      <c r="X30" s="1361"/>
      <c r="Y30" s="3682"/>
      <c r="Z30" s="1362" t="str">
        <f t="shared" si="12"/>
        <v>项目建筑规模</v>
      </c>
      <c r="AA30" s="1354" t="e">
        <f t="shared" si="3"/>
        <v>#N/A</v>
      </c>
      <c r="AB30" s="1354" t="e">
        <f t="shared" si="4"/>
        <v>#N/A</v>
      </c>
      <c r="AC30" s="1354" t="e">
        <f t="shared" si="5"/>
        <v>#N/A</v>
      </c>
    </row>
    <row r="31" spans="1:29" ht="15">
      <c r="A31" s="161"/>
      <c r="B31" s="12" t="s">
        <v>77</v>
      </c>
      <c r="C31" s="107"/>
      <c r="D31" s="777">
        <v>100</v>
      </c>
      <c r="E31" s="107"/>
      <c r="F31" s="803">
        <f>SUMIF(93:93,E31,94:94)-SUMIF(93:93,C31,94:94)+100</f>
        <v>100</v>
      </c>
      <c r="G31" s="107"/>
      <c r="H31" s="777">
        <f>SUMIF(93:93,G31,94:94)-SUMIF(93:93,C31,94:94)+100</f>
        <v>100</v>
      </c>
      <c r="I31" s="107"/>
      <c r="J31" s="777">
        <f>SUMIF(93:93,I31,94:94)-SUMIF(93:93,C31,94:94)+100</f>
        <v>100</v>
      </c>
      <c r="K31" s="954"/>
      <c r="L31" s="2297"/>
      <c r="M31" s="2292"/>
      <c r="N31" s="2292"/>
      <c r="O31" s="2336"/>
      <c r="P31" s="3682"/>
      <c r="Q31" s="1350" t="str">
        <f t="shared" si="8"/>
        <v>建筑结构</v>
      </c>
      <c r="R31" s="1351" t="s">
        <v>65</v>
      </c>
      <c r="S31" s="1352">
        <f t="shared" si="9"/>
        <v>100</v>
      </c>
      <c r="T31" s="1351" t="s">
        <v>65</v>
      </c>
      <c r="U31" s="1352">
        <f t="shared" si="10"/>
        <v>100</v>
      </c>
      <c r="V31" s="1351" t="s">
        <v>65</v>
      </c>
      <c r="W31" s="1352">
        <f t="shared" si="11"/>
        <v>100</v>
      </c>
      <c r="X31" s="1339"/>
      <c r="Y31" s="3682"/>
      <c r="Z31" s="1353" t="str">
        <f t="shared" si="12"/>
        <v>建筑结构</v>
      </c>
      <c r="AA31" s="1354">
        <f t="shared" si="3"/>
        <v>1</v>
      </c>
      <c r="AB31" s="1354">
        <f t="shared" si="4"/>
        <v>1</v>
      </c>
      <c r="AC31" s="1354">
        <f t="shared" si="5"/>
        <v>1</v>
      </c>
    </row>
    <row r="32" spans="1:29" ht="15">
      <c r="A32" s="161"/>
      <c r="B32" s="12" t="s">
        <v>1031</v>
      </c>
      <c r="C32" s="107"/>
      <c r="D32" s="777">
        <v>100</v>
      </c>
      <c r="E32" s="107"/>
      <c r="F32" s="803">
        <f>SUMIF(95:95,E32,96:96)-SUMIF(95:95,C32,96:96)+100</f>
        <v>100</v>
      </c>
      <c r="G32" s="107"/>
      <c r="H32" s="777">
        <f>SUMIF(95:95,G32,96:96)-SUMIF(95:95,C32,96:96)+100</f>
        <v>100</v>
      </c>
      <c r="I32" s="107"/>
      <c r="J32" s="777">
        <f>SUMIF(95:95,I32,96:96)-SUMIF(95:95,C32,96:96)+100</f>
        <v>100</v>
      </c>
      <c r="K32" s="954"/>
      <c r="L32" s="2297"/>
      <c r="M32" s="2292"/>
      <c r="N32" s="2292"/>
      <c r="O32" s="2336"/>
      <c r="P32" s="3682"/>
      <c r="Q32" s="1350" t="str">
        <f t="shared" si="8"/>
        <v>公共部分装修</v>
      </c>
      <c r="R32" s="1351" t="s">
        <v>65</v>
      </c>
      <c r="S32" s="1352">
        <f t="shared" si="9"/>
        <v>100</v>
      </c>
      <c r="T32" s="1351" t="s">
        <v>65</v>
      </c>
      <c r="U32" s="1352">
        <f t="shared" si="10"/>
        <v>100</v>
      </c>
      <c r="V32" s="1351" t="s">
        <v>65</v>
      </c>
      <c r="W32" s="1352">
        <f t="shared" si="11"/>
        <v>100</v>
      </c>
      <c r="X32" s="1339"/>
      <c r="Y32" s="3682"/>
      <c r="Z32" s="1353" t="str">
        <f t="shared" si="12"/>
        <v>公共部分装修</v>
      </c>
      <c r="AA32" s="1354">
        <f t="shared" si="3"/>
        <v>1</v>
      </c>
      <c r="AB32" s="1354">
        <f t="shared" si="4"/>
        <v>1</v>
      </c>
      <c r="AC32" s="1354">
        <f t="shared" si="5"/>
        <v>1</v>
      </c>
    </row>
    <row r="33" spans="1:29" ht="15">
      <c r="A33" s="161"/>
      <c r="B33" s="12" t="s">
        <v>1032</v>
      </c>
      <c r="C33" s="811"/>
      <c r="D33" s="777">
        <v>100</v>
      </c>
      <c r="E33" s="816"/>
      <c r="F33" s="803" t="e">
        <f>LOOKUP(E33,98:98,99:99)-LOOKUP(C33,98:98,99:99)+100</f>
        <v>#N/A</v>
      </c>
      <c r="G33" s="816"/>
      <c r="H33" s="803" t="e">
        <f>LOOKUP(G33,98:98,99:99)-LOOKUP(C33,98:98,99:99)+100</f>
        <v>#N/A</v>
      </c>
      <c r="I33" s="816"/>
      <c r="J33" s="777" t="e">
        <f>LOOKUP(I33,98:98,99:99)-LOOKUP(C33,98:98,99:99)+100</f>
        <v>#N/A</v>
      </c>
      <c r="K33" s="954"/>
      <c r="L33" s="2297"/>
      <c r="M33" s="2292"/>
      <c r="N33" s="2292"/>
      <c r="O33" s="2336"/>
      <c r="P33" s="3682"/>
      <c r="Q33" s="1350" t="str">
        <f t="shared" si="8"/>
        <v>成新度</v>
      </c>
      <c r="R33" s="1351" t="s">
        <v>65</v>
      </c>
      <c r="S33" s="1352" t="e">
        <f t="shared" si="9"/>
        <v>#N/A</v>
      </c>
      <c r="T33" s="1351" t="s">
        <v>65</v>
      </c>
      <c r="U33" s="1352" t="e">
        <f t="shared" si="10"/>
        <v>#N/A</v>
      </c>
      <c r="V33" s="1351" t="s">
        <v>65</v>
      </c>
      <c r="W33" s="1352" t="e">
        <f t="shared" si="11"/>
        <v>#N/A</v>
      </c>
      <c r="X33" s="1339"/>
      <c r="Y33" s="3682"/>
      <c r="Z33" s="1353" t="str">
        <f t="shared" si="12"/>
        <v>成新度</v>
      </c>
      <c r="AA33" s="1354" t="e">
        <f t="shared" si="3"/>
        <v>#N/A</v>
      </c>
      <c r="AB33" s="1354" t="e">
        <f t="shared" si="4"/>
        <v>#N/A</v>
      </c>
      <c r="AC33" s="1354" t="e">
        <f t="shared" si="5"/>
        <v>#N/A</v>
      </c>
    </row>
    <row r="34" spans="1:29" s="40" customFormat="1" ht="15">
      <c r="A34" s="1040"/>
      <c r="B34" s="12" t="s">
        <v>1130</v>
      </c>
      <c r="C34" s="107"/>
      <c r="D34" s="426">
        <v>100</v>
      </c>
      <c r="E34" s="107"/>
      <c r="F34" s="803">
        <f>SUMIF(100:100,E34,101:101)-SUMIF(100:100,C34,101:101)+100</f>
        <v>100</v>
      </c>
      <c r="G34" s="107"/>
      <c r="H34" s="777">
        <f>SUMIF(100:100,G34,101:101)-SUMIF(100:100,C34,101:101)+100</f>
        <v>100</v>
      </c>
      <c r="I34" s="107"/>
      <c r="J34" s="777">
        <f>SUMIF(100:100,I34,101:101)-SUMIF(100:100,C34,101:101)+100</f>
        <v>100</v>
      </c>
      <c r="K34" s="954"/>
      <c r="L34" s="2293"/>
      <c r="M34" s="2255"/>
      <c r="N34" s="2255"/>
      <c r="O34" s="2334"/>
      <c r="P34" s="3682"/>
      <c r="Q34" s="7" t="str">
        <f t="shared" si="8"/>
        <v>物业管理</v>
      </c>
      <c r="R34" s="1341" t="s">
        <v>65</v>
      </c>
      <c r="S34" s="1342">
        <f t="shared" si="9"/>
        <v>100</v>
      </c>
      <c r="T34" s="1341" t="s">
        <v>65</v>
      </c>
      <c r="U34" s="1342">
        <f t="shared" si="10"/>
        <v>100</v>
      </c>
      <c r="V34" s="1341" t="s">
        <v>65</v>
      </c>
      <c r="W34" s="1342">
        <f t="shared" si="11"/>
        <v>100</v>
      </c>
      <c r="X34" s="287"/>
      <c r="Y34" s="3682"/>
      <c r="Z34" s="288" t="str">
        <f t="shared" si="12"/>
        <v>物业管理</v>
      </c>
      <c r="AA34" s="1343">
        <f t="shared" si="3"/>
        <v>1</v>
      </c>
      <c r="AB34" s="1343">
        <f t="shared" si="4"/>
        <v>1</v>
      </c>
      <c r="AC34" s="1343">
        <f t="shared" si="5"/>
        <v>1</v>
      </c>
    </row>
    <row r="35" spans="1:29" ht="15">
      <c r="A35" s="161"/>
      <c r="B35" s="12" t="s">
        <v>2659</v>
      </c>
      <c r="C35" s="107"/>
      <c r="D35" s="777">
        <v>100</v>
      </c>
      <c r="E35" s="107"/>
      <c r="F35" s="803">
        <f>SUMIF(102:102,E35,103:103)-SUMIF(102:102,C35,103:103)+100</f>
        <v>100</v>
      </c>
      <c r="G35" s="107"/>
      <c r="H35" s="777">
        <f>SUMIF(102:102,G35,103:103)-SUMIF(102:102,C35,103:103)+100</f>
        <v>100</v>
      </c>
      <c r="I35" s="107"/>
      <c r="J35" s="777">
        <f>SUMIF(102:102,I35,103:103)-SUMIF(102:102,C35,103:103)+100</f>
        <v>100</v>
      </c>
      <c r="K35" s="954"/>
      <c r="L35" s="2297"/>
      <c r="M35" s="2292"/>
      <c r="N35" s="2292"/>
      <c r="O35" s="2336"/>
      <c r="P35" s="3682" t="s">
        <v>70</v>
      </c>
      <c r="Q35" s="1350" t="str">
        <f t="shared" si="8"/>
        <v>市政基础设施</v>
      </c>
      <c r="R35" s="1351" t="s">
        <v>65</v>
      </c>
      <c r="S35" s="1352">
        <f t="shared" si="9"/>
        <v>100</v>
      </c>
      <c r="T35" s="1351" t="s">
        <v>65</v>
      </c>
      <c r="U35" s="1352">
        <f t="shared" si="10"/>
        <v>100</v>
      </c>
      <c r="V35" s="1351" t="s">
        <v>65</v>
      </c>
      <c r="W35" s="1352">
        <f t="shared" si="11"/>
        <v>100</v>
      </c>
      <c r="X35" s="1339"/>
      <c r="Y35" s="3682" t="s">
        <v>70</v>
      </c>
      <c r="Z35" s="1353" t="str">
        <f t="shared" si="12"/>
        <v>市政基础设施</v>
      </c>
      <c r="AA35" s="1354">
        <f t="shared" si="3"/>
        <v>1</v>
      </c>
      <c r="AB35" s="1354">
        <f t="shared" si="4"/>
        <v>1</v>
      </c>
      <c r="AC35" s="1354">
        <f t="shared" si="5"/>
        <v>1</v>
      </c>
    </row>
    <row r="36" spans="1:29" ht="15">
      <c r="A36" s="161"/>
      <c r="B36" s="12" t="s">
        <v>137</v>
      </c>
      <c r="C36" s="107"/>
      <c r="D36" s="777">
        <v>100</v>
      </c>
      <c r="E36" s="107"/>
      <c r="F36" s="803">
        <f>SUMIF(104:104,E36,105:105)-SUMIF(104:104,C36,105:105)+100</f>
        <v>100</v>
      </c>
      <c r="G36" s="107"/>
      <c r="H36" s="777">
        <f>SUMIF(104:104,G36,105:105)-SUMIF(104:104,C36,105:105)+100</f>
        <v>100</v>
      </c>
      <c r="I36" s="107"/>
      <c r="J36" s="777">
        <f>SUMIF(104:104,I36,105:105)-SUMIF(104:104,C36,105:105)+100</f>
        <v>100</v>
      </c>
      <c r="K36" s="954"/>
      <c r="L36" s="2297"/>
      <c r="M36" s="2292"/>
      <c r="N36" s="2292"/>
      <c r="O36" s="2336"/>
      <c r="P36" s="3682"/>
      <c r="Q36" s="1350" t="str">
        <f t="shared" si="8"/>
        <v>内部装修</v>
      </c>
      <c r="R36" s="1351" t="s">
        <v>65</v>
      </c>
      <c r="S36" s="1352">
        <f t="shared" si="9"/>
        <v>100</v>
      </c>
      <c r="T36" s="1351" t="s">
        <v>65</v>
      </c>
      <c r="U36" s="1352">
        <f t="shared" si="10"/>
        <v>100</v>
      </c>
      <c r="V36" s="1351" t="s">
        <v>65</v>
      </c>
      <c r="W36" s="1352">
        <f t="shared" si="11"/>
        <v>100</v>
      </c>
      <c r="X36" s="1339"/>
      <c r="Y36" s="3682"/>
      <c r="Z36" s="1353" t="str">
        <f t="shared" si="12"/>
        <v>内部装修</v>
      </c>
      <c r="AA36" s="1354">
        <f t="shared" si="3"/>
        <v>1</v>
      </c>
      <c r="AB36" s="1354">
        <f t="shared" si="4"/>
        <v>1</v>
      </c>
      <c r="AC36" s="1354">
        <f t="shared" si="5"/>
        <v>1</v>
      </c>
    </row>
    <row r="37" spans="1:29" ht="15">
      <c r="A37" s="161"/>
      <c r="B37" s="12" t="s">
        <v>1131</v>
      </c>
      <c r="C37" s="182"/>
      <c r="D37" s="777">
        <v>100</v>
      </c>
      <c r="E37" s="182"/>
      <c r="F37" s="803">
        <f>SUMIF(106:106,E37,107:107)-SUMIF(106:106,C37,107:107)+100</f>
        <v>100</v>
      </c>
      <c r="G37" s="182"/>
      <c r="H37" s="777">
        <f>SUMIF(106:106,G37,107:107)-SUMIF(106:106,C37,107:107)+100</f>
        <v>100</v>
      </c>
      <c r="I37" s="182"/>
      <c r="J37" s="777">
        <f>SUMIF(106:106,I37,107:107)-SUMIF(106:106,C37,107:107)+100</f>
        <v>100</v>
      </c>
      <c r="K37" s="954"/>
      <c r="L37" s="2297"/>
      <c r="M37" s="2292"/>
      <c r="N37" s="2292"/>
      <c r="O37" s="2336"/>
      <c r="P37" s="3682"/>
      <c r="Q37" s="1350" t="str">
        <f t="shared" si="8"/>
        <v>内部装修状况</v>
      </c>
      <c r="R37" s="1351" t="s">
        <v>65</v>
      </c>
      <c r="S37" s="1352">
        <f t="shared" si="9"/>
        <v>100</v>
      </c>
      <c r="T37" s="1351" t="s">
        <v>65</v>
      </c>
      <c r="U37" s="1352">
        <f t="shared" si="10"/>
        <v>100</v>
      </c>
      <c r="V37" s="1351" t="s">
        <v>65</v>
      </c>
      <c r="W37" s="1352">
        <f t="shared" si="11"/>
        <v>100</v>
      </c>
      <c r="X37" s="1339"/>
      <c r="Y37" s="3682"/>
      <c r="Z37" s="1353" t="str">
        <f t="shared" si="12"/>
        <v>内部装修状况</v>
      </c>
      <c r="AA37" s="1354">
        <f t="shared" si="3"/>
        <v>1</v>
      </c>
      <c r="AB37" s="1354">
        <f t="shared" si="4"/>
        <v>1</v>
      </c>
      <c r="AC37" s="1354">
        <f t="shared" si="5"/>
        <v>1</v>
      </c>
    </row>
    <row r="38" spans="1:29" s="1038" customFormat="1" ht="14.25">
      <c r="A38" s="1042"/>
      <c r="B38" s="1356">
        <v>111</v>
      </c>
      <c r="C38" s="1357"/>
      <c r="D38" s="777">
        <v>100</v>
      </c>
      <c r="E38" s="93"/>
      <c r="F38" s="803">
        <f>SUMIF(108:108,E38,109:109)-SUMIF(108:108,C38,109:109)+100</f>
        <v>100</v>
      </c>
      <c r="G38" s="1357"/>
      <c r="H38" s="777">
        <f>SUMIF(108:108,G38,109:109)-SUMIF(108:108,C38,109:109)+100</f>
        <v>100</v>
      </c>
      <c r="I38" s="1357"/>
      <c r="J38" s="777">
        <f>SUMIF(108:108,I38,109:1038)-SUMIF(108:108,C38,109:109)+100</f>
        <v>100</v>
      </c>
      <c r="K38" s="188"/>
      <c r="L38" s="2296"/>
      <c r="M38" s="2298"/>
      <c r="N38" s="2298"/>
      <c r="O38" s="2337"/>
      <c r="P38" s="3682"/>
      <c r="Q38" s="1358">
        <f t="shared" si="8"/>
        <v>111</v>
      </c>
      <c r="R38" s="1359" t="s">
        <v>65</v>
      </c>
      <c r="S38" s="1360">
        <f t="shared" si="9"/>
        <v>100</v>
      </c>
      <c r="T38" s="1359" t="s">
        <v>65</v>
      </c>
      <c r="U38" s="1360">
        <f t="shared" si="10"/>
        <v>100</v>
      </c>
      <c r="V38" s="1359" t="s">
        <v>65</v>
      </c>
      <c r="W38" s="1360">
        <f t="shared" si="11"/>
        <v>100</v>
      </c>
      <c r="X38" s="1361"/>
      <c r="Y38" s="3682"/>
      <c r="Z38" s="1362">
        <f t="shared" si="12"/>
        <v>111</v>
      </c>
      <c r="AA38" s="1354">
        <f t="shared" si="3"/>
        <v>1</v>
      </c>
      <c r="AB38" s="1354">
        <f t="shared" si="4"/>
        <v>1</v>
      </c>
      <c r="AC38" s="1354">
        <f t="shared" si="5"/>
        <v>1</v>
      </c>
    </row>
    <row r="39" spans="1:29" ht="14.25">
      <c r="A39" s="161"/>
      <c r="B39" s="1356">
        <v>111</v>
      </c>
      <c r="C39" s="1357"/>
      <c r="D39" s="777">
        <v>100</v>
      </c>
      <c r="E39" s="93"/>
      <c r="F39" s="803">
        <f>SUMIF(110:110,E39,111:111)-SUMIF(110:110,C39,111:111)+100</f>
        <v>100</v>
      </c>
      <c r="G39" s="1357"/>
      <c r="H39" s="777">
        <f>SUMIF(110:110,G39,111:111)-SUMIF(110:110,C39,111:111)+100</f>
        <v>100</v>
      </c>
      <c r="I39" s="1357"/>
      <c r="J39" s="777">
        <f>SUMIF(110:110,I39,111:111)-SUMIF(110:110,C39,111:111)+100</f>
        <v>100</v>
      </c>
      <c r="K39" s="188"/>
      <c r="L39" s="2297"/>
      <c r="M39" s="2292"/>
      <c r="N39" s="2292"/>
      <c r="O39" s="2336"/>
      <c r="P39" s="3682"/>
      <c r="Q39" s="1350">
        <f t="shared" si="8"/>
        <v>111</v>
      </c>
      <c r="R39" s="1351" t="s">
        <v>65</v>
      </c>
      <c r="S39" s="1352">
        <f t="shared" si="9"/>
        <v>100</v>
      </c>
      <c r="T39" s="1351" t="s">
        <v>65</v>
      </c>
      <c r="U39" s="1352">
        <f t="shared" si="10"/>
        <v>100</v>
      </c>
      <c r="V39" s="1351" t="s">
        <v>65</v>
      </c>
      <c r="W39" s="1352">
        <f t="shared" si="11"/>
        <v>100</v>
      </c>
      <c r="X39" s="1339"/>
      <c r="Y39" s="3682"/>
      <c r="Z39" s="1353">
        <f t="shared" si="12"/>
        <v>111</v>
      </c>
      <c r="AA39" s="1354">
        <f t="shared" si="3"/>
        <v>1</v>
      </c>
      <c r="AB39" s="1354">
        <f t="shared" si="4"/>
        <v>1</v>
      </c>
      <c r="AC39" s="1354">
        <f t="shared" si="5"/>
        <v>1</v>
      </c>
    </row>
    <row r="40" spans="1:29" ht="15" thickBot="1">
      <c r="A40" s="162"/>
      <c r="B40" s="1031">
        <v>111</v>
      </c>
      <c r="C40" s="94"/>
      <c r="D40" s="780">
        <v>100</v>
      </c>
      <c r="E40" s="93"/>
      <c r="F40" s="781">
        <f>SUMIF(112:112,E40,113:113)-SUMIF(112:112,C40,113:113)+100</f>
        <v>100</v>
      </c>
      <c r="G40" s="1357"/>
      <c r="H40" s="780">
        <f>SUMIF(112:112,G40,113:113)-SUMIF(112:112,C40,113:113)+100</f>
        <v>100</v>
      </c>
      <c r="I40" s="1357"/>
      <c r="J40" s="780">
        <f>SUMIF(112:112,I40,113:113)-SUMIF(112:112,C40,113:113)+100</f>
        <v>100</v>
      </c>
      <c r="K40" s="188"/>
      <c r="L40" s="2297"/>
      <c r="M40" s="2292"/>
      <c r="N40" s="2292"/>
      <c r="O40" s="2336"/>
      <c r="P40" s="3683"/>
      <c r="Q40" s="1350">
        <f t="shared" si="8"/>
        <v>111</v>
      </c>
      <c r="R40" s="1351" t="s">
        <v>65</v>
      </c>
      <c r="S40" s="1352">
        <f t="shared" si="9"/>
        <v>100</v>
      </c>
      <c r="T40" s="1351" t="s">
        <v>65</v>
      </c>
      <c r="U40" s="1352">
        <f t="shared" si="10"/>
        <v>100</v>
      </c>
      <c r="V40" s="1351" t="s">
        <v>65</v>
      </c>
      <c r="W40" s="1352">
        <f t="shared" si="11"/>
        <v>100</v>
      </c>
      <c r="X40" s="1339"/>
      <c r="Y40" s="3683"/>
      <c r="Z40" s="1353">
        <f t="shared" si="12"/>
        <v>111</v>
      </c>
      <c r="AA40" s="1354">
        <f t="shared" si="3"/>
        <v>1</v>
      </c>
      <c r="AB40" s="1354">
        <f t="shared" si="4"/>
        <v>1</v>
      </c>
      <c r="AC40" s="1354">
        <f t="shared" si="5"/>
        <v>1</v>
      </c>
    </row>
    <row r="41" spans="1:29" ht="15">
      <c r="A41" s="163" t="s">
        <v>102</v>
      </c>
      <c r="B41" s="164"/>
      <c r="C41" s="2829" t="s">
        <v>23</v>
      </c>
      <c r="D41" s="2830"/>
      <c r="E41" s="2831"/>
      <c r="F41" s="2832"/>
      <c r="G41" s="2833"/>
      <c r="H41" s="2834"/>
      <c r="I41" s="2831"/>
      <c r="J41" s="2834"/>
      <c r="K41" s="1392"/>
      <c r="L41" s="2299"/>
      <c r="M41" s="2300"/>
      <c r="N41" s="2292"/>
      <c r="O41" s="2300"/>
      <c r="P41" s="3675" t="str">
        <f>A41</f>
        <v>成交单价（元/平方米）</v>
      </c>
      <c r="Q41" s="3675"/>
      <c r="R41" s="3676">
        <f>E41</f>
        <v>0</v>
      </c>
      <c r="S41" s="3676"/>
      <c r="T41" s="3676">
        <f>G41</f>
        <v>0</v>
      </c>
      <c r="U41" s="3676"/>
      <c r="V41" s="3676">
        <f>I41</f>
        <v>0</v>
      </c>
      <c r="W41" s="3676"/>
      <c r="X41" s="1364"/>
      <c r="Y41" s="1365"/>
      <c r="Z41" s="1364"/>
      <c r="AA41" s="1364"/>
      <c r="AB41" s="1364"/>
      <c r="AC41" s="1364"/>
    </row>
    <row r="42" spans="1:29" ht="15.75" thickBot="1">
      <c r="A42" s="165" t="s">
        <v>100</v>
      </c>
      <c r="B42" s="166"/>
      <c r="C42" s="2835" t="e">
        <f>R43</f>
        <v>#DIV/0!</v>
      </c>
      <c r="D42" s="2836"/>
      <c r="E42" s="2837" t="e">
        <f>R42</f>
        <v>#DIV/0!</v>
      </c>
      <c r="F42" s="2837"/>
      <c r="G42" s="2835" t="e">
        <f>T42</f>
        <v>#DIV/0!</v>
      </c>
      <c r="H42" s="2836"/>
      <c r="I42" s="2837" t="e">
        <f>V42</f>
        <v>#DIV/0!</v>
      </c>
      <c r="J42" s="2836"/>
      <c r="K42" s="1393"/>
      <c r="L42" s="2299"/>
      <c r="M42" s="2300"/>
      <c r="N42" s="2292"/>
      <c r="O42" s="2300"/>
      <c r="P42" s="3675" t="str">
        <f>A42</f>
        <v>比较价值（元/平方米）</v>
      </c>
      <c r="Q42" s="3675"/>
      <c r="R42" s="3676" t="e">
        <f>IF(F1="售价",ROUND(PRODUCT(R41,AA7:AA40),0),ROUND(PRODUCT(R41,AA7:AA40),1))</f>
        <v>#DIV/0!</v>
      </c>
      <c r="S42" s="3676"/>
      <c r="T42" s="3676" t="e">
        <f>IF(F1="售价",ROUND(PRODUCT(T41,AB7:AB40),0),ROUND(PRODUCT(T41,AB7:AB40),1))</f>
        <v>#DIV/0!</v>
      </c>
      <c r="U42" s="3676"/>
      <c r="V42" s="3676" t="e">
        <f>IF(F1="售价",ROUND(PRODUCT(V41,AC7:AC40),0),ROUND(PRODUCT(V41,AC7:AC40),1))</f>
        <v>#DIV/0!</v>
      </c>
      <c r="W42" s="3676"/>
      <c r="X42" s="1364"/>
      <c r="Y42" s="1364"/>
      <c r="Z42" s="1364"/>
      <c r="AA42" s="1364"/>
      <c r="AB42" s="1364"/>
      <c r="AC42" s="1364"/>
    </row>
    <row r="43" spans="1:29" ht="15.75" thickBot="1">
      <c r="A43" s="115" t="s">
        <v>3019</v>
      </c>
      <c r="B43" s="116"/>
      <c r="C43" s="2839" t="e">
        <f>R43</f>
        <v>#DIV/0!</v>
      </c>
      <c r="D43" s="2839"/>
      <c r="E43" s="2839"/>
      <c r="F43" s="2839"/>
      <c r="G43" s="2839"/>
      <c r="H43" s="2839"/>
      <c r="I43" s="2839"/>
      <c r="J43" s="2839"/>
      <c r="K43" s="1394"/>
      <c r="L43" s="2299"/>
      <c r="M43" s="2300"/>
      <c r="N43" s="2300"/>
      <c r="O43" s="2300"/>
      <c r="P43" s="3672" t="str">
        <f>A43</f>
        <v>估价对象XX用房的比较价值（楼面单价，元/平方米）</v>
      </c>
      <c r="Q43" s="3673"/>
      <c r="R43" s="3674" t="e">
        <f>IF(F1="售价",ROUND(AVERAGE(R42:V42),0),ROUND(AVERAGE(R42:V42),1))</f>
        <v>#DIV/0!</v>
      </c>
      <c r="S43" s="3674"/>
      <c r="T43" s="3674"/>
      <c r="U43" s="3674"/>
      <c r="V43" s="3674"/>
      <c r="W43" s="3674"/>
      <c r="X43" s="1364"/>
      <c r="Y43" s="1364"/>
      <c r="Z43" s="1364"/>
      <c r="AA43" s="1364"/>
      <c r="AB43" s="1364"/>
      <c r="AC43" s="1364"/>
    </row>
    <row r="44" spans="1:29">
      <c r="A44" s="2300"/>
      <c r="B44" s="2300"/>
      <c r="C44" s="2300"/>
      <c r="D44" s="2300"/>
      <c r="E44" s="2300"/>
      <c r="F44" s="2300"/>
      <c r="G44" s="2309"/>
      <c r="H44" s="2300"/>
      <c r="I44" s="2300"/>
      <c r="J44" s="2300"/>
      <c r="K44" s="2301"/>
      <c r="L44" s="2302"/>
      <c r="M44" s="2300"/>
      <c r="N44" s="2300"/>
      <c r="O44" s="2300"/>
    </row>
    <row r="45" spans="1:29">
      <c r="A45" s="2300"/>
      <c r="B45" s="2300"/>
      <c r="C45" s="2300"/>
      <c r="D45" s="2300"/>
      <c r="E45" s="2300"/>
      <c r="F45" s="2300"/>
      <c r="G45" s="2300"/>
      <c r="H45" s="2300"/>
      <c r="I45" s="2300"/>
      <c r="J45" s="2300"/>
      <c r="K45" s="2301"/>
      <c r="L45" s="2302"/>
      <c r="M45" s="2300"/>
      <c r="N45" s="2300"/>
      <c r="O45" s="2300"/>
    </row>
    <row r="46" spans="1:29" ht="13.5" customHeight="1">
      <c r="A46" s="2300"/>
      <c r="B46" s="2300"/>
      <c r="C46" s="167" t="s">
        <v>1005</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1"/>
      <c r="L46" s="2302"/>
      <c r="M46" s="2300"/>
      <c r="N46" s="2300"/>
      <c r="O46" s="2300"/>
    </row>
    <row r="47" spans="1:29" ht="13.5" customHeight="1">
      <c r="A47" s="2300"/>
      <c r="B47" s="2300"/>
      <c r="C47" s="167" t="s">
        <v>1006</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1"/>
      <c r="L47" s="2302"/>
      <c r="M47" s="2300"/>
      <c r="N47" s="2300"/>
      <c r="O47" s="2300"/>
    </row>
    <row r="48" spans="1:29" s="119" customFormat="1" ht="13.5" customHeight="1">
      <c r="A48" s="2305"/>
      <c r="B48" s="2305"/>
      <c r="C48" s="167" t="s">
        <v>1007</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3"/>
      <c r="L48" s="2304"/>
      <c r="M48" s="2305"/>
      <c r="N48" s="2305"/>
      <c r="O48" s="2305"/>
    </row>
    <row r="49" spans="1:17" s="119" customFormat="1">
      <c r="A49" s="2305"/>
      <c r="B49" s="2310"/>
      <c r="C49" s="2311"/>
      <c r="D49" s="2305"/>
      <c r="E49" s="2305"/>
      <c r="F49" s="2305"/>
      <c r="G49" s="2305"/>
      <c r="H49" s="2305"/>
      <c r="I49" s="2305"/>
      <c r="J49" s="2305"/>
      <c r="K49" s="2303"/>
      <c r="L49" s="2304"/>
      <c r="M49" s="2305"/>
      <c r="N49" s="2305"/>
      <c r="O49" s="2305"/>
    </row>
    <row r="50" spans="1:17">
      <c r="A50" s="2300"/>
      <c r="B50" s="2310"/>
      <c r="C50" s="2311"/>
      <c r="D50" s="2300"/>
      <c r="E50" s="2300"/>
      <c r="F50" s="2300"/>
      <c r="G50" s="2300"/>
      <c r="H50" s="2300"/>
      <c r="I50" s="2300"/>
      <c r="J50" s="2300"/>
      <c r="K50" s="2301"/>
      <c r="L50" s="2302"/>
      <c r="M50" s="2300"/>
      <c r="N50" s="2300"/>
      <c r="O50" s="2300"/>
    </row>
    <row r="51" spans="1:17" ht="21" thickBot="1">
      <c r="A51" s="1371" t="s">
        <v>127</v>
      </c>
      <c r="B51" s="1364"/>
      <c r="C51" s="1372"/>
      <c r="D51" s="1372"/>
      <c r="E51" s="1372"/>
      <c r="F51" s="1373"/>
      <c r="G51" s="1373"/>
      <c r="H51" s="1372"/>
      <c r="I51" s="1372"/>
      <c r="J51" s="1372"/>
      <c r="K51" s="2306"/>
      <c r="L51" s="2307"/>
      <c r="M51" s="2308"/>
      <c r="N51" s="2308"/>
      <c r="O51" s="2308"/>
      <c r="P51" s="120"/>
      <c r="Q51" s="121"/>
    </row>
    <row r="52" spans="1:17" s="850" customFormat="1" ht="15">
      <c r="A52" s="847" t="s">
        <v>2797</v>
      </c>
      <c r="B52" s="848"/>
      <c r="C52" s="3037" t="str">
        <f>YEAR(C7)&amp;"-"&amp;MONTH(C7)</f>
        <v>2017-8</v>
      </c>
      <c r="D52" s="3038">
        <f>EDATE(C52,-1)</f>
        <v>42917</v>
      </c>
      <c r="E52" s="3038">
        <f t="shared" ref="E52:O52" si="13">EDATE(D52,-1)</f>
        <v>42887</v>
      </c>
      <c r="F52" s="3038">
        <f t="shared" si="13"/>
        <v>42856</v>
      </c>
      <c r="G52" s="3038">
        <f t="shared" si="13"/>
        <v>42826</v>
      </c>
      <c r="H52" s="3038">
        <f t="shared" si="13"/>
        <v>42795</v>
      </c>
      <c r="I52" s="3038">
        <f t="shared" si="13"/>
        <v>42767</v>
      </c>
      <c r="J52" s="3038">
        <f t="shared" si="13"/>
        <v>42736</v>
      </c>
      <c r="K52" s="3038">
        <f t="shared" si="13"/>
        <v>42705</v>
      </c>
      <c r="L52" s="3038">
        <f t="shared" si="13"/>
        <v>42675</v>
      </c>
      <c r="M52" s="3038">
        <f t="shared" si="13"/>
        <v>42644</v>
      </c>
      <c r="N52" s="3038">
        <f t="shared" si="13"/>
        <v>42614</v>
      </c>
      <c r="O52" s="3038">
        <f t="shared" si="13"/>
        <v>42583</v>
      </c>
      <c r="P52" s="849"/>
    </row>
    <row r="53" spans="1:17" s="40" customFormat="1" ht="14.25">
      <c r="A53" s="1044"/>
      <c r="B53" s="1045"/>
      <c r="C53" s="3035">
        <v>100</v>
      </c>
      <c r="D53" s="854"/>
      <c r="E53" s="854"/>
      <c r="F53" s="854"/>
      <c r="G53" s="854"/>
      <c r="H53" s="854"/>
      <c r="I53" s="854"/>
      <c r="J53" s="854"/>
      <c r="K53" s="854"/>
      <c r="L53" s="854"/>
      <c r="M53" s="855"/>
      <c r="N53" s="854"/>
      <c r="O53" s="856"/>
      <c r="P53" s="121"/>
    </row>
    <row r="54" spans="1:17" s="40" customFormat="1" ht="15" thickBot="1">
      <c r="A54" s="1046" t="s">
        <v>118</v>
      </c>
      <c r="B54" s="1047"/>
      <c r="C54" s="859"/>
      <c r="D54" s="860"/>
      <c r="E54" s="860"/>
      <c r="F54" s="860"/>
      <c r="G54" s="860"/>
      <c r="H54" s="860"/>
      <c r="I54" s="860"/>
      <c r="J54" s="860"/>
      <c r="K54" s="860"/>
      <c r="L54" s="860"/>
      <c r="M54" s="861"/>
      <c r="N54" s="860"/>
      <c r="O54" s="862"/>
      <c r="P54" s="121"/>
      <c r="Q54" s="121"/>
    </row>
    <row r="55" spans="1:17" s="40" customFormat="1">
      <c r="A55" s="1048" t="s">
        <v>66</v>
      </c>
      <c r="B55" s="1045"/>
      <c r="C55" s="1049" t="s">
        <v>116</v>
      </c>
      <c r="D55" s="140"/>
      <c r="E55" s="140"/>
      <c r="F55" s="140"/>
      <c r="G55" s="140"/>
      <c r="H55" s="140"/>
      <c r="I55" s="140"/>
      <c r="J55" s="140"/>
      <c r="K55" s="140"/>
      <c r="L55" s="141"/>
      <c r="M55" s="1050"/>
      <c r="N55" s="1387"/>
      <c r="O55" s="1387"/>
      <c r="P55" s="1051"/>
      <c r="Q55" s="121"/>
    </row>
    <row r="56" spans="1:17" s="40" customFormat="1" ht="15" thickBot="1">
      <c r="A56" s="1048"/>
      <c r="B56" s="1045"/>
      <c r="C56" s="981">
        <v>100</v>
      </c>
      <c r="D56" s="854"/>
      <c r="E56" s="854"/>
      <c r="F56" s="854"/>
      <c r="G56" s="854"/>
      <c r="H56" s="854"/>
      <c r="I56" s="854"/>
      <c r="J56" s="854"/>
      <c r="K56" s="854"/>
      <c r="L56" s="854"/>
      <c r="M56" s="856"/>
      <c r="N56" s="1387"/>
      <c r="O56" s="1387"/>
      <c r="P56" s="121"/>
      <c r="Q56" s="121"/>
    </row>
    <row r="57" spans="1:17">
      <c r="A57" s="172" t="s">
        <v>67</v>
      </c>
      <c r="B57" s="286" t="s">
        <v>68</v>
      </c>
      <c r="C57" s="176">
        <f>C9</f>
        <v>0</v>
      </c>
      <c r="D57" s="122"/>
      <c r="E57" s="122"/>
      <c r="F57" s="122"/>
      <c r="G57" s="122"/>
      <c r="H57" s="122"/>
      <c r="I57" s="122"/>
      <c r="J57" s="122"/>
      <c r="K57" s="123"/>
      <c r="L57" s="124"/>
      <c r="M57" s="125"/>
      <c r="N57" s="1388"/>
      <c r="O57" s="1388"/>
      <c r="P57" s="1"/>
      <c r="Q57" s="121"/>
    </row>
    <row r="58" spans="1:17" ht="15" thickBot="1">
      <c r="A58" s="173"/>
      <c r="B58" s="1052"/>
      <c r="C58" s="878">
        <v>100</v>
      </c>
      <c r="D58" s="878"/>
      <c r="E58" s="878"/>
      <c r="F58" s="878"/>
      <c r="G58" s="878"/>
      <c r="H58" s="878"/>
      <c r="I58" s="878"/>
      <c r="J58" s="878"/>
      <c r="K58" s="878"/>
      <c r="L58" s="878"/>
      <c r="M58" s="879"/>
      <c r="N58" s="1389"/>
      <c r="O58" s="1389"/>
      <c r="P58" s="1"/>
      <c r="Q58" s="121"/>
    </row>
    <row r="59" spans="1:17" ht="27.75" thickTop="1">
      <c r="A59" s="173"/>
      <c r="B59" s="1053" t="s">
        <v>106</v>
      </c>
      <c r="C59" s="881" t="s">
        <v>1011</v>
      </c>
      <c r="D59" s="881" t="s">
        <v>1012</v>
      </c>
      <c r="E59" s="881" t="s">
        <v>1013</v>
      </c>
      <c r="F59" s="881" t="s">
        <v>1014</v>
      </c>
      <c r="G59" s="881" t="s">
        <v>1015</v>
      </c>
      <c r="H59" s="881" t="s">
        <v>1016</v>
      </c>
      <c r="I59" s="881" t="s">
        <v>1017</v>
      </c>
      <c r="J59" s="881"/>
      <c r="K59" s="882"/>
      <c r="L59" s="883"/>
      <c r="M59" s="884"/>
      <c r="N59" s="1388"/>
      <c r="O59" s="1388"/>
      <c r="P59" s="1"/>
      <c r="Q59" s="121"/>
    </row>
    <row r="60" spans="1:17" ht="15" thickBot="1">
      <c r="A60" s="173"/>
      <c r="B60" s="1054"/>
      <c r="C60" s="886" t="s">
        <v>138</v>
      </c>
      <c r="D60" s="886" t="s">
        <v>139</v>
      </c>
      <c r="E60" s="886">
        <v>100</v>
      </c>
      <c r="F60" s="886">
        <f>E60-$K10</f>
        <v>100</v>
      </c>
      <c r="G60" s="886">
        <f>F60-$K10</f>
        <v>100</v>
      </c>
      <c r="H60" s="886">
        <f>G60-$K10</f>
        <v>100</v>
      </c>
      <c r="I60" s="886">
        <f>H60-$K10</f>
        <v>100</v>
      </c>
      <c r="J60" s="886"/>
      <c r="K60" s="886"/>
      <c r="L60" s="886"/>
      <c r="M60" s="887"/>
      <c r="N60" s="1389"/>
      <c r="O60" s="1389"/>
      <c r="P60" s="1"/>
      <c r="Q60" s="121"/>
    </row>
    <row r="61" spans="1:17" ht="15" thickTop="1">
      <c r="A61" s="173"/>
      <c r="B61" s="1055" t="s">
        <v>93</v>
      </c>
      <c r="C61" s="889" t="str">
        <f>C62&amp;"（含）"&amp;"-"&amp;D62</f>
        <v>（含）-</v>
      </c>
      <c r="D61" s="889" t="str">
        <f t="shared" ref="D61:L61" si="14">D62&amp;"（含）"&amp;"-"&amp;E62</f>
        <v>（含）-</v>
      </c>
      <c r="E61" s="889" t="str">
        <f t="shared" si="14"/>
        <v>（含）-</v>
      </c>
      <c r="F61" s="889" t="str">
        <f t="shared" si="14"/>
        <v>（含）-</v>
      </c>
      <c r="G61" s="889" t="str">
        <f t="shared" si="14"/>
        <v>（含）-</v>
      </c>
      <c r="H61" s="889" t="str">
        <f t="shared" si="14"/>
        <v>（含）-</v>
      </c>
      <c r="I61" s="889" t="str">
        <f t="shared" si="14"/>
        <v>（含）-</v>
      </c>
      <c r="J61" s="889" t="str">
        <f t="shared" si="14"/>
        <v>（含）-</v>
      </c>
      <c r="K61" s="889" t="str">
        <f t="shared" si="14"/>
        <v>（含）-</v>
      </c>
      <c r="L61" s="889" t="str">
        <f t="shared" si="14"/>
        <v>（含）-</v>
      </c>
      <c r="M61" s="790" t="str">
        <f>M62&amp;"（含）"&amp;"-"&amp;P62</f>
        <v>（含）-</v>
      </c>
      <c r="N61" s="1389"/>
      <c r="O61" s="1389"/>
      <c r="P61" s="1"/>
      <c r="Q61" s="121"/>
    </row>
    <row r="62" spans="1:17" ht="14.25">
      <c r="A62" s="173"/>
      <c r="B62" s="1056"/>
      <c r="C62" s="891"/>
      <c r="D62" s="891"/>
      <c r="E62" s="891"/>
      <c r="F62" s="891"/>
      <c r="G62" s="891"/>
      <c r="H62" s="891"/>
      <c r="I62" s="891"/>
      <c r="J62" s="891"/>
      <c r="K62" s="892"/>
      <c r="L62" s="893"/>
      <c r="M62" s="894"/>
      <c r="N62" s="1388"/>
      <c r="O62" s="1388"/>
      <c r="P62" s="1"/>
      <c r="Q62" s="121"/>
    </row>
    <row r="63" spans="1:17" ht="15" thickBot="1">
      <c r="A63" s="173"/>
      <c r="B63" s="1052"/>
      <c r="C63" s="886">
        <v>100</v>
      </c>
      <c r="D63" s="886">
        <f t="shared" ref="D63:M63" si="15">C63-$K11</f>
        <v>100</v>
      </c>
      <c r="E63" s="886">
        <f t="shared" si="15"/>
        <v>100</v>
      </c>
      <c r="F63" s="886">
        <f t="shared" si="15"/>
        <v>100</v>
      </c>
      <c r="G63" s="886">
        <f t="shared" si="15"/>
        <v>100</v>
      </c>
      <c r="H63" s="886">
        <f t="shared" si="15"/>
        <v>100</v>
      </c>
      <c r="I63" s="886">
        <f t="shared" si="15"/>
        <v>100</v>
      </c>
      <c r="J63" s="886">
        <f t="shared" si="15"/>
        <v>100</v>
      </c>
      <c r="K63" s="886">
        <f t="shared" si="15"/>
        <v>100</v>
      </c>
      <c r="L63" s="886">
        <f t="shared" si="15"/>
        <v>100</v>
      </c>
      <c r="M63" s="887">
        <f t="shared" si="15"/>
        <v>100</v>
      </c>
      <c r="N63" s="1389"/>
      <c r="O63" s="1389"/>
      <c r="P63" s="1"/>
      <c r="Q63" s="121"/>
    </row>
    <row r="64" spans="1:17" s="1038" customFormat="1" ht="14.25" thickTop="1">
      <c r="A64" s="1057"/>
      <c r="B64" s="1053">
        <f>B12</f>
        <v>111</v>
      </c>
      <c r="C64" s="139"/>
      <c r="D64" s="139"/>
      <c r="E64" s="139"/>
      <c r="F64" s="139"/>
      <c r="G64" s="139"/>
      <c r="H64" s="1058"/>
      <c r="I64" s="1058"/>
      <c r="J64" s="1058"/>
      <c r="K64" s="1058"/>
      <c r="L64" s="1059"/>
      <c r="M64" s="1060"/>
      <c r="N64" s="1390"/>
      <c r="O64" s="1390"/>
      <c r="P64" s="1061"/>
      <c r="Q64" s="1062"/>
    </row>
    <row r="65" spans="1:17" s="1038" customFormat="1" ht="15" thickBot="1">
      <c r="A65" s="1057"/>
      <c r="B65" s="1054"/>
      <c r="C65" s="902"/>
      <c r="D65" s="878"/>
      <c r="E65" s="878"/>
      <c r="F65" s="878"/>
      <c r="G65" s="878"/>
      <c r="H65" s="878"/>
      <c r="I65" s="878"/>
      <c r="J65" s="878"/>
      <c r="K65" s="878"/>
      <c r="L65" s="878"/>
      <c r="M65" s="879"/>
      <c r="N65" s="1389"/>
      <c r="O65" s="1389"/>
      <c r="P65" s="1061"/>
      <c r="Q65" s="1062"/>
    </row>
    <row r="66" spans="1:17" s="1038" customFormat="1" ht="14.25" thickTop="1">
      <c r="A66" s="1057"/>
      <c r="B66" s="1053">
        <f>B13</f>
        <v>111</v>
      </c>
      <c r="C66" s="139"/>
      <c r="D66" s="139"/>
      <c r="E66" s="139"/>
      <c r="F66" s="139"/>
      <c r="G66" s="139"/>
      <c r="H66" s="1058"/>
      <c r="I66" s="1058"/>
      <c r="J66" s="1058"/>
      <c r="K66" s="1058"/>
      <c r="L66" s="1059"/>
      <c r="M66" s="1060"/>
      <c r="N66" s="1390"/>
      <c r="O66" s="1390"/>
      <c r="P66" s="1063"/>
      <c r="Q66" s="1064"/>
    </row>
    <row r="67" spans="1:17" s="1038" customFormat="1" ht="15" thickBot="1">
      <c r="A67" s="1057"/>
      <c r="B67" s="1054"/>
      <c r="C67" s="902"/>
      <c r="D67" s="878"/>
      <c r="E67" s="878"/>
      <c r="F67" s="878"/>
      <c r="G67" s="902"/>
      <c r="H67" s="904"/>
      <c r="I67" s="904"/>
      <c r="J67" s="904"/>
      <c r="K67" s="904"/>
      <c r="L67" s="904"/>
      <c r="M67" s="905"/>
      <c r="N67" s="1390"/>
      <c r="O67" s="1390"/>
      <c r="P67" s="1061"/>
      <c r="Q67" s="1062"/>
    </row>
    <row r="68" spans="1:17" s="1038" customFormat="1" ht="14.25" thickTop="1">
      <c r="A68" s="1057"/>
      <c r="B68" s="1055">
        <f>B14</f>
        <v>111</v>
      </c>
      <c r="C68" s="140"/>
      <c r="D68" s="140"/>
      <c r="E68" s="140"/>
      <c r="F68" s="140"/>
      <c r="G68" s="140"/>
      <c r="H68" s="1065"/>
      <c r="I68" s="1065"/>
      <c r="J68" s="1065"/>
      <c r="K68" s="1065"/>
      <c r="L68" s="1066"/>
      <c r="M68" s="1067"/>
      <c r="N68" s="1390"/>
      <c r="O68" s="1390"/>
      <c r="P68" s="1068"/>
      <c r="Q68" s="1062"/>
    </row>
    <row r="69" spans="1:17" s="1038" customFormat="1" ht="15" thickBot="1">
      <c r="A69" s="1069"/>
      <c r="B69" s="1070"/>
      <c r="C69" s="912"/>
      <c r="D69" s="912"/>
      <c r="E69" s="912"/>
      <c r="F69" s="912"/>
      <c r="G69" s="912"/>
      <c r="H69" s="913"/>
      <c r="I69" s="913"/>
      <c r="J69" s="913"/>
      <c r="K69" s="913"/>
      <c r="L69" s="913"/>
      <c r="M69" s="914"/>
      <c r="N69" s="1390"/>
      <c r="O69" s="1390"/>
      <c r="P69" s="1061"/>
      <c r="Q69" s="1062"/>
    </row>
    <row r="70" spans="1:17" ht="14.25">
      <c r="A70" s="172" t="s">
        <v>69</v>
      </c>
      <c r="B70" s="286" t="s">
        <v>159</v>
      </c>
      <c r="C70" s="915" t="s">
        <v>1018</v>
      </c>
      <c r="D70" s="915" t="s">
        <v>1019</v>
      </c>
      <c r="E70" s="915" t="s">
        <v>1020</v>
      </c>
      <c r="F70" s="915" t="s">
        <v>1021</v>
      </c>
      <c r="G70" s="915" t="s">
        <v>1022</v>
      </c>
      <c r="H70" s="871"/>
      <c r="I70" s="871"/>
      <c r="J70" s="871"/>
      <c r="K70" s="916"/>
      <c r="L70" s="917"/>
      <c r="M70" s="918"/>
      <c r="N70" s="1388"/>
      <c r="O70" s="1388"/>
      <c r="P70" s="130"/>
      <c r="Q70" s="121"/>
    </row>
    <row r="71" spans="1:17" ht="15" thickBot="1">
      <c r="A71" s="173"/>
      <c r="B71" s="1054"/>
      <c r="C71" s="886">
        <v>100</v>
      </c>
      <c r="D71" s="886">
        <f>C71-$K15</f>
        <v>100</v>
      </c>
      <c r="E71" s="886">
        <f>D71-$K15</f>
        <v>100</v>
      </c>
      <c r="F71" s="886">
        <f>E71-$K15</f>
        <v>100</v>
      </c>
      <c r="G71" s="886">
        <f>F71-$K15</f>
        <v>100</v>
      </c>
      <c r="H71" s="886"/>
      <c r="I71" s="886"/>
      <c r="J71" s="886"/>
      <c r="K71" s="886"/>
      <c r="L71" s="886"/>
      <c r="M71" s="887"/>
      <c r="N71" s="1389"/>
      <c r="O71" s="1389"/>
      <c r="P71" s="1"/>
      <c r="Q71" s="121"/>
    </row>
    <row r="72" spans="1:17" ht="15" thickTop="1">
      <c r="A72" s="173"/>
      <c r="B72" s="1053" t="s">
        <v>92</v>
      </c>
      <c r="C72" s="920" t="s">
        <v>1018</v>
      </c>
      <c r="D72" s="920" t="s">
        <v>1019</v>
      </c>
      <c r="E72" s="920" t="s">
        <v>1020</v>
      </c>
      <c r="F72" s="920" t="s">
        <v>1021</v>
      </c>
      <c r="G72" s="920" t="s">
        <v>1022</v>
      </c>
      <c r="H72" s="881"/>
      <c r="I72" s="881"/>
      <c r="J72" s="881"/>
      <c r="K72" s="882"/>
      <c r="L72" s="883"/>
      <c r="M72" s="884"/>
      <c r="N72" s="1388"/>
      <c r="O72" s="1388"/>
      <c r="P72" s="1"/>
      <c r="Q72" s="121"/>
    </row>
    <row r="73" spans="1:17" ht="15" thickBot="1">
      <c r="A73" s="173"/>
      <c r="B73" s="1054"/>
      <c r="C73" s="886">
        <v>100</v>
      </c>
      <c r="D73" s="886">
        <f>C73-$K17</f>
        <v>100</v>
      </c>
      <c r="E73" s="886">
        <f>D73-$K17</f>
        <v>100</v>
      </c>
      <c r="F73" s="886">
        <f>E73-$K17</f>
        <v>100</v>
      </c>
      <c r="G73" s="886">
        <f>F73-$K17</f>
        <v>100</v>
      </c>
      <c r="H73" s="886"/>
      <c r="I73" s="886"/>
      <c r="J73" s="886"/>
      <c r="K73" s="886"/>
      <c r="L73" s="886"/>
      <c r="M73" s="887"/>
      <c r="N73" s="1389"/>
      <c r="O73" s="1389"/>
      <c r="P73" s="1"/>
      <c r="Q73" s="121"/>
    </row>
    <row r="74" spans="1:17" ht="15" thickTop="1">
      <c r="A74" s="173"/>
      <c r="B74" s="1053" t="s">
        <v>2641</v>
      </c>
      <c r="C74" s="920" t="s">
        <v>1018</v>
      </c>
      <c r="D74" s="920" t="s">
        <v>1019</v>
      </c>
      <c r="E74" s="920" t="s">
        <v>1020</v>
      </c>
      <c r="F74" s="920" t="s">
        <v>1021</v>
      </c>
      <c r="G74" s="920" t="s">
        <v>1022</v>
      </c>
      <c r="H74" s="881"/>
      <c r="I74" s="881"/>
      <c r="J74" s="881"/>
      <c r="K74" s="882"/>
      <c r="L74" s="883"/>
      <c r="M74" s="884"/>
      <c r="N74" s="1388"/>
      <c r="O74" s="1388"/>
      <c r="P74" s="1"/>
      <c r="Q74" s="121"/>
    </row>
    <row r="75" spans="1:17" ht="15" thickBot="1">
      <c r="A75" s="173"/>
      <c r="B75" s="1054"/>
      <c r="C75" s="886">
        <v>100</v>
      </c>
      <c r="D75" s="886">
        <f>C75-$K19</f>
        <v>100</v>
      </c>
      <c r="E75" s="886">
        <f>D75-$K19</f>
        <v>100</v>
      </c>
      <c r="F75" s="886">
        <f>E75-$K19</f>
        <v>100</v>
      </c>
      <c r="G75" s="886">
        <f>F75-$K19</f>
        <v>100</v>
      </c>
      <c r="H75" s="886"/>
      <c r="I75" s="886"/>
      <c r="J75" s="886"/>
      <c r="K75" s="886"/>
      <c r="L75" s="886"/>
      <c r="M75" s="887"/>
      <c r="N75" s="1389"/>
      <c r="O75" s="1389"/>
      <c r="P75" s="1"/>
      <c r="Q75" s="121"/>
    </row>
    <row r="76" spans="1:17" ht="15" thickTop="1">
      <c r="A76" s="173"/>
      <c r="B76" s="1055" t="s">
        <v>2669</v>
      </c>
      <c r="C76" s="213" t="s">
        <v>2661</v>
      </c>
      <c r="D76" s="213" t="s">
        <v>2662</v>
      </c>
      <c r="E76" s="213" t="s">
        <v>2663</v>
      </c>
      <c r="F76" s="213" t="s">
        <v>2664</v>
      </c>
      <c r="G76" s="213" t="s">
        <v>2665</v>
      </c>
      <c r="H76" s="881"/>
      <c r="I76" s="881"/>
      <c r="J76" s="881"/>
      <c r="K76" s="881"/>
      <c r="L76" s="881"/>
      <c r="M76" s="2761"/>
      <c r="N76" s="1389"/>
      <c r="O76" s="1389"/>
      <c r="P76" s="1"/>
      <c r="Q76" s="121"/>
    </row>
    <row r="77" spans="1:17" ht="15" thickBot="1">
      <c r="A77" s="173"/>
      <c r="B77" s="1055"/>
      <c r="C77" s="886">
        <v>100</v>
      </c>
      <c r="D77" s="886">
        <f>C77-$K21</f>
        <v>100</v>
      </c>
      <c r="E77" s="886">
        <f>D77-$K21</f>
        <v>100</v>
      </c>
      <c r="F77" s="886">
        <f>E77-$K21</f>
        <v>100</v>
      </c>
      <c r="G77" s="886">
        <f>F77-$K21</f>
        <v>100</v>
      </c>
      <c r="H77" s="1002"/>
      <c r="I77" s="1002"/>
      <c r="J77" s="1002"/>
      <c r="K77" s="1002"/>
      <c r="L77" s="1002"/>
      <c r="M77" s="792"/>
      <c r="N77" s="1389"/>
      <c r="O77" s="1389"/>
      <c r="P77" s="1"/>
      <c r="Q77" s="121"/>
    </row>
    <row r="78" spans="1:17" ht="15" thickTop="1">
      <c r="A78" s="173"/>
      <c r="B78" s="1053" t="s">
        <v>149</v>
      </c>
      <c r="C78" s="920" t="s">
        <v>1018</v>
      </c>
      <c r="D78" s="920" t="s">
        <v>1019</v>
      </c>
      <c r="E78" s="920" t="s">
        <v>1020</v>
      </c>
      <c r="F78" s="920" t="s">
        <v>1021</v>
      </c>
      <c r="G78" s="920" t="s">
        <v>1022</v>
      </c>
      <c r="H78" s="881"/>
      <c r="I78" s="881"/>
      <c r="J78" s="881"/>
      <c r="K78" s="882"/>
      <c r="L78" s="883"/>
      <c r="M78" s="884"/>
      <c r="N78" s="1388"/>
      <c r="O78" s="1388"/>
      <c r="P78" s="1"/>
      <c r="Q78" s="121"/>
    </row>
    <row r="79" spans="1:17" ht="15" thickBot="1">
      <c r="A79" s="173"/>
      <c r="B79" s="1054"/>
      <c r="C79" s="886">
        <v>100</v>
      </c>
      <c r="D79" s="886">
        <f>C79-$K23</f>
        <v>100</v>
      </c>
      <c r="E79" s="886">
        <f>D79-$K23</f>
        <v>100</v>
      </c>
      <c r="F79" s="886">
        <f>E79-$K23</f>
        <v>100</v>
      </c>
      <c r="G79" s="886">
        <f>F79-$K23</f>
        <v>100</v>
      </c>
      <c r="H79" s="886"/>
      <c r="I79" s="886"/>
      <c r="J79" s="886"/>
      <c r="K79" s="886"/>
      <c r="L79" s="886"/>
      <c r="M79" s="887"/>
      <c r="N79" s="1389"/>
      <c r="O79" s="1389"/>
      <c r="P79" s="1"/>
      <c r="Q79" s="121"/>
    </row>
    <row r="80" spans="1:17" s="40" customFormat="1" ht="14.25" thickTop="1">
      <c r="A80" s="1071"/>
      <c r="B80" s="1053">
        <f>B25</f>
        <v>111</v>
      </c>
      <c r="C80" s="139"/>
      <c r="D80" s="139"/>
      <c r="E80" s="139"/>
      <c r="F80" s="139"/>
      <c r="G80" s="139"/>
      <c r="H80" s="139"/>
      <c r="I80" s="139"/>
      <c r="J80" s="139"/>
      <c r="K80" s="139"/>
      <c r="L80" s="1383"/>
      <c r="M80" s="1384"/>
      <c r="N80" s="1387"/>
      <c r="O80" s="1387"/>
      <c r="P80" s="1"/>
      <c r="Q80" s="121"/>
    </row>
    <row r="81" spans="1:17" s="40" customFormat="1" ht="15" thickBot="1">
      <c r="A81" s="1071"/>
      <c r="B81" s="1054"/>
      <c r="C81" s="902"/>
      <c r="D81" s="878"/>
      <c r="E81" s="878"/>
      <c r="F81" s="878"/>
      <c r="G81" s="878"/>
      <c r="H81" s="878"/>
      <c r="I81" s="878"/>
      <c r="J81" s="878"/>
      <c r="K81" s="878"/>
      <c r="L81" s="878"/>
      <c r="M81" s="879"/>
      <c r="N81" s="1389"/>
      <c r="O81" s="1389"/>
      <c r="P81" s="1"/>
      <c r="Q81" s="121"/>
    </row>
    <row r="82" spans="1:17" s="40" customFormat="1" ht="14.25" thickTop="1">
      <c r="A82" s="1071"/>
      <c r="B82" s="1053">
        <f>B26</f>
        <v>111</v>
      </c>
      <c r="C82" s="139"/>
      <c r="D82" s="139"/>
      <c r="E82" s="139"/>
      <c r="F82" s="139"/>
      <c r="G82" s="139"/>
      <c r="H82" s="139"/>
      <c r="I82" s="139"/>
      <c r="J82" s="139"/>
      <c r="K82" s="139"/>
      <c r="L82" s="1383"/>
      <c r="M82" s="1384"/>
      <c r="N82" s="1387"/>
      <c r="O82" s="1387"/>
      <c r="P82" s="1"/>
      <c r="Q82" s="121"/>
    </row>
    <row r="83" spans="1:17" s="40" customFormat="1" ht="15" thickBot="1">
      <c r="A83" s="1071"/>
      <c r="B83" s="1054"/>
      <c r="C83" s="902"/>
      <c r="D83" s="878"/>
      <c r="E83" s="878"/>
      <c r="F83" s="878"/>
      <c r="G83" s="878"/>
      <c r="H83" s="878"/>
      <c r="I83" s="878"/>
      <c r="J83" s="878"/>
      <c r="K83" s="878"/>
      <c r="L83" s="878"/>
      <c r="M83" s="879"/>
      <c r="N83" s="1389"/>
      <c r="O83" s="1389"/>
      <c r="P83" s="1"/>
      <c r="Q83" s="121"/>
    </row>
    <row r="84" spans="1:17" s="1038" customFormat="1" ht="14.25" thickTop="1">
      <c r="A84" s="1057"/>
      <c r="B84" s="1053">
        <f>B27</f>
        <v>111</v>
      </c>
      <c r="C84" s="139"/>
      <c r="D84" s="139"/>
      <c r="E84" s="139"/>
      <c r="F84" s="139"/>
      <c r="G84" s="139"/>
      <c r="H84" s="139"/>
      <c r="I84" s="139"/>
      <c r="J84" s="139"/>
      <c r="K84" s="139"/>
      <c r="L84" s="1383"/>
      <c r="M84" s="1384"/>
      <c r="N84" s="1390"/>
      <c r="O84" s="1390"/>
      <c r="P84" s="1061"/>
      <c r="Q84" s="1062"/>
    </row>
    <row r="85" spans="1:17" s="1038" customFormat="1" ht="15" thickBot="1">
      <c r="A85" s="1057"/>
      <c r="B85" s="1054"/>
      <c r="C85" s="902"/>
      <c r="D85" s="878"/>
      <c r="E85" s="878"/>
      <c r="F85" s="878"/>
      <c r="G85" s="878"/>
      <c r="H85" s="878"/>
      <c r="I85" s="878"/>
      <c r="J85" s="878"/>
      <c r="K85" s="878"/>
      <c r="L85" s="878"/>
      <c r="M85" s="879"/>
      <c r="N85" s="1390"/>
      <c r="O85" s="1390"/>
      <c r="P85" s="1061"/>
      <c r="Q85" s="1062"/>
    </row>
    <row r="86" spans="1:17" ht="14.25" thickTop="1">
      <c r="A86" s="173"/>
      <c r="B86" s="1055">
        <f>B28</f>
        <v>111</v>
      </c>
      <c r="C86" s="140"/>
      <c r="D86" s="140"/>
      <c r="E86" s="140"/>
      <c r="F86" s="140"/>
      <c r="G86" s="135"/>
      <c r="H86" s="135"/>
      <c r="I86" s="135"/>
      <c r="J86" s="135"/>
      <c r="K86" s="136"/>
      <c r="L86" s="137"/>
      <c r="M86" s="138"/>
      <c r="N86" s="1388"/>
      <c r="O86" s="1388"/>
      <c r="P86" s="1"/>
      <c r="Q86" s="121"/>
    </row>
    <row r="87" spans="1:17" ht="15" thickBot="1">
      <c r="A87" s="174"/>
      <c r="B87" s="1070"/>
      <c r="C87" s="912"/>
      <c r="D87" s="912"/>
      <c r="E87" s="912"/>
      <c r="F87" s="912"/>
      <c r="G87" s="933"/>
      <c r="H87" s="933"/>
      <c r="I87" s="933"/>
      <c r="J87" s="933"/>
      <c r="K87" s="933"/>
      <c r="L87" s="933"/>
      <c r="M87" s="934"/>
      <c r="N87" s="1389"/>
      <c r="O87" s="1389"/>
      <c r="P87" s="1"/>
      <c r="Q87" s="121"/>
    </row>
    <row r="88" spans="1:17">
      <c r="A88" s="172" t="s">
        <v>70</v>
      </c>
      <c r="B88" s="286" t="s">
        <v>123</v>
      </c>
      <c r="C88" s="122"/>
      <c r="D88" s="122"/>
      <c r="E88" s="122"/>
      <c r="F88" s="122"/>
      <c r="G88" s="122"/>
      <c r="H88" s="122"/>
      <c r="I88" s="122"/>
      <c r="J88" s="122"/>
      <c r="K88" s="123"/>
      <c r="L88" s="124"/>
      <c r="M88" s="125"/>
      <c r="N88" s="1388"/>
      <c r="O88" s="1388"/>
      <c r="P88" s="1"/>
      <c r="Q88" s="121"/>
    </row>
    <row r="89" spans="1:17" ht="15" thickBot="1">
      <c r="A89" s="173"/>
      <c r="B89" s="1054"/>
      <c r="C89" s="886">
        <v>100</v>
      </c>
      <c r="D89" s="886">
        <f t="shared" ref="D89:M89" si="16">C89-$K29</f>
        <v>100</v>
      </c>
      <c r="E89" s="886">
        <f t="shared" si="16"/>
        <v>100</v>
      </c>
      <c r="F89" s="886">
        <f t="shared" si="16"/>
        <v>100</v>
      </c>
      <c r="G89" s="886">
        <f t="shared" si="16"/>
        <v>100</v>
      </c>
      <c r="H89" s="886">
        <f t="shared" si="16"/>
        <v>100</v>
      </c>
      <c r="I89" s="886">
        <f t="shared" si="16"/>
        <v>100</v>
      </c>
      <c r="J89" s="886">
        <f t="shared" si="16"/>
        <v>100</v>
      </c>
      <c r="K89" s="886">
        <f t="shared" si="16"/>
        <v>100</v>
      </c>
      <c r="L89" s="886">
        <f t="shared" si="16"/>
        <v>100</v>
      </c>
      <c r="M89" s="887">
        <f t="shared" si="16"/>
        <v>100</v>
      </c>
      <c r="N89" s="1389"/>
      <c r="O89" s="1389"/>
      <c r="P89" s="1"/>
      <c r="Q89" s="121"/>
    </row>
    <row r="90" spans="1:17" ht="15" thickTop="1">
      <c r="A90" s="173"/>
      <c r="B90" s="1053" t="s">
        <v>96</v>
      </c>
      <c r="C90" s="920" t="str">
        <f>C91&amp;"(含)"&amp;"-"&amp;D91</f>
        <v>(含)-</v>
      </c>
      <c r="D90" s="920" t="str">
        <f t="shared" ref="D90:L90" si="17">D91&amp;"(含)"&amp;"-"&amp;E91</f>
        <v>(含)-</v>
      </c>
      <c r="E90" s="920" t="str">
        <f t="shared" si="17"/>
        <v>(含)-</v>
      </c>
      <c r="F90" s="920" t="str">
        <f t="shared" si="17"/>
        <v>(含)-</v>
      </c>
      <c r="G90" s="920" t="str">
        <f t="shared" si="17"/>
        <v>(含)-</v>
      </c>
      <c r="H90" s="920" t="str">
        <f t="shared" si="17"/>
        <v>(含)-</v>
      </c>
      <c r="I90" s="920" t="str">
        <f t="shared" si="17"/>
        <v>(含)-</v>
      </c>
      <c r="J90" s="920" t="str">
        <f t="shared" si="17"/>
        <v>(含)-</v>
      </c>
      <c r="K90" s="920" t="str">
        <f t="shared" si="17"/>
        <v>(含)-</v>
      </c>
      <c r="L90" s="920" t="str">
        <f t="shared" si="17"/>
        <v>(含)-</v>
      </c>
      <c r="M90" s="964" t="str">
        <f>M91&amp;"(含)"&amp;"-"&amp;P91</f>
        <v>(含)-</v>
      </c>
      <c r="N90" s="1387"/>
      <c r="O90" s="1387"/>
      <c r="P90" s="1"/>
      <c r="Q90" s="121"/>
    </row>
    <row r="91" spans="1:17" s="1038" customFormat="1">
      <c r="A91" s="1072"/>
      <c r="B91" s="1073"/>
      <c r="C91" s="1074"/>
      <c r="D91" s="1074"/>
      <c r="E91" s="1074"/>
      <c r="F91" s="1074"/>
      <c r="G91" s="1074"/>
      <c r="H91" s="1074"/>
      <c r="I91" s="1074"/>
      <c r="J91" s="1075"/>
      <c r="K91" s="1075"/>
      <c r="L91" s="1076"/>
      <c r="M91" s="1077"/>
      <c r="N91" s="1390"/>
      <c r="O91" s="1390"/>
      <c r="P91" s="1061"/>
      <c r="Q91" s="1062"/>
    </row>
    <row r="92" spans="1:17" s="1038" customFormat="1" ht="15" thickBot="1">
      <c r="A92" s="1057"/>
      <c r="B92" s="1054"/>
      <c r="C92" s="902"/>
      <c r="D92" s="878"/>
      <c r="E92" s="878"/>
      <c r="F92" s="878"/>
      <c r="G92" s="878"/>
      <c r="H92" s="878"/>
      <c r="I92" s="878"/>
      <c r="J92" s="878"/>
      <c r="K92" s="878"/>
      <c r="L92" s="878"/>
      <c r="M92" s="879"/>
      <c r="N92" s="1389"/>
      <c r="O92" s="1389"/>
      <c r="P92" s="1061"/>
      <c r="Q92" s="1062"/>
    </row>
    <row r="93" spans="1:17" ht="14.25" thickTop="1">
      <c r="A93" s="175"/>
      <c r="B93" s="1053" t="s">
        <v>95</v>
      </c>
      <c r="C93" s="139"/>
      <c r="D93" s="139"/>
      <c r="E93" s="131"/>
      <c r="F93" s="131"/>
      <c r="G93" s="131"/>
      <c r="H93" s="131"/>
      <c r="I93" s="131"/>
      <c r="J93" s="131"/>
      <c r="K93" s="132"/>
      <c r="L93" s="133"/>
      <c r="M93" s="134"/>
      <c r="N93" s="1388"/>
      <c r="O93" s="1388"/>
      <c r="P93" s="1"/>
      <c r="Q93" s="121"/>
    </row>
    <row r="94" spans="1:17" ht="15" thickBot="1">
      <c r="A94" s="173"/>
      <c r="B94" s="1054"/>
      <c r="C94" s="886">
        <v>100</v>
      </c>
      <c r="D94" s="886">
        <f t="shared" ref="D94:M94" si="18">C94-$K31</f>
        <v>100</v>
      </c>
      <c r="E94" s="886">
        <f t="shared" si="18"/>
        <v>100</v>
      </c>
      <c r="F94" s="886">
        <f t="shared" si="18"/>
        <v>100</v>
      </c>
      <c r="G94" s="886">
        <f t="shared" si="18"/>
        <v>100</v>
      </c>
      <c r="H94" s="886">
        <f t="shared" si="18"/>
        <v>100</v>
      </c>
      <c r="I94" s="886">
        <f t="shared" si="18"/>
        <v>100</v>
      </c>
      <c r="J94" s="886">
        <f t="shared" si="18"/>
        <v>100</v>
      </c>
      <c r="K94" s="886">
        <f t="shared" si="18"/>
        <v>100</v>
      </c>
      <c r="L94" s="886">
        <f t="shared" si="18"/>
        <v>100</v>
      </c>
      <c r="M94" s="887">
        <f t="shared" si="18"/>
        <v>100</v>
      </c>
      <c r="N94" s="1389"/>
      <c r="O94" s="1389"/>
      <c r="P94" s="1"/>
      <c r="Q94" s="121"/>
    </row>
    <row r="95" spans="1:17" ht="14.25" thickTop="1">
      <c r="A95" s="175"/>
      <c r="B95" s="1053" t="s">
        <v>124</v>
      </c>
      <c r="C95" s="139"/>
      <c r="D95" s="139"/>
      <c r="E95" s="139"/>
      <c r="F95" s="131"/>
      <c r="G95" s="131"/>
      <c r="H95" s="131"/>
      <c r="I95" s="131"/>
      <c r="J95" s="131"/>
      <c r="K95" s="132"/>
      <c r="L95" s="133"/>
      <c r="M95" s="134"/>
      <c r="N95" s="1388"/>
      <c r="O95" s="1388"/>
      <c r="P95" s="1"/>
      <c r="Q95" s="121"/>
    </row>
    <row r="96" spans="1:17" ht="15" thickBot="1">
      <c r="A96" s="173"/>
      <c r="B96" s="1054"/>
      <c r="C96" s="886">
        <v>100</v>
      </c>
      <c r="D96" s="886">
        <f t="shared" ref="D96:M96" si="19">C96-$K32</f>
        <v>100</v>
      </c>
      <c r="E96" s="886">
        <f t="shared" si="19"/>
        <v>100</v>
      </c>
      <c r="F96" s="886">
        <f t="shared" si="19"/>
        <v>100</v>
      </c>
      <c r="G96" s="886">
        <f t="shared" si="19"/>
        <v>100</v>
      </c>
      <c r="H96" s="886">
        <f t="shared" si="19"/>
        <v>100</v>
      </c>
      <c r="I96" s="886">
        <f t="shared" si="19"/>
        <v>100</v>
      </c>
      <c r="J96" s="886">
        <f t="shared" si="19"/>
        <v>100</v>
      </c>
      <c r="K96" s="886">
        <f t="shared" si="19"/>
        <v>100</v>
      </c>
      <c r="L96" s="886">
        <f t="shared" si="19"/>
        <v>100</v>
      </c>
      <c r="M96" s="887">
        <f t="shared" si="19"/>
        <v>100</v>
      </c>
      <c r="N96" s="1389"/>
      <c r="O96" s="1389"/>
      <c r="P96" s="1"/>
      <c r="Q96" s="121"/>
    </row>
    <row r="97" spans="1:17" ht="15" thickTop="1">
      <c r="A97" s="175"/>
      <c r="B97" s="1053" t="s">
        <v>112</v>
      </c>
      <c r="C97" s="920" t="str">
        <f>C98&amp;"(含)"&amp;"-"&amp;D98</f>
        <v>0.5(含)-0.6</v>
      </c>
      <c r="D97" s="920" t="str">
        <f>D98&amp;"(含)"&amp;"-"&amp;E98</f>
        <v>0.6(含)-0.7</v>
      </c>
      <c r="E97" s="920" t="str">
        <f>E98&amp;"(含)"&amp;"-"&amp;F98</f>
        <v>0.7(含)-0.8</v>
      </c>
      <c r="F97" s="920" t="str">
        <f>F98&amp;"(含)"&amp;"-"&amp;G98</f>
        <v>0.8(含)-0.9</v>
      </c>
      <c r="G97" s="920" t="str">
        <f>G98&amp;"(含)"&amp;"-"&amp;ROUND(H98,0)&amp;"(含)"</f>
        <v>0.9(含)-1(含)</v>
      </c>
      <c r="H97" s="920"/>
      <c r="I97" s="131"/>
      <c r="J97" s="131"/>
      <c r="K97" s="132"/>
      <c r="L97" s="133"/>
      <c r="M97" s="134"/>
      <c r="N97" s="1388"/>
      <c r="O97" s="1388"/>
      <c r="P97" s="1"/>
      <c r="Q97" s="121"/>
    </row>
    <row r="98" spans="1:17" ht="14.25">
      <c r="A98" s="175"/>
      <c r="B98" s="1055"/>
      <c r="C98" s="945">
        <v>0.5</v>
      </c>
      <c r="D98" s="945">
        <v>0.6</v>
      </c>
      <c r="E98" s="945">
        <v>0.7</v>
      </c>
      <c r="F98" s="945">
        <v>0.8</v>
      </c>
      <c r="G98" s="945">
        <v>0.9</v>
      </c>
      <c r="H98" s="945">
        <v>1.0001</v>
      </c>
      <c r="I98" s="183"/>
      <c r="J98" s="183"/>
      <c r="K98" s="184"/>
      <c r="L98" s="185"/>
      <c r="M98" s="186"/>
      <c r="N98" s="1388"/>
      <c r="O98" s="1388"/>
      <c r="P98" s="1"/>
      <c r="Q98" s="121"/>
    </row>
    <row r="99" spans="1:17" ht="15" thickBot="1">
      <c r="A99" s="173"/>
      <c r="B99" s="1054"/>
      <c r="C99" s="924">
        <v>100</v>
      </c>
      <c r="D99" s="886">
        <f>C99+$K33</f>
        <v>100</v>
      </c>
      <c r="E99" s="886">
        <f t="shared" ref="E99:M99" si="20">D99+$K33</f>
        <v>100</v>
      </c>
      <c r="F99" s="886">
        <f t="shared" si="20"/>
        <v>100</v>
      </c>
      <c r="G99" s="886">
        <f t="shared" si="20"/>
        <v>100</v>
      </c>
      <c r="H99" s="886">
        <f t="shared" si="20"/>
        <v>100</v>
      </c>
      <c r="I99" s="886">
        <f t="shared" si="20"/>
        <v>100</v>
      </c>
      <c r="J99" s="886">
        <f t="shared" si="20"/>
        <v>100</v>
      </c>
      <c r="K99" s="886">
        <f t="shared" si="20"/>
        <v>100</v>
      </c>
      <c r="L99" s="886">
        <f t="shared" si="20"/>
        <v>100</v>
      </c>
      <c r="M99" s="886">
        <f t="shared" si="20"/>
        <v>100</v>
      </c>
      <c r="N99" s="1389"/>
      <c r="O99" s="1389"/>
      <c r="P99" s="1"/>
      <c r="Q99" s="121"/>
    </row>
    <row r="100" spans="1:17" s="1038" customFormat="1" ht="14.25" thickTop="1">
      <c r="A100" s="1072"/>
      <c r="B100" s="1053" t="s">
        <v>125</v>
      </c>
      <c r="C100" s="139"/>
      <c r="D100" s="139"/>
      <c r="E100" s="139"/>
      <c r="F100" s="139"/>
      <c r="G100" s="139"/>
      <c r="H100" s="131"/>
      <c r="I100" s="131"/>
      <c r="J100" s="131"/>
      <c r="K100" s="132"/>
      <c r="L100" s="133"/>
      <c r="M100" s="134"/>
      <c r="N100" s="1390"/>
      <c r="O100" s="1390"/>
      <c r="P100" s="1061"/>
      <c r="Q100" s="1062"/>
    </row>
    <row r="101" spans="1:17" s="1038" customFormat="1" ht="15" thickBot="1">
      <c r="A101" s="1057"/>
      <c r="B101" s="1054"/>
      <c r="C101" s="886">
        <v>100</v>
      </c>
      <c r="D101" s="886">
        <f>C101-$K34</f>
        <v>100</v>
      </c>
      <c r="E101" s="886">
        <f t="shared" ref="E101:M101" si="21">D101-$K34</f>
        <v>100</v>
      </c>
      <c r="F101" s="886">
        <f t="shared" si="21"/>
        <v>100</v>
      </c>
      <c r="G101" s="886">
        <f t="shared" si="21"/>
        <v>100</v>
      </c>
      <c r="H101" s="886">
        <f t="shared" si="21"/>
        <v>100</v>
      </c>
      <c r="I101" s="886">
        <f t="shared" si="21"/>
        <v>100</v>
      </c>
      <c r="J101" s="886">
        <f t="shared" si="21"/>
        <v>100</v>
      </c>
      <c r="K101" s="886">
        <f t="shared" si="21"/>
        <v>100</v>
      </c>
      <c r="L101" s="886">
        <f t="shared" si="21"/>
        <v>100</v>
      </c>
      <c r="M101" s="886">
        <f t="shared" si="21"/>
        <v>100</v>
      </c>
      <c r="N101" s="1390"/>
      <c r="O101" s="1390"/>
      <c r="P101" s="1061"/>
      <c r="Q101" s="1062"/>
    </row>
    <row r="102" spans="1:17" ht="14.25" thickTop="1">
      <c r="A102" s="175"/>
      <c r="B102" s="1053" t="s">
        <v>2643</v>
      </c>
      <c r="C102" s="139"/>
      <c r="D102" s="139"/>
      <c r="E102" s="139"/>
      <c r="F102" s="139"/>
      <c r="G102" s="139"/>
      <c r="H102" s="131"/>
      <c r="I102" s="131"/>
      <c r="J102" s="131"/>
      <c r="K102" s="132"/>
      <c r="L102" s="133"/>
      <c r="M102" s="134"/>
      <c r="N102" s="1388"/>
      <c r="O102" s="1388"/>
      <c r="P102" s="1"/>
      <c r="Q102" s="121"/>
    </row>
    <row r="103" spans="1:17" ht="15" thickBot="1">
      <c r="A103" s="173"/>
      <c r="B103" s="1054"/>
      <c r="C103" s="886">
        <v>100</v>
      </c>
      <c r="D103" s="886">
        <f t="shared" ref="D103:M103" si="22">C103-$K35</f>
        <v>100</v>
      </c>
      <c r="E103" s="886">
        <f t="shared" si="22"/>
        <v>100</v>
      </c>
      <c r="F103" s="886">
        <f t="shared" si="22"/>
        <v>100</v>
      </c>
      <c r="G103" s="886">
        <f t="shared" si="22"/>
        <v>100</v>
      </c>
      <c r="H103" s="886">
        <f t="shared" si="22"/>
        <v>100</v>
      </c>
      <c r="I103" s="886">
        <f t="shared" si="22"/>
        <v>100</v>
      </c>
      <c r="J103" s="886">
        <f t="shared" si="22"/>
        <v>100</v>
      </c>
      <c r="K103" s="886">
        <f t="shared" si="22"/>
        <v>100</v>
      </c>
      <c r="L103" s="886">
        <f t="shared" si="22"/>
        <v>100</v>
      </c>
      <c r="M103" s="887">
        <f t="shared" si="22"/>
        <v>100</v>
      </c>
      <c r="N103" s="1389"/>
      <c r="O103" s="1389"/>
      <c r="P103" s="1"/>
      <c r="Q103" s="121"/>
    </row>
    <row r="104" spans="1:17" ht="14.25" thickTop="1">
      <c r="A104" s="175"/>
      <c r="B104" s="1053" t="s">
        <v>126</v>
      </c>
      <c r="C104" s="139"/>
      <c r="D104" s="139"/>
      <c r="E104" s="139"/>
      <c r="F104" s="139"/>
      <c r="G104" s="139"/>
      <c r="H104" s="131"/>
      <c r="I104" s="131"/>
      <c r="J104" s="131"/>
      <c r="K104" s="132"/>
      <c r="L104" s="133"/>
      <c r="M104" s="134"/>
      <c r="N104" s="1388"/>
      <c r="O104" s="1388"/>
      <c r="P104" s="1"/>
      <c r="Q104" s="121"/>
    </row>
    <row r="105" spans="1:17" ht="15" thickBot="1">
      <c r="A105" s="173"/>
      <c r="B105" s="1054"/>
      <c r="C105" s="886">
        <v>100</v>
      </c>
      <c r="D105" s="886">
        <f>C105-$K36</f>
        <v>100</v>
      </c>
      <c r="E105" s="886">
        <f>D105-$K36</f>
        <v>100</v>
      </c>
      <c r="F105" s="886">
        <f>E105-$K36</f>
        <v>100</v>
      </c>
      <c r="G105" s="886">
        <f>F105-$K36</f>
        <v>100</v>
      </c>
      <c r="H105" s="886"/>
      <c r="I105" s="886"/>
      <c r="J105" s="886"/>
      <c r="K105" s="886"/>
      <c r="L105" s="886"/>
      <c r="M105" s="887"/>
      <c r="N105" s="1389"/>
      <c r="O105" s="1389"/>
      <c r="P105" s="1"/>
      <c r="Q105" s="121"/>
    </row>
    <row r="106" spans="1:17" ht="27.75" thickTop="1">
      <c r="A106" s="175"/>
      <c r="B106" s="211" t="s">
        <v>152</v>
      </c>
      <c r="C106" s="920" t="s">
        <v>1018</v>
      </c>
      <c r="D106" s="920" t="s">
        <v>1019</v>
      </c>
      <c r="E106" s="920" t="s">
        <v>1020</v>
      </c>
      <c r="F106" s="920" t="s">
        <v>1021</v>
      </c>
      <c r="G106" s="920" t="s">
        <v>1022</v>
      </c>
      <c r="H106" s="881"/>
      <c r="I106" s="881"/>
      <c r="J106" s="881"/>
      <c r="K106" s="882"/>
      <c r="L106" s="883"/>
      <c r="M106" s="884"/>
      <c r="N106" s="1389"/>
      <c r="O106" s="1389"/>
      <c r="P106" s="200"/>
      <c r="Q106" s="201"/>
    </row>
    <row r="107" spans="1:17" ht="15" thickBot="1">
      <c r="A107" s="173"/>
      <c r="B107" s="1054"/>
      <c r="C107" s="924">
        <v>100</v>
      </c>
      <c r="D107" s="886">
        <f t="shared" ref="D107:M107" si="23">C107-$K37</f>
        <v>100</v>
      </c>
      <c r="E107" s="886">
        <f t="shared" si="23"/>
        <v>100</v>
      </c>
      <c r="F107" s="886">
        <f t="shared" si="23"/>
        <v>100</v>
      </c>
      <c r="G107" s="886">
        <f t="shared" si="23"/>
        <v>100</v>
      </c>
      <c r="H107" s="886">
        <f t="shared" si="23"/>
        <v>100</v>
      </c>
      <c r="I107" s="886">
        <f t="shared" si="23"/>
        <v>100</v>
      </c>
      <c r="J107" s="886">
        <f t="shared" si="23"/>
        <v>100</v>
      </c>
      <c r="K107" s="886">
        <f t="shared" si="23"/>
        <v>100</v>
      </c>
      <c r="L107" s="886">
        <f t="shared" si="23"/>
        <v>100</v>
      </c>
      <c r="M107" s="886">
        <f t="shared" si="23"/>
        <v>100</v>
      </c>
      <c r="N107" s="1389"/>
      <c r="O107" s="1389"/>
      <c r="P107" s="1"/>
      <c r="Q107" s="121"/>
    </row>
    <row r="108" spans="1:17" s="1038" customFormat="1" ht="14.25" thickTop="1">
      <c r="A108" s="1072"/>
      <c r="B108" s="1053">
        <f>B38</f>
        <v>111</v>
      </c>
      <c r="C108" s="139"/>
      <c r="D108" s="139"/>
      <c r="E108" s="139"/>
      <c r="F108" s="139"/>
      <c r="G108" s="139"/>
      <c r="H108" s="1058"/>
      <c r="I108" s="1058"/>
      <c r="J108" s="1058"/>
      <c r="K108" s="1058"/>
      <c r="L108" s="1059"/>
      <c r="M108" s="1060"/>
      <c r="N108" s="1390"/>
      <c r="O108" s="1390"/>
      <c r="P108" s="1061"/>
      <c r="Q108" s="1062"/>
    </row>
    <row r="109" spans="1:17" s="1038" customFormat="1" ht="15" thickBot="1">
      <c r="A109" s="1057"/>
      <c r="B109" s="1052"/>
      <c r="C109" s="902"/>
      <c r="D109" s="878"/>
      <c r="E109" s="878"/>
      <c r="F109" s="878"/>
      <c r="G109" s="902"/>
      <c r="H109" s="904"/>
      <c r="I109" s="904"/>
      <c r="J109" s="904"/>
      <c r="K109" s="904"/>
      <c r="L109" s="904"/>
      <c r="M109" s="905"/>
      <c r="N109" s="1390"/>
      <c r="O109" s="1390"/>
      <c r="P109" s="1061"/>
      <c r="Q109" s="1062"/>
    </row>
    <row r="110" spans="1:17" ht="14.25" thickTop="1">
      <c r="A110" s="175"/>
      <c r="B110" s="1053">
        <f>B39</f>
        <v>111</v>
      </c>
      <c r="C110" s="139"/>
      <c r="D110" s="139"/>
      <c r="E110" s="139"/>
      <c r="F110" s="139"/>
      <c r="G110" s="139"/>
      <c r="H110" s="1058"/>
      <c r="I110" s="1058"/>
      <c r="J110" s="1058"/>
      <c r="K110" s="1058"/>
      <c r="L110" s="1059"/>
      <c r="M110" s="1060"/>
      <c r="N110" s="1388"/>
      <c r="O110" s="1388"/>
      <c r="P110" s="1"/>
      <c r="Q110" s="121"/>
    </row>
    <row r="111" spans="1:17" ht="15" thickBot="1">
      <c r="A111" s="173"/>
      <c r="B111" s="1054"/>
      <c r="C111" s="902"/>
      <c r="D111" s="878"/>
      <c r="E111" s="878"/>
      <c r="F111" s="878"/>
      <c r="G111" s="902"/>
      <c r="H111" s="904"/>
      <c r="I111" s="904"/>
      <c r="J111" s="904"/>
      <c r="K111" s="904"/>
      <c r="L111" s="904"/>
      <c r="M111" s="905"/>
      <c r="N111" s="1389"/>
      <c r="O111" s="1389"/>
      <c r="P111" s="1"/>
      <c r="Q111" s="121"/>
    </row>
    <row r="112" spans="1:17" ht="14.25" thickTop="1">
      <c r="A112" s="175"/>
      <c r="B112" s="1055">
        <f>B40</f>
        <v>111</v>
      </c>
      <c r="C112" s="140"/>
      <c r="D112" s="140"/>
      <c r="E112" s="140"/>
      <c r="F112" s="140"/>
      <c r="G112" s="135"/>
      <c r="H112" s="135"/>
      <c r="I112" s="135"/>
      <c r="J112" s="135"/>
      <c r="K112" s="140"/>
      <c r="L112" s="141"/>
      <c r="M112" s="138"/>
      <c r="N112" s="1388"/>
      <c r="O112" s="1388"/>
      <c r="P112" s="1"/>
      <c r="Q112" s="121"/>
    </row>
    <row r="113" spans="1:17" ht="15" thickBot="1">
      <c r="A113" s="174"/>
      <c r="B113" s="1070"/>
      <c r="C113" s="912"/>
      <c r="D113" s="912"/>
      <c r="E113" s="912"/>
      <c r="F113" s="912"/>
      <c r="G113" s="933"/>
      <c r="H113" s="933"/>
      <c r="I113" s="933"/>
      <c r="J113" s="933"/>
      <c r="K113" s="933"/>
      <c r="L113" s="933"/>
      <c r="M113" s="934"/>
      <c r="N113" s="1389"/>
      <c r="O113" s="1389"/>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113" priority="16" stopIfTrue="1" operator="containsText" text="超过">
      <formula>NOT(ISERROR(SEARCH("超过",F46)))</formula>
    </cfRule>
  </conditionalFormatting>
  <conditionalFormatting sqref="H48">
    <cfRule type="containsText" dxfId="112" priority="15" stopIfTrue="1" operator="containsText" text="超过">
      <formula>NOT(ISERROR(SEARCH("超过",H48)))</formula>
    </cfRule>
  </conditionalFormatting>
  <conditionalFormatting sqref="F48">
    <cfRule type="containsText" dxfId="111" priority="14" stopIfTrue="1" operator="containsText" text="超过">
      <formula>NOT(ISERROR(SEARCH("超过",F48)))</formula>
    </cfRule>
  </conditionalFormatting>
  <conditionalFormatting sqref="F47 H47">
    <cfRule type="containsText" dxfId="110" priority="13" stopIfTrue="1" operator="containsText" text="超过">
      <formula>NOT(ISERROR(SEARCH("超过",F47)))</formula>
    </cfRule>
  </conditionalFormatting>
  <conditionalFormatting sqref="E46">
    <cfRule type="expression" dxfId="109" priority="12" stopIfTrue="1">
      <formula>$F$46="超过30%"</formula>
    </cfRule>
  </conditionalFormatting>
  <conditionalFormatting sqref="E47">
    <cfRule type="expression" dxfId="108" priority="11" stopIfTrue="1">
      <formula>$F$47="超过20%"</formula>
    </cfRule>
  </conditionalFormatting>
  <conditionalFormatting sqref="E48">
    <cfRule type="expression" dxfId="107" priority="10" stopIfTrue="1">
      <formula>$F$48="超过30%"</formula>
    </cfRule>
  </conditionalFormatting>
  <conditionalFormatting sqref="G48">
    <cfRule type="expression" dxfId="106" priority="9" stopIfTrue="1">
      <formula>$H$48="超过30%"</formula>
    </cfRule>
  </conditionalFormatting>
  <conditionalFormatting sqref="G46">
    <cfRule type="expression" dxfId="105" priority="8" stopIfTrue="1">
      <formula>$H$46="超过30%"</formula>
    </cfRule>
  </conditionalFormatting>
  <conditionalFormatting sqref="G47">
    <cfRule type="expression" dxfId="104" priority="7" stopIfTrue="1">
      <formula>$H$47="超过20%"</formula>
    </cfRule>
  </conditionalFormatting>
  <conditionalFormatting sqref="J46">
    <cfRule type="containsText" dxfId="103" priority="6" stopIfTrue="1" operator="containsText" text="超过">
      <formula>NOT(ISERROR(SEARCH("超过",J46)))</formula>
    </cfRule>
  </conditionalFormatting>
  <conditionalFormatting sqref="J48">
    <cfRule type="containsText" dxfId="102" priority="5" stopIfTrue="1" operator="containsText" text="超过">
      <formula>NOT(ISERROR(SEARCH("超过",J48)))</formula>
    </cfRule>
  </conditionalFormatting>
  <conditionalFormatting sqref="J47">
    <cfRule type="containsText" dxfId="101" priority="4" stopIfTrue="1" operator="containsText" text="超过">
      <formula>NOT(ISERROR(SEARCH("超过",J47)))</formula>
    </cfRule>
  </conditionalFormatting>
  <conditionalFormatting sqref="I46">
    <cfRule type="expression" dxfId="100" priority="3" stopIfTrue="1">
      <formula>$J$46="超过30%"</formula>
    </cfRule>
  </conditionalFormatting>
  <conditionalFormatting sqref="I47">
    <cfRule type="expression" dxfId="99" priority="2" stopIfTrue="1">
      <formula>$J$47="超过20%"</formula>
    </cfRule>
  </conditionalFormatting>
  <conditionalFormatting sqref="I48">
    <cfRule type="expression" dxfId="98"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SheetLayoutView="100" zoomScalePageLayoutView="80" workbookViewId="0">
      <selection activeCell="A23" sqref="A23"/>
    </sheetView>
  </sheetViews>
  <sheetFormatPr defaultRowHeight="13.5"/>
  <cols>
    <col min="1" max="1" width="84" customWidth="1"/>
  </cols>
  <sheetData>
    <row r="1" spans="1:1" ht="22.5">
      <c r="A1" s="1942" t="s">
        <v>2015</v>
      </c>
    </row>
    <row r="2" spans="1:1">
      <c r="A2" s="1943"/>
    </row>
    <row r="3" spans="1:1" ht="18.75">
      <c r="A3" s="2882" t="str">
        <f>项目基本情况!B5&amp;"："</f>
        <v>西安御润房地产开发有限公司：</v>
      </c>
    </row>
    <row r="4" spans="1:1" ht="37.5">
      <c r="A4" s="1944" t="str">
        <f>"受贵公司委托，我公司对"&amp;项目基本情况!S1&amp;"进行了预评估。"</f>
        <v>受贵公司委托，我公司对西安市西安市未央区三桥街办昆明路立交以西房地产抵押价值进行了预评估。</v>
      </c>
    </row>
    <row r="5" spans="1:1" ht="18.75">
      <c r="A5" s="1945" t="s">
        <v>2016</v>
      </c>
    </row>
    <row r="6" spans="1:1" ht="18.75">
      <c r="A6" s="3048" t="s">
        <v>2873</v>
      </c>
    </row>
    <row r="7" spans="1:1" ht="75">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西安市西安市未央区三桥街办昆明路立交以西房地产，为西安御润房地产开发有限公司所有。根据《国有土地使用证》[西未国用（2012出）第063、065号]、《抵押物清单》，估价对象（分摊）出让国有建设用地使用权面积为1218.83平方米，建筑面积为4043.7平方米。</v>
      </c>
    </row>
    <row r="8" spans="1:1" ht="56.25">
      <c r="A8" s="1987" t="s">
        <v>2867</v>
      </c>
    </row>
    <row r="9" spans="1:1" ht="18.75">
      <c r="A9" s="3048" t="s">
        <v>2874</v>
      </c>
    </row>
    <row r="10" spans="1:1" ht="93.75">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西安市西安市未央区三桥街办昆明路立交以西房地产,属西安御润房地产开发有限公司开发建设的居住项目，该项目尚在开发建设中。根据《国有土地使用证》[西未国用（2012出）第063、065号]、《抵押物清单》，估价对象（分摊）出让国有建设用地使用权面积为1218.83平方米，规划建筑面积为4043.7平方米。</v>
      </c>
    </row>
    <row r="11" spans="1:1" ht="75">
      <c r="A11" s="1987" t="s">
        <v>2908</v>
      </c>
    </row>
    <row r="12" spans="1:1" ht="18.75">
      <c r="A12" s="1945" t="s">
        <v>2017</v>
      </c>
    </row>
    <row r="13" spans="1:1" ht="38.25" customHeight="1">
      <c r="A13" s="1946" t="str">
        <f>IF(项目基本情况!B8="抵押",IF(项目基本情况!B5=项目基本情况!B6,定义!C51,定义!B51),定义!D51)</f>
        <v>为估价委托人在向中诚信托有限责任公司办理贷款手续过程中，确定房地产抵押贷款额度提供参考依据而评估房地产抵押价值。</v>
      </c>
    </row>
    <row r="14" spans="1:1" ht="18.75">
      <c r="A14" s="1947" t="s">
        <v>2018</v>
      </c>
    </row>
    <row r="15" spans="1:1" ht="18.75">
      <c r="A15" s="1948" t="str">
        <f>TEXT(项目基本情况!D3,"yyyy年m月d日;;")&amp;IF(项目基本情况!D3=项目基本情况!B3,"（评估专业人员实地查勘之日）","")</f>
        <v>2017年8月11日（评估专业人员实地查勘之日）</v>
      </c>
    </row>
    <row r="16" spans="1:1" ht="18.75">
      <c r="A16" s="1947" t="s">
        <v>2020</v>
      </c>
    </row>
    <row r="17" spans="1:1" ht="75">
      <c r="A17" s="1944" t="s">
        <v>2868</v>
      </c>
    </row>
    <row r="18" spans="1:1" ht="75">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11日，估价对象规划用途为住宅、商业、地下车库，土地取得方式为出让，出让国有建设用地使用权剩余土地使用年限为住宅64.08年，商业34.23年，地下车库44.07年，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地下车库，实际开发程度为宗地红线外“七通”（即、、、、、、）、红线内场地平整条件下，剩余土地使用年限为住宅64.08年，商业34.23年，地下车库44.07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6.25">
      <c r="A22" s="194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7" t="s">
        <v>2035</v>
      </c>
    </row>
    <row r="24" spans="1:1" ht="18.75">
      <c r="A24" s="1950" t="str">
        <f>"本次评估采用的主估价方法为"&amp;结果表!K4&amp;"和"&amp;结果表!L4&amp;"。"</f>
        <v>本次评估采用的主估价方法为比较法和收益法。</v>
      </c>
    </row>
    <row r="25" spans="1:1" ht="18.75">
      <c r="A25" s="1950"/>
    </row>
    <row r="26" spans="1:1" ht="18.75">
      <c r="A26" s="2079" t="s">
        <v>2114</v>
      </c>
    </row>
    <row r="27" spans="1:1">
      <c r="A27" s="1989"/>
    </row>
    <row r="28" spans="1:1">
      <c r="A28" s="1989"/>
    </row>
    <row r="29" spans="1:1">
      <c r="A29" s="1989"/>
    </row>
    <row r="30" spans="1:1">
      <c r="A30" s="1989"/>
    </row>
    <row r="31" spans="1:1">
      <c r="A31" s="1989"/>
    </row>
    <row r="32" spans="1:1">
      <c r="A32" s="1989"/>
    </row>
    <row r="33" spans="1:1">
      <c r="A33" s="1989"/>
    </row>
    <row r="34" spans="1:1">
      <c r="A34" s="1989"/>
    </row>
    <row r="35" spans="1:1">
      <c r="A35" s="1989"/>
    </row>
    <row r="36" spans="1:1">
      <c r="A36" s="1989"/>
    </row>
    <row r="37" spans="1:1">
      <c r="A37" s="1989"/>
    </row>
    <row r="38" spans="1:1">
      <c r="A38" s="1989"/>
    </row>
    <row r="39" spans="1:1">
      <c r="A39" s="1989"/>
    </row>
    <row r="40" spans="1:1">
      <c r="A40" s="1989"/>
    </row>
    <row r="41" spans="1:1">
      <c r="A41" s="1989"/>
    </row>
    <row r="42" spans="1:1">
      <c r="A42" s="1989"/>
    </row>
    <row r="43" spans="1:1">
      <c r="A43" s="1989"/>
    </row>
    <row r="44" spans="1:1">
      <c r="A44" s="1989"/>
    </row>
    <row r="45" spans="1:1">
      <c r="A45" s="1989"/>
    </row>
    <row r="46" spans="1:1">
      <c r="A46" s="1989"/>
    </row>
    <row r="47" spans="1:1">
      <c r="A47" s="1989"/>
    </row>
    <row r="48" spans="1:1">
      <c r="A48" s="1989"/>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23">
    <tabColor rgb="FF92D050"/>
  </sheetPr>
  <dimension ref="A1:AS524"/>
  <sheetViews>
    <sheetView zoomScale="90" zoomScaleNormal="90" workbookViewId="0">
      <pane ySplit="24" topLeftCell="A34" activePane="bottomLeft" state="frozen"/>
      <selection activeCell="C50" sqref="C50"/>
      <selection pane="bottomLeft" activeCell="G8" sqref="G8"/>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0"/>
    <col min="19" max="19" width="9" style="470"/>
    <col min="20" max="45" width="9" style="1462"/>
    <col min="46" max="16384" width="9" style="470"/>
  </cols>
  <sheetData>
    <row r="1" spans="1:45" ht="14.25" customHeight="1" thickBot="1">
      <c r="A1" s="487"/>
      <c r="B1" s="2437" t="s">
        <v>2389</v>
      </c>
      <c r="C1" s="3727" t="s">
        <v>2390</v>
      </c>
      <c r="D1" s="3728"/>
      <c r="E1" s="3728"/>
      <c r="F1" s="3728"/>
      <c r="G1" s="3728"/>
      <c r="H1" s="3728"/>
      <c r="I1" s="3728"/>
      <c r="J1" s="3728"/>
      <c r="K1" s="3728"/>
      <c r="L1" s="3728"/>
      <c r="M1" s="3728"/>
      <c r="N1" s="3728"/>
      <c r="O1" s="3728"/>
      <c r="P1" s="3728"/>
      <c r="Q1" s="3728"/>
      <c r="R1" s="3728"/>
      <c r="S1" s="3729"/>
      <c r="T1" s="2437" t="s">
        <v>2391</v>
      </c>
    </row>
    <row r="2" spans="1:45" s="1115" customFormat="1" ht="25.5">
      <c r="A2" s="2438"/>
      <c r="B2" s="1111" t="s">
        <v>2392</v>
      </c>
      <c r="C2" s="1112" t="str">
        <f t="shared" ref="C2:L2" si="0">C3&amp;"(含)"&amp;"-"&amp;D3</f>
        <v>0(含)-100</v>
      </c>
      <c r="D2" s="1113" t="str">
        <f t="shared" si="0"/>
        <v>100(含)-150</v>
      </c>
      <c r="E2" s="1113" t="str">
        <f t="shared" si="0"/>
        <v>150(含)-</v>
      </c>
      <c r="F2" s="1113" t="str">
        <f t="shared" si="0"/>
        <v>(含)-</v>
      </c>
      <c r="G2" s="1113" t="str">
        <f t="shared" si="0"/>
        <v>(含)-</v>
      </c>
      <c r="H2" s="1113" t="str">
        <f t="shared" si="0"/>
        <v>(含)-</v>
      </c>
      <c r="I2" s="1113" t="str">
        <f t="shared" si="0"/>
        <v>(含)-</v>
      </c>
      <c r="J2" s="1113" t="str">
        <f t="shared" si="0"/>
        <v>(含)-</v>
      </c>
      <c r="K2" s="1113" t="str">
        <f t="shared" si="0"/>
        <v>(含)-</v>
      </c>
      <c r="L2" s="1113" t="str">
        <f t="shared" si="0"/>
        <v>(含)-</v>
      </c>
      <c r="M2" s="1113" t="str">
        <f t="shared" ref="M2:R2" si="1">M3&amp;"(含)"&amp;"-"&amp;N3</f>
        <v>(含)-</v>
      </c>
      <c r="N2" s="1113" t="str">
        <f t="shared" si="1"/>
        <v>(含)-</v>
      </c>
      <c r="O2" s="1113" t="str">
        <f t="shared" si="1"/>
        <v>(含)-</v>
      </c>
      <c r="P2" s="1113" t="str">
        <f t="shared" si="1"/>
        <v>(含)-</v>
      </c>
      <c r="Q2" s="1113" t="str">
        <f t="shared" si="1"/>
        <v>(含)-</v>
      </c>
      <c r="R2" s="1113" t="str">
        <f t="shared" si="1"/>
        <v>(含)-</v>
      </c>
      <c r="S2" s="2439" t="str">
        <f>S3&amp;"(含)"&amp;"-"</f>
        <v>(含)-</v>
      </c>
      <c r="T2" s="1114"/>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row>
    <row r="3" spans="1:45" s="1120" customFormat="1">
      <c r="A3" s="2440"/>
      <c r="B3" s="1116"/>
      <c r="C3" s="1117">
        <v>0</v>
      </c>
      <c r="D3" s="1118">
        <v>100</v>
      </c>
      <c r="E3" s="1118">
        <v>150</v>
      </c>
      <c r="F3" s="3204"/>
      <c r="G3" s="3204"/>
      <c r="H3" s="3204"/>
      <c r="I3" s="3204"/>
      <c r="J3" s="3204"/>
      <c r="K3" s="3204"/>
      <c r="L3" s="3205"/>
      <c r="M3" s="3206"/>
      <c r="N3" s="3206"/>
      <c r="O3" s="3204"/>
      <c r="P3" s="3204"/>
      <c r="Q3" s="3204"/>
      <c r="R3" s="3204"/>
      <c r="S3" s="3207"/>
      <c r="T3" s="1119"/>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row>
    <row r="4" spans="1:45" s="1120" customFormat="1" ht="13.5" thickBot="1">
      <c r="A4" s="2441"/>
      <c r="B4" s="2442"/>
      <c r="C4" s="2443">
        <v>100</v>
      </c>
      <c r="D4" s="2444">
        <v>102</v>
      </c>
      <c r="E4" s="2444"/>
      <c r="F4" s="3208"/>
      <c r="G4" s="3208"/>
      <c r="H4" s="3208"/>
      <c r="I4" s="3208"/>
      <c r="J4" s="3208"/>
      <c r="K4" s="3208"/>
      <c r="L4" s="3208"/>
      <c r="M4" s="3209"/>
      <c r="N4" s="3209"/>
      <c r="O4" s="3208"/>
      <c r="P4" s="3208"/>
      <c r="Q4" s="3208"/>
      <c r="R4" s="3208"/>
      <c r="S4" s="3210"/>
      <c r="T4" s="2447"/>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row>
    <row r="5" spans="1:45" s="408" customFormat="1">
      <c r="A5" s="2448"/>
      <c r="B5" s="3302" t="s">
        <v>3030</v>
      </c>
      <c r="C5" s="2449"/>
      <c r="D5" s="2450"/>
      <c r="E5" s="2450"/>
      <c r="F5" s="3211"/>
      <c r="G5" s="3211"/>
      <c r="H5" s="3211"/>
      <c r="I5" s="3211"/>
      <c r="J5" s="3211"/>
      <c r="K5" s="3211"/>
      <c r="L5" s="3212"/>
      <c r="M5" s="3213"/>
      <c r="N5" s="3213"/>
      <c r="O5" s="3211"/>
      <c r="P5" s="3211"/>
      <c r="Q5" s="3211"/>
      <c r="R5" s="3211"/>
      <c r="S5" s="3214"/>
      <c r="T5" s="2452"/>
      <c r="U5" s="1465"/>
      <c r="V5" s="1465"/>
      <c r="W5" s="1465"/>
      <c r="X5" s="1465"/>
      <c r="Y5" s="1465"/>
      <c r="Z5" s="1465"/>
      <c r="AA5" s="1465"/>
      <c r="AB5" s="1465"/>
      <c r="AC5" s="1465"/>
      <c r="AD5" s="1465"/>
      <c r="AE5" s="1465"/>
      <c r="AF5" s="1465"/>
      <c r="AG5" s="1465"/>
      <c r="AH5" s="1465"/>
      <c r="AI5" s="1465"/>
      <c r="AJ5" s="1465"/>
      <c r="AK5" s="1465"/>
      <c r="AL5" s="1465"/>
      <c r="AM5" s="1465"/>
      <c r="AN5" s="1465"/>
      <c r="AO5" s="1465"/>
      <c r="AP5" s="1465"/>
      <c r="AQ5" s="1465"/>
      <c r="AR5" s="1465"/>
      <c r="AS5" s="1465"/>
    </row>
    <row r="6" spans="1:45" s="408" customFormat="1" ht="13.5" thickBot="1">
      <c r="A6" s="2448"/>
      <c r="B6" s="2199"/>
      <c r="C6" s="2205">
        <v>100</v>
      </c>
      <c r="D6" s="2202">
        <f>C6-$T5</f>
        <v>100</v>
      </c>
      <c r="E6" s="2202">
        <f t="shared" ref="E6:S6" si="2">D6-$T5</f>
        <v>100</v>
      </c>
      <c r="F6" s="3215">
        <f t="shared" si="2"/>
        <v>100</v>
      </c>
      <c r="G6" s="3215">
        <f t="shared" si="2"/>
        <v>100</v>
      </c>
      <c r="H6" s="3215">
        <f t="shared" si="2"/>
        <v>100</v>
      </c>
      <c r="I6" s="3215">
        <f t="shared" si="2"/>
        <v>100</v>
      </c>
      <c r="J6" s="3215">
        <f t="shared" si="2"/>
        <v>100</v>
      </c>
      <c r="K6" s="3215">
        <f t="shared" si="2"/>
        <v>100</v>
      </c>
      <c r="L6" s="3215">
        <f t="shared" si="2"/>
        <v>100</v>
      </c>
      <c r="M6" s="3215">
        <f t="shared" si="2"/>
        <v>100</v>
      </c>
      <c r="N6" s="3215">
        <f t="shared" si="2"/>
        <v>100</v>
      </c>
      <c r="O6" s="3215">
        <f t="shared" si="2"/>
        <v>100</v>
      </c>
      <c r="P6" s="3215">
        <f t="shared" si="2"/>
        <v>100</v>
      </c>
      <c r="Q6" s="3215">
        <f t="shared" si="2"/>
        <v>100</v>
      </c>
      <c r="R6" s="3215">
        <f t="shared" si="2"/>
        <v>100</v>
      </c>
      <c r="S6" s="3215">
        <f t="shared" si="2"/>
        <v>100</v>
      </c>
      <c r="T6" s="2201"/>
      <c r="U6" s="1465"/>
      <c r="V6" s="1465"/>
      <c r="W6" s="1465"/>
      <c r="X6" s="1465"/>
      <c r="Y6" s="1465"/>
      <c r="Z6" s="1465"/>
      <c r="AA6" s="1465"/>
      <c r="AB6" s="1465"/>
      <c r="AC6" s="1465"/>
      <c r="AD6" s="1465"/>
      <c r="AE6" s="1465"/>
      <c r="AF6" s="1465"/>
      <c r="AG6" s="1465"/>
      <c r="AH6" s="1465"/>
      <c r="AI6" s="1465"/>
      <c r="AJ6" s="1465"/>
      <c r="AK6" s="1465"/>
      <c r="AL6" s="1465"/>
      <c r="AM6" s="1465"/>
      <c r="AN6" s="1465"/>
      <c r="AO6" s="1465"/>
      <c r="AP6" s="1465"/>
      <c r="AQ6" s="1465"/>
      <c r="AR6" s="1465"/>
      <c r="AS6" s="1465"/>
    </row>
    <row r="7" spans="1:45" s="408" customFormat="1">
      <c r="A7" s="2448"/>
      <c r="B7" s="3303" t="s">
        <v>3029</v>
      </c>
      <c r="C7" s="2204"/>
      <c r="D7" s="2198"/>
      <c r="E7" s="2198"/>
      <c r="F7" s="3216"/>
      <c r="G7" s="3216"/>
      <c r="H7" s="3216"/>
      <c r="I7" s="3216"/>
      <c r="J7" s="3216"/>
      <c r="K7" s="3216"/>
      <c r="L7" s="3216"/>
      <c r="M7" s="3217"/>
      <c r="N7" s="3218"/>
      <c r="O7" s="3219"/>
      <c r="P7" s="3220"/>
      <c r="Q7" s="3221"/>
      <c r="R7" s="3222"/>
      <c r="S7" s="3223"/>
      <c r="T7" s="1121"/>
      <c r="U7" s="1465"/>
      <c r="V7" s="1465"/>
      <c r="W7" s="1465"/>
      <c r="X7" s="1465"/>
      <c r="Y7" s="1465"/>
      <c r="Z7" s="1465"/>
      <c r="AA7" s="1465"/>
      <c r="AB7" s="1465"/>
      <c r="AC7" s="1465"/>
      <c r="AD7" s="1465"/>
      <c r="AE7" s="1465"/>
      <c r="AF7" s="1465"/>
      <c r="AG7" s="1465"/>
      <c r="AH7" s="1465"/>
      <c r="AI7" s="1465"/>
      <c r="AJ7" s="1465"/>
      <c r="AK7" s="1465"/>
      <c r="AL7" s="1465"/>
      <c r="AM7" s="1465"/>
      <c r="AN7" s="1465"/>
      <c r="AO7" s="1465"/>
      <c r="AP7" s="1465"/>
      <c r="AQ7" s="1465"/>
      <c r="AR7" s="1465"/>
      <c r="AS7" s="1465"/>
    </row>
    <row r="8" spans="1:45" s="408" customFormat="1" ht="13.5" thickBot="1">
      <c r="A8" s="2448"/>
      <c r="B8" s="2199"/>
      <c r="C8" s="2205">
        <v>100</v>
      </c>
      <c r="D8" s="2202">
        <f>C8-$T7</f>
        <v>100</v>
      </c>
      <c r="E8" s="2202">
        <f t="shared" ref="E8:S8" si="3">D8-$T7</f>
        <v>100</v>
      </c>
      <c r="F8" s="3215">
        <f t="shared" si="3"/>
        <v>100</v>
      </c>
      <c r="G8" s="3215">
        <f t="shared" si="3"/>
        <v>100</v>
      </c>
      <c r="H8" s="3215">
        <f t="shared" si="3"/>
        <v>100</v>
      </c>
      <c r="I8" s="3215">
        <f t="shared" si="3"/>
        <v>100</v>
      </c>
      <c r="J8" s="3215">
        <f t="shared" si="3"/>
        <v>100</v>
      </c>
      <c r="K8" s="3215">
        <f t="shared" si="3"/>
        <v>100</v>
      </c>
      <c r="L8" s="3215">
        <f t="shared" si="3"/>
        <v>100</v>
      </c>
      <c r="M8" s="3215">
        <f t="shared" si="3"/>
        <v>100</v>
      </c>
      <c r="N8" s="3215">
        <f t="shared" si="3"/>
        <v>100</v>
      </c>
      <c r="O8" s="3215">
        <f t="shared" si="3"/>
        <v>100</v>
      </c>
      <c r="P8" s="3215">
        <f t="shared" si="3"/>
        <v>100</v>
      </c>
      <c r="Q8" s="3215">
        <f t="shared" si="3"/>
        <v>100</v>
      </c>
      <c r="R8" s="3215">
        <f t="shared" si="3"/>
        <v>100</v>
      </c>
      <c r="S8" s="3215">
        <f t="shared" si="3"/>
        <v>100</v>
      </c>
      <c r="T8" s="2201"/>
      <c r="U8" s="1465"/>
      <c r="V8" s="1465"/>
      <c r="W8" s="1465"/>
      <c r="X8" s="1465"/>
      <c r="Y8" s="1465"/>
      <c r="Z8" s="1465"/>
      <c r="AA8" s="1465"/>
      <c r="AB8" s="1465"/>
      <c r="AC8" s="1465"/>
      <c r="AD8" s="1465"/>
      <c r="AE8" s="1465"/>
      <c r="AF8" s="1465"/>
      <c r="AG8" s="1465"/>
      <c r="AH8" s="1465"/>
      <c r="AI8" s="1465"/>
      <c r="AJ8" s="1465"/>
      <c r="AK8" s="1465"/>
      <c r="AL8" s="1465"/>
      <c r="AM8" s="1465"/>
      <c r="AN8" s="1465"/>
      <c r="AO8" s="1465"/>
      <c r="AP8" s="1465"/>
      <c r="AQ8" s="1465"/>
      <c r="AR8" s="1465"/>
      <c r="AS8" s="1465"/>
    </row>
    <row r="9" spans="1:45" s="408" customFormat="1">
      <c r="A9" s="2448"/>
      <c r="B9" s="3303" t="s">
        <v>3028</v>
      </c>
      <c r="C9" s="2204"/>
      <c r="D9" s="2198"/>
      <c r="E9" s="2198"/>
      <c r="F9" s="3216"/>
      <c r="G9" s="3216"/>
      <c r="H9" s="3216"/>
      <c r="I9" s="3216"/>
      <c r="J9" s="3216"/>
      <c r="K9" s="3216"/>
      <c r="L9" s="3224"/>
      <c r="M9" s="3217"/>
      <c r="N9" s="3218"/>
      <c r="O9" s="3219"/>
      <c r="P9" s="3220"/>
      <c r="Q9" s="3221"/>
      <c r="R9" s="3222"/>
      <c r="S9" s="3223"/>
      <c r="T9" s="1121"/>
      <c r="U9" s="1465"/>
      <c r="V9" s="1465"/>
      <c r="W9" s="1465"/>
      <c r="X9" s="1465"/>
      <c r="Y9" s="1465"/>
      <c r="Z9" s="1465"/>
      <c r="AA9" s="1465"/>
      <c r="AB9" s="1465"/>
      <c r="AC9" s="1465"/>
      <c r="AD9" s="1465"/>
      <c r="AE9" s="1465"/>
      <c r="AF9" s="1465"/>
      <c r="AG9" s="1465"/>
      <c r="AH9" s="1465"/>
      <c r="AI9" s="1465"/>
      <c r="AJ9" s="1465"/>
      <c r="AK9" s="1465"/>
      <c r="AL9" s="1465"/>
      <c r="AM9" s="1465"/>
      <c r="AN9" s="1465"/>
      <c r="AO9" s="1465"/>
      <c r="AP9" s="1465"/>
      <c r="AQ9" s="1465"/>
      <c r="AR9" s="1465"/>
      <c r="AS9" s="1465"/>
    </row>
    <row r="10" spans="1:45" s="408" customFormat="1" ht="13.5" thickBot="1">
      <c r="A10" s="2448"/>
      <c r="B10" s="2442"/>
      <c r="C10" s="2453">
        <v>100</v>
      </c>
      <c r="D10" s="2454">
        <f>C10-$T9</f>
        <v>100</v>
      </c>
      <c r="E10" s="2454">
        <f t="shared" ref="E10:S10" si="4">D10-$T9</f>
        <v>100</v>
      </c>
      <c r="F10" s="3225">
        <f t="shared" si="4"/>
        <v>100</v>
      </c>
      <c r="G10" s="3225">
        <f t="shared" si="4"/>
        <v>100</v>
      </c>
      <c r="H10" s="3225">
        <f t="shared" si="4"/>
        <v>100</v>
      </c>
      <c r="I10" s="3225">
        <f t="shared" si="4"/>
        <v>100</v>
      </c>
      <c r="J10" s="3225">
        <f t="shared" si="4"/>
        <v>100</v>
      </c>
      <c r="K10" s="3225">
        <f t="shared" si="4"/>
        <v>100</v>
      </c>
      <c r="L10" s="3225">
        <f t="shared" si="4"/>
        <v>100</v>
      </c>
      <c r="M10" s="3225">
        <f t="shared" si="4"/>
        <v>100</v>
      </c>
      <c r="N10" s="3225">
        <f t="shared" si="4"/>
        <v>100</v>
      </c>
      <c r="O10" s="3225">
        <f t="shared" si="4"/>
        <v>100</v>
      </c>
      <c r="P10" s="3225">
        <f t="shared" si="4"/>
        <v>100</v>
      </c>
      <c r="Q10" s="3225">
        <f t="shared" si="4"/>
        <v>100</v>
      </c>
      <c r="R10" s="3225">
        <f t="shared" si="4"/>
        <v>100</v>
      </c>
      <c r="S10" s="3225">
        <f t="shared" si="4"/>
        <v>100</v>
      </c>
      <c r="T10" s="2447"/>
      <c r="U10" s="1465"/>
      <c r="V10" s="1465"/>
      <c r="W10" s="1465"/>
      <c r="X10" s="1465"/>
      <c r="Y10" s="1465"/>
      <c r="Z10" s="1465"/>
      <c r="AA10" s="1465"/>
      <c r="AB10" s="1465"/>
      <c r="AC10" s="1465"/>
      <c r="AD10" s="1465"/>
      <c r="AE10" s="1465"/>
      <c r="AF10" s="1465"/>
      <c r="AG10" s="1465"/>
      <c r="AH10" s="1465"/>
      <c r="AI10" s="1465"/>
      <c r="AJ10" s="1465"/>
      <c r="AK10" s="1465"/>
      <c r="AL10" s="1465"/>
      <c r="AM10" s="1465"/>
      <c r="AN10" s="1465"/>
      <c r="AO10" s="1465"/>
      <c r="AP10" s="1465"/>
      <c r="AQ10" s="1465"/>
      <c r="AR10" s="1465"/>
      <c r="AS10" s="1465"/>
    </row>
    <row r="11" spans="1:45" s="408" customFormat="1">
      <c r="A11" s="2448"/>
      <c r="B11" s="3302" t="s">
        <v>3027</v>
      </c>
      <c r="C11" s="2449"/>
      <c r="D11" s="2450"/>
      <c r="E11" s="2450"/>
      <c r="F11" s="2450"/>
      <c r="G11" s="2450"/>
      <c r="H11" s="2450"/>
      <c r="I11" s="2450"/>
      <c r="J11" s="2450"/>
      <c r="K11" s="2450"/>
      <c r="L11" s="2450"/>
      <c r="M11" s="2451"/>
      <c r="N11" s="2455"/>
      <c r="O11" s="2456"/>
      <c r="P11" s="2457"/>
      <c r="Q11" s="2458"/>
      <c r="R11" s="2459"/>
      <c r="S11" s="2460"/>
      <c r="T11" s="2452"/>
      <c r="U11" s="1465"/>
      <c r="V11" s="1465"/>
      <c r="W11" s="1465"/>
      <c r="X11" s="1465"/>
      <c r="Y11" s="1465"/>
      <c r="Z11" s="1465"/>
      <c r="AA11" s="1465"/>
      <c r="AB11" s="1465"/>
      <c r="AC11" s="1465"/>
      <c r="AD11" s="1465"/>
      <c r="AE11" s="1465"/>
      <c r="AF11" s="1465"/>
      <c r="AG11" s="1465"/>
      <c r="AH11" s="1465"/>
      <c r="AI11" s="1465"/>
      <c r="AJ11" s="1465"/>
      <c r="AK11" s="1465"/>
      <c r="AL11" s="1465"/>
      <c r="AM11" s="1465"/>
      <c r="AN11" s="1465"/>
      <c r="AO11" s="1465"/>
      <c r="AP11" s="1465"/>
      <c r="AQ11" s="1465"/>
      <c r="AR11" s="1465"/>
      <c r="AS11" s="1465"/>
    </row>
    <row r="12" spans="1:45" s="408" customFormat="1" ht="13.5" thickBot="1">
      <c r="A12" s="2448"/>
      <c r="B12" s="2199"/>
      <c r="C12" s="2205">
        <v>100</v>
      </c>
      <c r="D12" s="2202">
        <f>C12-$T11</f>
        <v>100</v>
      </c>
      <c r="E12" s="2202">
        <f t="shared" ref="E12:S12" si="5">D12-$T11</f>
        <v>100</v>
      </c>
      <c r="F12" s="2202">
        <f t="shared" si="5"/>
        <v>100</v>
      </c>
      <c r="G12" s="2202">
        <f t="shared" si="5"/>
        <v>100</v>
      </c>
      <c r="H12" s="2202">
        <f t="shared" si="5"/>
        <v>100</v>
      </c>
      <c r="I12" s="2202">
        <f t="shared" si="5"/>
        <v>100</v>
      </c>
      <c r="J12" s="2202">
        <f t="shared" si="5"/>
        <v>100</v>
      </c>
      <c r="K12" s="2202">
        <f t="shared" si="5"/>
        <v>100</v>
      </c>
      <c r="L12" s="2202">
        <f t="shared" si="5"/>
        <v>100</v>
      </c>
      <c r="M12" s="2202">
        <f t="shared" si="5"/>
        <v>100</v>
      </c>
      <c r="N12" s="2202">
        <f t="shared" si="5"/>
        <v>100</v>
      </c>
      <c r="O12" s="2202">
        <f t="shared" si="5"/>
        <v>100</v>
      </c>
      <c r="P12" s="2202">
        <f t="shared" si="5"/>
        <v>100</v>
      </c>
      <c r="Q12" s="2202">
        <f t="shared" si="5"/>
        <v>100</v>
      </c>
      <c r="R12" s="2202">
        <f>Q12-$T11</f>
        <v>100</v>
      </c>
      <c r="S12" s="2202">
        <f t="shared" si="5"/>
        <v>100</v>
      </c>
      <c r="T12" s="2201"/>
      <c r="U12" s="1465"/>
      <c r="V12" s="1465"/>
      <c r="W12" s="1465"/>
      <c r="X12" s="1465"/>
      <c r="Y12" s="1465"/>
      <c r="Z12" s="1465"/>
      <c r="AA12" s="1465"/>
      <c r="AB12" s="1465"/>
      <c r="AC12" s="1465"/>
      <c r="AD12" s="1465"/>
      <c r="AE12" s="1465"/>
      <c r="AF12" s="1465"/>
      <c r="AG12" s="1465"/>
      <c r="AH12" s="1465"/>
      <c r="AI12" s="1465"/>
      <c r="AJ12" s="1465"/>
      <c r="AK12" s="1465"/>
      <c r="AL12" s="1465"/>
      <c r="AM12" s="1465"/>
      <c r="AN12" s="1465"/>
      <c r="AO12" s="1465"/>
      <c r="AP12" s="1465"/>
      <c r="AQ12" s="1465"/>
      <c r="AR12" s="1465"/>
      <c r="AS12" s="1465"/>
    </row>
    <row r="13" spans="1:45" s="408" customFormat="1">
      <c r="A13" s="2448"/>
      <c r="B13" s="3302" t="s">
        <v>3026</v>
      </c>
      <c r="C13" s="2449"/>
      <c r="D13" s="2450"/>
      <c r="E13" s="2450"/>
      <c r="F13" s="2450"/>
      <c r="G13" s="2450"/>
      <c r="H13" s="2450"/>
      <c r="I13" s="2450"/>
      <c r="J13" s="2450"/>
      <c r="K13" s="2450"/>
      <c r="L13" s="2450"/>
      <c r="M13" s="2451"/>
      <c r="N13" s="2455"/>
      <c r="O13" s="2456"/>
      <c r="P13" s="2457"/>
      <c r="Q13" s="2458"/>
      <c r="R13" s="2459"/>
      <c r="S13" s="2460"/>
      <c r="T13" s="2461"/>
      <c r="U13" s="1465"/>
      <c r="V13" s="1465"/>
      <c r="W13" s="1465"/>
      <c r="X13" s="1465"/>
      <c r="Y13" s="1465"/>
      <c r="Z13" s="1465"/>
      <c r="AA13" s="1465"/>
      <c r="AB13" s="1465"/>
      <c r="AC13" s="1465"/>
      <c r="AD13" s="1465"/>
      <c r="AE13" s="1465"/>
      <c r="AF13" s="1465"/>
      <c r="AG13" s="1465"/>
      <c r="AH13" s="1465"/>
      <c r="AI13" s="1465"/>
      <c r="AJ13" s="1465"/>
      <c r="AK13" s="1465"/>
      <c r="AL13" s="1465"/>
      <c r="AM13" s="1465"/>
      <c r="AN13" s="1465"/>
      <c r="AO13" s="1465"/>
      <c r="AP13" s="1465"/>
      <c r="AQ13" s="1465"/>
      <c r="AR13" s="1465"/>
      <c r="AS13" s="1465"/>
    </row>
    <row r="14" spans="1:45" s="408" customFormat="1" ht="13.5" thickBot="1">
      <c r="A14" s="2448"/>
      <c r="B14" s="2199"/>
      <c r="C14" s="2203"/>
      <c r="D14" s="2200"/>
      <c r="E14" s="2200"/>
      <c r="F14" s="2200"/>
      <c r="G14" s="2200"/>
      <c r="H14" s="2200"/>
      <c r="I14" s="2200"/>
      <c r="J14" s="2200"/>
      <c r="K14" s="2200"/>
      <c r="L14" s="2200"/>
      <c r="M14" s="2462"/>
      <c r="N14" s="2462"/>
      <c r="O14" s="2200"/>
      <c r="P14" s="2200"/>
      <c r="Q14" s="2200"/>
      <c r="R14" s="2200"/>
      <c r="S14" s="2463"/>
      <c r="T14" s="2201"/>
      <c r="U14" s="1465"/>
      <c r="V14" s="1465"/>
      <c r="W14" s="1465"/>
      <c r="X14" s="1465"/>
      <c r="Y14" s="1465"/>
      <c r="Z14" s="1465"/>
      <c r="AA14" s="1465"/>
      <c r="AB14" s="1465"/>
      <c r="AC14" s="1465"/>
      <c r="AD14" s="1465"/>
      <c r="AE14" s="1465"/>
      <c r="AF14" s="1465"/>
      <c r="AG14" s="1465"/>
      <c r="AH14" s="1465"/>
      <c r="AI14" s="1465"/>
      <c r="AJ14" s="1465"/>
      <c r="AK14" s="1465"/>
      <c r="AL14" s="1465"/>
      <c r="AM14" s="1465"/>
      <c r="AN14" s="1465"/>
      <c r="AO14" s="1465"/>
      <c r="AP14" s="1465"/>
      <c r="AQ14" s="1465"/>
      <c r="AR14" s="1465"/>
      <c r="AS14" s="1465"/>
    </row>
    <row r="15" spans="1:45" s="408" customFormat="1">
      <c r="A15" s="2448"/>
      <c r="B15" s="3302" t="s">
        <v>3025</v>
      </c>
      <c r="C15" s="2449"/>
      <c r="D15" s="2450"/>
      <c r="E15" s="2450"/>
      <c r="F15" s="2450"/>
      <c r="G15" s="2450"/>
      <c r="H15" s="2450"/>
      <c r="I15" s="2450"/>
      <c r="J15" s="2450"/>
      <c r="K15" s="2450"/>
      <c r="L15" s="2450"/>
      <c r="M15" s="2451"/>
      <c r="N15" s="2455"/>
      <c r="O15" s="2456"/>
      <c r="P15" s="2457"/>
      <c r="Q15" s="2458"/>
      <c r="R15" s="2459"/>
      <c r="S15" s="2460"/>
      <c r="T15" s="2461"/>
      <c r="U15" s="1465"/>
      <c r="V15" s="1465"/>
      <c r="W15" s="1465"/>
      <c r="X15" s="1465"/>
      <c r="Y15" s="1465"/>
      <c r="Z15" s="1465"/>
      <c r="AA15" s="1465"/>
      <c r="AB15" s="1465"/>
      <c r="AC15" s="1465"/>
      <c r="AD15" s="1465"/>
      <c r="AE15" s="1465"/>
      <c r="AF15" s="1465"/>
      <c r="AG15" s="1465"/>
      <c r="AH15" s="1465"/>
      <c r="AI15" s="1465"/>
      <c r="AJ15" s="1465"/>
      <c r="AK15" s="1465"/>
      <c r="AL15" s="1465"/>
      <c r="AM15" s="1465"/>
      <c r="AN15" s="1465"/>
      <c r="AO15" s="1465"/>
      <c r="AP15" s="1465"/>
      <c r="AQ15" s="1465"/>
      <c r="AR15" s="1465"/>
      <c r="AS15" s="1465"/>
    </row>
    <row r="16" spans="1:45" s="408" customFormat="1" ht="13.5" thickBot="1">
      <c r="A16" s="2448"/>
      <c r="B16" s="2442"/>
      <c r="C16" s="2443"/>
      <c r="D16" s="2444"/>
      <c r="E16" s="2444"/>
      <c r="F16" s="2444"/>
      <c r="G16" s="2444"/>
      <c r="H16" s="2444"/>
      <c r="I16" s="2444"/>
      <c r="J16" s="2444"/>
      <c r="K16" s="2444"/>
      <c r="L16" s="2444"/>
      <c r="M16" s="2445"/>
      <c r="N16" s="2445"/>
      <c r="O16" s="2444"/>
      <c r="P16" s="2444"/>
      <c r="Q16" s="2444"/>
      <c r="R16" s="2444"/>
      <c r="S16" s="2446"/>
      <c r="T16" s="2447"/>
      <c r="U16" s="1465"/>
      <c r="V16" s="1465"/>
      <c r="W16" s="1465"/>
      <c r="X16" s="1465"/>
      <c r="Y16" s="1465"/>
      <c r="Z16" s="1465"/>
      <c r="AA16" s="1465"/>
      <c r="AB16" s="1465"/>
      <c r="AC16" s="1465"/>
      <c r="AD16" s="1465"/>
      <c r="AE16" s="1465"/>
      <c r="AF16" s="1465"/>
      <c r="AG16" s="1465"/>
      <c r="AH16" s="1465"/>
      <c r="AI16" s="1465"/>
      <c r="AJ16" s="1465"/>
      <c r="AK16" s="1465"/>
      <c r="AL16" s="1465"/>
      <c r="AM16" s="1465"/>
      <c r="AN16" s="1465"/>
      <c r="AO16" s="1465"/>
      <c r="AP16" s="1465"/>
      <c r="AQ16" s="1465"/>
      <c r="AR16" s="1465"/>
      <c r="AS16" s="1465"/>
    </row>
    <row r="17" spans="1:45" s="1115" customFormat="1">
      <c r="A17" s="2480" t="s">
        <v>2393</v>
      </c>
      <c r="B17" s="2481" t="s">
        <v>2394</v>
      </c>
      <c r="C17" s="2464"/>
      <c r="D17" s="2465"/>
      <c r="E17" s="2465"/>
      <c r="F17" s="2465"/>
      <c r="G17" s="2465"/>
      <c r="H17" s="2465"/>
      <c r="I17" s="2465"/>
      <c r="J17" s="2465"/>
      <c r="K17" s="2465"/>
      <c r="L17" s="2466"/>
      <c r="M17" s="2467"/>
      <c r="N17" s="2468"/>
      <c r="O17" s="2469"/>
      <c r="P17" s="2470"/>
      <c r="Q17" s="2471"/>
      <c r="R17" s="2472"/>
      <c r="S17" s="2473"/>
      <c r="T17" s="2473"/>
      <c r="U17" s="2473"/>
      <c r="V17" s="2473"/>
      <c r="W17" s="2473"/>
      <c r="X17" s="2473"/>
      <c r="Y17" s="2473"/>
      <c r="Z17" s="2473"/>
      <c r="AA17" s="2473"/>
      <c r="AB17" s="2473"/>
      <c r="AC17" s="2473"/>
      <c r="AD17" s="2473"/>
      <c r="AE17" s="2473"/>
      <c r="AF17" s="2473"/>
      <c r="AG17" s="2473"/>
      <c r="AH17" s="2473"/>
      <c r="AI17" s="2473"/>
      <c r="AJ17" s="2473"/>
      <c r="AK17" s="2473"/>
      <c r="AL17" s="2473"/>
      <c r="AM17" s="2473"/>
      <c r="AN17" s="2473"/>
      <c r="AO17" s="2473"/>
      <c r="AP17" s="2473"/>
      <c r="AQ17" s="2473"/>
      <c r="AR17" s="1463"/>
      <c r="AS17" s="1463"/>
    </row>
    <row r="18" spans="1:45" s="1115" customFormat="1" ht="13.5" thickBot="1">
      <c r="A18" s="2474"/>
      <c r="B18" s="2475"/>
      <c r="C18" s="2476"/>
      <c r="D18" s="2477"/>
      <c r="E18" s="2477"/>
      <c r="F18" s="2477"/>
      <c r="G18" s="2477"/>
      <c r="H18" s="2477"/>
      <c r="I18" s="2477"/>
      <c r="J18" s="2477"/>
      <c r="K18" s="2477"/>
      <c r="L18" s="2477"/>
      <c r="M18" s="2478"/>
      <c r="N18" s="2478"/>
      <c r="O18" s="2477"/>
      <c r="P18" s="2477"/>
      <c r="Q18" s="2477"/>
      <c r="R18" s="2477"/>
      <c r="S18" s="2479"/>
      <c r="T18" s="2479"/>
      <c r="U18" s="2479"/>
      <c r="V18" s="2479"/>
      <c r="W18" s="2479"/>
      <c r="X18" s="2479"/>
      <c r="Y18" s="2479"/>
      <c r="Z18" s="2479"/>
      <c r="AA18" s="2479"/>
      <c r="AB18" s="2479"/>
      <c r="AC18" s="2479"/>
      <c r="AD18" s="2479"/>
      <c r="AE18" s="2479"/>
      <c r="AF18" s="2479"/>
      <c r="AG18" s="2479"/>
      <c r="AH18" s="2479"/>
      <c r="AI18" s="2479"/>
      <c r="AJ18" s="2479"/>
      <c r="AK18" s="2479"/>
      <c r="AL18" s="2479"/>
      <c r="AM18" s="2479"/>
      <c r="AN18" s="2479"/>
      <c r="AO18" s="2479"/>
      <c r="AP18" s="2479"/>
      <c r="AQ18" s="2479"/>
      <c r="AR18" s="1463"/>
      <c r="AS18" s="1463"/>
    </row>
    <row r="19" spans="1:45">
      <c r="A19" s="469"/>
      <c r="B19" s="500"/>
      <c r="C19" s="500"/>
      <c r="D19" s="3353" t="s">
        <v>3063</v>
      </c>
      <c r="E19" s="3348"/>
      <c r="F19" s="3348"/>
      <c r="G19" s="3348"/>
      <c r="H19" s="2534"/>
      <c r="I19" s="500"/>
      <c r="J19" s="500"/>
      <c r="K19" s="500"/>
      <c r="L19" s="500"/>
      <c r="M19" s="500"/>
      <c r="N19" s="500"/>
      <c r="O19" s="500"/>
      <c r="P19" s="500"/>
      <c r="Q19" s="500"/>
      <c r="R19" s="1415"/>
      <c r="S19" s="469"/>
    </row>
    <row r="20" spans="1:45" ht="16.5" thickBot="1">
      <c r="A20" s="1123" t="s">
        <v>521</v>
      </c>
      <c r="B20" s="673">
        <f ca="1">IF(D20="——",S22,S22-F20)</f>
        <v>703</v>
      </c>
      <c r="C20" s="500"/>
      <c r="D20" s="3349" t="s">
        <v>530</v>
      </c>
      <c r="E20" s="3350"/>
      <c r="F20" s="2437" t="e">
        <f ca="1">SUMIF(INDIRECT("'"&amp;H20&amp;"'"&amp;"!A:A"),"承租人权益价值",INDIRECT("'"&amp;H20&amp;"'"&amp;"!c:c"))</f>
        <v>#REF!</v>
      </c>
      <c r="G20" s="3351" t="s">
        <v>3051</v>
      </c>
      <c r="H20" s="3352"/>
      <c r="I20" s="500"/>
      <c r="J20" s="500"/>
      <c r="K20" s="500"/>
      <c r="L20" s="500"/>
      <c r="M20" s="500"/>
      <c r="N20" s="500"/>
      <c r="O20" s="500"/>
      <c r="P20" s="500"/>
      <c r="Q20" s="500"/>
      <c r="R20" s="1415"/>
      <c r="S20" s="469"/>
    </row>
    <row r="21" spans="1:45" ht="15.75">
      <c r="A21" s="1123" t="s">
        <v>522</v>
      </c>
      <c r="B21" s="673">
        <f ca="1">R22</f>
        <v>4252</v>
      </c>
      <c r="C21" s="500"/>
      <c r="D21" s="500"/>
      <c r="E21" s="500"/>
      <c r="F21" s="500"/>
      <c r="G21" s="500"/>
      <c r="H21" s="500"/>
      <c r="I21" s="500"/>
      <c r="J21" s="500"/>
      <c r="K21" s="500"/>
      <c r="L21" s="500"/>
      <c r="M21" s="500"/>
      <c r="N21" s="500"/>
      <c r="O21" s="500"/>
      <c r="P21" s="500"/>
      <c r="Q21" s="500"/>
      <c r="R21" s="1415"/>
      <c r="S21" s="469"/>
    </row>
    <row r="22" spans="1:45">
      <c r="A22" s="698" t="s">
        <v>523</v>
      </c>
      <c r="B22" s="313">
        <f>SUM(B24:B10000)</f>
        <v>1653.4</v>
      </c>
      <c r="C22" s="3724" t="s">
        <v>169</v>
      </c>
      <c r="D22" s="3725"/>
      <c r="E22" s="3725"/>
      <c r="F22" s="3725"/>
      <c r="G22" s="3725"/>
      <c r="H22" s="3725"/>
      <c r="I22" s="3725"/>
      <c r="J22" s="3725"/>
      <c r="K22" s="3725"/>
      <c r="L22" s="3725"/>
      <c r="M22" s="3725"/>
      <c r="N22" s="3725"/>
      <c r="O22" s="3725"/>
      <c r="P22" s="3725"/>
      <c r="Q22" s="3726"/>
      <c r="R22" s="1124">
        <f ca="1">ROUND(S22*10000/B22,0)</f>
        <v>4252</v>
      </c>
      <c r="S22" s="313">
        <f ca="1">SUM(S24:S10000)</f>
        <v>703</v>
      </c>
    </row>
    <row r="23" spans="1:45" s="300" customFormat="1" ht="24">
      <c r="A23" s="299" t="s">
        <v>524</v>
      </c>
      <c r="B23" s="299" t="s">
        <v>525</v>
      </c>
      <c r="C23" s="299" t="s">
        <v>526</v>
      </c>
      <c r="D23" s="299" t="str">
        <f>B5</f>
        <v>修正项2</v>
      </c>
      <c r="E23" s="299" t="s">
        <v>526</v>
      </c>
      <c r="F23" s="299" t="str">
        <f>B7</f>
        <v>修正项3</v>
      </c>
      <c r="G23" s="299" t="s">
        <v>526</v>
      </c>
      <c r="H23" s="299" t="str">
        <f>B9</f>
        <v>修正项4</v>
      </c>
      <c r="I23" s="299" t="s">
        <v>526</v>
      </c>
      <c r="J23" s="299" t="str">
        <f>B11</f>
        <v>修正项5</v>
      </c>
      <c r="K23" s="299" t="s">
        <v>526</v>
      </c>
      <c r="L23" s="299" t="str">
        <f>B13</f>
        <v>修正项6</v>
      </c>
      <c r="M23" s="299" t="s">
        <v>526</v>
      </c>
      <c r="N23" s="299" t="str">
        <f>B15</f>
        <v>修正项7</v>
      </c>
      <c r="O23" s="299" t="s">
        <v>526</v>
      </c>
      <c r="P23" s="299" t="str">
        <f>B17</f>
        <v>楼层</v>
      </c>
      <c r="Q23" s="299" t="s">
        <v>526</v>
      </c>
      <c r="R23" s="1125" t="s">
        <v>527</v>
      </c>
      <c r="S23" s="299" t="s">
        <v>528</v>
      </c>
      <c r="T23" s="1466"/>
      <c r="U23" s="1466"/>
      <c r="V23" s="1466"/>
      <c r="W23" s="1466"/>
      <c r="X23" s="1466"/>
      <c r="Y23" s="1466"/>
      <c r="Z23" s="1466"/>
      <c r="AA23" s="1466"/>
      <c r="AB23" s="1466"/>
      <c r="AC23" s="1466"/>
      <c r="AD23" s="1466"/>
      <c r="AE23" s="1466"/>
      <c r="AF23" s="1466"/>
      <c r="AG23" s="1466"/>
      <c r="AH23" s="1466"/>
      <c r="AI23" s="1466"/>
      <c r="AJ23" s="1466"/>
      <c r="AK23" s="1466"/>
      <c r="AL23" s="1466"/>
      <c r="AM23" s="1466"/>
      <c r="AN23" s="1466"/>
      <c r="AO23" s="1466"/>
      <c r="AP23" s="1466"/>
      <c r="AQ23" s="1466"/>
      <c r="AR23" s="1466"/>
      <c r="AS23" s="1466"/>
    </row>
    <row r="24" spans="1:45" s="1130" customFormat="1">
      <c r="A24" s="1126" t="str">
        <f>面积及价值汇总!E4</f>
        <v>DK1-1-10703</v>
      </c>
      <c r="B24" s="1126">
        <f>面积及价值汇总!F4</f>
        <v>91.1</v>
      </c>
      <c r="C24" s="1127">
        <v>1</v>
      </c>
      <c r="D24" s="1128"/>
      <c r="E24" s="1127">
        <v>1</v>
      </c>
      <c r="F24" s="1128"/>
      <c r="G24" s="1127">
        <v>1</v>
      </c>
      <c r="H24" s="1128"/>
      <c r="I24" s="1127">
        <v>1</v>
      </c>
      <c r="J24" s="1128"/>
      <c r="K24" s="1127">
        <v>1</v>
      </c>
      <c r="L24" s="1128"/>
      <c r="M24" s="1127">
        <v>1</v>
      </c>
      <c r="N24" s="1128"/>
      <c r="O24" s="1127">
        <v>1</v>
      </c>
      <c r="P24" s="1128"/>
      <c r="Q24" s="1127">
        <v>1</v>
      </c>
      <c r="R24" s="1129">
        <f ca="1">结果表!J20</f>
        <v>4258</v>
      </c>
      <c r="S24" s="1127">
        <f t="shared" ref="S24:S54" ca="1" si="6">ROUND(R24*B24/10000,0)</f>
        <v>39</v>
      </c>
      <c r="T24" s="1467"/>
      <c r="U24" s="1467"/>
      <c r="V24" s="1467"/>
      <c r="W24" s="1467"/>
      <c r="X24" s="1467"/>
      <c r="Y24" s="1467"/>
      <c r="Z24" s="1467"/>
      <c r="AA24" s="1467"/>
      <c r="AB24" s="1467"/>
      <c r="AC24" s="1467"/>
      <c r="AD24" s="1467"/>
      <c r="AE24" s="1467"/>
      <c r="AF24" s="1467"/>
      <c r="AG24" s="1467"/>
      <c r="AH24" s="1467"/>
      <c r="AI24" s="1467"/>
      <c r="AJ24" s="1467"/>
      <c r="AK24" s="1467"/>
      <c r="AL24" s="1467"/>
      <c r="AM24" s="1467"/>
      <c r="AN24" s="1467"/>
      <c r="AO24" s="1467"/>
      <c r="AP24" s="1467"/>
      <c r="AQ24" s="1467"/>
      <c r="AR24" s="1467"/>
      <c r="AS24" s="1467"/>
    </row>
    <row r="25" spans="1:45">
      <c r="A25" s="1126" t="str">
        <f>面积及价值汇总!E5</f>
        <v>DK1-1-10906</v>
      </c>
      <c r="B25" s="1126">
        <f>面积及价值汇总!F5</f>
        <v>94.27</v>
      </c>
      <c r="C25" s="313">
        <f>IF(B25="",1,(LOOKUP(B25,$3:$3,$4:$4)-LOOKUP($B$24,$3:$3,$4:$4)+100)/100)</f>
        <v>1</v>
      </c>
      <c r="D25" s="1128"/>
      <c r="E25" s="313">
        <f>(SUMIF($5:$5,D25,$6:$6)-SUMIF($5:$5,$D$24,$6:$6)+100)/100</f>
        <v>1</v>
      </c>
      <c r="F25" s="1128"/>
      <c r="G25" s="313">
        <f>(SUMIF($7:$7,F25,$8:$8)-SUMIF($7:$7,$F$24,$8:$8)+100)/100</f>
        <v>1</v>
      </c>
      <c r="H25" s="1128"/>
      <c r="I25" s="313">
        <f>(SUMIF($9:$9,H25,$10:$10)-SUMIF($9:$9,$H$24,$10:$10)+100)/100</f>
        <v>1</v>
      </c>
      <c r="J25" s="1128"/>
      <c r="K25" s="313">
        <f>(SUMIF($11:$11,J25,$12:$12)-SUMIF($11:$11,$J$24,$12:$12)+100)/100</f>
        <v>1</v>
      </c>
      <c r="L25" s="1128"/>
      <c r="M25" s="313">
        <f>(SUMIF($13:$13,L25,$14:$14)-SUMIF($13:$13,$L$24,$14:$14)+100)/100</f>
        <v>1</v>
      </c>
      <c r="N25" s="1128"/>
      <c r="O25" s="313">
        <f>(SUMIF($15:$15,N25,$16:$16)-SUMIF($15:$15,$N$24,$16:$16)+100)/100</f>
        <v>1</v>
      </c>
      <c r="P25" s="1128"/>
      <c r="Q25" s="313">
        <f>(SUMIF($17:$17,P25,$18:$18)-SUMIF($17:$17,$P$24,$18:$18)+100)/100</f>
        <v>1</v>
      </c>
      <c r="R25" s="1124">
        <f ca="1">IF(B25="",0,ROUND($R$24*C25*E25*G25*I25*K25*M25*O25*Q25,0))</f>
        <v>4258</v>
      </c>
      <c r="S25" s="698">
        <f t="shared" ca="1" si="6"/>
        <v>40</v>
      </c>
    </row>
    <row r="26" spans="1:45">
      <c r="A26" s="1126" t="str">
        <f>面积及价值汇总!E6</f>
        <v>DK1-1-11005</v>
      </c>
      <c r="B26" s="1126">
        <f>面积及价值汇总!F6</f>
        <v>89.53</v>
      </c>
      <c r="C26" s="313">
        <f t="shared" ref="C26:C89" si="7">IF(B26="",1,(LOOKUP(B26,$3:$3,$4:$4)-LOOKUP($B$24,$3:$3,$4:$4)+100)/100)</f>
        <v>1</v>
      </c>
      <c r="D26" s="1128"/>
      <c r="E26" s="313">
        <f t="shared" ref="E26:E89" si="8">(SUMIF($5:$5,D26,$6:$6)-SUMIF($5:$5,$D$24,$6:$6)+100)/100</f>
        <v>1</v>
      </c>
      <c r="F26" s="1128"/>
      <c r="G26" s="313">
        <f t="shared" ref="G26:G89" si="9">(SUMIF($7:$7,F26,$8:$8)-SUMIF($7:$7,$F$24,$8:$8)+100)/100</f>
        <v>1</v>
      </c>
      <c r="H26" s="1128"/>
      <c r="I26" s="313">
        <f t="shared" ref="I26:I89" si="10">(SUMIF($9:$9,H26,$10:$10)-SUMIF($9:$9,$H$24,$10:$10)+100)/100</f>
        <v>1</v>
      </c>
      <c r="J26" s="1128"/>
      <c r="K26" s="313">
        <f t="shared" ref="K26:K89" si="11">(SUMIF($11:$11,J26,$12:$12)-SUMIF($11:$11,$J$24,$12:$12)+100)/100</f>
        <v>1</v>
      </c>
      <c r="L26" s="1128"/>
      <c r="M26" s="313">
        <f t="shared" ref="M26:M89" si="12">(SUMIF($13:$13,L26,$14:$14)-SUMIF($13:$13,$L$24,$14:$14)+100)/100</f>
        <v>1</v>
      </c>
      <c r="N26" s="1128"/>
      <c r="O26" s="313">
        <f t="shared" ref="O26:O89" si="13">(SUMIF($15:$15,N26,$16:$16)-SUMIF($15:$15,$N$24,$16:$16)+100)/100</f>
        <v>1</v>
      </c>
      <c r="P26" s="1128"/>
      <c r="Q26" s="313">
        <f t="shared" ref="Q26:Q89" si="14">(SUMIF($17:$17,P26,$18:$18)-SUMIF($17:$17,$P$24,$18:$18)+100)/100</f>
        <v>1</v>
      </c>
      <c r="R26" s="1124">
        <f t="shared" ref="R26:R89" ca="1" si="15">IF(B26="",0,ROUND($R$24*C26*E26*G26*I26*K26*M26*O26*Q26,0))</f>
        <v>4258</v>
      </c>
      <c r="S26" s="698">
        <f t="shared" ca="1" si="6"/>
        <v>38</v>
      </c>
    </row>
    <row r="27" spans="1:45">
      <c r="A27" s="1126" t="str">
        <f>面积及价值汇总!E7</f>
        <v>DK1-1-11503</v>
      </c>
      <c r="B27" s="1126">
        <f>面积及价值汇总!F7</f>
        <v>91.62</v>
      </c>
      <c r="C27" s="313">
        <f t="shared" si="7"/>
        <v>1</v>
      </c>
      <c r="D27" s="1128"/>
      <c r="E27" s="313">
        <f t="shared" si="8"/>
        <v>1</v>
      </c>
      <c r="F27" s="1128"/>
      <c r="G27" s="313">
        <f t="shared" si="9"/>
        <v>1</v>
      </c>
      <c r="H27" s="1128"/>
      <c r="I27" s="313">
        <f t="shared" si="10"/>
        <v>1</v>
      </c>
      <c r="J27" s="1128"/>
      <c r="K27" s="313">
        <f t="shared" si="11"/>
        <v>1</v>
      </c>
      <c r="L27" s="1128"/>
      <c r="M27" s="313">
        <f t="shared" si="12"/>
        <v>1</v>
      </c>
      <c r="N27" s="1128"/>
      <c r="O27" s="313">
        <f t="shared" si="13"/>
        <v>1</v>
      </c>
      <c r="P27" s="1128"/>
      <c r="Q27" s="313">
        <f t="shared" si="14"/>
        <v>1</v>
      </c>
      <c r="R27" s="1124">
        <f t="shared" ca="1" si="15"/>
        <v>4258</v>
      </c>
      <c r="S27" s="698">
        <f t="shared" ca="1" si="6"/>
        <v>39</v>
      </c>
    </row>
    <row r="28" spans="1:45">
      <c r="A28" s="1126" t="str">
        <f>面积及价值汇总!E8</f>
        <v>DK1-1-11702</v>
      </c>
      <c r="B28" s="1126">
        <f>面积及价值汇总!F8</f>
        <v>89.98</v>
      </c>
      <c r="C28" s="313">
        <f t="shared" si="7"/>
        <v>1</v>
      </c>
      <c r="D28" s="1128"/>
      <c r="E28" s="313">
        <f t="shared" si="8"/>
        <v>1</v>
      </c>
      <c r="F28" s="1128"/>
      <c r="G28" s="313">
        <f t="shared" si="9"/>
        <v>1</v>
      </c>
      <c r="H28" s="1128"/>
      <c r="I28" s="313">
        <f t="shared" si="10"/>
        <v>1</v>
      </c>
      <c r="J28" s="1128"/>
      <c r="K28" s="313">
        <f t="shared" si="11"/>
        <v>1</v>
      </c>
      <c r="L28" s="1128"/>
      <c r="M28" s="313">
        <f t="shared" si="12"/>
        <v>1</v>
      </c>
      <c r="N28" s="1128"/>
      <c r="O28" s="313">
        <f t="shared" si="13"/>
        <v>1</v>
      </c>
      <c r="P28" s="1128"/>
      <c r="Q28" s="313">
        <f t="shared" si="14"/>
        <v>1</v>
      </c>
      <c r="R28" s="1124">
        <f t="shared" ca="1" si="15"/>
        <v>4258</v>
      </c>
      <c r="S28" s="698">
        <f t="shared" ca="1" si="6"/>
        <v>38</v>
      </c>
    </row>
    <row r="29" spans="1:45">
      <c r="A29" s="1126" t="str">
        <f>面积及价值汇总!E9</f>
        <v>DK1-1-11902</v>
      </c>
      <c r="B29" s="1126">
        <f>面积及价值汇总!F9</f>
        <v>89.98</v>
      </c>
      <c r="C29" s="313">
        <f t="shared" si="7"/>
        <v>1</v>
      </c>
      <c r="D29" s="1128"/>
      <c r="E29" s="313">
        <f t="shared" si="8"/>
        <v>1</v>
      </c>
      <c r="F29" s="1128"/>
      <c r="G29" s="313">
        <f t="shared" si="9"/>
        <v>1</v>
      </c>
      <c r="H29" s="1128"/>
      <c r="I29" s="313">
        <f t="shared" si="10"/>
        <v>1</v>
      </c>
      <c r="J29" s="1128"/>
      <c r="K29" s="313">
        <f t="shared" si="11"/>
        <v>1</v>
      </c>
      <c r="L29" s="1128"/>
      <c r="M29" s="313">
        <f t="shared" si="12"/>
        <v>1</v>
      </c>
      <c r="N29" s="1128"/>
      <c r="O29" s="313">
        <f t="shared" si="13"/>
        <v>1</v>
      </c>
      <c r="P29" s="1128"/>
      <c r="Q29" s="313">
        <f t="shared" si="14"/>
        <v>1</v>
      </c>
      <c r="R29" s="1124">
        <f t="shared" ca="1" si="15"/>
        <v>4258</v>
      </c>
      <c r="S29" s="698">
        <f t="shared" ca="1" si="6"/>
        <v>38</v>
      </c>
    </row>
    <row r="30" spans="1:45">
      <c r="A30" s="1126" t="str">
        <f>面积及价值汇总!E10</f>
        <v>DK1-1-11906</v>
      </c>
      <c r="B30" s="1126">
        <f>面积及价值汇总!F10</f>
        <v>95.43</v>
      </c>
      <c r="C30" s="313">
        <f t="shared" si="7"/>
        <v>1</v>
      </c>
      <c r="D30" s="1128"/>
      <c r="E30" s="313">
        <f t="shared" si="8"/>
        <v>1</v>
      </c>
      <c r="F30" s="1128"/>
      <c r="G30" s="313">
        <f t="shared" si="9"/>
        <v>1</v>
      </c>
      <c r="H30" s="1128"/>
      <c r="I30" s="313">
        <f t="shared" si="10"/>
        <v>1</v>
      </c>
      <c r="J30" s="1128"/>
      <c r="K30" s="313">
        <f t="shared" si="11"/>
        <v>1</v>
      </c>
      <c r="L30" s="1128"/>
      <c r="M30" s="313">
        <f t="shared" si="12"/>
        <v>1</v>
      </c>
      <c r="N30" s="1128"/>
      <c r="O30" s="313">
        <f t="shared" si="13"/>
        <v>1</v>
      </c>
      <c r="P30" s="1128"/>
      <c r="Q30" s="313">
        <f t="shared" si="14"/>
        <v>1</v>
      </c>
      <c r="R30" s="1124">
        <f t="shared" ca="1" si="15"/>
        <v>4258</v>
      </c>
      <c r="S30" s="698">
        <f t="shared" ca="1" si="6"/>
        <v>41</v>
      </c>
    </row>
    <row r="31" spans="1:45">
      <c r="A31" s="1126" t="str">
        <f>面积及价值汇总!E11</f>
        <v>DK1-1-12101</v>
      </c>
      <c r="B31" s="1126">
        <f>面积及价值汇总!F11</f>
        <v>95.43</v>
      </c>
      <c r="C31" s="313">
        <f t="shared" si="7"/>
        <v>1</v>
      </c>
      <c r="D31" s="1128"/>
      <c r="E31" s="313">
        <f t="shared" si="8"/>
        <v>1</v>
      </c>
      <c r="F31" s="1128"/>
      <c r="G31" s="313">
        <f t="shared" si="9"/>
        <v>1</v>
      </c>
      <c r="H31" s="1128"/>
      <c r="I31" s="313">
        <f t="shared" si="10"/>
        <v>1</v>
      </c>
      <c r="J31" s="1128"/>
      <c r="K31" s="313">
        <f t="shared" si="11"/>
        <v>1</v>
      </c>
      <c r="L31" s="1128"/>
      <c r="M31" s="313">
        <f t="shared" si="12"/>
        <v>1</v>
      </c>
      <c r="N31" s="1128"/>
      <c r="O31" s="313">
        <f t="shared" si="13"/>
        <v>1</v>
      </c>
      <c r="P31" s="1128"/>
      <c r="Q31" s="313">
        <f t="shared" si="14"/>
        <v>1</v>
      </c>
      <c r="R31" s="1124">
        <f t="shared" ca="1" si="15"/>
        <v>4258</v>
      </c>
      <c r="S31" s="698">
        <f t="shared" ca="1" si="6"/>
        <v>41</v>
      </c>
    </row>
    <row r="32" spans="1:45">
      <c r="A32" s="1126" t="str">
        <f>面积及价值汇总!E12</f>
        <v>DK1-1-12305</v>
      </c>
      <c r="B32" s="1126">
        <f>面积及价值汇总!F12</f>
        <v>89.98</v>
      </c>
      <c r="C32" s="313">
        <f t="shared" si="7"/>
        <v>1</v>
      </c>
      <c r="D32" s="1128"/>
      <c r="E32" s="313">
        <f t="shared" si="8"/>
        <v>1</v>
      </c>
      <c r="F32" s="1128"/>
      <c r="G32" s="313">
        <f t="shared" si="9"/>
        <v>1</v>
      </c>
      <c r="H32" s="1128"/>
      <c r="I32" s="313">
        <f t="shared" si="10"/>
        <v>1</v>
      </c>
      <c r="J32" s="1128"/>
      <c r="K32" s="313">
        <f t="shared" si="11"/>
        <v>1</v>
      </c>
      <c r="L32" s="1128"/>
      <c r="M32" s="313">
        <f t="shared" si="12"/>
        <v>1</v>
      </c>
      <c r="N32" s="1128"/>
      <c r="O32" s="313">
        <f t="shared" si="13"/>
        <v>1</v>
      </c>
      <c r="P32" s="1128"/>
      <c r="Q32" s="313">
        <f t="shared" si="14"/>
        <v>1</v>
      </c>
      <c r="R32" s="1124">
        <f t="shared" ca="1" si="15"/>
        <v>4258</v>
      </c>
      <c r="S32" s="698">
        <f t="shared" ca="1" si="6"/>
        <v>38</v>
      </c>
    </row>
    <row r="33" spans="1:19">
      <c r="A33" s="1126" t="str">
        <f>面积及价值汇总!E13</f>
        <v>DK1-1-12405</v>
      </c>
      <c r="B33" s="1126">
        <f>面积及价值汇总!F13</f>
        <v>89.98</v>
      </c>
      <c r="C33" s="313">
        <f t="shared" si="7"/>
        <v>1</v>
      </c>
      <c r="D33" s="1128"/>
      <c r="E33" s="313">
        <f t="shared" si="8"/>
        <v>1</v>
      </c>
      <c r="F33" s="1128"/>
      <c r="G33" s="313">
        <f t="shared" si="9"/>
        <v>1</v>
      </c>
      <c r="H33" s="1128"/>
      <c r="I33" s="313">
        <f t="shared" si="10"/>
        <v>1</v>
      </c>
      <c r="J33" s="1128"/>
      <c r="K33" s="313">
        <f t="shared" si="11"/>
        <v>1</v>
      </c>
      <c r="L33" s="1128"/>
      <c r="M33" s="313">
        <f t="shared" si="12"/>
        <v>1</v>
      </c>
      <c r="N33" s="1128"/>
      <c r="O33" s="313">
        <f t="shared" si="13"/>
        <v>1</v>
      </c>
      <c r="P33" s="1128"/>
      <c r="Q33" s="313">
        <f t="shared" si="14"/>
        <v>1</v>
      </c>
      <c r="R33" s="1124">
        <f t="shared" ca="1" si="15"/>
        <v>4258</v>
      </c>
      <c r="S33" s="698">
        <f t="shared" ca="1" si="6"/>
        <v>38</v>
      </c>
    </row>
    <row r="34" spans="1:19">
      <c r="A34" s="1126" t="str">
        <f>面积及价值汇总!E14</f>
        <v>DK1-1-12605</v>
      </c>
      <c r="B34" s="1126">
        <f>面积及价值汇总!F14</f>
        <v>89.98</v>
      </c>
      <c r="C34" s="313">
        <f t="shared" si="7"/>
        <v>1</v>
      </c>
      <c r="D34" s="1128"/>
      <c r="E34" s="313">
        <f t="shared" si="8"/>
        <v>1</v>
      </c>
      <c r="F34" s="1128"/>
      <c r="G34" s="313">
        <f t="shared" si="9"/>
        <v>1</v>
      </c>
      <c r="H34" s="1128"/>
      <c r="I34" s="313">
        <f t="shared" si="10"/>
        <v>1</v>
      </c>
      <c r="J34" s="1128"/>
      <c r="K34" s="313">
        <f t="shared" si="11"/>
        <v>1</v>
      </c>
      <c r="L34" s="1128"/>
      <c r="M34" s="313">
        <f t="shared" si="12"/>
        <v>1</v>
      </c>
      <c r="N34" s="1128"/>
      <c r="O34" s="313">
        <f t="shared" si="13"/>
        <v>1</v>
      </c>
      <c r="P34" s="1128"/>
      <c r="Q34" s="313">
        <f t="shared" si="14"/>
        <v>1</v>
      </c>
      <c r="R34" s="1124">
        <f t="shared" ca="1" si="15"/>
        <v>4258</v>
      </c>
      <c r="S34" s="698">
        <f t="shared" ca="1" si="6"/>
        <v>38</v>
      </c>
    </row>
    <row r="35" spans="1:19">
      <c r="A35" s="1126" t="str">
        <f>面积及价值汇总!E15</f>
        <v>DK1-1-12704</v>
      </c>
      <c r="B35" s="1126">
        <f>面积及价值汇总!F15</f>
        <v>91.85</v>
      </c>
      <c r="C35" s="313">
        <f t="shared" si="7"/>
        <v>1</v>
      </c>
      <c r="D35" s="1128"/>
      <c r="E35" s="313">
        <f t="shared" si="8"/>
        <v>1</v>
      </c>
      <c r="F35" s="1128"/>
      <c r="G35" s="313">
        <f t="shared" si="9"/>
        <v>1</v>
      </c>
      <c r="H35" s="1128"/>
      <c r="I35" s="313">
        <f t="shared" si="10"/>
        <v>1</v>
      </c>
      <c r="J35" s="1128"/>
      <c r="K35" s="313">
        <f t="shared" si="11"/>
        <v>1</v>
      </c>
      <c r="L35" s="1128"/>
      <c r="M35" s="313">
        <f t="shared" si="12"/>
        <v>1</v>
      </c>
      <c r="N35" s="1128"/>
      <c r="O35" s="313">
        <f t="shared" si="13"/>
        <v>1</v>
      </c>
      <c r="P35" s="1128"/>
      <c r="Q35" s="313">
        <f t="shared" si="14"/>
        <v>1</v>
      </c>
      <c r="R35" s="1124">
        <f t="shared" ca="1" si="15"/>
        <v>4258</v>
      </c>
      <c r="S35" s="698">
        <f t="shared" ca="1" si="6"/>
        <v>39</v>
      </c>
    </row>
    <row r="36" spans="1:19">
      <c r="A36" s="1126" t="str">
        <f>面积及价值汇总!E16</f>
        <v>DK1-1-12806</v>
      </c>
      <c r="B36" s="1126">
        <f>面积及价值汇总!F16</f>
        <v>95.73</v>
      </c>
      <c r="C36" s="313">
        <f t="shared" si="7"/>
        <v>1</v>
      </c>
      <c r="D36" s="1128"/>
      <c r="E36" s="313">
        <f t="shared" si="8"/>
        <v>1</v>
      </c>
      <c r="F36" s="1128"/>
      <c r="G36" s="313">
        <f t="shared" si="9"/>
        <v>1</v>
      </c>
      <c r="H36" s="1128"/>
      <c r="I36" s="313">
        <f t="shared" si="10"/>
        <v>1</v>
      </c>
      <c r="J36" s="1128"/>
      <c r="K36" s="313">
        <f t="shared" si="11"/>
        <v>1</v>
      </c>
      <c r="L36" s="1128"/>
      <c r="M36" s="313">
        <f t="shared" si="12"/>
        <v>1</v>
      </c>
      <c r="N36" s="1128"/>
      <c r="O36" s="313">
        <f t="shared" si="13"/>
        <v>1</v>
      </c>
      <c r="P36" s="1128"/>
      <c r="Q36" s="313">
        <f t="shared" si="14"/>
        <v>1</v>
      </c>
      <c r="R36" s="1124">
        <f t="shared" ca="1" si="15"/>
        <v>4258</v>
      </c>
      <c r="S36" s="698">
        <f t="shared" ca="1" si="6"/>
        <v>41</v>
      </c>
    </row>
    <row r="37" spans="1:19">
      <c r="A37" s="1126" t="str">
        <f>面积及价值汇总!E17</f>
        <v>DK1-1-13206</v>
      </c>
      <c r="B37" s="1126">
        <f>面积及价值汇总!F17</f>
        <v>95.73</v>
      </c>
      <c r="C37" s="313">
        <f t="shared" si="7"/>
        <v>1</v>
      </c>
      <c r="D37" s="1128"/>
      <c r="E37" s="313">
        <f t="shared" si="8"/>
        <v>1</v>
      </c>
      <c r="F37" s="1128"/>
      <c r="G37" s="313">
        <f t="shared" si="9"/>
        <v>1</v>
      </c>
      <c r="H37" s="1128"/>
      <c r="I37" s="313">
        <f t="shared" si="10"/>
        <v>1</v>
      </c>
      <c r="J37" s="1128"/>
      <c r="K37" s="313">
        <f t="shared" si="11"/>
        <v>1</v>
      </c>
      <c r="L37" s="1128"/>
      <c r="M37" s="313">
        <f t="shared" si="12"/>
        <v>1</v>
      </c>
      <c r="N37" s="1128"/>
      <c r="O37" s="313">
        <f t="shared" si="13"/>
        <v>1</v>
      </c>
      <c r="P37" s="1128"/>
      <c r="Q37" s="313">
        <f t="shared" si="14"/>
        <v>1</v>
      </c>
      <c r="R37" s="1124">
        <f t="shared" ca="1" si="15"/>
        <v>4258</v>
      </c>
      <c r="S37" s="698">
        <f t="shared" ca="1" si="6"/>
        <v>41</v>
      </c>
    </row>
    <row r="38" spans="1:19">
      <c r="A38" s="1126" t="str">
        <f>面积及价值汇总!E18</f>
        <v>DK1-1-13302</v>
      </c>
      <c r="B38" s="1126">
        <f>面积及价值汇总!F18</f>
        <v>89.98</v>
      </c>
      <c r="C38" s="313">
        <f t="shared" si="7"/>
        <v>1</v>
      </c>
      <c r="D38" s="1128"/>
      <c r="E38" s="313">
        <f t="shared" si="8"/>
        <v>1</v>
      </c>
      <c r="F38" s="1128"/>
      <c r="G38" s="313">
        <f t="shared" si="9"/>
        <v>1</v>
      </c>
      <c r="H38" s="1128"/>
      <c r="I38" s="313">
        <f t="shared" si="10"/>
        <v>1</v>
      </c>
      <c r="J38" s="1128"/>
      <c r="K38" s="313">
        <f t="shared" si="11"/>
        <v>1</v>
      </c>
      <c r="L38" s="1128"/>
      <c r="M38" s="313">
        <f t="shared" si="12"/>
        <v>1</v>
      </c>
      <c r="N38" s="1128"/>
      <c r="O38" s="313">
        <f t="shared" si="13"/>
        <v>1</v>
      </c>
      <c r="P38" s="1128"/>
      <c r="Q38" s="313">
        <f t="shared" si="14"/>
        <v>1</v>
      </c>
      <c r="R38" s="1124">
        <f t="shared" ca="1" si="15"/>
        <v>4258</v>
      </c>
      <c r="S38" s="698">
        <f t="shared" ca="1" si="6"/>
        <v>38</v>
      </c>
    </row>
    <row r="39" spans="1:19">
      <c r="A39" s="1126" t="str">
        <f>面积及价值汇总!E19</f>
        <v>DK1-1-13303</v>
      </c>
      <c r="B39" s="1126">
        <f>面积及价值汇总!F19</f>
        <v>91.85</v>
      </c>
      <c r="C39" s="313">
        <f t="shared" si="7"/>
        <v>1</v>
      </c>
      <c r="D39" s="1128"/>
      <c r="E39" s="313">
        <f t="shared" si="8"/>
        <v>1</v>
      </c>
      <c r="F39" s="1128"/>
      <c r="G39" s="313">
        <f t="shared" si="9"/>
        <v>1</v>
      </c>
      <c r="H39" s="1128"/>
      <c r="I39" s="313">
        <f t="shared" si="10"/>
        <v>1</v>
      </c>
      <c r="J39" s="1128"/>
      <c r="K39" s="313">
        <f t="shared" si="11"/>
        <v>1</v>
      </c>
      <c r="L39" s="1128"/>
      <c r="M39" s="313">
        <f t="shared" si="12"/>
        <v>1</v>
      </c>
      <c r="N39" s="1128"/>
      <c r="O39" s="313">
        <f t="shared" si="13"/>
        <v>1</v>
      </c>
      <c r="P39" s="1128"/>
      <c r="Q39" s="313">
        <f t="shared" si="14"/>
        <v>1</v>
      </c>
      <c r="R39" s="1124">
        <f t="shared" ca="1" si="15"/>
        <v>4258</v>
      </c>
      <c r="S39" s="698">
        <f t="shared" ca="1" si="6"/>
        <v>39</v>
      </c>
    </row>
    <row r="40" spans="1:19">
      <c r="A40" s="1126" t="str">
        <f>面积及价值汇总!E20</f>
        <v>DK1-2-10304</v>
      </c>
      <c r="B40" s="1126">
        <f>面积及价值汇总!F20</f>
        <v>91.05</v>
      </c>
      <c r="C40" s="313">
        <f t="shared" si="7"/>
        <v>1</v>
      </c>
      <c r="D40" s="1128"/>
      <c r="E40" s="313">
        <f t="shared" si="8"/>
        <v>1</v>
      </c>
      <c r="F40" s="1128"/>
      <c r="G40" s="313">
        <f t="shared" si="9"/>
        <v>1</v>
      </c>
      <c r="H40" s="1128"/>
      <c r="I40" s="313">
        <f t="shared" si="10"/>
        <v>1</v>
      </c>
      <c r="J40" s="1128"/>
      <c r="K40" s="313">
        <f t="shared" si="11"/>
        <v>1</v>
      </c>
      <c r="L40" s="1128"/>
      <c r="M40" s="313">
        <f t="shared" si="12"/>
        <v>1</v>
      </c>
      <c r="N40" s="1128"/>
      <c r="O40" s="313">
        <f t="shared" si="13"/>
        <v>1</v>
      </c>
      <c r="P40" s="1128"/>
      <c r="Q40" s="313">
        <f t="shared" si="14"/>
        <v>1</v>
      </c>
      <c r="R40" s="1124">
        <f t="shared" ca="1" si="15"/>
        <v>4258</v>
      </c>
      <c r="S40" s="698">
        <f t="shared" ca="1" si="6"/>
        <v>39</v>
      </c>
    </row>
    <row r="41" spans="1:19">
      <c r="A41" s="1126" t="str">
        <f>面积及价值汇总!E21</f>
        <v>DK1-2-11805</v>
      </c>
      <c r="B41" s="1126">
        <f>面积及价值汇总!F21</f>
        <v>89.93</v>
      </c>
      <c r="C41" s="313">
        <f t="shared" si="7"/>
        <v>1</v>
      </c>
      <c r="D41" s="1128"/>
      <c r="E41" s="313">
        <f t="shared" si="8"/>
        <v>1</v>
      </c>
      <c r="F41" s="1128"/>
      <c r="G41" s="313">
        <f t="shared" si="9"/>
        <v>1</v>
      </c>
      <c r="H41" s="1128"/>
      <c r="I41" s="313">
        <f t="shared" si="10"/>
        <v>1</v>
      </c>
      <c r="J41" s="1128"/>
      <c r="K41" s="313">
        <f t="shared" si="11"/>
        <v>1</v>
      </c>
      <c r="L41" s="1128"/>
      <c r="M41" s="313">
        <f t="shared" si="12"/>
        <v>1</v>
      </c>
      <c r="N41" s="1128"/>
      <c r="O41" s="313">
        <f t="shared" si="13"/>
        <v>1</v>
      </c>
      <c r="P41" s="1128"/>
      <c r="Q41" s="313">
        <f t="shared" si="14"/>
        <v>1</v>
      </c>
      <c r="R41" s="1124">
        <f t="shared" ca="1" si="15"/>
        <v>4258</v>
      </c>
      <c r="S41" s="698">
        <f t="shared" ca="1" si="6"/>
        <v>38</v>
      </c>
    </row>
    <row r="42" spans="1:19">
      <c r="A42" s="1126"/>
      <c r="B42" s="348"/>
      <c r="C42" s="313">
        <f t="shared" si="7"/>
        <v>1</v>
      </c>
      <c r="D42" s="1128"/>
      <c r="E42" s="313">
        <f t="shared" si="8"/>
        <v>1</v>
      </c>
      <c r="F42" s="1128"/>
      <c r="G42" s="313">
        <f t="shared" si="9"/>
        <v>1</v>
      </c>
      <c r="H42" s="1128"/>
      <c r="I42" s="313">
        <f t="shared" si="10"/>
        <v>1</v>
      </c>
      <c r="J42" s="1128"/>
      <c r="K42" s="313">
        <f t="shared" si="11"/>
        <v>1</v>
      </c>
      <c r="L42" s="1128"/>
      <c r="M42" s="313">
        <f t="shared" si="12"/>
        <v>1</v>
      </c>
      <c r="N42" s="1128"/>
      <c r="O42" s="313">
        <f t="shared" si="13"/>
        <v>1</v>
      </c>
      <c r="P42" s="1128"/>
      <c r="Q42" s="313">
        <f t="shared" si="14"/>
        <v>1</v>
      </c>
      <c r="R42" s="1124">
        <f t="shared" si="15"/>
        <v>0</v>
      </c>
      <c r="S42" s="698">
        <f t="shared" si="6"/>
        <v>0</v>
      </c>
    </row>
    <row r="43" spans="1:19">
      <c r="A43" s="1126"/>
      <c r="B43" s="348"/>
      <c r="C43" s="313">
        <f t="shared" si="7"/>
        <v>1</v>
      </c>
      <c r="D43" s="1128"/>
      <c r="E43" s="313">
        <f t="shared" si="8"/>
        <v>1</v>
      </c>
      <c r="F43" s="1128"/>
      <c r="G43" s="313">
        <f t="shared" si="9"/>
        <v>1</v>
      </c>
      <c r="H43" s="1128"/>
      <c r="I43" s="313">
        <f t="shared" si="10"/>
        <v>1</v>
      </c>
      <c r="J43" s="1128"/>
      <c r="K43" s="313">
        <f t="shared" si="11"/>
        <v>1</v>
      </c>
      <c r="L43" s="1128"/>
      <c r="M43" s="313">
        <f t="shared" si="12"/>
        <v>1</v>
      </c>
      <c r="N43" s="1128"/>
      <c r="O43" s="313">
        <f t="shared" si="13"/>
        <v>1</v>
      </c>
      <c r="P43" s="1128"/>
      <c r="Q43" s="313">
        <f t="shared" si="14"/>
        <v>1</v>
      </c>
      <c r="R43" s="1124">
        <f t="shared" si="15"/>
        <v>0</v>
      </c>
      <c r="S43" s="698">
        <f t="shared" si="6"/>
        <v>0</v>
      </c>
    </row>
    <row r="44" spans="1:19">
      <c r="A44" s="1126"/>
      <c r="B44" s="348"/>
      <c r="C44" s="313">
        <f t="shared" si="7"/>
        <v>1</v>
      </c>
      <c r="D44" s="1128"/>
      <c r="E44" s="313">
        <f t="shared" si="8"/>
        <v>1</v>
      </c>
      <c r="F44" s="1128"/>
      <c r="G44" s="313">
        <f t="shared" si="9"/>
        <v>1</v>
      </c>
      <c r="H44" s="1128"/>
      <c r="I44" s="313">
        <f t="shared" si="10"/>
        <v>1</v>
      </c>
      <c r="J44" s="1128"/>
      <c r="K44" s="313">
        <f t="shared" si="11"/>
        <v>1</v>
      </c>
      <c r="L44" s="1128"/>
      <c r="M44" s="313">
        <f t="shared" si="12"/>
        <v>1</v>
      </c>
      <c r="N44" s="1128"/>
      <c r="O44" s="313">
        <f t="shared" si="13"/>
        <v>1</v>
      </c>
      <c r="P44" s="1128"/>
      <c r="Q44" s="313">
        <f t="shared" si="14"/>
        <v>1</v>
      </c>
      <c r="R44" s="1124">
        <f t="shared" si="15"/>
        <v>0</v>
      </c>
      <c r="S44" s="698">
        <f t="shared" si="6"/>
        <v>0</v>
      </c>
    </row>
    <row r="45" spans="1:19">
      <c r="A45" s="1126"/>
      <c r="B45" s="348"/>
      <c r="C45" s="313">
        <f t="shared" si="7"/>
        <v>1</v>
      </c>
      <c r="D45" s="1128"/>
      <c r="E45" s="313">
        <f t="shared" si="8"/>
        <v>1</v>
      </c>
      <c r="F45" s="1128"/>
      <c r="G45" s="313">
        <f t="shared" si="9"/>
        <v>1</v>
      </c>
      <c r="H45" s="1128"/>
      <c r="I45" s="313">
        <f t="shared" si="10"/>
        <v>1</v>
      </c>
      <c r="J45" s="1128"/>
      <c r="K45" s="313">
        <f t="shared" si="11"/>
        <v>1</v>
      </c>
      <c r="L45" s="1128"/>
      <c r="M45" s="313">
        <f t="shared" si="12"/>
        <v>1</v>
      </c>
      <c r="N45" s="1128"/>
      <c r="O45" s="313">
        <f t="shared" si="13"/>
        <v>1</v>
      </c>
      <c r="P45" s="1128"/>
      <c r="Q45" s="313">
        <f t="shared" si="14"/>
        <v>1</v>
      </c>
      <c r="R45" s="1124">
        <f t="shared" si="15"/>
        <v>0</v>
      </c>
      <c r="S45" s="698">
        <f t="shared" si="6"/>
        <v>0</v>
      </c>
    </row>
    <row r="46" spans="1:19">
      <c r="A46" s="1126"/>
      <c r="B46" s="348"/>
      <c r="C46" s="313">
        <f t="shared" si="7"/>
        <v>1</v>
      </c>
      <c r="D46" s="1128"/>
      <c r="E46" s="313">
        <f t="shared" si="8"/>
        <v>1</v>
      </c>
      <c r="F46" s="1128"/>
      <c r="G46" s="313">
        <f t="shared" si="9"/>
        <v>1</v>
      </c>
      <c r="H46" s="1128"/>
      <c r="I46" s="313">
        <f t="shared" si="10"/>
        <v>1</v>
      </c>
      <c r="J46" s="1128"/>
      <c r="K46" s="313">
        <f t="shared" si="11"/>
        <v>1</v>
      </c>
      <c r="L46" s="1128"/>
      <c r="M46" s="313">
        <f t="shared" si="12"/>
        <v>1</v>
      </c>
      <c r="N46" s="1128"/>
      <c r="O46" s="313">
        <f t="shared" si="13"/>
        <v>1</v>
      </c>
      <c r="P46" s="1128"/>
      <c r="Q46" s="313">
        <f t="shared" si="14"/>
        <v>1</v>
      </c>
      <c r="R46" s="1124">
        <f t="shared" si="15"/>
        <v>0</v>
      </c>
      <c r="S46" s="698">
        <f t="shared" si="6"/>
        <v>0</v>
      </c>
    </row>
    <row r="47" spans="1:19">
      <c r="A47" s="1126"/>
      <c r="B47" s="348"/>
      <c r="C47" s="313">
        <f t="shared" si="7"/>
        <v>1</v>
      </c>
      <c r="D47" s="1128"/>
      <c r="E47" s="313">
        <f t="shared" si="8"/>
        <v>1</v>
      </c>
      <c r="F47" s="1128"/>
      <c r="G47" s="313">
        <f t="shared" si="9"/>
        <v>1</v>
      </c>
      <c r="H47" s="1128"/>
      <c r="I47" s="313">
        <f t="shared" si="10"/>
        <v>1</v>
      </c>
      <c r="J47" s="1128"/>
      <c r="K47" s="313">
        <f t="shared" si="11"/>
        <v>1</v>
      </c>
      <c r="L47" s="1128"/>
      <c r="M47" s="313">
        <f t="shared" si="12"/>
        <v>1</v>
      </c>
      <c r="N47" s="1128"/>
      <c r="O47" s="313">
        <f t="shared" si="13"/>
        <v>1</v>
      </c>
      <c r="P47" s="1128"/>
      <c r="Q47" s="313">
        <f t="shared" si="14"/>
        <v>1</v>
      </c>
      <c r="R47" s="1124">
        <f t="shared" si="15"/>
        <v>0</v>
      </c>
      <c r="S47" s="698">
        <f t="shared" si="6"/>
        <v>0</v>
      </c>
    </row>
    <row r="48" spans="1:19">
      <c r="A48" s="1126"/>
      <c r="B48" s="348"/>
      <c r="C48" s="313">
        <f t="shared" si="7"/>
        <v>1</v>
      </c>
      <c r="D48" s="1128"/>
      <c r="E48" s="313">
        <f t="shared" si="8"/>
        <v>1</v>
      </c>
      <c r="F48" s="1128"/>
      <c r="G48" s="313">
        <f t="shared" si="9"/>
        <v>1</v>
      </c>
      <c r="H48" s="1128"/>
      <c r="I48" s="313">
        <f t="shared" si="10"/>
        <v>1</v>
      </c>
      <c r="J48" s="1128"/>
      <c r="K48" s="313">
        <f t="shared" si="11"/>
        <v>1</v>
      </c>
      <c r="L48" s="1128"/>
      <c r="M48" s="313">
        <f t="shared" si="12"/>
        <v>1</v>
      </c>
      <c r="N48" s="1128"/>
      <c r="O48" s="313">
        <f t="shared" si="13"/>
        <v>1</v>
      </c>
      <c r="P48" s="1128"/>
      <c r="Q48" s="313">
        <f t="shared" si="14"/>
        <v>1</v>
      </c>
      <c r="R48" s="1124">
        <f t="shared" si="15"/>
        <v>0</v>
      </c>
      <c r="S48" s="698">
        <f t="shared" si="6"/>
        <v>0</v>
      </c>
    </row>
    <row r="49" spans="1:19">
      <c r="A49" s="1126"/>
      <c r="B49" s="348"/>
      <c r="C49" s="313">
        <f t="shared" si="7"/>
        <v>1</v>
      </c>
      <c r="D49" s="1128"/>
      <c r="E49" s="313">
        <f t="shared" si="8"/>
        <v>1</v>
      </c>
      <c r="F49" s="1128"/>
      <c r="G49" s="313">
        <f t="shared" si="9"/>
        <v>1</v>
      </c>
      <c r="H49" s="1128"/>
      <c r="I49" s="313">
        <f t="shared" si="10"/>
        <v>1</v>
      </c>
      <c r="J49" s="1128"/>
      <c r="K49" s="313">
        <f t="shared" si="11"/>
        <v>1</v>
      </c>
      <c r="L49" s="1128"/>
      <c r="M49" s="313">
        <f t="shared" si="12"/>
        <v>1</v>
      </c>
      <c r="N49" s="1128"/>
      <c r="O49" s="313">
        <f t="shared" si="13"/>
        <v>1</v>
      </c>
      <c r="P49" s="1128"/>
      <c r="Q49" s="313">
        <f t="shared" si="14"/>
        <v>1</v>
      </c>
      <c r="R49" s="1124">
        <f t="shared" si="15"/>
        <v>0</v>
      </c>
      <c r="S49" s="698">
        <f t="shared" si="6"/>
        <v>0</v>
      </c>
    </row>
    <row r="50" spans="1:19">
      <c r="A50" s="1126"/>
      <c r="B50" s="348"/>
      <c r="C50" s="313">
        <f t="shared" si="7"/>
        <v>1</v>
      </c>
      <c r="D50" s="1128"/>
      <c r="E50" s="313">
        <f t="shared" si="8"/>
        <v>1</v>
      </c>
      <c r="F50" s="1128"/>
      <c r="G50" s="313">
        <f t="shared" si="9"/>
        <v>1</v>
      </c>
      <c r="H50" s="1128"/>
      <c r="I50" s="313">
        <f t="shared" si="10"/>
        <v>1</v>
      </c>
      <c r="J50" s="1128"/>
      <c r="K50" s="313">
        <f t="shared" si="11"/>
        <v>1</v>
      </c>
      <c r="L50" s="1128"/>
      <c r="M50" s="313">
        <f t="shared" si="12"/>
        <v>1</v>
      </c>
      <c r="N50" s="1128"/>
      <c r="O50" s="313">
        <f t="shared" si="13"/>
        <v>1</v>
      </c>
      <c r="P50" s="1128"/>
      <c r="Q50" s="313">
        <f t="shared" si="14"/>
        <v>1</v>
      </c>
      <c r="R50" s="1124">
        <f t="shared" si="15"/>
        <v>0</v>
      </c>
      <c r="S50" s="698">
        <f t="shared" si="6"/>
        <v>0</v>
      </c>
    </row>
    <row r="51" spans="1:19">
      <c r="A51" s="1126"/>
      <c r="B51" s="348"/>
      <c r="C51" s="313">
        <f t="shared" si="7"/>
        <v>1</v>
      </c>
      <c r="D51" s="1128"/>
      <c r="E51" s="313">
        <f t="shared" si="8"/>
        <v>1</v>
      </c>
      <c r="F51" s="1128"/>
      <c r="G51" s="313">
        <f t="shared" si="9"/>
        <v>1</v>
      </c>
      <c r="H51" s="1128"/>
      <c r="I51" s="313">
        <f t="shared" si="10"/>
        <v>1</v>
      </c>
      <c r="J51" s="1128"/>
      <c r="K51" s="313">
        <f t="shared" si="11"/>
        <v>1</v>
      </c>
      <c r="L51" s="1128"/>
      <c r="M51" s="313">
        <f t="shared" si="12"/>
        <v>1</v>
      </c>
      <c r="N51" s="1128"/>
      <c r="O51" s="313">
        <f t="shared" si="13"/>
        <v>1</v>
      </c>
      <c r="P51" s="1128"/>
      <c r="Q51" s="313">
        <f t="shared" si="14"/>
        <v>1</v>
      </c>
      <c r="R51" s="1124">
        <f t="shared" si="15"/>
        <v>0</v>
      </c>
      <c r="S51" s="698">
        <f t="shared" si="6"/>
        <v>0</v>
      </c>
    </row>
    <row r="52" spans="1:19">
      <c r="A52" s="491"/>
      <c r="B52" s="348"/>
      <c r="C52" s="313">
        <f t="shared" si="7"/>
        <v>1</v>
      </c>
      <c r="D52" s="1128"/>
      <c r="E52" s="313">
        <f t="shared" si="8"/>
        <v>1</v>
      </c>
      <c r="F52" s="1128"/>
      <c r="G52" s="313">
        <f t="shared" si="9"/>
        <v>1</v>
      </c>
      <c r="H52" s="1128"/>
      <c r="I52" s="313">
        <f t="shared" si="10"/>
        <v>1</v>
      </c>
      <c r="J52" s="1128"/>
      <c r="K52" s="313">
        <f t="shared" si="11"/>
        <v>1</v>
      </c>
      <c r="L52" s="1128"/>
      <c r="M52" s="313">
        <f t="shared" si="12"/>
        <v>1</v>
      </c>
      <c r="N52" s="1128"/>
      <c r="O52" s="313">
        <f t="shared" si="13"/>
        <v>1</v>
      </c>
      <c r="P52" s="1128"/>
      <c r="Q52" s="313">
        <f t="shared" si="14"/>
        <v>1</v>
      </c>
      <c r="R52" s="1124">
        <f t="shared" si="15"/>
        <v>0</v>
      </c>
      <c r="S52" s="698">
        <f t="shared" si="6"/>
        <v>0</v>
      </c>
    </row>
    <row r="53" spans="1:19">
      <c r="A53" s="491"/>
      <c r="B53" s="348"/>
      <c r="C53" s="313">
        <f t="shared" si="7"/>
        <v>1</v>
      </c>
      <c r="D53" s="1128"/>
      <c r="E53" s="313">
        <f t="shared" si="8"/>
        <v>1</v>
      </c>
      <c r="F53" s="1128"/>
      <c r="G53" s="313">
        <f t="shared" si="9"/>
        <v>1</v>
      </c>
      <c r="H53" s="1128"/>
      <c r="I53" s="313">
        <f t="shared" si="10"/>
        <v>1</v>
      </c>
      <c r="J53" s="1128"/>
      <c r="K53" s="313">
        <f t="shared" si="11"/>
        <v>1</v>
      </c>
      <c r="L53" s="1128"/>
      <c r="M53" s="313">
        <f t="shared" si="12"/>
        <v>1</v>
      </c>
      <c r="N53" s="1128"/>
      <c r="O53" s="313">
        <f t="shared" si="13"/>
        <v>1</v>
      </c>
      <c r="P53" s="1128"/>
      <c r="Q53" s="313">
        <f t="shared" si="14"/>
        <v>1</v>
      </c>
      <c r="R53" s="1124">
        <f t="shared" si="15"/>
        <v>0</v>
      </c>
      <c r="S53" s="698">
        <f t="shared" si="6"/>
        <v>0</v>
      </c>
    </row>
    <row r="54" spans="1:19">
      <c r="A54" s="491"/>
      <c r="B54" s="348"/>
      <c r="C54" s="313">
        <f t="shared" si="7"/>
        <v>1</v>
      </c>
      <c r="D54" s="1128"/>
      <c r="E54" s="313">
        <f t="shared" si="8"/>
        <v>1</v>
      </c>
      <c r="F54" s="1128"/>
      <c r="G54" s="313">
        <f t="shared" si="9"/>
        <v>1</v>
      </c>
      <c r="H54" s="1128"/>
      <c r="I54" s="313">
        <f t="shared" si="10"/>
        <v>1</v>
      </c>
      <c r="J54" s="1128"/>
      <c r="K54" s="313">
        <f t="shared" si="11"/>
        <v>1</v>
      </c>
      <c r="L54" s="1128"/>
      <c r="M54" s="313">
        <f t="shared" si="12"/>
        <v>1</v>
      </c>
      <c r="N54" s="1128"/>
      <c r="O54" s="313">
        <f t="shared" si="13"/>
        <v>1</v>
      </c>
      <c r="P54" s="1128"/>
      <c r="Q54" s="313">
        <f t="shared" si="14"/>
        <v>1</v>
      </c>
      <c r="R54" s="1124">
        <f t="shared" si="15"/>
        <v>0</v>
      </c>
      <c r="S54" s="698">
        <f t="shared" si="6"/>
        <v>0</v>
      </c>
    </row>
    <row r="55" spans="1:19">
      <c r="A55" s="491"/>
      <c r="B55" s="348"/>
      <c r="C55" s="313">
        <f t="shared" si="7"/>
        <v>1</v>
      </c>
      <c r="D55" s="1128"/>
      <c r="E55" s="313">
        <f t="shared" si="8"/>
        <v>1</v>
      </c>
      <c r="F55" s="1128"/>
      <c r="G55" s="313">
        <f t="shared" si="9"/>
        <v>1</v>
      </c>
      <c r="H55" s="1128"/>
      <c r="I55" s="313">
        <f t="shared" si="10"/>
        <v>1</v>
      </c>
      <c r="J55" s="1128"/>
      <c r="K55" s="313">
        <f t="shared" si="11"/>
        <v>1</v>
      </c>
      <c r="L55" s="1128"/>
      <c r="M55" s="313">
        <f t="shared" si="12"/>
        <v>1</v>
      </c>
      <c r="N55" s="1128"/>
      <c r="O55" s="313">
        <f t="shared" si="13"/>
        <v>1</v>
      </c>
      <c r="P55" s="1128"/>
      <c r="Q55" s="313">
        <f t="shared" si="14"/>
        <v>1</v>
      </c>
      <c r="R55" s="1124">
        <f t="shared" si="15"/>
        <v>0</v>
      </c>
      <c r="S55" s="698">
        <f t="shared" ref="S55:S77" si="16">ROUND(R55*B55/10000,0)</f>
        <v>0</v>
      </c>
    </row>
    <row r="56" spans="1:19">
      <c r="A56" s="491"/>
      <c r="B56" s="348"/>
      <c r="C56" s="313">
        <f t="shared" si="7"/>
        <v>1</v>
      </c>
      <c r="D56" s="1128"/>
      <c r="E56" s="313">
        <f t="shared" si="8"/>
        <v>1</v>
      </c>
      <c r="F56" s="1128"/>
      <c r="G56" s="313">
        <f t="shared" si="9"/>
        <v>1</v>
      </c>
      <c r="H56" s="1128"/>
      <c r="I56" s="313">
        <f t="shared" si="10"/>
        <v>1</v>
      </c>
      <c r="J56" s="1128"/>
      <c r="K56" s="313">
        <f t="shared" si="11"/>
        <v>1</v>
      </c>
      <c r="L56" s="1128"/>
      <c r="M56" s="313">
        <f t="shared" si="12"/>
        <v>1</v>
      </c>
      <c r="N56" s="1128"/>
      <c r="O56" s="313">
        <f t="shared" si="13"/>
        <v>1</v>
      </c>
      <c r="P56" s="1128"/>
      <c r="Q56" s="313">
        <f t="shared" si="14"/>
        <v>1</v>
      </c>
      <c r="R56" s="1124">
        <f t="shared" si="15"/>
        <v>0</v>
      </c>
      <c r="S56" s="698">
        <f t="shared" si="16"/>
        <v>0</v>
      </c>
    </row>
    <row r="57" spans="1:19">
      <c r="A57" s="491"/>
      <c r="B57" s="348"/>
      <c r="C57" s="313">
        <f t="shared" si="7"/>
        <v>1</v>
      </c>
      <c r="D57" s="1128"/>
      <c r="E57" s="313">
        <f t="shared" si="8"/>
        <v>1</v>
      </c>
      <c r="F57" s="1128"/>
      <c r="G57" s="313">
        <f t="shared" si="9"/>
        <v>1</v>
      </c>
      <c r="H57" s="1128"/>
      <c r="I57" s="313">
        <f t="shared" si="10"/>
        <v>1</v>
      </c>
      <c r="J57" s="1128"/>
      <c r="K57" s="313">
        <f t="shared" si="11"/>
        <v>1</v>
      </c>
      <c r="L57" s="1128"/>
      <c r="M57" s="313">
        <f t="shared" si="12"/>
        <v>1</v>
      </c>
      <c r="N57" s="1128"/>
      <c r="O57" s="313">
        <f t="shared" si="13"/>
        <v>1</v>
      </c>
      <c r="P57" s="1128"/>
      <c r="Q57" s="313">
        <f t="shared" si="14"/>
        <v>1</v>
      </c>
      <c r="R57" s="1124">
        <f t="shared" si="15"/>
        <v>0</v>
      </c>
      <c r="S57" s="698">
        <f t="shared" si="16"/>
        <v>0</v>
      </c>
    </row>
    <row r="58" spans="1:19">
      <c r="A58" s="491"/>
      <c r="B58" s="348"/>
      <c r="C58" s="313">
        <f t="shared" si="7"/>
        <v>1</v>
      </c>
      <c r="D58" s="1128"/>
      <c r="E58" s="313">
        <f t="shared" si="8"/>
        <v>1</v>
      </c>
      <c r="F58" s="1128"/>
      <c r="G58" s="313">
        <f t="shared" si="9"/>
        <v>1</v>
      </c>
      <c r="H58" s="1128"/>
      <c r="I58" s="313">
        <f t="shared" si="10"/>
        <v>1</v>
      </c>
      <c r="J58" s="1128"/>
      <c r="K58" s="313">
        <f t="shared" si="11"/>
        <v>1</v>
      </c>
      <c r="L58" s="1128"/>
      <c r="M58" s="313">
        <f t="shared" si="12"/>
        <v>1</v>
      </c>
      <c r="N58" s="1128"/>
      <c r="O58" s="313">
        <f t="shared" si="13"/>
        <v>1</v>
      </c>
      <c r="P58" s="1128"/>
      <c r="Q58" s="313">
        <f t="shared" si="14"/>
        <v>1</v>
      </c>
      <c r="R58" s="1124">
        <f t="shared" si="15"/>
        <v>0</v>
      </c>
      <c r="S58" s="698">
        <f t="shared" si="16"/>
        <v>0</v>
      </c>
    </row>
    <row r="59" spans="1:19">
      <c r="A59" s="491"/>
      <c r="B59" s="348"/>
      <c r="C59" s="313">
        <f t="shared" si="7"/>
        <v>1</v>
      </c>
      <c r="D59" s="1128"/>
      <c r="E59" s="313">
        <f t="shared" si="8"/>
        <v>1</v>
      </c>
      <c r="F59" s="1128"/>
      <c r="G59" s="313">
        <f t="shared" si="9"/>
        <v>1</v>
      </c>
      <c r="H59" s="1128"/>
      <c r="I59" s="313">
        <f t="shared" si="10"/>
        <v>1</v>
      </c>
      <c r="J59" s="1128"/>
      <c r="K59" s="313">
        <f t="shared" si="11"/>
        <v>1</v>
      </c>
      <c r="L59" s="1128"/>
      <c r="M59" s="313">
        <f t="shared" si="12"/>
        <v>1</v>
      </c>
      <c r="N59" s="1128"/>
      <c r="O59" s="313">
        <f t="shared" si="13"/>
        <v>1</v>
      </c>
      <c r="P59" s="1128"/>
      <c r="Q59" s="313">
        <f t="shared" si="14"/>
        <v>1</v>
      </c>
      <c r="R59" s="1124">
        <f t="shared" si="15"/>
        <v>0</v>
      </c>
      <c r="S59" s="698">
        <f t="shared" si="16"/>
        <v>0</v>
      </c>
    </row>
    <row r="60" spans="1:19">
      <c r="A60" s="491"/>
      <c r="B60" s="348"/>
      <c r="C60" s="313">
        <f t="shared" si="7"/>
        <v>1</v>
      </c>
      <c r="D60" s="1128"/>
      <c r="E60" s="313">
        <f t="shared" si="8"/>
        <v>1</v>
      </c>
      <c r="F60" s="1128"/>
      <c r="G60" s="313">
        <f t="shared" si="9"/>
        <v>1</v>
      </c>
      <c r="H60" s="1128"/>
      <c r="I60" s="313">
        <f t="shared" si="10"/>
        <v>1</v>
      </c>
      <c r="J60" s="1128"/>
      <c r="K60" s="313">
        <f t="shared" si="11"/>
        <v>1</v>
      </c>
      <c r="L60" s="1128"/>
      <c r="M60" s="313">
        <f t="shared" si="12"/>
        <v>1</v>
      </c>
      <c r="N60" s="1128"/>
      <c r="O60" s="313">
        <f t="shared" si="13"/>
        <v>1</v>
      </c>
      <c r="P60" s="1128"/>
      <c r="Q60" s="313">
        <f t="shared" si="14"/>
        <v>1</v>
      </c>
      <c r="R60" s="1124">
        <f t="shared" si="15"/>
        <v>0</v>
      </c>
      <c r="S60" s="698">
        <f t="shared" si="16"/>
        <v>0</v>
      </c>
    </row>
    <row r="61" spans="1:19">
      <c r="A61" s="491"/>
      <c r="B61" s="348"/>
      <c r="C61" s="313">
        <f t="shared" si="7"/>
        <v>1</v>
      </c>
      <c r="D61" s="1128"/>
      <c r="E61" s="313">
        <f t="shared" si="8"/>
        <v>1</v>
      </c>
      <c r="F61" s="1128"/>
      <c r="G61" s="313">
        <f t="shared" si="9"/>
        <v>1</v>
      </c>
      <c r="H61" s="1128"/>
      <c r="I61" s="313">
        <f t="shared" si="10"/>
        <v>1</v>
      </c>
      <c r="J61" s="1128"/>
      <c r="K61" s="313">
        <f t="shared" si="11"/>
        <v>1</v>
      </c>
      <c r="L61" s="1128"/>
      <c r="M61" s="313">
        <f t="shared" si="12"/>
        <v>1</v>
      </c>
      <c r="N61" s="1128"/>
      <c r="O61" s="313">
        <f t="shared" si="13"/>
        <v>1</v>
      </c>
      <c r="P61" s="1128"/>
      <c r="Q61" s="313">
        <f t="shared" si="14"/>
        <v>1</v>
      </c>
      <c r="R61" s="1124">
        <f t="shared" si="15"/>
        <v>0</v>
      </c>
      <c r="S61" s="698">
        <f t="shared" si="16"/>
        <v>0</v>
      </c>
    </row>
    <row r="62" spans="1:19">
      <c r="A62" s="491"/>
      <c r="B62" s="348"/>
      <c r="C62" s="313">
        <f t="shared" si="7"/>
        <v>1</v>
      </c>
      <c r="D62" s="1128"/>
      <c r="E62" s="313">
        <f t="shared" si="8"/>
        <v>1</v>
      </c>
      <c r="F62" s="1128"/>
      <c r="G62" s="313">
        <f t="shared" si="9"/>
        <v>1</v>
      </c>
      <c r="H62" s="1128"/>
      <c r="I62" s="313">
        <f t="shared" si="10"/>
        <v>1</v>
      </c>
      <c r="J62" s="1128"/>
      <c r="K62" s="313">
        <f t="shared" si="11"/>
        <v>1</v>
      </c>
      <c r="L62" s="1128"/>
      <c r="M62" s="313">
        <f t="shared" si="12"/>
        <v>1</v>
      </c>
      <c r="N62" s="1128"/>
      <c r="O62" s="313">
        <f t="shared" si="13"/>
        <v>1</v>
      </c>
      <c r="P62" s="1128"/>
      <c r="Q62" s="313">
        <f t="shared" si="14"/>
        <v>1</v>
      </c>
      <c r="R62" s="1124">
        <f t="shared" si="15"/>
        <v>0</v>
      </c>
      <c r="S62" s="698">
        <f t="shared" si="16"/>
        <v>0</v>
      </c>
    </row>
    <row r="63" spans="1:19">
      <c r="A63" s="491"/>
      <c r="B63" s="348"/>
      <c r="C63" s="313">
        <f t="shared" si="7"/>
        <v>1</v>
      </c>
      <c r="D63" s="1128"/>
      <c r="E63" s="313">
        <f t="shared" si="8"/>
        <v>1</v>
      </c>
      <c r="F63" s="1128"/>
      <c r="G63" s="313">
        <f t="shared" si="9"/>
        <v>1</v>
      </c>
      <c r="H63" s="1128"/>
      <c r="I63" s="313">
        <f t="shared" si="10"/>
        <v>1</v>
      </c>
      <c r="J63" s="1128"/>
      <c r="K63" s="313">
        <f t="shared" si="11"/>
        <v>1</v>
      </c>
      <c r="L63" s="1128"/>
      <c r="M63" s="313">
        <f t="shared" si="12"/>
        <v>1</v>
      </c>
      <c r="N63" s="1128"/>
      <c r="O63" s="313">
        <f t="shared" si="13"/>
        <v>1</v>
      </c>
      <c r="P63" s="1128"/>
      <c r="Q63" s="313">
        <f t="shared" si="14"/>
        <v>1</v>
      </c>
      <c r="R63" s="1124">
        <f t="shared" si="15"/>
        <v>0</v>
      </c>
      <c r="S63" s="698">
        <f t="shared" si="16"/>
        <v>0</v>
      </c>
    </row>
    <row r="64" spans="1:19">
      <c r="A64" s="491"/>
      <c r="B64" s="348"/>
      <c r="C64" s="313">
        <f t="shared" si="7"/>
        <v>1</v>
      </c>
      <c r="D64" s="1128"/>
      <c r="E64" s="313">
        <f t="shared" si="8"/>
        <v>1</v>
      </c>
      <c r="F64" s="1128"/>
      <c r="G64" s="313">
        <f t="shared" si="9"/>
        <v>1</v>
      </c>
      <c r="H64" s="1128"/>
      <c r="I64" s="313">
        <f t="shared" si="10"/>
        <v>1</v>
      </c>
      <c r="J64" s="1128"/>
      <c r="K64" s="313">
        <f t="shared" si="11"/>
        <v>1</v>
      </c>
      <c r="L64" s="1128"/>
      <c r="M64" s="313">
        <f t="shared" si="12"/>
        <v>1</v>
      </c>
      <c r="N64" s="1128"/>
      <c r="O64" s="313">
        <f t="shared" si="13"/>
        <v>1</v>
      </c>
      <c r="P64" s="1128"/>
      <c r="Q64" s="313">
        <f t="shared" si="14"/>
        <v>1</v>
      </c>
      <c r="R64" s="1124">
        <f t="shared" si="15"/>
        <v>0</v>
      </c>
      <c r="S64" s="698">
        <f t="shared" si="16"/>
        <v>0</v>
      </c>
    </row>
    <row r="65" spans="1:19">
      <c r="A65" s="491"/>
      <c r="B65" s="348"/>
      <c r="C65" s="313">
        <f t="shared" si="7"/>
        <v>1</v>
      </c>
      <c r="D65" s="1128"/>
      <c r="E65" s="313">
        <f t="shared" si="8"/>
        <v>1</v>
      </c>
      <c r="F65" s="1128"/>
      <c r="G65" s="313">
        <f t="shared" si="9"/>
        <v>1</v>
      </c>
      <c r="H65" s="1128"/>
      <c r="I65" s="313">
        <f t="shared" si="10"/>
        <v>1</v>
      </c>
      <c r="J65" s="1128"/>
      <c r="K65" s="313">
        <f t="shared" si="11"/>
        <v>1</v>
      </c>
      <c r="L65" s="1128"/>
      <c r="M65" s="313">
        <f t="shared" si="12"/>
        <v>1</v>
      </c>
      <c r="N65" s="1128"/>
      <c r="O65" s="313">
        <f t="shared" si="13"/>
        <v>1</v>
      </c>
      <c r="P65" s="1128"/>
      <c r="Q65" s="313">
        <f t="shared" si="14"/>
        <v>1</v>
      </c>
      <c r="R65" s="1124">
        <f t="shared" si="15"/>
        <v>0</v>
      </c>
      <c r="S65" s="698">
        <f t="shared" si="16"/>
        <v>0</v>
      </c>
    </row>
    <row r="66" spans="1:19">
      <c r="A66" s="491"/>
      <c r="B66" s="348"/>
      <c r="C66" s="313">
        <f t="shared" si="7"/>
        <v>1</v>
      </c>
      <c r="D66" s="1128"/>
      <c r="E66" s="313">
        <f t="shared" si="8"/>
        <v>1</v>
      </c>
      <c r="F66" s="1128"/>
      <c r="G66" s="313">
        <f t="shared" si="9"/>
        <v>1</v>
      </c>
      <c r="H66" s="1128"/>
      <c r="I66" s="313">
        <f t="shared" si="10"/>
        <v>1</v>
      </c>
      <c r="J66" s="1128"/>
      <c r="K66" s="313">
        <f t="shared" si="11"/>
        <v>1</v>
      </c>
      <c r="L66" s="1128"/>
      <c r="M66" s="313">
        <f t="shared" si="12"/>
        <v>1</v>
      </c>
      <c r="N66" s="1128"/>
      <c r="O66" s="313">
        <f t="shared" si="13"/>
        <v>1</v>
      </c>
      <c r="P66" s="1128"/>
      <c r="Q66" s="313">
        <f t="shared" si="14"/>
        <v>1</v>
      </c>
      <c r="R66" s="1124">
        <f t="shared" si="15"/>
        <v>0</v>
      </c>
      <c r="S66" s="698">
        <f t="shared" si="16"/>
        <v>0</v>
      </c>
    </row>
    <row r="67" spans="1:19">
      <c r="A67" s="491"/>
      <c r="B67" s="348"/>
      <c r="C67" s="313">
        <f t="shared" si="7"/>
        <v>1</v>
      </c>
      <c r="D67" s="1128"/>
      <c r="E67" s="313">
        <f t="shared" si="8"/>
        <v>1</v>
      </c>
      <c r="F67" s="1128"/>
      <c r="G67" s="313">
        <f t="shared" si="9"/>
        <v>1</v>
      </c>
      <c r="H67" s="1128"/>
      <c r="I67" s="313">
        <f t="shared" si="10"/>
        <v>1</v>
      </c>
      <c r="J67" s="1128"/>
      <c r="K67" s="313">
        <f t="shared" si="11"/>
        <v>1</v>
      </c>
      <c r="L67" s="1128"/>
      <c r="M67" s="313">
        <f t="shared" si="12"/>
        <v>1</v>
      </c>
      <c r="N67" s="1128"/>
      <c r="O67" s="313">
        <f t="shared" si="13"/>
        <v>1</v>
      </c>
      <c r="P67" s="1128"/>
      <c r="Q67" s="313">
        <f t="shared" si="14"/>
        <v>1</v>
      </c>
      <c r="R67" s="1124">
        <f t="shared" si="15"/>
        <v>0</v>
      </c>
      <c r="S67" s="698">
        <f t="shared" si="16"/>
        <v>0</v>
      </c>
    </row>
    <row r="68" spans="1:19">
      <c r="A68" s="491"/>
      <c r="B68" s="348"/>
      <c r="C68" s="313">
        <f t="shared" si="7"/>
        <v>1</v>
      </c>
      <c r="D68" s="1128"/>
      <c r="E68" s="313">
        <f t="shared" si="8"/>
        <v>1</v>
      </c>
      <c r="F68" s="1128"/>
      <c r="G68" s="313">
        <f t="shared" si="9"/>
        <v>1</v>
      </c>
      <c r="H68" s="1128"/>
      <c r="I68" s="313">
        <f t="shared" si="10"/>
        <v>1</v>
      </c>
      <c r="J68" s="1128"/>
      <c r="K68" s="313">
        <f t="shared" si="11"/>
        <v>1</v>
      </c>
      <c r="L68" s="1128"/>
      <c r="M68" s="313">
        <f t="shared" si="12"/>
        <v>1</v>
      </c>
      <c r="N68" s="1128"/>
      <c r="O68" s="313">
        <f t="shared" si="13"/>
        <v>1</v>
      </c>
      <c r="P68" s="1128"/>
      <c r="Q68" s="313">
        <f t="shared" si="14"/>
        <v>1</v>
      </c>
      <c r="R68" s="1124">
        <f t="shared" si="15"/>
        <v>0</v>
      </c>
      <c r="S68" s="698">
        <f t="shared" si="16"/>
        <v>0</v>
      </c>
    </row>
    <row r="69" spans="1:19">
      <c r="A69" s="491"/>
      <c r="B69" s="348"/>
      <c r="C69" s="313">
        <f t="shared" si="7"/>
        <v>1</v>
      </c>
      <c r="D69" s="1128"/>
      <c r="E69" s="313">
        <f t="shared" si="8"/>
        <v>1</v>
      </c>
      <c r="F69" s="1128"/>
      <c r="G69" s="313">
        <f t="shared" si="9"/>
        <v>1</v>
      </c>
      <c r="H69" s="1128"/>
      <c r="I69" s="313">
        <f t="shared" si="10"/>
        <v>1</v>
      </c>
      <c r="J69" s="1128"/>
      <c r="K69" s="313">
        <f t="shared" si="11"/>
        <v>1</v>
      </c>
      <c r="L69" s="1128"/>
      <c r="M69" s="313">
        <f t="shared" si="12"/>
        <v>1</v>
      </c>
      <c r="N69" s="1128"/>
      <c r="O69" s="313">
        <f t="shared" si="13"/>
        <v>1</v>
      </c>
      <c r="P69" s="1128"/>
      <c r="Q69" s="313">
        <f t="shared" si="14"/>
        <v>1</v>
      </c>
      <c r="R69" s="1124">
        <f t="shared" si="15"/>
        <v>0</v>
      </c>
      <c r="S69" s="698">
        <f t="shared" si="16"/>
        <v>0</v>
      </c>
    </row>
    <row r="70" spans="1:19">
      <c r="A70" s="491"/>
      <c r="B70" s="348"/>
      <c r="C70" s="313">
        <f t="shared" si="7"/>
        <v>1</v>
      </c>
      <c r="D70" s="1128"/>
      <c r="E70" s="313">
        <f t="shared" si="8"/>
        <v>1</v>
      </c>
      <c r="F70" s="1128"/>
      <c r="G70" s="313">
        <f t="shared" si="9"/>
        <v>1</v>
      </c>
      <c r="H70" s="1128"/>
      <c r="I70" s="313">
        <f t="shared" si="10"/>
        <v>1</v>
      </c>
      <c r="J70" s="1128"/>
      <c r="K70" s="313">
        <f t="shared" si="11"/>
        <v>1</v>
      </c>
      <c r="L70" s="1128"/>
      <c r="M70" s="313">
        <f t="shared" si="12"/>
        <v>1</v>
      </c>
      <c r="N70" s="1128"/>
      <c r="O70" s="313">
        <f t="shared" si="13"/>
        <v>1</v>
      </c>
      <c r="P70" s="1128"/>
      <c r="Q70" s="313">
        <f t="shared" si="14"/>
        <v>1</v>
      </c>
      <c r="R70" s="1124">
        <f t="shared" si="15"/>
        <v>0</v>
      </c>
      <c r="S70" s="698">
        <f t="shared" si="16"/>
        <v>0</v>
      </c>
    </row>
    <row r="71" spans="1:19">
      <c r="A71" s="491"/>
      <c r="B71" s="348"/>
      <c r="C71" s="313">
        <f t="shared" si="7"/>
        <v>1</v>
      </c>
      <c r="D71" s="1128"/>
      <c r="E71" s="313">
        <f t="shared" si="8"/>
        <v>1</v>
      </c>
      <c r="F71" s="1128"/>
      <c r="G71" s="313">
        <f t="shared" si="9"/>
        <v>1</v>
      </c>
      <c r="H71" s="1128"/>
      <c r="I71" s="313">
        <f t="shared" si="10"/>
        <v>1</v>
      </c>
      <c r="J71" s="1128"/>
      <c r="K71" s="313">
        <f t="shared" si="11"/>
        <v>1</v>
      </c>
      <c r="L71" s="1128"/>
      <c r="M71" s="313">
        <f t="shared" si="12"/>
        <v>1</v>
      </c>
      <c r="N71" s="1128"/>
      <c r="O71" s="313">
        <f t="shared" si="13"/>
        <v>1</v>
      </c>
      <c r="P71" s="1128"/>
      <c r="Q71" s="313">
        <f t="shared" si="14"/>
        <v>1</v>
      </c>
      <c r="R71" s="1124">
        <f t="shared" si="15"/>
        <v>0</v>
      </c>
      <c r="S71" s="698">
        <f t="shared" si="16"/>
        <v>0</v>
      </c>
    </row>
    <row r="72" spans="1:19">
      <c r="A72" s="491"/>
      <c r="B72" s="348"/>
      <c r="C72" s="313">
        <f t="shared" si="7"/>
        <v>1</v>
      </c>
      <c r="D72" s="1128"/>
      <c r="E72" s="313">
        <f t="shared" si="8"/>
        <v>1</v>
      </c>
      <c r="F72" s="1128"/>
      <c r="G72" s="313">
        <f t="shared" si="9"/>
        <v>1</v>
      </c>
      <c r="H72" s="1128"/>
      <c r="I72" s="313">
        <f t="shared" si="10"/>
        <v>1</v>
      </c>
      <c r="J72" s="1128"/>
      <c r="K72" s="313">
        <f t="shared" si="11"/>
        <v>1</v>
      </c>
      <c r="L72" s="1128"/>
      <c r="M72" s="313">
        <f t="shared" si="12"/>
        <v>1</v>
      </c>
      <c r="N72" s="1128"/>
      <c r="O72" s="313">
        <f t="shared" si="13"/>
        <v>1</v>
      </c>
      <c r="P72" s="1128"/>
      <c r="Q72" s="313">
        <f t="shared" si="14"/>
        <v>1</v>
      </c>
      <c r="R72" s="1124">
        <f t="shared" si="15"/>
        <v>0</v>
      </c>
      <c r="S72" s="698">
        <f t="shared" si="16"/>
        <v>0</v>
      </c>
    </row>
    <row r="73" spans="1:19">
      <c r="A73" s="491"/>
      <c r="B73" s="348"/>
      <c r="C73" s="313">
        <f t="shared" si="7"/>
        <v>1</v>
      </c>
      <c r="D73" s="1128"/>
      <c r="E73" s="313">
        <f t="shared" si="8"/>
        <v>1</v>
      </c>
      <c r="F73" s="1128"/>
      <c r="G73" s="313">
        <f t="shared" si="9"/>
        <v>1</v>
      </c>
      <c r="H73" s="1128"/>
      <c r="I73" s="313">
        <f t="shared" si="10"/>
        <v>1</v>
      </c>
      <c r="J73" s="1128"/>
      <c r="K73" s="313">
        <f t="shared" si="11"/>
        <v>1</v>
      </c>
      <c r="L73" s="1128"/>
      <c r="M73" s="313">
        <f t="shared" si="12"/>
        <v>1</v>
      </c>
      <c r="N73" s="1128"/>
      <c r="O73" s="313">
        <f t="shared" si="13"/>
        <v>1</v>
      </c>
      <c r="P73" s="1128"/>
      <c r="Q73" s="313">
        <f t="shared" si="14"/>
        <v>1</v>
      </c>
      <c r="R73" s="1124">
        <f t="shared" si="15"/>
        <v>0</v>
      </c>
      <c r="S73" s="698">
        <f t="shared" si="16"/>
        <v>0</v>
      </c>
    </row>
    <row r="74" spans="1:19">
      <c r="A74" s="491"/>
      <c r="B74" s="348"/>
      <c r="C74" s="313">
        <f t="shared" si="7"/>
        <v>1</v>
      </c>
      <c r="D74" s="1128"/>
      <c r="E74" s="313">
        <f t="shared" si="8"/>
        <v>1</v>
      </c>
      <c r="F74" s="1128"/>
      <c r="G74" s="313">
        <f t="shared" si="9"/>
        <v>1</v>
      </c>
      <c r="H74" s="1128"/>
      <c r="I74" s="313">
        <f t="shared" si="10"/>
        <v>1</v>
      </c>
      <c r="J74" s="1128"/>
      <c r="K74" s="313">
        <f t="shared" si="11"/>
        <v>1</v>
      </c>
      <c r="L74" s="1128"/>
      <c r="M74" s="313">
        <f t="shared" si="12"/>
        <v>1</v>
      </c>
      <c r="N74" s="1128"/>
      <c r="O74" s="313">
        <f t="shared" si="13"/>
        <v>1</v>
      </c>
      <c r="P74" s="1128"/>
      <c r="Q74" s="313">
        <f t="shared" si="14"/>
        <v>1</v>
      </c>
      <c r="R74" s="1124">
        <f t="shared" si="15"/>
        <v>0</v>
      </c>
      <c r="S74" s="698">
        <f t="shared" si="16"/>
        <v>0</v>
      </c>
    </row>
    <row r="75" spans="1:19">
      <c r="A75" s="491"/>
      <c r="B75" s="348"/>
      <c r="C75" s="313">
        <f t="shared" si="7"/>
        <v>1</v>
      </c>
      <c r="D75" s="1128"/>
      <c r="E75" s="313">
        <f t="shared" si="8"/>
        <v>1</v>
      </c>
      <c r="F75" s="1128"/>
      <c r="G75" s="313">
        <f t="shared" si="9"/>
        <v>1</v>
      </c>
      <c r="H75" s="1128"/>
      <c r="I75" s="313">
        <f t="shared" si="10"/>
        <v>1</v>
      </c>
      <c r="J75" s="1128"/>
      <c r="K75" s="313">
        <f t="shared" si="11"/>
        <v>1</v>
      </c>
      <c r="L75" s="1128"/>
      <c r="M75" s="313">
        <f t="shared" si="12"/>
        <v>1</v>
      </c>
      <c r="N75" s="1128"/>
      <c r="O75" s="313">
        <f t="shared" si="13"/>
        <v>1</v>
      </c>
      <c r="P75" s="1128"/>
      <c r="Q75" s="313">
        <f t="shared" si="14"/>
        <v>1</v>
      </c>
      <c r="R75" s="1124">
        <f t="shared" si="15"/>
        <v>0</v>
      </c>
      <c r="S75" s="698">
        <f t="shared" si="16"/>
        <v>0</v>
      </c>
    </row>
    <row r="76" spans="1:19">
      <c r="A76" s="491"/>
      <c r="B76" s="348"/>
      <c r="C76" s="313">
        <f t="shared" si="7"/>
        <v>1</v>
      </c>
      <c r="D76" s="1128"/>
      <c r="E76" s="313">
        <f t="shared" si="8"/>
        <v>1</v>
      </c>
      <c r="F76" s="1128"/>
      <c r="G76" s="313">
        <f t="shared" si="9"/>
        <v>1</v>
      </c>
      <c r="H76" s="1128"/>
      <c r="I76" s="313">
        <f t="shared" si="10"/>
        <v>1</v>
      </c>
      <c r="J76" s="1128"/>
      <c r="K76" s="313">
        <f t="shared" si="11"/>
        <v>1</v>
      </c>
      <c r="L76" s="1128"/>
      <c r="M76" s="313">
        <f t="shared" si="12"/>
        <v>1</v>
      </c>
      <c r="N76" s="1128"/>
      <c r="O76" s="313">
        <f t="shared" si="13"/>
        <v>1</v>
      </c>
      <c r="P76" s="1128"/>
      <c r="Q76" s="313">
        <f t="shared" si="14"/>
        <v>1</v>
      </c>
      <c r="R76" s="1124">
        <f t="shared" si="15"/>
        <v>0</v>
      </c>
      <c r="S76" s="698">
        <f t="shared" si="16"/>
        <v>0</v>
      </c>
    </row>
    <row r="77" spans="1:19">
      <c r="A77" s="491"/>
      <c r="B77" s="348"/>
      <c r="C77" s="313">
        <f t="shared" si="7"/>
        <v>1</v>
      </c>
      <c r="D77" s="1128"/>
      <c r="E77" s="313">
        <f t="shared" si="8"/>
        <v>1</v>
      </c>
      <c r="F77" s="1128"/>
      <c r="G77" s="313">
        <f t="shared" si="9"/>
        <v>1</v>
      </c>
      <c r="H77" s="1128"/>
      <c r="I77" s="313">
        <f t="shared" si="10"/>
        <v>1</v>
      </c>
      <c r="J77" s="1128"/>
      <c r="K77" s="313">
        <f t="shared" si="11"/>
        <v>1</v>
      </c>
      <c r="L77" s="1128"/>
      <c r="M77" s="313">
        <f t="shared" si="12"/>
        <v>1</v>
      </c>
      <c r="N77" s="1128"/>
      <c r="O77" s="313">
        <f t="shared" si="13"/>
        <v>1</v>
      </c>
      <c r="P77" s="1128"/>
      <c r="Q77" s="313">
        <f t="shared" si="14"/>
        <v>1</v>
      </c>
      <c r="R77" s="1124">
        <f t="shared" si="15"/>
        <v>0</v>
      </c>
      <c r="S77" s="698">
        <f t="shared" si="16"/>
        <v>0</v>
      </c>
    </row>
    <row r="78" spans="1:19">
      <c r="A78" s="491"/>
      <c r="B78" s="348"/>
      <c r="C78" s="313">
        <f t="shared" si="7"/>
        <v>1</v>
      </c>
      <c r="D78" s="1128"/>
      <c r="E78" s="313">
        <f t="shared" si="8"/>
        <v>1</v>
      </c>
      <c r="F78" s="1128"/>
      <c r="G78" s="313">
        <f t="shared" si="9"/>
        <v>1</v>
      </c>
      <c r="H78" s="1128"/>
      <c r="I78" s="313">
        <f t="shared" si="10"/>
        <v>1</v>
      </c>
      <c r="J78" s="1128"/>
      <c r="K78" s="313">
        <f t="shared" si="11"/>
        <v>1</v>
      </c>
      <c r="L78" s="1128"/>
      <c r="M78" s="313">
        <f t="shared" si="12"/>
        <v>1</v>
      </c>
      <c r="N78" s="1128"/>
      <c r="O78" s="313">
        <f t="shared" si="13"/>
        <v>1</v>
      </c>
      <c r="P78" s="1128"/>
      <c r="Q78" s="313">
        <f t="shared" si="14"/>
        <v>1</v>
      </c>
      <c r="R78" s="1124">
        <f t="shared" si="15"/>
        <v>0</v>
      </c>
      <c r="S78" s="698">
        <f t="shared" ref="S78:S122" si="17">ROUND(R78*B78/10000,0)</f>
        <v>0</v>
      </c>
    </row>
    <row r="79" spans="1:19">
      <c r="A79" s="491"/>
      <c r="B79" s="348"/>
      <c r="C79" s="313">
        <f t="shared" si="7"/>
        <v>1</v>
      </c>
      <c r="D79" s="1128"/>
      <c r="E79" s="313">
        <f t="shared" si="8"/>
        <v>1</v>
      </c>
      <c r="F79" s="1128"/>
      <c r="G79" s="313">
        <f t="shared" si="9"/>
        <v>1</v>
      </c>
      <c r="H79" s="1128"/>
      <c r="I79" s="313">
        <f t="shared" si="10"/>
        <v>1</v>
      </c>
      <c r="J79" s="1128"/>
      <c r="K79" s="313">
        <f t="shared" si="11"/>
        <v>1</v>
      </c>
      <c r="L79" s="1128"/>
      <c r="M79" s="313">
        <f t="shared" si="12"/>
        <v>1</v>
      </c>
      <c r="N79" s="1128"/>
      <c r="O79" s="313">
        <f t="shared" si="13"/>
        <v>1</v>
      </c>
      <c r="P79" s="1128"/>
      <c r="Q79" s="313">
        <f t="shared" si="14"/>
        <v>1</v>
      </c>
      <c r="R79" s="1124">
        <f t="shared" si="15"/>
        <v>0</v>
      </c>
      <c r="S79" s="698">
        <f t="shared" si="17"/>
        <v>0</v>
      </c>
    </row>
    <row r="80" spans="1:19">
      <c r="A80" s="491"/>
      <c r="B80" s="348"/>
      <c r="C80" s="313">
        <f t="shared" si="7"/>
        <v>1</v>
      </c>
      <c r="D80" s="1128"/>
      <c r="E80" s="313">
        <f t="shared" si="8"/>
        <v>1</v>
      </c>
      <c r="F80" s="1128"/>
      <c r="G80" s="313">
        <f t="shared" si="9"/>
        <v>1</v>
      </c>
      <c r="H80" s="1128"/>
      <c r="I80" s="313">
        <f t="shared" si="10"/>
        <v>1</v>
      </c>
      <c r="J80" s="1128"/>
      <c r="K80" s="313">
        <f t="shared" si="11"/>
        <v>1</v>
      </c>
      <c r="L80" s="1128"/>
      <c r="M80" s="313">
        <f t="shared" si="12"/>
        <v>1</v>
      </c>
      <c r="N80" s="1128"/>
      <c r="O80" s="313">
        <f t="shared" si="13"/>
        <v>1</v>
      </c>
      <c r="P80" s="1128"/>
      <c r="Q80" s="313">
        <f t="shared" si="14"/>
        <v>1</v>
      </c>
      <c r="R80" s="1124">
        <f t="shared" si="15"/>
        <v>0</v>
      </c>
      <c r="S80" s="698">
        <f t="shared" si="17"/>
        <v>0</v>
      </c>
    </row>
    <row r="81" spans="1:19">
      <c r="A81" s="491"/>
      <c r="B81" s="348"/>
      <c r="C81" s="313">
        <f t="shared" si="7"/>
        <v>1</v>
      </c>
      <c r="D81" s="1128"/>
      <c r="E81" s="313">
        <f t="shared" si="8"/>
        <v>1</v>
      </c>
      <c r="F81" s="1128"/>
      <c r="G81" s="313">
        <f t="shared" si="9"/>
        <v>1</v>
      </c>
      <c r="H81" s="1128"/>
      <c r="I81" s="313">
        <f t="shared" si="10"/>
        <v>1</v>
      </c>
      <c r="J81" s="1128"/>
      <c r="K81" s="313">
        <f t="shared" si="11"/>
        <v>1</v>
      </c>
      <c r="L81" s="1128"/>
      <c r="M81" s="313">
        <f t="shared" si="12"/>
        <v>1</v>
      </c>
      <c r="N81" s="1128"/>
      <c r="O81" s="313">
        <f t="shared" si="13"/>
        <v>1</v>
      </c>
      <c r="P81" s="1128"/>
      <c r="Q81" s="313">
        <f t="shared" si="14"/>
        <v>1</v>
      </c>
      <c r="R81" s="1124">
        <f t="shared" si="15"/>
        <v>0</v>
      </c>
      <c r="S81" s="698">
        <f t="shared" si="17"/>
        <v>0</v>
      </c>
    </row>
    <row r="82" spans="1:19">
      <c r="A82" s="491"/>
      <c r="B82" s="348"/>
      <c r="C82" s="313">
        <f t="shared" si="7"/>
        <v>1</v>
      </c>
      <c r="D82" s="1128"/>
      <c r="E82" s="313">
        <f t="shared" si="8"/>
        <v>1</v>
      </c>
      <c r="F82" s="1128"/>
      <c r="G82" s="313">
        <f t="shared" si="9"/>
        <v>1</v>
      </c>
      <c r="H82" s="1128"/>
      <c r="I82" s="313">
        <f t="shared" si="10"/>
        <v>1</v>
      </c>
      <c r="J82" s="1128"/>
      <c r="K82" s="313">
        <f t="shared" si="11"/>
        <v>1</v>
      </c>
      <c r="L82" s="1128"/>
      <c r="M82" s="313">
        <f t="shared" si="12"/>
        <v>1</v>
      </c>
      <c r="N82" s="1128"/>
      <c r="O82" s="313">
        <f t="shared" si="13"/>
        <v>1</v>
      </c>
      <c r="P82" s="1128"/>
      <c r="Q82" s="313">
        <f t="shared" si="14"/>
        <v>1</v>
      </c>
      <c r="R82" s="1124">
        <f t="shared" si="15"/>
        <v>0</v>
      </c>
      <c r="S82" s="698">
        <f t="shared" si="17"/>
        <v>0</v>
      </c>
    </row>
    <row r="83" spans="1:19">
      <c r="A83" s="491"/>
      <c r="B83" s="348"/>
      <c r="C83" s="313">
        <f t="shared" si="7"/>
        <v>1</v>
      </c>
      <c r="D83" s="1128"/>
      <c r="E83" s="313">
        <f t="shared" si="8"/>
        <v>1</v>
      </c>
      <c r="F83" s="1128"/>
      <c r="G83" s="313">
        <f t="shared" si="9"/>
        <v>1</v>
      </c>
      <c r="H83" s="1128"/>
      <c r="I83" s="313">
        <f t="shared" si="10"/>
        <v>1</v>
      </c>
      <c r="J83" s="1128"/>
      <c r="K83" s="313">
        <f t="shared" si="11"/>
        <v>1</v>
      </c>
      <c r="L83" s="1128"/>
      <c r="M83" s="313">
        <f t="shared" si="12"/>
        <v>1</v>
      </c>
      <c r="N83" s="1128"/>
      <c r="O83" s="313">
        <f t="shared" si="13"/>
        <v>1</v>
      </c>
      <c r="P83" s="1128"/>
      <c r="Q83" s="313">
        <f t="shared" si="14"/>
        <v>1</v>
      </c>
      <c r="R83" s="1124">
        <f t="shared" si="15"/>
        <v>0</v>
      </c>
      <c r="S83" s="698">
        <f t="shared" si="17"/>
        <v>0</v>
      </c>
    </row>
    <row r="84" spans="1:19">
      <c r="A84" s="491"/>
      <c r="B84" s="348"/>
      <c r="C84" s="313">
        <f t="shared" si="7"/>
        <v>1</v>
      </c>
      <c r="D84" s="1128"/>
      <c r="E84" s="313">
        <f t="shared" si="8"/>
        <v>1</v>
      </c>
      <c r="F84" s="1128"/>
      <c r="G84" s="313">
        <f t="shared" si="9"/>
        <v>1</v>
      </c>
      <c r="H84" s="1128"/>
      <c r="I84" s="313">
        <f t="shared" si="10"/>
        <v>1</v>
      </c>
      <c r="J84" s="1128"/>
      <c r="K84" s="313">
        <f t="shared" si="11"/>
        <v>1</v>
      </c>
      <c r="L84" s="1128"/>
      <c r="M84" s="313">
        <f t="shared" si="12"/>
        <v>1</v>
      </c>
      <c r="N84" s="1128"/>
      <c r="O84" s="313">
        <f t="shared" si="13"/>
        <v>1</v>
      </c>
      <c r="P84" s="1128"/>
      <c r="Q84" s="313">
        <f t="shared" si="14"/>
        <v>1</v>
      </c>
      <c r="R84" s="1124">
        <f t="shared" si="15"/>
        <v>0</v>
      </c>
      <c r="S84" s="698">
        <f t="shared" si="17"/>
        <v>0</v>
      </c>
    </row>
    <row r="85" spans="1:19">
      <c r="A85" s="491"/>
      <c r="B85" s="348"/>
      <c r="C85" s="313">
        <f t="shared" si="7"/>
        <v>1</v>
      </c>
      <c r="D85" s="1128"/>
      <c r="E85" s="313">
        <f t="shared" si="8"/>
        <v>1</v>
      </c>
      <c r="F85" s="1128"/>
      <c r="G85" s="313">
        <f t="shared" si="9"/>
        <v>1</v>
      </c>
      <c r="H85" s="1128"/>
      <c r="I85" s="313">
        <f t="shared" si="10"/>
        <v>1</v>
      </c>
      <c r="J85" s="1128"/>
      <c r="K85" s="313">
        <f t="shared" si="11"/>
        <v>1</v>
      </c>
      <c r="L85" s="1128"/>
      <c r="M85" s="313">
        <f t="shared" si="12"/>
        <v>1</v>
      </c>
      <c r="N85" s="1128"/>
      <c r="O85" s="313">
        <f t="shared" si="13"/>
        <v>1</v>
      </c>
      <c r="P85" s="1128"/>
      <c r="Q85" s="313">
        <f t="shared" si="14"/>
        <v>1</v>
      </c>
      <c r="R85" s="1124">
        <f t="shared" si="15"/>
        <v>0</v>
      </c>
      <c r="S85" s="698">
        <f t="shared" si="17"/>
        <v>0</v>
      </c>
    </row>
    <row r="86" spans="1:19">
      <c r="A86" s="491"/>
      <c r="B86" s="348"/>
      <c r="C86" s="313">
        <f t="shared" si="7"/>
        <v>1</v>
      </c>
      <c r="D86" s="1128"/>
      <c r="E86" s="313">
        <f t="shared" si="8"/>
        <v>1</v>
      </c>
      <c r="F86" s="1128"/>
      <c r="G86" s="313">
        <f t="shared" si="9"/>
        <v>1</v>
      </c>
      <c r="H86" s="1128"/>
      <c r="I86" s="313">
        <f t="shared" si="10"/>
        <v>1</v>
      </c>
      <c r="J86" s="1128"/>
      <c r="K86" s="313">
        <f t="shared" si="11"/>
        <v>1</v>
      </c>
      <c r="L86" s="1128"/>
      <c r="M86" s="313">
        <f t="shared" si="12"/>
        <v>1</v>
      </c>
      <c r="N86" s="1128"/>
      <c r="O86" s="313">
        <f t="shared" si="13"/>
        <v>1</v>
      </c>
      <c r="P86" s="1128"/>
      <c r="Q86" s="313">
        <f t="shared" si="14"/>
        <v>1</v>
      </c>
      <c r="R86" s="1124">
        <f t="shared" si="15"/>
        <v>0</v>
      </c>
      <c r="S86" s="698">
        <f t="shared" si="17"/>
        <v>0</v>
      </c>
    </row>
    <row r="87" spans="1:19">
      <c r="A87" s="491"/>
      <c r="B87" s="348"/>
      <c r="C87" s="313">
        <f t="shared" si="7"/>
        <v>1</v>
      </c>
      <c r="D87" s="1128"/>
      <c r="E87" s="313">
        <f t="shared" si="8"/>
        <v>1</v>
      </c>
      <c r="F87" s="1128"/>
      <c r="G87" s="313">
        <f t="shared" si="9"/>
        <v>1</v>
      </c>
      <c r="H87" s="1128"/>
      <c r="I87" s="313">
        <f t="shared" si="10"/>
        <v>1</v>
      </c>
      <c r="J87" s="1128"/>
      <c r="K87" s="313">
        <f t="shared" si="11"/>
        <v>1</v>
      </c>
      <c r="L87" s="1128"/>
      <c r="M87" s="313">
        <f t="shared" si="12"/>
        <v>1</v>
      </c>
      <c r="N87" s="1128"/>
      <c r="O87" s="313">
        <f t="shared" si="13"/>
        <v>1</v>
      </c>
      <c r="P87" s="1128"/>
      <c r="Q87" s="313">
        <f t="shared" si="14"/>
        <v>1</v>
      </c>
      <c r="R87" s="1124">
        <f t="shared" si="15"/>
        <v>0</v>
      </c>
      <c r="S87" s="698">
        <f t="shared" si="17"/>
        <v>0</v>
      </c>
    </row>
    <row r="88" spans="1:19">
      <c r="A88" s="491"/>
      <c r="B88" s="348"/>
      <c r="C88" s="313">
        <f t="shared" si="7"/>
        <v>1</v>
      </c>
      <c r="D88" s="1128"/>
      <c r="E88" s="313">
        <f t="shared" si="8"/>
        <v>1</v>
      </c>
      <c r="F88" s="1128"/>
      <c r="G88" s="313">
        <f t="shared" si="9"/>
        <v>1</v>
      </c>
      <c r="H88" s="1128"/>
      <c r="I88" s="313">
        <f t="shared" si="10"/>
        <v>1</v>
      </c>
      <c r="J88" s="1128"/>
      <c r="K88" s="313">
        <f t="shared" si="11"/>
        <v>1</v>
      </c>
      <c r="L88" s="1128"/>
      <c r="M88" s="313">
        <f t="shared" si="12"/>
        <v>1</v>
      </c>
      <c r="N88" s="1128"/>
      <c r="O88" s="313">
        <f t="shared" si="13"/>
        <v>1</v>
      </c>
      <c r="P88" s="1128"/>
      <c r="Q88" s="313">
        <f t="shared" si="14"/>
        <v>1</v>
      </c>
      <c r="R88" s="1124">
        <f t="shared" si="15"/>
        <v>0</v>
      </c>
      <c r="S88" s="698">
        <f t="shared" si="17"/>
        <v>0</v>
      </c>
    </row>
    <row r="89" spans="1:19">
      <c r="A89" s="491"/>
      <c r="B89" s="348"/>
      <c r="C89" s="313">
        <f t="shared" si="7"/>
        <v>1</v>
      </c>
      <c r="D89" s="1128"/>
      <c r="E89" s="313">
        <f t="shared" si="8"/>
        <v>1</v>
      </c>
      <c r="F89" s="1128"/>
      <c r="G89" s="313">
        <f t="shared" si="9"/>
        <v>1</v>
      </c>
      <c r="H89" s="1128"/>
      <c r="I89" s="313">
        <f t="shared" si="10"/>
        <v>1</v>
      </c>
      <c r="J89" s="1128"/>
      <c r="K89" s="313">
        <f t="shared" si="11"/>
        <v>1</v>
      </c>
      <c r="L89" s="1128"/>
      <c r="M89" s="313">
        <f t="shared" si="12"/>
        <v>1</v>
      </c>
      <c r="N89" s="1128"/>
      <c r="O89" s="313">
        <f t="shared" si="13"/>
        <v>1</v>
      </c>
      <c r="P89" s="1128"/>
      <c r="Q89" s="313">
        <f t="shared" si="14"/>
        <v>1</v>
      </c>
      <c r="R89" s="1124">
        <f t="shared" si="15"/>
        <v>0</v>
      </c>
      <c r="S89" s="698">
        <f t="shared" si="17"/>
        <v>0</v>
      </c>
    </row>
    <row r="90" spans="1:19">
      <c r="A90" s="491"/>
      <c r="B90" s="348"/>
      <c r="C90" s="313">
        <f t="shared" ref="C90:C153" si="18">IF(B90="",1,(LOOKUP(B90,$3:$3,$4:$4)-LOOKUP($B$24,$3:$3,$4:$4)+100)/100)</f>
        <v>1</v>
      </c>
      <c r="D90" s="1128"/>
      <c r="E90" s="313">
        <f t="shared" ref="E90:E153" si="19">(SUMIF($5:$5,D90,$6:$6)-SUMIF($5:$5,$D$24,$6:$6)+100)/100</f>
        <v>1</v>
      </c>
      <c r="F90" s="1128"/>
      <c r="G90" s="313">
        <f t="shared" ref="G90:G153" si="20">(SUMIF($7:$7,F90,$8:$8)-SUMIF($7:$7,$F$24,$8:$8)+100)/100</f>
        <v>1</v>
      </c>
      <c r="H90" s="1128"/>
      <c r="I90" s="313">
        <f t="shared" ref="I90:I153" si="21">(SUMIF($9:$9,H90,$10:$10)-SUMIF($9:$9,$H$24,$10:$10)+100)/100</f>
        <v>1</v>
      </c>
      <c r="J90" s="1128"/>
      <c r="K90" s="313">
        <f t="shared" ref="K90:K153" si="22">(SUMIF($11:$11,J90,$12:$12)-SUMIF($11:$11,$J$24,$12:$12)+100)/100</f>
        <v>1</v>
      </c>
      <c r="L90" s="1128"/>
      <c r="M90" s="313">
        <f t="shared" ref="M90:M153" si="23">(SUMIF($13:$13,L90,$14:$14)-SUMIF($13:$13,$L$24,$14:$14)+100)/100</f>
        <v>1</v>
      </c>
      <c r="N90" s="1128"/>
      <c r="O90" s="313">
        <f t="shared" ref="O90:O153" si="24">(SUMIF($15:$15,N90,$16:$16)-SUMIF($15:$15,$N$24,$16:$16)+100)/100</f>
        <v>1</v>
      </c>
      <c r="P90" s="1128"/>
      <c r="Q90" s="313">
        <f t="shared" ref="Q90:Q153" si="25">(SUMIF($17:$17,P90,$18:$18)-SUMIF($17:$17,$P$24,$18:$18)+100)/100</f>
        <v>1</v>
      </c>
      <c r="R90" s="1124">
        <f t="shared" ref="R90:R153" si="26">IF(B90="",0,ROUND($R$24*C90*E90*G90*I90*K90*M90*O90*Q90,0))</f>
        <v>0</v>
      </c>
      <c r="S90" s="698">
        <f t="shared" si="17"/>
        <v>0</v>
      </c>
    </row>
    <row r="91" spans="1:19">
      <c r="A91" s="491"/>
      <c r="B91" s="348"/>
      <c r="C91" s="313">
        <f t="shared" si="18"/>
        <v>1</v>
      </c>
      <c r="D91" s="1128"/>
      <c r="E91" s="313">
        <f t="shared" si="19"/>
        <v>1</v>
      </c>
      <c r="F91" s="1128"/>
      <c r="G91" s="313">
        <f t="shared" si="20"/>
        <v>1</v>
      </c>
      <c r="H91" s="1128"/>
      <c r="I91" s="313">
        <f t="shared" si="21"/>
        <v>1</v>
      </c>
      <c r="J91" s="1128"/>
      <c r="K91" s="313">
        <f t="shared" si="22"/>
        <v>1</v>
      </c>
      <c r="L91" s="1128"/>
      <c r="M91" s="313">
        <f t="shared" si="23"/>
        <v>1</v>
      </c>
      <c r="N91" s="1128"/>
      <c r="O91" s="313">
        <f t="shared" si="24"/>
        <v>1</v>
      </c>
      <c r="P91" s="1128"/>
      <c r="Q91" s="313">
        <f t="shared" si="25"/>
        <v>1</v>
      </c>
      <c r="R91" s="1124">
        <f t="shared" si="26"/>
        <v>0</v>
      </c>
      <c r="S91" s="698">
        <f t="shared" si="17"/>
        <v>0</v>
      </c>
    </row>
    <row r="92" spans="1:19">
      <c r="A92" s="491"/>
      <c r="B92" s="348"/>
      <c r="C92" s="313">
        <f t="shared" si="18"/>
        <v>1</v>
      </c>
      <c r="D92" s="1128"/>
      <c r="E92" s="313">
        <f t="shared" si="19"/>
        <v>1</v>
      </c>
      <c r="F92" s="1128"/>
      <c r="G92" s="313">
        <f t="shared" si="20"/>
        <v>1</v>
      </c>
      <c r="H92" s="1128"/>
      <c r="I92" s="313">
        <f t="shared" si="21"/>
        <v>1</v>
      </c>
      <c r="J92" s="1128"/>
      <c r="K92" s="313">
        <f t="shared" si="22"/>
        <v>1</v>
      </c>
      <c r="L92" s="1128"/>
      <c r="M92" s="313">
        <f t="shared" si="23"/>
        <v>1</v>
      </c>
      <c r="N92" s="1128"/>
      <c r="O92" s="313">
        <f t="shared" si="24"/>
        <v>1</v>
      </c>
      <c r="P92" s="1128"/>
      <c r="Q92" s="313">
        <f t="shared" si="25"/>
        <v>1</v>
      </c>
      <c r="R92" s="1124">
        <f t="shared" si="26"/>
        <v>0</v>
      </c>
      <c r="S92" s="698">
        <f t="shared" si="17"/>
        <v>0</v>
      </c>
    </row>
    <row r="93" spans="1:19">
      <c r="A93" s="491"/>
      <c r="B93" s="348"/>
      <c r="C93" s="313">
        <f t="shared" si="18"/>
        <v>1</v>
      </c>
      <c r="D93" s="1128"/>
      <c r="E93" s="313">
        <f t="shared" si="19"/>
        <v>1</v>
      </c>
      <c r="F93" s="1128"/>
      <c r="G93" s="313">
        <f t="shared" si="20"/>
        <v>1</v>
      </c>
      <c r="H93" s="1128"/>
      <c r="I93" s="313">
        <f t="shared" si="21"/>
        <v>1</v>
      </c>
      <c r="J93" s="1128"/>
      <c r="K93" s="313">
        <f t="shared" si="22"/>
        <v>1</v>
      </c>
      <c r="L93" s="1128"/>
      <c r="M93" s="313">
        <f t="shared" si="23"/>
        <v>1</v>
      </c>
      <c r="N93" s="1128"/>
      <c r="O93" s="313">
        <f t="shared" si="24"/>
        <v>1</v>
      </c>
      <c r="P93" s="1128"/>
      <c r="Q93" s="313">
        <f t="shared" si="25"/>
        <v>1</v>
      </c>
      <c r="R93" s="1124">
        <f t="shared" si="26"/>
        <v>0</v>
      </c>
      <c r="S93" s="698">
        <f t="shared" si="17"/>
        <v>0</v>
      </c>
    </row>
    <row r="94" spans="1:19">
      <c r="A94" s="491"/>
      <c r="B94" s="348"/>
      <c r="C94" s="313">
        <f t="shared" si="18"/>
        <v>1</v>
      </c>
      <c r="D94" s="1128"/>
      <c r="E94" s="313">
        <f t="shared" si="19"/>
        <v>1</v>
      </c>
      <c r="F94" s="1128"/>
      <c r="G94" s="313">
        <f t="shared" si="20"/>
        <v>1</v>
      </c>
      <c r="H94" s="1128"/>
      <c r="I94" s="313">
        <f t="shared" si="21"/>
        <v>1</v>
      </c>
      <c r="J94" s="1128"/>
      <c r="K94" s="313">
        <f t="shared" si="22"/>
        <v>1</v>
      </c>
      <c r="L94" s="1128"/>
      <c r="M94" s="313">
        <f t="shared" si="23"/>
        <v>1</v>
      </c>
      <c r="N94" s="1128"/>
      <c r="O94" s="313">
        <f t="shared" si="24"/>
        <v>1</v>
      </c>
      <c r="P94" s="1128"/>
      <c r="Q94" s="313">
        <f t="shared" si="25"/>
        <v>1</v>
      </c>
      <c r="R94" s="1124">
        <f t="shared" si="26"/>
        <v>0</v>
      </c>
      <c r="S94" s="698">
        <f t="shared" si="17"/>
        <v>0</v>
      </c>
    </row>
    <row r="95" spans="1:19">
      <c r="A95" s="491"/>
      <c r="B95" s="348"/>
      <c r="C95" s="313">
        <f t="shared" si="18"/>
        <v>1</v>
      </c>
      <c r="D95" s="1128"/>
      <c r="E95" s="313">
        <f t="shared" si="19"/>
        <v>1</v>
      </c>
      <c r="F95" s="1128"/>
      <c r="G95" s="313">
        <f t="shared" si="20"/>
        <v>1</v>
      </c>
      <c r="H95" s="1128"/>
      <c r="I95" s="313">
        <f t="shared" si="21"/>
        <v>1</v>
      </c>
      <c r="J95" s="1128"/>
      <c r="K95" s="313">
        <f t="shared" si="22"/>
        <v>1</v>
      </c>
      <c r="L95" s="1128"/>
      <c r="M95" s="313">
        <f t="shared" si="23"/>
        <v>1</v>
      </c>
      <c r="N95" s="1128"/>
      <c r="O95" s="313">
        <f t="shared" si="24"/>
        <v>1</v>
      </c>
      <c r="P95" s="1128"/>
      <c r="Q95" s="313">
        <f t="shared" si="25"/>
        <v>1</v>
      </c>
      <c r="R95" s="1124">
        <f t="shared" si="26"/>
        <v>0</v>
      </c>
      <c r="S95" s="698">
        <f t="shared" si="17"/>
        <v>0</v>
      </c>
    </row>
    <row r="96" spans="1:19">
      <c r="A96" s="491"/>
      <c r="B96" s="348"/>
      <c r="C96" s="313">
        <f t="shared" si="18"/>
        <v>1</v>
      </c>
      <c r="D96" s="1128"/>
      <c r="E96" s="313">
        <f t="shared" si="19"/>
        <v>1</v>
      </c>
      <c r="F96" s="1128"/>
      <c r="G96" s="313">
        <f t="shared" si="20"/>
        <v>1</v>
      </c>
      <c r="H96" s="1128"/>
      <c r="I96" s="313">
        <f t="shared" si="21"/>
        <v>1</v>
      </c>
      <c r="J96" s="1128"/>
      <c r="K96" s="313">
        <f t="shared" si="22"/>
        <v>1</v>
      </c>
      <c r="L96" s="1128"/>
      <c r="M96" s="313">
        <f t="shared" si="23"/>
        <v>1</v>
      </c>
      <c r="N96" s="1128"/>
      <c r="O96" s="313">
        <f t="shared" si="24"/>
        <v>1</v>
      </c>
      <c r="P96" s="1128"/>
      <c r="Q96" s="313">
        <f t="shared" si="25"/>
        <v>1</v>
      </c>
      <c r="R96" s="1124">
        <f t="shared" si="26"/>
        <v>0</v>
      </c>
      <c r="S96" s="698">
        <f t="shared" si="17"/>
        <v>0</v>
      </c>
    </row>
    <row r="97" spans="1:19">
      <c r="A97" s="491"/>
      <c r="B97" s="348"/>
      <c r="C97" s="313">
        <f t="shared" si="18"/>
        <v>1</v>
      </c>
      <c r="D97" s="1128"/>
      <c r="E97" s="313">
        <f t="shared" si="19"/>
        <v>1</v>
      </c>
      <c r="F97" s="1128"/>
      <c r="G97" s="313">
        <f t="shared" si="20"/>
        <v>1</v>
      </c>
      <c r="H97" s="1128"/>
      <c r="I97" s="313">
        <f t="shared" si="21"/>
        <v>1</v>
      </c>
      <c r="J97" s="1128"/>
      <c r="K97" s="313">
        <f t="shared" si="22"/>
        <v>1</v>
      </c>
      <c r="L97" s="1128"/>
      <c r="M97" s="313">
        <f t="shared" si="23"/>
        <v>1</v>
      </c>
      <c r="N97" s="1128"/>
      <c r="O97" s="313">
        <f t="shared" si="24"/>
        <v>1</v>
      </c>
      <c r="P97" s="1128"/>
      <c r="Q97" s="313">
        <f t="shared" si="25"/>
        <v>1</v>
      </c>
      <c r="R97" s="1124">
        <f t="shared" si="26"/>
        <v>0</v>
      </c>
      <c r="S97" s="698">
        <f t="shared" si="17"/>
        <v>0</v>
      </c>
    </row>
    <row r="98" spans="1:19">
      <c r="A98" s="491"/>
      <c r="B98" s="348"/>
      <c r="C98" s="313">
        <f t="shared" si="18"/>
        <v>1</v>
      </c>
      <c r="D98" s="1128"/>
      <c r="E98" s="313">
        <f t="shared" si="19"/>
        <v>1</v>
      </c>
      <c r="F98" s="1128"/>
      <c r="G98" s="313">
        <f t="shared" si="20"/>
        <v>1</v>
      </c>
      <c r="H98" s="1128"/>
      <c r="I98" s="313">
        <f t="shared" si="21"/>
        <v>1</v>
      </c>
      <c r="J98" s="1128"/>
      <c r="K98" s="313">
        <f t="shared" si="22"/>
        <v>1</v>
      </c>
      <c r="L98" s="1128"/>
      <c r="M98" s="313">
        <f t="shared" si="23"/>
        <v>1</v>
      </c>
      <c r="N98" s="1128"/>
      <c r="O98" s="313">
        <f t="shared" si="24"/>
        <v>1</v>
      </c>
      <c r="P98" s="1128"/>
      <c r="Q98" s="313">
        <f t="shared" si="25"/>
        <v>1</v>
      </c>
      <c r="R98" s="1124">
        <f t="shared" si="26"/>
        <v>0</v>
      </c>
      <c r="S98" s="698">
        <f t="shared" si="17"/>
        <v>0</v>
      </c>
    </row>
    <row r="99" spans="1:19">
      <c r="A99" s="491"/>
      <c r="B99" s="348"/>
      <c r="C99" s="313">
        <f t="shared" si="18"/>
        <v>1</v>
      </c>
      <c r="D99" s="1128"/>
      <c r="E99" s="313">
        <f t="shared" si="19"/>
        <v>1</v>
      </c>
      <c r="F99" s="1128"/>
      <c r="G99" s="313">
        <f t="shared" si="20"/>
        <v>1</v>
      </c>
      <c r="H99" s="1128"/>
      <c r="I99" s="313">
        <f t="shared" si="21"/>
        <v>1</v>
      </c>
      <c r="J99" s="1128"/>
      <c r="K99" s="313">
        <f t="shared" si="22"/>
        <v>1</v>
      </c>
      <c r="L99" s="1128"/>
      <c r="M99" s="313">
        <f t="shared" si="23"/>
        <v>1</v>
      </c>
      <c r="N99" s="1128"/>
      <c r="O99" s="313">
        <f t="shared" si="24"/>
        <v>1</v>
      </c>
      <c r="P99" s="1128"/>
      <c r="Q99" s="313">
        <f t="shared" si="25"/>
        <v>1</v>
      </c>
      <c r="R99" s="1124">
        <f t="shared" si="26"/>
        <v>0</v>
      </c>
      <c r="S99" s="698">
        <f t="shared" si="17"/>
        <v>0</v>
      </c>
    </row>
    <row r="100" spans="1:19">
      <c r="A100" s="491"/>
      <c r="B100" s="348"/>
      <c r="C100" s="313">
        <f t="shared" si="18"/>
        <v>1</v>
      </c>
      <c r="D100" s="1128"/>
      <c r="E100" s="313">
        <f t="shared" si="19"/>
        <v>1</v>
      </c>
      <c r="F100" s="1128"/>
      <c r="G100" s="313">
        <f t="shared" si="20"/>
        <v>1</v>
      </c>
      <c r="H100" s="1128"/>
      <c r="I100" s="313">
        <f t="shared" si="21"/>
        <v>1</v>
      </c>
      <c r="J100" s="1128"/>
      <c r="K100" s="313">
        <f t="shared" si="22"/>
        <v>1</v>
      </c>
      <c r="L100" s="1128"/>
      <c r="M100" s="313">
        <f t="shared" si="23"/>
        <v>1</v>
      </c>
      <c r="N100" s="1128"/>
      <c r="O100" s="313">
        <f t="shared" si="24"/>
        <v>1</v>
      </c>
      <c r="P100" s="1128"/>
      <c r="Q100" s="313">
        <f t="shared" si="25"/>
        <v>1</v>
      </c>
      <c r="R100" s="1124">
        <f t="shared" si="26"/>
        <v>0</v>
      </c>
      <c r="S100" s="698">
        <f t="shared" si="17"/>
        <v>0</v>
      </c>
    </row>
    <row r="101" spans="1:19">
      <c r="A101" s="491"/>
      <c r="B101" s="348"/>
      <c r="C101" s="313">
        <f t="shared" si="18"/>
        <v>1</v>
      </c>
      <c r="D101" s="1128"/>
      <c r="E101" s="313">
        <f t="shared" si="19"/>
        <v>1</v>
      </c>
      <c r="F101" s="1128"/>
      <c r="G101" s="313">
        <f t="shared" si="20"/>
        <v>1</v>
      </c>
      <c r="H101" s="1128"/>
      <c r="I101" s="313">
        <f t="shared" si="21"/>
        <v>1</v>
      </c>
      <c r="J101" s="1128"/>
      <c r="K101" s="313">
        <f t="shared" si="22"/>
        <v>1</v>
      </c>
      <c r="L101" s="1128"/>
      <c r="M101" s="313">
        <f t="shared" si="23"/>
        <v>1</v>
      </c>
      <c r="N101" s="1128"/>
      <c r="O101" s="313">
        <f t="shared" si="24"/>
        <v>1</v>
      </c>
      <c r="P101" s="1128"/>
      <c r="Q101" s="313">
        <f t="shared" si="25"/>
        <v>1</v>
      </c>
      <c r="R101" s="1124">
        <f t="shared" si="26"/>
        <v>0</v>
      </c>
      <c r="S101" s="698">
        <f t="shared" si="17"/>
        <v>0</v>
      </c>
    </row>
    <row r="102" spans="1:19">
      <c r="A102" s="491"/>
      <c r="B102" s="348"/>
      <c r="C102" s="313">
        <f t="shared" si="18"/>
        <v>1</v>
      </c>
      <c r="D102" s="1128"/>
      <c r="E102" s="313">
        <f t="shared" si="19"/>
        <v>1</v>
      </c>
      <c r="F102" s="1128"/>
      <c r="G102" s="313">
        <f t="shared" si="20"/>
        <v>1</v>
      </c>
      <c r="H102" s="1128"/>
      <c r="I102" s="313">
        <f t="shared" si="21"/>
        <v>1</v>
      </c>
      <c r="J102" s="1128"/>
      <c r="K102" s="313">
        <f t="shared" si="22"/>
        <v>1</v>
      </c>
      <c r="L102" s="1128"/>
      <c r="M102" s="313">
        <f t="shared" si="23"/>
        <v>1</v>
      </c>
      <c r="N102" s="1128"/>
      <c r="O102" s="313">
        <f t="shared" si="24"/>
        <v>1</v>
      </c>
      <c r="P102" s="1128"/>
      <c r="Q102" s="313">
        <f t="shared" si="25"/>
        <v>1</v>
      </c>
      <c r="R102" s="1124">
        <f t="shared" si="26"/>
        <v>0</v>
      </c>
      <c r="S102" s="698">
        <f t="shared" si="17"/>
        <v>0</v>
      </c>
    </row>
    <row r="103" spans="1:19">
      <c r="A103" s="491"/>
      <c r="B103" s="348"/>
      <c r="C103" s="313">
        <f t="shared" si="18"/>
        <v>1</v>
      </c>
      <c r="D103" s="1128"/>
      <c r="E103" s="313">
        <f t="shared" si="19"/>
        <v>1</v>
      </c>
      <c r="F103" s="1128"/>
      <c r="G103" s="313">
        <f t="shared" si="20"/>
        <v>1</v>
      </c>
      <c r="H103" s="1128"/>
      <c r="I103" s="313">
        <f t="shared" si="21"/>
        <v>1</v>
      </c>
      <c r="J103" s="1128"/>
      <c r="K103" s="313">
        <f t="shared" si="22"/>
        <v>1</v>
      </c>
      <c r="L103" s="1128"/>
      <c r="M103" s="313">
        <f t="shared" si="23"/>
        <v>1</v>
      </c>
      <c r="N103" s="1128"/>
      <c r="O103" s="313">
        <f t="shared" si="24"/>
        <v>1</v>
      </c>
      <c r="P103" s="1128"/>
      <c r="Q103" s="313">
        <f t="shared" si="25"/>
        <v>1</v>
      </c>
      <c r="R103" s="1124">
        <f t="shared" si="26"/>
        <v>0</v>
      </c>
      <c r="S103" s="698">
        <f t="shared" si="17"/>
        <v>0</v>
      </c>
    </row>
    <row r="104" spans="1:19">
      <c r="A104" s="491"/>
      <c r="B104" s="348"/>
      <c r="C104" s="313">
        <f t="shared" si="18"/>
        <v>1</v>
      </c>
      <c r="D104" s="1128"/>
      <c r="E104" s="313">
        <f t="shared" si="19"/>
        <v>1</v>
      </c>
      <c r="F104" s="1128"/>
      <c r="G104" s="313">
        <f t="shared" si="20"/>
        <v>1</v>
      </c>
      <c r="H104" s="1128"/>
      <c r="I104" s="313">
        <f t="shared" si="21"/>
        <v>1</v>
      </c>
      <c r="J104" s="1128"/>
      <c r="K104" s="313">
        <f t="shared" si="22"/>
        <v>1</v>
      </c>
      <c r="L104" s="1128"/>
      <c r="M104" s="313">
        <f t="shared" si="23"/>
        <v>1</v>
      </c>
      <c r="N104" s="1128"/>
      <c r="O104" s="313">
        <f t="shared" si="24"/>
        <v>1</v>
      </c>
      <c r="P104" s="1128"/>
      <c r="Q104" s="313">
        <f t="shared" si="25"/>
        <v>1</v>
      </c>
      <c r="R104" s="1124">
        <f t="shared" si="26"/>
        <v>0</v>
      </c>
      <c r="S104" s="698">
        <f t="shared" si="17"/>
        <v>0</v>
      </c>
    </row>
    <row r="105" spans="1:19">
      <c r="A105" s="491"/>
      <c r="B105" s="348"/>
      <c r="C105" s="313">
        <f t="shared" si="18"/>
        <v>1</v>
      </c>
      <c r="D105" s="1128"/>
      <c r="E105" s="313">
        <f t="shared" si="19"/>
        <v>1</v>
      </c>
      <c r="F105" s="1128"/>
      <c r="G105" s="313">
        <f t="shared" si="20"/>
        <v>1</v>
      </c>
      <c r="H105" s="1128"/>
      <c r="I105" s="313">
        <f t="shared" si="21"/>
        <v>1</v>
      </c>
      <c r="J105" s="1128"/>
      <c r="K105" s="313">
        <f t="shared" si="22"/>
        <v>1</v>
      </c>
      <c r="L105" s="1128"/>
      <c r="M105" s="313">
        <f t="shared" si="23"/>
        <v>1</v>
      </c>
      <c r="N105" s="1128"/>
      <c r="O105" s="313">
        <f t="shared" si="24"/>
        <v>1</v>
      </c>
      <c r="P105" s="1128"/>
      <c r="Q105" s="313">
        <f t="shared" si="25"/>
        <v>1</v>
      </c>
      <c r="R105" s="1124">
        <f t="shared" si="26"/>
        <v>0</v>
      </c>
      <c r="S105" s="698">
        <f t="shared" si="17"/>
        <v>0</v>
      </c>
    </row>
    <row r="106" spans="1:19">
      <c r="A106" s="491"/>
      <c r="B106" s="348"/>
      <c r="C106" s="313">
        <f t="shared" si="18"/>
        <v>1</v>
      </c>
      <c r="D106" s="1128"/>
      <c r="E106" s="313">
        <f t="shared" si="19"/>
        <v>1</v>
      </c>
      <c r="F106" s="1128"/>
      <c r="G106" s="313">
        <f t="shared" si="20"/>
        <v>1</v>
      </c>
      <c r="H106" s="1128"/>
      <c r="I106" s="313">
        <f t="shared" si="21"/>
        <v>1</v>
      </c>
      <c r="J106" s="1128"/>
      <c r="K106" s="313">
        <f t="shared" si="22"/>
        <v>1</v>
      </c>
      <c r="L106" s="1128"/>
      <c r="M106" s="313">
        <f t="shared" si="23"/>
        <v>1</v>
      </c>
      <c r="N106" s="1128"/>
      <c r="O106" s="313">
        <f t="shared" si="24"/>
        <v>1</v>
      </c>
      <c r="P106" s="1128"/>
      <c r="Q106" s="313">
        <f t="shared" si="25"/>
        <v>1</v>
      </c>
      <c r="R106" s="1124">
        <f t="shared" si="26"/>
        <v>0</v>
      </c>
      <c r="S106" s="698">
        <f t="shared" si="17"/>
        <v>0</v>
      </c>
    </row>
    <row r="107" spans="1:19">
      <c r="A107" s="491"/>
      <c r="B107" s="348"/>
      <c r="C107" s="313">
        <f t="shared" si="18"/>
        <v>1</v>
      </c>
      <c r="D107" s="1128"/>
      <c r="E107" s="313">
        <f t="shared" si="19"/>
        <v>1</v>
      </c>
      <c r="F107" s="1128"/>
      <c r="G107" s="313">
        <f t="shared" si="20"/>
        <v>1</v>
      </c>
      <c r="H107" s="1128"/>
      <c r="I107" s="313">
        <f t="shared" si="21"/>
        <v>1</v>
      </c>
      <c r="J107" s="1128"/>
      <c r="K107" s="313">
        <f t="shared" si="22"/>
        <v>1</v>
      </c>
      <c r="L107" s="1128"/>
      <c r="M107" s="313">
        <f t="shared" si="23"/>
        <v>1</v>
      </c>
      <c r="N107" s="1128"/>
      <c r="O107" s="313">
        <f t="shared" si="24"/>
        <v>1</v>
      </c>
      <c r="P107" s="1128"/>
      <c r="Q107" s="313">
        <f t="shared" si="25"/>
        <v>1</v>
      </c>
      <c r="R107" s="1124">
        <f t="shared" si="26"/>
        <v>0</v>
      </c>
      <c r="S107" s="698">
        <f t="shared" si="17"/>
        <v>0</v>
      </c>
    </row>
    <row r="108" spans="1:19">
      <c r="A108" s="491"/>
      <c r="B108" s="348"/>
      <c r="C108" s="313">
        <f t="shared" si="18"/>
        <v>1</v>
      </c>
      <c r="D108" s="1128"/>
      <c r="E108" s="313">
        <f t="shared" si="19"/>
        <v>1</v>
      </c>
      <c r="F108" s="1128"/>
      <c r="G108" s="313">
        <f t="shared" si="20"/>
        <v>1</v>
      </c>
      <c r="H108" s="1128"/>
      <c r="I108" s="313">
        <f t="shared" si="21"/>
        <v>1</v>
      </c>
      <c r="J108" s="1128"/>
      <c r="K108" s="313">
        <f t="shared" si="22"/>
        <v>1</v>
      </c>
      <c r="L108" s="1128"/>
      <c r="M108" s="313">
        <f t="shared" si="23"/>
        <v>1</v>
      </c>
      <c r="N108" s="1128"/>
      <c r="O108" s="313">
        <f t="shared" si="24"/>
        <v>1</v>
      </c>
      <c r="P108" s="1128"/>
      <c r="Q108" s="313">
        <f t="shared" si="25"/>
        <v>1</v>
      </c>
      <c r="R108" s="1124">
        <f t="shared" si="26"/>
        <v>0</v>
      </c>
      <c r="S108" s="698">
        <f t="shared" si="17"/>
        <v>0</v>
      </c>
    </row>
    <row r="109" spans="1:19">
      <c r="A109" s="491"/>
      <c r="B109" s="348"/>
      <c r="C109" s="313">
        <f t="shared" si="18"/>
        <v>1</v>
      </c>
      <c r="D109" s="1128"/>
      <c r="E109" s="313">
        <f t="shared" si="19"/>
        <v>1</v>
      </c>
      <c r="F109" s="1128"/>
      <c r="G109" s="313">
        <f t="shared" si="20"/>
        <v>1</v>
      </c>
      <c r="H109" s="1128"/>
      <c r="I109" s="313">
        <f t="shared" si="21"/>
        <v>1</v>
      </c>
      <c r="J109" s="1128"/>
      <c r="K109" s="313">
        <f t="shared" si="22"/>
        <v>1</v>
      </c>
      <c r="L109" s="1128"/>
      <c r="M109" s="313">
        <f t="shared" si="23"/>
        <v>1</v>
      </c>
      <c r="N109" s="1128"/>
      <c r="O109" s="313">
        <f t="shared" si="24"/>
        <v>1</v>
      </c>
      <c r="P109" s="1128"/>
      <c r="Q109" s="313">
        <f t="shared" si="25"/>
        <v>1</v>
      </c>
      <c r="R109" s="1124">
        <f t="shared" si="26"/>
        <v>0</v>
      </c>
      <c r="S109" s="698">
        <f t="shared" si="17"/>
        <v>0</v>
      </c>
    </row>
    <row r="110" spans="1:19">
      <c r="A110" s="491"/>
      <c r="B110" s="348"/>
      <c r="C110" s="313">
        <f t="shared" si="18"/>
        <v>1</v>
      </c>
      <c r="D110" s="1128"/>
      <c r="E110" s="313">
        <f t="shared" si="19"/>
        <v>1</v>
      </c>
      <c r="F110" s="1128"/>
      <c r="G110" s="313">
        <f t="shared" si="20"/>
        <v>1</v>
      </c>
      <c r="H110" s="1128"/>
      <c r="I110" s="313">
        <f t="shared" si="21"/>
        <v>1</v>
      </c>
      <c r="J110" s="1128"/>
      <c r="K110" s="313">
        <f t="shared" si="22"/>
        <v>1</v>
      </c>
      <c r="L110" s="1128"/>
      <c r="M110" s="313">
        <f t="shared" si="23"/>
        <v>1</v>
      </c>
      <c r="N110" s="1128"/>
      <c r="O110" s="313">
        <f t="shared" si="24"/>
        <v>1</v>
      </c>
      <c r="P110" s="1128"/>
      <c r="Q110" s="313">
        <f t="shared" si="25"/>
        <v>1</v>
      </c>
      <c r="R110" s="1124">
        <f t="shared" si="26"/>
        <v>0</v>
      </c>
      <c r="S110" s="698">
        <f t="shared" si="17"/>
        <v>0</v>
      </c>
    </row>
    <row r="111" spans="1:19">
      <c r="A111" s="491"/>
      <c r="B111" s="348"/>
      <c r="C111" s="313">
        <f t="shared" si="18"/>
        <v>1</v>
      </c>
      <c r="D111" s="1128"/>
      <c r="E111" s="313">
        <f t="shared" si="19"/>
        <v>1</v>
      </c>
      <c r="F111" s="1128"/>
      <c r="G111" s="313">
        <f t="shared" si="20"/>
        <v>1</v>
      </c>
      <c r="H111" s="1128"/>
      <c r="I111" s="313">
        <f t="shared" si="21"/>
        <v>1</v>
      </c>
      <c r="J111" s="1128"/>
      <c r="K111" s="313">
        <f t="shared" si="22"/>
        <v>1</v>
      </c>
      <c r="L111" s="1128"/>
      <c r="M111" s="313">
        <f t="shared" si="23"/>
        <v>1</v>
      </c>
      <c r="N111" s="1128"/>
      <c r="O111" s="313">
        <f t="shared" si="24"/>
        <v>1</v>
      </c>
      <c r="P111" s="1128"/>
      <c r="Q111" s="313">
        <f t="shared" si="25"/>
        <v>1</v>
      </c>
      <c r="R111" s="1124">
        <f t="shared" si="26"/>
        <v>0</v>
      </c>
      <c r="S111" s="698">
        <f t="shared" si="17"/>
        <v>0</v>
      </c>
    </row>
    <row r="112" spans="1:19">
      <c r="A112" s="491"/>
      <c r="B112" s="348"/>
      <c r="C112" s="313">
        <f t="shared" si="18"/>
        <v>1</v>
      </c>
      <c r="D112" s="1128"/>
      <c r="E112" s="313">
        <f t="shared" si="19"/>
        <v>1</v>
      </c>
      <c r="F112" s="1128"/>
      <c r="G112" s="313">
        <f t="shared" si="20"/>
        <v>1</v>
      </c>
      <c r="H112" s="1128"/>
      <c r="I112" s="313">
        <f t="shared" si="21"/>
        <v>1</v>
      </c>
      <c r="J112" s="1128"/>
      <c r="K112" s="313">
        <f t="shared" si="22"/>
        <v>1</v>
      </c>
      <c r="L112" s="1128"/>
      <c r="M112" s="313">
        <f t="shared" si="23"/>
        <v>1</v>
      </c>
      <c r="N112" s="1128"/>
      <c r="O112" s="313">
        <f t="shared" si="24"/>
        <v>1</v>
      </c>
      <c r="P112" s="1128"/>
      <c r="Q112" s="313">
        <f t="shared" si="25"/>
        <v>1</v>
      </c>
      <c r="R112" s="1124">
        <f t="shared" si="26"/>
        <v>0</v>
      </c>
      <c r="S112" s="698">
        <f t="shared" si="17"/>
        <v>0</v>
      </c>
    </row>
    <row r="113" spans="1:19">
      <c r="A113" s="491"/>
      <c r="B113" s="348"/>
      <c r="C113" s="313">
        <f t="shared" si="18"/>
        <v>1</v>
      </c>
      <c r="D113" s="1128"/>
      <c r="E113" s="313">
        <f t="shared" si="19"/>
        <v>1</v>
      </c>
      <c r="F113" s="1128"/>
      <c r="G113" s="313">
        <f t="shared" si="20"/>
        <v>1</v>
      </c>
      <c r="H113" s="1128"/>
      <c r="I113" s="313">
        <f t="shared" si="21"/>
        <v>1</v>
      </c>
      <c r="J113" s="1128"/>
      <c r="K113" s="313">
        <f t="shared" si="22"/>
        <v>1</v>
      </c>
      <c r="L113" s="1128"/>
      <c r="M113" s="313">
        <f t="shared" si="23"/>
        <v>1</v>
      </c>
      <c r="N113" s="1128"/>
      <c r="O113" s="313">
        <f t="shared" si="24"/>
        <v>1</v>
      </c>
      <c r="P113" s="1128"/>
      <c r="Q113" s="313">
        <f t="shared" si="25"/>
        <v>1</v>
      </c>
      <c r="R113" s="1124">
        <f t="shared" si="26"/>
        <v>0</v>
      </c>
      <c r="S113" s="698">
        <f t="shared" si="17"/>
        <v>0</v>
      </c>
    </row>
    <row r="114" spans="1:19">
      <c r="A114" s="491"/>
      <c r="B114" s="348"/>
      <c r="C114" s="313">
        <f t="shared" si="18"/>
        <v>1</v>
      </c>
      <c r="D114" s="1128"/>
      <c r="E114" s="313">
        <f t="shared" si="19"/>
        <v>1</v>
      </c>
      <c r="F114" s="1128"/>
      <c r="G114" s="313">
        <f t="shared" si="20"/>
        <v>1</v>
      </c>
      <c r="H114" s="1128"/>
      <c r="I114" s="313">
        <f t="shared" si="21"/>
        <v>1</v>
      </c>
      <c r="J114" s="1128"/>
      <c r="K114" s="313">
        <f t="shared" si="22"/>
        <v>1</v>
      </c>
      <c r="L114" s="1128"/>
      <c r="M114" s="313">
        <f t="shared" si="23"/>
        <v>1</v>
      </c>
      <c r="N114" s="1128"/>
      <c r="O114" s="313">
        <f t="shared" si="24"/>
        <v>1</v>
      </c>
      <c r="P114" s="1128"/>
      <c r="Q114" s="313">
        <f t="shared" si="25"/>
        <v>1</v>
      </c>
      <c r="R114" s="1124">
        <f t="shared" si="26"/>
        <v>0</v>
      </c>
      <c r="S114" s="698">
        <f t="shared" si="17"/>
        <v>0</v>
      </c>
    </row>
    <row r="115" spans="1:19">
      <c r="A115" s="491"/>
      <c r="B115" s="348"/>
      <c r="C115" s="313">
        <f t="shared" si="18"/>
        <v>1</v>
      </c>
      <c r="D115" s="1128"/>
      <c r="E115" s="313">
        <f t="shared" si="19"/>
        <v>1</v>
      </c>
      <c r="F115" s="1128"/>
      <c r="G115" s="313">
        <f t="shared" si="20"/>
        <v>1</v>
      </c>
      <c r="H115" s="1128"/>
      <c r="I115" s="313">
        <f t="shared" si="21"/>
        <v>1</v>
      </c>
      <c r="J115" s="1128"/>
      <c r="K115" s="313">
        <f t="shared" si="22"/>
        <v>1</v>
      </c>
      <c r="L115" s="1128"/>
      <c r="M115" s="313">
        <f t="shared" si="23"/>
        <v>1</v>
      </c>
      <c r="N115" s="1128"/>
      <c r="O115" s="313">
        <f t="shared" si="24"/>
        <v>1</v>
      </c>
      <c r="P115" s="1128"/>
      <c r="Q115" s="313">
        <f t="shared" si="25"/>
        <v>1</v>
      </c>
      <c r="R115" s="1124">
        <f t="shared" si="26"/>
        <v>0</v>
      </c>
      <c r="S115" s="698">
        <f t="shared" si="17"/>
        <v>0</v>
      </c>
    </row>
    <row r="116" spans="1:19">
      <c r="A116" s="491"/>
      <c r="B116" s="348"/>
      <c r="C116" s="313">
        <f t="shared" si="18"/>
        <v>1</v>
      </c>
      <c r="D116" s="1128"/>
      <c r="E116" s="313">
        <f t="shared" si="19"/>
        <v>1</v>
      </c>
      <c r="F116" s="1128"/>
      <c r="G116" s="313">
        <f t="shared" si="20"/>
        <v>1</v>
      </c>
      <c r="H116" s="1128"/>
      <c r="I116" s="313">
        <f t="shared" si="21"/>
        <v>1</v>
      </c>
      <c r="J116" s="1128"/>
      <c r="K116" s="313">
        <f t="shared" si="22"/>
        <v>1</v>
      </c>
      <c r="L116" s="1128"/>
      <c r="M116" s="313">
        <f t="shared" si="23"/>
        <v>1</v>
      </c>
      <c r="N116" s="1128"/>
      <c r="O116" s="313">
        <f t="shared" si="24"/>
        <v>1</v>
      </c>
      <c r="P116" s="1128"/>
      <c r="Q116" s="313">
        <f t="shared" si="25"/>
        <v>1</v>
      </c>
      <c r="R116" s="1124">
        <f t="shared" si="26"/>
        <v>0</v>
      </c>
      <c r="S116" s="698">
        <f t="shared" si="17"/>
        <v>0</v>
      </c>
    </row>
    <row r="117" spans="1:19">
      <c r="A117" s="491"/>
      <c r="B117" s="348"/>
      <c r="C117" s="313">
        <f t="shared" si="18"/>
        <v>1</v>
      </c>
      <c r="D117" s="1128"/>
      <c r="E117" s="313">
        <f t="shared" si="19"/>
        <v>1</v>
      </c>
      <c r="F117" s="1128"/>
      <c r="G117" s="313">
        <f t="shared" si="20"/>
        <v>1</v>
      </c>
      <c r="H117" s="1128"/>
      <c r="I117" s="313">
        <f t="shared" si="21"/>
        <v>1</v>
      </c>
      <c r="J117" s="1128"/>
      <c r="K117" s="313">
        <f t="shared" si="22"/>
        <v>1</v>
      </c>
      <c r="L117" s="1128"/>
      <c r="M117" s="313">
        <f t="shared" si="23"/>
        <v>1</v>
      </c>
      <c r="N117" s="1128"/>
      <c r="O117" s="313">
        <f t="shared" si="24"/>
        <v>1</v>
      </c>
      <c r="P117" s="1128"/>
      <c r="Q117" s="313">
        <f t="shared" si="25"/>
        <v>1</v>
      </c>
      <c r="R117" s="1124">
        <f t="shared" si="26"/>
        <v>0</v>
      </c>
      <c r="S117" s="698">
        <f t="shared" si="17"/>
        <v>0</v>
      </c>
    </row>
    <row r="118" spans="1:19">
      <c r="A118" s="491"/>
      <c r="B118" s="348"/>
      <c r="C118" s="313">
        <f t="shared" si="18"/>
        <v>1</v>
      </c>
      <c r="D118" s="1128"/>
      <c r="E118" s="313">
        <f t="shared" si="19"/>
        <v>1</v>
      </c>
      <c r="F118" s="1128"/>
      <c r="G118" s="313">
        <f t="shared" si="20"/>
        <v>1</v>
      </c>
      <c r="H118" s="1128"/>
      <c r="I118" s="313">
        <f t="shared" si="21"/>
        <v>1</v>
      </c>
      <c r="J118" s="1128"/>
      <c r="K118" s="313">
        <f t="shared" si="22"/>
        <v>1</v>
      </c>
      <c r="L118" s="1128"/>
      <c r="M118" s="313">
        <f t="shared" si="23"/>
        <v>1</v>
      </c>
      <c r="N118" s="1128"/>
      <c r="O118" s="313">
        <f t="shared" si="24"/>
        <v>1</v>
      </c>
      <c r="P118" s="1128"/>
      <c r="Q118" s="313">
        <f t="shared" si="25"/>
        <v>1</v>
      </c>
      <c r="R118" s="1124">
        <f t="shared" si="26"/>
        <v>0</v>
      </c>
      <c r="S118" s="698">
        <f t="shared" si="17"/>
        <v>0</v>
      </c>
    </row>
    <row r="119" spans="1:19">
      <c r="A119" s="491"/>
      <c r="B119" s="348"/>
      <c r="C119" s="313">
        <f t="shared" si="18"/>
        <v>1</v>
      </c>
      <c r="D119" s="1128"/>
      <c r="E119" s="313">
        <f t="shared" si="19"/>
        <v>1</v>
      </c>
      <c r="F119" s="1128"/>
      <c r="G119" s="313">
        <f t="shared" si="20"/>
        <v>1</v>
      </c>
      <c r="H119" s="1128"/>
      <c r="I119" s="313">
        <f t="shared" si="21"/>
        <v>1</v>
      </c>
      <c r="J119" s="1128"/>
      <c r="K119" s="313">
        <f t="shared" si="22"/>
        <v>1</v>
      </c>
      <c r="L119" s="1128"/>
      <c r="M119" s="313">
        <f t="shared" si="23"/>
        <v>1</v>
      </c>
      <c r="N119" s="1128"/>
      <c r="O119" s="313">
        <f t="shared" si="24"/>
        <v>1</v>
      </c>
      <c r="P119" s="1128"/>
      <c r="Q119" s="313">
        <f t="shared" si="25"/>
        <v>1</v>
      </c>
      <c r="R119" s="1124">
        <f t="shared" si="26"/>
        <v>0</v>
      </c>
      <c r="S119" s="698">
        <f t="shared" si="17"/>
        <v>0</v>
      </c>
    </row>
    <row r="120" spans="1:19">
      <c r="A120" s="491"/>
      <c r="B120" s="348"/>
      <c r="C120" s="313">
        <f t="shared" si="18"/>
        <v>1</v>
      </c>
      <c r="D120" s="1128"/>
      <c r="E120" s="313">
        <f t="shared" si="19"/>
        <v>1</v>
      </c>
      <c r="F120" s="1128"/>
      <c r="G120" s="313">
        <f t="shared" si="20"/>
        <v>1</v>
      </c>
      <c r="H120" s="1128"/>
      <c r="I120" s="313">
        <f t="shared" si="21"/>
        <v>1</v>
      </c>
      <c r="J120" s="1128"/>
      <c r="K120" s="313">
        <f t="shared" si="22"/>
        <v>1</v>
      </c>
      <c r="L120" s="1128"/>
      <c r="M120" s="313">
        <f t="shared" si="23"/>
        <v>1</v>
      </c>
      <c r="N120" s="1128"/>
      <c r="O120" s="313">
        <f t="shared" si="24"/>
        <v>1</v>
      </c>
      <c r="P120" s="1128"/>
      <c r="Q120" s="313">
        <f t="shared" si="25"/>
        <v>1</v>
      </c>
      <c r="R120" s="1124">
        <f t="shared" si="26"/>
        <v>0</v>
      </c>
      <c r="S120" s="698">
        <f t="shared" si="17"/>
        <v>0</v>
      </c>
    </row>
    <row r="121" spans="1:19">
      <c r="A121" s="491"/>
      <c r="B121" s="348"/>
      <c r="C121" s="313">
        <f t="shared" si="18"/>
        <v>1</v>
      </c>
      <c r="D121" s="1128"/>
      <c r="E121" s="313">
        <f t="shared" si="19"/>
        <v>1</v>
      </c>
      <c r="F121" s="1128"/>
      <c r="G121" s="313">
        <f t="shared" si="20"/>
        <v>1</v>
      </c>
      <c r="H121" s="1128"/>
      <c r="I121" s="313">
        <f t="shared" si="21"/>
        <v>1</v>
      </c>
      <c r="J121" s="1128"/>
      <c r="K121" s="313">
        <f t="shared" si="22"/>
        <v>1</v>
      </c>
      <c r="L121" s="1128"/>
      <c r="M121" s="313">
        <f t="shared" si="23"/>
        <v>1</v>
      </c>
      <c r="N121" s="1128"/>
      <c r="O121" s="313">
        <f t="shared" si="24"/>
        <v>1</v>
      </c>
      <c r="P121" s="1128"/>
      <c r="Q121" s="313">
        <f t="shared" si="25"/>
        <v>1</v>
      </c>
      <c r="R121" s="1124">
        <f t="shared" si="26"/>
        <v>0</v>
      </c>
      <c r="S121" s="698">
        <f t="shared" si="17"/>
        <v>0</v>
      </c>
    </row>
    <row r="122" spans="1:19">
      <c r="A122" s="491"/>
      <c r="B122" s="348"/>
      <c r="C122" s="313">
        <f t="shared" si="18"/>
        <v>1</v>
      </c>
      <c r="D122" s="1128"/>
      <c r="E122" s="313">
        <f t="shared" si="19"/>
        <v>1</v>
      </c>
      <c r="F122" s="1128"/>
      <c r="G122" s="313">
        <f t="shared" si="20"/>
        <v>1</v>
      </c>
      <c r="H122" s="1128"/>
      <c r="I122" s="313">
        <f t="shared" si="21"/>
        <v>1</v>
      </c>
      <c r="J122" s="1128"/>
      <c r="K122" s="313">
        <f t="shared" si="22"/>
        <v>1</v>
      </c>
      <c r="L122" s="1128"/>
      <c r="M122" s="313">
        <f t="shared" si="23"/>
        <v>1</v>
      </c>
      <c r="N122" s="1128"/>
      <c r="O122" s="313">
        <f t="shared" si="24"/>
        <v>1</v>
      </c>
      <c r="P122" s="1128"/>
      <c r="Q122" s="313">
        <f t="shared" si="25"/>
        <v>1</v>
      </c>
      <c r="R122" s="1124">
        <f t="shared" si="26"/>
        <v>0</v>
      </c>
      <c r="S122" s="698">
        <f t="shared" si="17"/>
        <v>0</v>
      </c>
    </row>
    <row r="123" spans="1:19">
      <c r="A123" s="491"/>
      <c r="B123" s="348"/>
      <c r="C123" s="313">
        <f t="shared" si="18"/>
        <v>1</v>
      </c>
      <c r="D123" s="1128"/>
      <c r="E123" s="313">
        <f t="shared" si="19"/>
        <v>1</v>
      </c>
      <c r="F123" s="1128"/>
      <c r="G123" s="313">
        <f t="shared" si="20"/>
        <v>1</v>
      </c>
      <c r="H123" s="1128"/>
      <c r="I123" s="313">
        <f t="shared" si="21"/>
        <v>1</v>
      </c>
      <c r="J123" s="1128"/>
      <c r="K123" s="313">
        <f t="shared" si="22"/>
        <v>1</v>
      </c>
      <c r="L123" s="1128"/>
      <c r="M123" s="313">
        <f t="shared" si="23"/>
        <v>1</v>
      </c>
      <c r="N123" s="1128"/>
      <c r="O123" s="313">
        <f t="shared" si="24"/>
        <v>1</v>
      </c>
      <c r="P123" s="1128"/>
      <c r="Q123" s="313">
        <f t="shared" si="25"/>
        <v>1</v>
      </c>
      <c r="R123" s="1124">
        <f t="shared" si="26"/>
        <v>0</v>
      </c>
      <c r="S123" s="698">
        <f t="shared" ref="S123:S186" si="27">ROUND(R123*B123/10000,0)</f>
        <v>0</v>
      </c>
    </row>
    <row r="124" spans="1:19">
      <c r="A124" s="491"/>
      <c r="B124" s="348"/>
      <c r="C124" s="313">
        <f t="shared" si="18"/>
        <v>1</v>
      </c>
      <c r="D124" s="1128"/>
      <c r="E124" s="313">
        <f t="shared" si="19"/>
        <v>1</v>
      </c>
      <c r="F124" s="1128"/>
      <c r="G124" s="313">
        <f t="shared" si="20"/>
        <v>1</v>
      </c>
      <c r="H124" s="1128"/>
      <c r="I124" s="313">
        <f t="shared" si="21"/>
        <v>1</v>
      </c>
      <c r="J124" s="1128"/>
      <c r="K124" s="313">
        <f t="shared" si="22"/>
        <v>1</v>
      </c>
      <c r="L124" s="1128"/>
      <c r="M124" s="313">
        <f t="shared" si="23"/>
        <v>1</v>
      </c>
      <c r="N124" s="1128"/>
      <c r="O124" s="313">
        <f t="shared" si="24"/>
        <v>1</v>
      </c>
      <c r="P124" s="1128"/>
      <c r="Q124" s="313">
        <f t="shared" si="25"/>
        <v>1</v>
      </c>
      <c r="R124" s="1124">
        <f t="shared" si="26"/>
        <v>0</v>
      </c>
      <c r="S124" s="698">
        <f t="shared" si="27"/>
        <v>0</v>
      </c>
    </row>
    <row r="125" spans="1:19">
      <c r="A125" s="491"/>
      <c r="B125" s="348"/>
      <c r="C125" s="313">
        <f t="shared" si="18"/>
        <v>1</v>
      </c>
      <c r="D125" s="1128"/>
      <c r="E125" s="313">
        <f t="shared" si="19"/>
        <v>1</v>
      </c>
      <c r="F125" s="1128"/>
      <c r="G125" s="313">
        <f t="shared" si="20"/>
        <v>1</v>
      </c>
      <c r="H125" s="1128"/>
      <c r="I125" s="313">
        <f t="shared" si="21"/>
        <v>1</v>
      </c>
      <c r="J125" s="1128"/>
      <c r="K125" s="313">
        <f t="shared" si="22"/>
        <v>1</v>
      </c>
      <c r="L125" s="1128"/>
      <c r="M125" s="313">
        <f t="shared" si="23"/>
        <v>1</v>
      </c>
      <c r="N125" s="1128"/>
      <c r="O125" s="313">
        <f t="shared" si="24"/>
        <v>1</v>
      </c>
      <c r="P125" s="1128"/>
      <c r="Q125" s="313">
        <f t="shared" si="25"/>
        <v>1</v>
      </c>
      <c r="R125" s="1124">
        <f t="shared" si="26"/>
        <v>0</v>
      </c>
      <c r="S125" s="698">
        <f t="shared" si="27"/>
        <v>0</v>
      </c>
    </row>
    <row r="126" spans="1:19">
      <c r="A126" s="491"/>
      <c r="B126" s="348"/>
      <c r="C126" s="313">
        <f t="shared" si="18"/>
        <v>1</v>
      </c>
      <c r="D126" s="1128"/>
      <c r="E126" s="313">
        <f t="shared" si="19"/>
        <v>1</v>
      </c>
      <c r="F126" s="1128"/>
      <c r="G126" s="313">
        <f t="shared" si="20"/>
        <v>1</v>
      </c>
      <c r="H126" s="1128"/>
      <c r="I126" s="313">
        <f t="shared" si="21"/>
        <v>1</v>
      </c>
      <c r="J126" s="1128"/>
      <c r="K126" s="313">
        <f t="shared" si="22"/>
        <v>1</v>
      </c>
      <c r="L126" s="1128"/>
      <c r="M126" s="313">
        <f t="shared" si="23"/>
        <v>1</v>
      </c>
      <c r="N126" s="1128"/>
      <c r="O126" s="313">
        <f t="shared" si="24"/>
        <v>1</v>
      </c>
      <c r="P126" s="1128"/>
      <c r="Q126" s="313">
        <f t="shared" si="25"/>
        <v>1</v>
      </c>
      <c r="R126" s="1124">
        <f t="shared" si="26"/>
        <v>0</v>
      </c>
      <c r="S126" s="698">
        <f t="shared" si="27"/>
        <v>0</v>
      </c>
    </row>
    <row r="127" spans="1:19">
      <c r="A127" s="491"/>
      <c r="B127" s="348"/>
      <c r="C127" s="313">
        <f t="shared" si="18"/>
        <v>1</v>
      </c>
      <c r="D127" s="1128"/>
      <c r="E127" s="313">
        <f t="shared" si="19"/>
        <v>1</v>
      </c>
      <c r="F127" s="1128"/>
      <c r="G127" s="313">
        <f t="shared" si="20"/>
        <v>1</v>
      </c>
      <c r="H127" s="1128"/>
      <c r="I127" s="313">
        <f t="shared" si="21"/>
        <v>1</v>
      </c>
      <c r="J127" s="1128"/>
      <c r="K127" s="313">
        <f t="shared" si="22"/>
        <v>1</v>
      </c>
      <c r="L127" s="1128"/>
      <c r="M127" s="313">
        <f t="shared" si="23"/>
        <v>1</v>
      </c>
      <c r="N127" s="1128"/>
      <c r="O127" s="313">
        <f t="shared" si="24"/>
        <v>1</v>
      </c>
      <c r="P127" s="1128"/>
      <c r="Q127" s="313">
        <f t="shared" si="25"/>
        <v>1</v>
      </c>
      <c r="R127" s="1124">
        <f t="shared" si="26"/>
        <v>0</v>
      </c>
      <c r="S127" s="698">
        <f t="shared" si="27"/>
        <v>0</v>
      </c>
    </row>
    <row r="128" spans="1:19">
      <c r="A128" s="491"/>
      <c r="B128" s="348"/>
      <c r="C128" s="313">
        <f t="shared" si="18"/>
        <v>1</v>
      </c>
      <c r="D128" s="1128"/>
      <c r="E128" s="313">
        <f t="shared" si="19"/>
        <v>1</v>
      </c>
      <c r="F128" s="1128"/>
      <c r="G128" s="313">
        <f t="shared" si="20"/>
        <v>1</v>
      </c>
      <c r="H128" s="1128"/>
      <c r="I128" s="313">
        <f t="shared" si="21"/>
        <v>1</v>
      </c>
      <c r="J128" s="1128"/>
      <c r="K128" s="313">
        <f t="shared" si="22"/>
        <v>1</v>
      </c>
      <c r="L128" s="1128"/>
      <c r="M128" s="313">
        <f t="shared" si="23"/>
        <v>1</v>
      </c>
      <c r="N128" s="1128"/>
      <c r="O128" s="313">
        <f t="shared" si="24"/>
        <v>1</v>
      </c>
      <c r="P128" s="1128"/>
      <c r="Q128" s="313">
        <f t="shared" si="25"/>
        <v>1</v>
      </c>
      <c r="R128" s="1124">
        <f t="shared" si="26"/>
        <v>0</v>
      </c>
      <c r="S128" s="698">
        <f t="shared" si="27"/>
        <v>0</v>
      </c>
    </row>
    <row r="129" spans="1:19">
      <c r="A129" s="491"/>
      <c r="B129" s="348"/>
      <c r="C129" s="313">
        <f t="shared" si="18"/>
        <v>1</v>
      </c>
      <c r="D129" s="1128"/>
      <c r="E129" s="313">
        <f t="shared" si="19"/>
        <v>1</v>
      </c>
      <c r="F129" s="1128"/>
      <c r="G129" s="313">
        <f t="shared" si="20"/>
        <v>1</v>
      </c>
      <c r="H129" s="1128"/>
      <c r="I129" s="313">
        <f t="shared" si="21"/>
        <v>1</v>
      </c>
      <c r="J129" s="1128"/>
      <c r="K129" s="313">
        <f t="shared" si="22"/>
        <v>1</v>
      </c>
      <c r="L129" s="1128"/>
      <c r="M129" s="313">
        <f t="shared" si="23"/>
        <v>1</v>
      </c>
      <c r="N129" s="1128"/>
      <c r="O129" s="313">
        <f t="shared" si="24"/>
        <v>1</v>
      </c>
      <c r="P129" s="1128"/>
      <c r="Q129" s="313">
        <f t="shared" si="25"/>
        <v>1</v>
      </c>
      <c r="R129" s="1124">
        <f t="shared" si="26"/>
        <v>0</v>
      </c>
      <c r="S129" s="698">
        <f t="shared" si="27"/>
        <v>0</v>
      </c>
    </row>
    <row r="130" spans="1:19">
      <c r="A130" s="491"/>
      <c r="B130" s="348"/>
      <c r="C130" s="313">
        <f t="shared" si="18"/>
        <v>1</v>
      </c>
      <c r="D130" s="1128"/>
      <c r="E130" s="313">
        <f t="shared" si="19"/>
        <v>1</v>
      </c>
      <c r="F130" s="1128"/>
      <c r="G130" s="313">
        <f t="shared" si="20"/>
        <v>1</v>
      </c>
      <c r="H130" s="1128"/>
      <c r="I130" s="313">
        <f t="shared" si="21"/>
        <v>1</v>
      </c>
      <c r="J130" s="1128"/>
      <c r="K130" s="313">
        <f t="shared" si="22"/>
        <v>1</v>
      </c>
      <c r="L130" s="1128"/>
      <c r="M130" s="313">
        <f t="shared" si="23"/>
        <v>1</v>
      </c>
      <c r="N130" s="1128"/>
      <c r="O130" s="313">
        <f t="shared" si="24"/>
        <v>1</v>
      </c>
      <c r="P130" s="1128"/>
      <c r="Q130" s="313">
        <f t="shared" si="25"/>
        <v>1</v>
      </c>
      <c r="R130" s="1124">
        <f t="shared" si="26"/>
        <v>0</v>
      </c>
      <c r="S130" s="698">
        <f t="shared" si="27"/>
        <v>0</v>
      </c>
    </row>
    <row r="131" spans="1:19">
      <c r="A131" s="491"/>
      <c r="B131" s="348"/>
      <c r="C131" s="313">
        <f t="shared" si="18"/>
        <v>1</v>
      </c>
      <c r="D131" s="1128"/>
      <c r="E131" s="313">
        <f t="shared" si="19"/>
        <v>1</v>
      </c>
      <c r="F131" s="1128"/>
      <c r="G131" s="313">
        <f t="shared" si="20"/>
        <v>1</v>
      </c>
      <c r="H131" s="1128"/>
      <c r="I131" s="313">
        <f t="shared" si="21"/>
        <v>1</v>
      </c>
      <c r="J131" s="1128"/>
      <c r="K131" s="313">
        <f t="shared" si="22"/>
        <v>1</v>
      </c>
      <c r="L131" s="1128"/>
      <c r="M131" s="313">
        <f t="shared" si="23"/>
        <v>1</v>
      </c>
      <c r="N131" s="1128"/>
      <c r="O131" s="313">
        <f t="shared" si="24"/>
        <v>1</v>
      </c>
      <c r="P131" s="1128"/>
      <c r="Q131" s="313">
        <f t="shared" si="25"/>
        <v>1</v>
      </c>
      <c r="R131" s="1124">
        <f t="shared" si="26"/>
        <v>0</v>
      </c>
      <c r="S131" s="698">
        <f t="shared" si="27"/>
        <v>0</v>
      </c>
    </row>
    <row r="132" spans="1:19">
      <c r="A132" s="491"/>
      <c r="B132" s="348"/>
      <c r="C132" s="313">
        <f t="shared" si="18"/>
        <v>1</v>
      </c>
      <c r="D132" s="1128"/>
      <c r="E132" s="313">
        <f t="shared" si="19"/>
        <v>1</v>
      </c>
      <c r="F132" s="1128"/>
      <c r="G132" s="313">
        <f t="shared" si="20"/>
        <v>1</v>
      </c>
      <c r="H132" s="1128"/>
      <c r="I132" s="313">
        <f t="shared" si="21"/>
        <v>1</v>
      </c>
      <c r="J132" s="1128"/>
      <c r="K132" s="313">
        <f t="shared" si="22"/>
        <v>1</v>
      </c>
      <c r="L132" s="1128"/>
      <c r="M132" s="313">
        <f t="shared" si="23"/>
        <v>1</v>
      </c>
      <c r="N132" s="1128"/>
      <c r="O132" s="313">
        <f t="shared" si="24"/>
        <v>1</v>
      </c>
      <c r="P132" s="1128"/>
      <c r="Q132" s="313">
        <f t="shared" si="25"/>
        <v>1</v>
      </c>
      <c r="R132" s="1124">
        <f t="shared" si="26"/>
        <v>0</v>
      </c>
      <c r="S132" s="698">
        <f t="shared" si="27"/>
        <v>0</v>
      </c>
    </row>
    <row r="133" spans="1:19">
      <c r="A133" s="491"/>
      <c r="B133" s="348"/>
      <c r="C133" s="313">
        <f t="shared" si="18"/>
        <v>1</v>
      </c>
      <c r="D133" s="1128"/>
      <c r="E133" s="313">
        <f t="shared" si="19"/>
        <v>1</v>
      </c>
      <c r="F133" s="1128"/>
      <c r="G133" s="313">
        <f t="shared" si="20"/>
        <v>1</v>
      </c>
      <c r="H133" s="1128"/>
      <c r="I133" s="313">
        <f t="shared" si="21"/>
        <v>1</v>
      </c>
      <c r="J133" s="1128"/>
      <c r="K133" s="313">
        <f t="shared" si="22"/>
        <v>1</v>
      </c>
      <c r="L133" s="1128"/>
      <c r="M133" s="313">
        <f t="shared" si="23"/>
        <v>1</v>
      </c>
      <c r="N133" s="1128"/>
      <c r="O133" s="313">
        <f t="shared" si="24"/>
        <v>1</v>
      </c>
      <c r="P133" s="1128"/>
      <c r="Q133" s="313">
        <f t="shared" si="25"/>
        <v>1</v>
      </c>
      <c r="R133" s="1124">
        <f t="shared" si="26"/>
        <v>0</v>
      </c>
      <c r="S133" s="698">
        <f t="shared" si="27"/>
        <v>0</v>
      </c>
    </row>
    <row r="134" spans="1:19">
      <c r="A134" s="491"/>
      <c r="B134" s="348"/>
      <c r="C134" s="313">
        <f t="shared" si="18"/>
        <v>1</v>
      </c>
      <c r="D134" s="1128"/>
      <c r="E134" s="313">
        <f t="shared" si="19"/>
        <v>1</v>
      </c>
      <c r="F134" s="1128"/>
      <c r="G134" s="313">
        <f t="shared" si="20"/>
        <v>1</v>
      </c>
      <c r="H134" s="1128"/>
      <c r="I134" s="313">
        <f t="shared" si="21"/>
        <v>1</v>
      </c>
      <c r="J134" s="1128"/>
      <c r="K134" s="313">
        <f t="shared" si="22"/>
        <v>1</v>
      </c>
      <c r="L134" s="1128"/>
      <c r="M134" s="313">
        <f t="shared" si="23"/>
        <v>1</v>
      </c>
      <c r="N134" s="1128"/>
      <c r="O134" s="313">
        <f t="shared" si="24"/>
        <v>1</v>
      </c>
      <c r="P134" s="1128"/>
      <c r="Q134" s="313">
        <f t="shared" si="25"/>
        <v>1</v>
      </c>
      <c r="R134" s="1124">
        <f t="shared" si="26"/>
        <v>0</v>
      </c>
      <c r="S134" s="698">
        <f t="shared" si="27"/>
        <v>0</v>
      </c>
    </row>
    <row r="135" spans="1:19">
      <c r="A135" s="491"/>
      <c r="B135" s="348"/>
      <c r="C135" s="313">
        <f t="shared" si="18"/>
        <v>1</v>
      </c>
      <c r="D135" s="1128"/>
      <c r="E135" s="313">
        <f t="shared" si="19"/>
        <v>1</v>
      </c>
      <c r="F135" s="1128"/>
      <c r="G135" s="313">
        <f t="shared" si="20"/>
        <v>1</v>
      </c>
      <c r="H135" s="1128"/>
      <c r="I135" s="313">
        <f t="shared" si="21"/>
        <v>1</v>
      </c>
      <c r="J135" s="1128"/>
      <c r="K135" s="313">
        <f t="shared" si="22"/>
        <v>1</v>
      </c>
      <c r="L135" s="1128"/>
      <c r="M135" s="313">
        <f t="shared" si="23"/>
        <v>1</v>
      </c>
      <c r="N135" s="1128"/>
      <c r="O135" s="313">
        <f t="shared" si="24"/>
        <v>1</v>
      </c>
      <c r="P135" s="1128"/>
      <c r="Q135" s="313">
        <f t="shared" si="25"/>
        <v>1</v>
      </c>
      <c r="R135" s="1124">
        <f t="shared" si="26"/>
        <v>0</v>
      </c>
      <c r="S135" s="698">
        <f t="shared" si="27"/>
        <v>0</v>
      </c>
    </row>
    <row r="136" spans="1:19">
      <c r="A136" s="491"/>
      <c r="B136" s="348"/>
      <c r="C136" s="313">
        <f t="shared" si="18"/>
        <v>1</v>
      </c>
      <c r="D136" s="1128"/>
      <c r="E136" s="313">
        <f t="shared" si="19"/>
        <v>1</v>
      </c>
      <c r="F136" s="1128"/>
      <c r="G136" s="313">
        <f t="shared" si="20"/>
        <v>1</v>
      </c>
      <c r="H136" s="1128"/>
      <c r="I136" s="313">
        <f t="shared" si="21"/>
        <v>1</v>
      </c>
      <c r="J136" s="1128"/>
      <c r="K136" s="313">
        <f t="shared" si="22"/>
        <v>1</v>
      </c>
      <c r="L136" s="1128"/>
      <c r="M136" s="313">
        <f t="shared" si="23"/>
        <v>1</v>
      </c>
      <c r="N136" s="1128"/>
      <c r="O136" s="313">
        <f t="shared" si="24"/>
        <v>1</v>
      </c>
      <c r="P136" s="1128"/>
      <c r="Q136" s="313">
        <f t="shared" si="25"/>
        <v>1</v>
      </c>
      <c r="R136" s="1124">
        <f t="shared" si="26"/>
        <v>0</v>
      </c>
      <c r="S136" s="698">
        <f t="shared" si="27"/>
        <v>0</v>
      </c>
    </row>
    <row r="137" spans="1:19">
      <c r="A137" s="491"/>
      <c r="B137" s="348"/>
      <c r="C137" s="313">
        <f t="shared" si="18"/>
        <v>1</v>
      </c>
      <c r="D137" s="1128"/>
      <c r="E137" s="313">
        <f t="shared" si="19"/>
        <v>1</v>
      </c>
      <c r="F137" s="1128"/>
      <c r="G137" s="313">
        <f t="shared" si="20"/>
        <v>1</v>
      </c>
      <c r="H137" s="1128"/>
      <c r="I137" s="313">
        <f t="shared" si="21"/>
        <v>1</v>
      </c>
      <c r="J137" s="1128"/>
      <c r="K137" s="313">
        <f t="shared" si="22"/>
        <v>1</v>
      </c>
      <c r="L137" s="1128"/>
      <c r="M137" s="313">
        <f t="shared" si="23"/>
        <v>1</v>
      </c>
      <c r="N137" s="1128"/>
      <c r="O137" s="313">
        <f t="shared" si="24"/>
        <v>1</v>
      </c>
      <c r="P137" s="1128"/>
      <c r="Q137" s="313">
        <f t="shared" si="25"/>
        <v>1</v>
      </c>
      <c r="R137" s="1124">
        <f t="shared" si="26"/>
        <v>0</v>
      </c>
      <c r="S137" s="698">
        <f t="shared" si="27"/>
        <v>0</v>
      </c>
    </row>
    <row r="138" spans="1:19">
      <c r="A138" s="491"/>
      <c r="B138" s="348"/>
      <c r="C138" s="313">
        <f t="shared" si="18"/>
        <v>1</v>
      </c>
      <c r="D138" s="1128"/>
      <c r="E138" s="313">
        <f t="shared" si="19"/>
        <v>1</v>
      </c>
      <c r="F138" s="1128"/>
      <c r="G138" s="313">
        <f t="shared" si="20"/>
        <v>1</v>
      </c>
      <c r="H138" s="1128"/>
      <c r="I138" s="313">
        <f t="shared" si="21"/>
        <v>1</v>
      </c>
      <c r="J138" s="1128"/>
      <c r="K138" s="313">
        <f t="shared" si="22"/>
        <v>1</v>
      </c>
      <c r="L138" s="1128"/>
      <c r="M138" s="313">
        <f t="shared" si="23"/>
        <v>1</v>
      </c>
      <c r="N138" s="1128"/>
      <c r="O138" s="313">
        <f t="shared" si="24"/>
        <v>1</v>
      </c>
      <c r="P138" s="1128"/>
      <c r="Q138" s="313">
        <f t="shared" si="25"/>
        <v>1</v>
      </c>
      <c r="R138" s="1124">
        <f t="shared" si="26"/>
        <v>0</v>
      </c>
      <c r="S138" s="698">
        <f t="shared" si="27"/>
        <v>0</v>
      </c>
    </row>
    <row r="139" spans="1:19">
      <c r="A139" s="491"/>
      <c r="B139" s="348"/>
      <c r="C139" s="313">
        <f t="shared" si="18"/>
        <v>1</v>
      </c>
      <c r="D139" s="1128"/>
      <c r="E139" s="313">
        <f t="shared" si="19"/>
        <v>1</v>
      </c>
      <c r="F139" s="1128"/>
      <c r="G139" s="313">
        <f t="shared" si="20"/>
        <v>1</v>
      </c>
      <c r="H139" s="1128"/>
      <c r="I139" s="313">
        <f t="shared" si="21"/>
        <v>1</v>
      </c>
      <c r="J139" s="1128"/>
      <c r="K139" s="313">
        <f t="shared" si="22"/>
        <v>1</v>
      </c>
      <c r="L139" s="1128"/>
      <c r="M139" s="313">
        <f t="shared" si="23"/>
        <v>1</v>
      </c>
      <c r="N139" s="1128"/>
      <c r="O139" s="313">
        <f t="shared" si="24"/>
        <v>1</v>
      </c>
      <c r="P139" s="1128"/>
      <c r="Q139" s="313">
        <f t="shared" si="25"/>
        <v>1</v>
      </c>
      <c r="R139" s="1124">
        <f t="shared" si="26"/>
        <v>0</v>
      </c>
      <c r="S139" s="698">
        <f t="shared" si="27"/>
        <v>0</v>
      </c>
    </row>
    <row r="140" spans="1:19">
      <c r="A140" s="491"/>
      <c r="B140" s="348"/>
      <c r="C140" s="313">
        <f t="shared" si="18"/>
        <v>1</v>
      </c>
      <c r="D140" s="1128"/>
      <c r="E140" s="313">
        <f t="shared" si="19"/>
        <v>1</v>
      </c>
      <c r="F140" s="1128"/>
      <c r="G140" s="313">
        <f t="shared" si="20"/>
        <v>1</v>
      </c>
      <c r="H140" s="1128"/>
      <c r="I140" s="313">
        <f t="shared" si="21"/>
        <v>1</v>
      </c>
      <c r="J140" s="1128"/>
      <c r="K140" s="313">
        <f t="shared" si="22"/>
        <v>1</v>
      </c>
      <c r="L140" s="1128"/>
      <c r="M140" s="313">
        <f t="shared" si="23"/>
        <v>1</v>
      </c>
      <c r="N140" s="1128"/>
      <c r="O140" s="313">
        <f t="shared" si="24"/>
        <v>1</v>
      </c>
      <c r="P140" s="1128"/>
      <c r="Q140" s="313">
        <f t="shared" si="25"/>
        <v>1</v>
      </c>
      <c r="R140" s="1124">
        <f t="shared" si="26"/>
        <v>0</v>
      </c>
      <c r="S140" s="698">
        <f t="shared" si="27"/>
        <v>0</v>
      </c>
    </row>
    <row r="141" spans="1:19">
      <c r="A141" s="491"/>
      <c r="B141" s="348"/>
      <c r="C141" s="313">
        <f t="shared" si="18"/>
        <v>1</v>
      </c>
      <c r="D141" s="1128"/>
      <c r="E141" s="313">
        <f t="shared" si="19"/>
        <v>1</v>
      </c>
      <c r="F141" s="1128"/>
      <c r="G141" s="313">
        <f t="shared" si="20"/>
        <v>1</v>
      </c>
      <c r="H141" s="1128"/>
      <c r="I141" s="313">
        <f t="shared" si="21"/>
        <v>1</v>
      </c>
      <c r="J141" s="1128"/>
      <c r="K141" s="313">
        <f t="shared" si="22"/>
        <v>1</v>
      </c>
      <c r="L141" s="1128"/>
      <c r="M141" s="313">
        <f t="shared" si="23"/>
        <v>1</v>
      </c>
      <c r="N141" s="1128"/>
      <c r="O141" s="313">
        <f t="shared" si="24"/>
        <v>1</v>
      </c>
      <c r="P141" s="1128"/>
      <c r="Q141" s="313">
        <f t="shared" si="25"/>
        <v>1</v>
      </c>
      <c r="R141" s="1124">
        <f t="shared" si="26"/>
        <v>0</v>
      </c>
      <c r="S141" s="698">
        <f t="shared" si="27"/>
        <v>0</v>
      </c>
    </row>
    <row r="142" spans="1:19">
      <c r="A142" s="491"/>
      <c r="B142" s="348"/>
      <c r="C142" s="313">
        <f t="shared" si="18"/>
        <v>1</v>
      </c>
      <c r="D142" s="1128"/>
      <c r="E142" s="313">
        <f t="shared" si="19"/>
        <v>1</v>
      </c>
      <c r="F142" s="1128"/>
      <c r="G142" s="313">
        <f t="shared" si="20"/>
        <v>1</v>
      </c>
      <c r="H142" s="1128"/>
      <c r="I142" s="313">
        <f t="shared" si="21"/>
        <v>1</v>
      </c>
      <c r="J142" s="1128"/>
      <c r="K142" s="313">
        <f t="shared" si="22"/>
        <v>1</v>
      </c>
      <c r="L142" s="1128"/>
      <c r="M142" s="313">
        <f t="shared" si="23"/>
        <v>1</v>
      </c>
      <c r="N142" s="1128"/>
      <c r="O142" s="313">
        <f t="shared" si="24"/>
        <v>1</v>
      </c>
      <c r="P142" s="1128"/>
      <c r="Q142" s="313">
        <f t="shared" si="25"/>
        <v>1</v>
      </c>
      <c r="R142" s="1124">
        <f t="shared" si="26"/>
        <v>0</v>
      </c>
      <c r="S142" s="698">
        <f t="shared" si="27"/>
        <v>0</v>
      </c>
    </row>
    <row r="143" spans="1:19">
      <c r="A143" s="491"/>
      <c r="B143" s="348"/>
      <c r="C143" s="313">
        <f t="shared" si="18"/>
        <v>1</v>
      </c>
      <c r="D143" s="1128"/>
      <c r="E143" s="313">
        <f t="shared" si="19"/>
        <v>1</v>
      </c>
      <c r="F143" s="1128"/>
      <c r="G143" s="313">
        <f t="shared" si="20"/>
        <v>1</v>
      </c>
      <c r="H143" s="1128"/>
      <c r="I143" s="313">
        <f t="shared" si="21"/>
        <v>1</v>
      </c>
      <c r="J143" s="1128"/>
      <c r="K143" s="313">
        <f t="shared" si="22"/>
        <v>1</v>
      </c>
      <c r="L143" s="1128"/>
      <c r="M143" s="313">
        <f t="shared" si="23"/>
        <v>1</v>
      </c>
      <c r="N143" s="1128"/>
      <c r="O143" s="313">
        <f t="shared" si="24"/>
        <v>1</v>
      </c>
      <c r="P143" s="1128"/>
      <c r="Q143" s="313">
        <f t="shared" si="25"/>
        <v>1</v>
      </c>
      <c r="R143" s="1124">
        <f t="shared" si="26"/>
        <v>0</v>
      </c>
      <c r="S143" s="698">
        <f t="shared" si="27"/>
        <v>0</v>
      </c>
    </row>
    <row r="144" spans="1:19">
      <c r="A144" s="491"/>
      <c r="B144" s="348"/>
      <c r="C144" s="313">
        <f t="shared" si="18"/>
        <v>1</v>
      </c>
      <c r="D144" s="1128"/>
      <c r="E144" s="313">
        <f t="shared" si="19"/>
        <v>1</v>
      </c>
      <c r="F144" s="1128"/>
      <c r="G144" s="313">
        <f t="shared" si="20"/>
        <v>1</v>
      </c>
      <c r="H144" s="1128"/>
      <c r="I144" s="313">
        <f t="shared" si="21"/>
        <v>1</v>
      </c>
      <c r="J144" s="1128"/>
      <c r="K144" s="313">
        <f t="shared" si="22"/>
        <v>1</v>
      </c>
      <c r="L144" s="1128"/>
      <c r="M144" s="313">
        <f t="shared" si="23"/>
        <v>1</v>
      </c>
      <c r="N144" s="1128"/>
      <c r="O144" s="313">
        <f t="shared" si="24"/>
        <v>1</v>
      </c>
      <c r="P144" s="1128"/>
      <c r="Q144" s="313">
        <f t="shared" si="25"/>
        <v>1</v>
      </c>
      <c r="R144" s="1124">
        <f t="shared" si="26"/>
        <v>0</v>
      </c>
      <c r="S144" s="698">
        <f t="shared" si="27"/>
        <v>0</v>
      </c>
    </row>
    <row r="145" spans="1:19">
      <c r="A145" s="491"/>
      <c r="B145" s="348"/>
      <c r="C145" s="313">
        <f t="shared" si="18"/>
        <v>1</v>
      </c>
      <c r="D145" s="1128"/>
      <c r="E145" s="313">
        <f t="shared" si="19"/>
        <v>1</v>
      </c>
      <c r="F145" s="1128"/>
      <c r="G145" s="313">
        <f t="shared" si="20"/>
        <v>1</v>
      </c>
      <c r="H145" s="1128"/>
      <c r="I145" s="313">
        <f t="shared" si="21"/>
        <v>1</v>
      </c>
      <c r="J145" s="1128"/>
      <c r="K145" s="313">
        <f t="shared" si="22"/>
        <v>1</v>
      </c>
      <c r="L145" s="1128"/>
      <c r="M145" s="313">
        <f t="shared" si="23"/>
        <v>1</v>
      </c>
      <c r="N145" s="1128"/>
      <c r="O145" s="313">
        <f t="shared" si="24"/>
        <v>1</v>
      </c>
      <c r="P145" s="1128"/>
      <c r="Q145" s="313">
        <f t="shared" si="25"/>
        <v>1</v>
      </c>
      <c r="R145" s="1124">
        <f t="shared" si="26"/>
        <v>0</v>
      </c>
      <c r="S145" s="698">
        <f t="shared" si="27"/>
        <v>0</v>
      </c>
    </row>
    <row r="146" spans="1:19">
      <c r="A146" s="491"/>
      <c r="B146" s="348"/>
      <c r="C146" s="313">
        <f t="shared" si="18"/>
        <v>1</v>
      </c>
      <c r="D146" s="1128"/>
      <c r="E146" s="313">
        <f t="shared" si="19"/>
        <v>1</v>
      </c>
      <c r="F146" s="1128"/>
      <c r="G146" s="313">
        <f t="shared" si="20"/>
        <v>1</v>
      </c>
      <c r="H146" s="1128"/>
      <c r="I146" s="313">
        <f t="shared" si="21"/>
        <v>1</v>
      </c>
      <c r="J146" s="1128"/>
      <c r="K146" s="313">
        <f t="shared" si="22"/>
        <v>1</v>
      </c>
      <c r="L146" s="1128"/>
      <c r="M146" s="313">
        <f t="shared" si="23"/>
        <v>1</v>
      </c>
      <c r="N146" s="1128"/>
      <c r="O146" s="313">
        <f t="shared" si="24"/>
        <v>1</v>
      </c>
      <c r="P146" s="1128"/>
      <c r="Q146" s="313">
        <f t="shared" si="25"/>
        <v>1</v>
      </c>
      <c r="R146" s="1124">
        <f t="shared" si="26"/>
        <v>0</v>
      </c>
      <c r="S146" s="698">
        <f t="shared" si="27"/>
        <v>0</v>
      </c>
    </row>
    <row r="147" spans="1:19">
      <c r="A147" s="491"/>
      <c r="B147" s="348"/>
      <c r="C147" s="313">
        <f t="shared" si="18"/>
        <v>1</v>
      </c>
      <c r="D147" s="1128"/>
      <c r="E147" s="313">
        <f t="shared" si="19"/>
        <v>1</v>
      </c>
      <c r="F147" s="1128"/>
      <c r="G147" s="313">
        <f t="shared" si="20"/>
        <v>1</v>
      </c>
      <c r="H147" s="1128"/>
      <c r="I147" s="313">
        <f t="shared" si="21"/>
        <v>1</v>
      </c>
      <c r="J147" s="1128"/>
      <c r="K147" s="313">
        <f t="shared" si="22"/>
        <v>1</v>
      </c>
      <c r="L147" s="1128"/>
      <c r="M147" s="313">
        <f t="shared" si="23"/>
        <v>1</v>
      </c>
      <c r="N147" s="1128"/>
      <c r="O147" s="313">
        <f t="shared" si="24"/>
        <v>1</v>
      </c>
      <c r="P147" s="1128"/>
      <c r="Q147" s="313">
        <f t="shared" si="25"/>
        <v>1</v>
      </c>
      <c r="R147" s="1124">
        <f t="shared" si="26"/>
        <v>0</v>
      </c>
      <c r="S147" s="698">
        <f t="shared" si="27"/>
        <v>0</v>
      </c>
    </row>
    <row r="148" spans="1:19">
      <c r="A148" s="491"/>
      <c r="B148" s="348"/>
      <c r="C148" s="313">
        <f t="shared" si="18"/>
        <v>1</v>
      </c>
      <c r="D148" s="1128"/>
      <c r="E148" s="313">
        <f t="shared" si="19"/>
        <v>1</v>
      </c>
      <c r="F148" s="1128"/>
      <c r="G148" s="313">
        <f t="shared" si="20"/>
        <v>1</v>
      </c>
      <c r="H148" s="1128"/>
      <c r="I148" s="313">
        <f t="shared" si="21"/>
        <v>1</v>
      </c>
      <c r="J148" s="1128"/>
      <c r="K148" s="313">
        <f t="shared" si="22"/>
        <v>1</v>
      </c>
      <c r="L148" s="1128"/>
      <c r="M148" s="313">
        <f t="shared" si="23"/>
        <v>1</v>
      </c>
      <c r="N148" s="1128"/>
      <c r="O148" s="313">
        <f t="shared" si="24"/>
        <v>1</v>
      </c>
      <c r="P148" s="1128"/>
      <c r="Q148" s="313">
        <f t="shared" si="25"/>
        <v>1</v>
      </c>
      <c r="R148" s="1124">
        <f t="shared" si="26"/>
        <v>0</v>
      </c>
      <c r="S148" s="698">
        <f t="shared" si="27"/>
        <v>0</v>
      </c>
    </row>
    <row r="149" spans="1:19">
      <c r="A149" s="491"/>
      <c r="B149" s="348"/>
      <c r="C149" s="313">
        <f t="shared" si="18"/>
        <v>1</v>
      </c>
      <c r="D149" s="1128"/>
      <c r="E149" s="313">
        <f t="shared" si="19"/>
        <v>1</v>
      </c>
      <c r="F149" s="1128"/>
      <c r="G149" s="313">
        <f t="shared" si="20"/>
        <v>1</v>
      </c>
      <c r="H149" s="1128"/>
      <c r="I149" s="313">
        <f t="shared" si="21"/>
        <v>1</v>
      </c>
      <c r="J149" s="1128"/>
      <c r="K149" s="313">
        <f t="shared" si="22"/>
        <v>1</v>
      </c>
      <c r="L149" s="1128"/>
      <c r="M149" s="313">
        <f t="shared" si="23"/>
        <v>1</v>
      </c>
      <c r="N149" s="1128"/>
      <c r="O149" s="313">
        <f t="shared" si="24"/>
        <v>1</v>
      </c>
      <c r="P149" s="1128"/>
      <c r="Q149" s="313">
        <f t="shared" si="25"/>
        <v>1</v>
      </c>
      <c r="R149" s="1124">
        <f t="shared" si="26"/>
        <v>0</v>
      </c>
      <c r="S149" s="698">
        <f t="shared" si="27"/>
        <v>0</v>
      </c>
    </row>
    <row r="150" spans="1:19">
      <c r="A150" s="491"/>
      <c r="B150" s="348"/>
      <c r="C150" s="313">
        <f t="shared" si="18"/>
        <v>1</v>
      </c>
      <c r="D150" s="1128"/>
      <c r="E150" s="313">
        <f t="shared" si="19"/>
        <v>1</v>
      </c>
      <c r="F150" s="1128"/>
      <c r="G150" s="313">
        <f t="shared" si="20"/>
        <v>1</v>
      </c>
      <c r="H150" s="1128"/>
      <c r="I150" s="313">
        <f t="shared" si="21"/>
        <v>1</v>
      </c>
      <c r="J150" s="1128"/>
      <c r="K150" s="313">
        <f t="shared" si="22"/>
        <v>1</v>
      </c>
      <c r="L150" s="1128"/>
      <c r="M150" s="313">
        <f t="shared" si="23"/>
        <v>1</v>
      </c>
      <c r="N150" s="1128"/>
      <c r="O150" s="313">
        <f t="shared" si="24"/>
        <v>1</v>
      </c>
      <c r="P150" s="1128"/>
      <c r="Q150" s="313">
        <f t="shared" si="25"/>
        <v>1</v>
      </c>
      <c r="R150" s="1124">
        <f t="shared" si="26"/>
        <v>0</v>
      </c>
      <c r="S150" s="698">
        <f t="shared" si="27"/>
        <v>0</v>
      </c>
    </row>
    <row r="151" spans="1:19">
      <c r="A151" s="491"/>
      <c r="B151" s="348"/>
      <c r="C151" s="313">
        <f t="shared" si="18"/>
        <v>1</v>
      </c>
      <c r="D151" s="1128"/>
      <c r="E151" s="313">
        <f t="shared" si="19"/>
        <v>1</v>
      </c>
      <c r="F151" s="1128"/>
      <c r="G151" s="313">
        <f t="shared" si="20"/>
        <v>1</v>
      </c>
      <c r="H151" s="1128"/>
      <c r="I151" s="313">
        <f t="shared" si="21"/>
        <v>1</v>
      </c>
      <c r="J151" s="1128"/>
      <c r="K151" s="313">
        <f t="shared" si="22"/>
        <v>1</v>
      </c>
      <c r="L151" s="1128"/>
      <c r="M151" s="313">
        <f t="shared" si="23"/>
        <v>1</v>
      </c>
      <c r="N151" s="1128"/>
      <c r="O151" s="313">
        <f t="shared" si="24"/>
        <v>1</v>
      </c>
      <c r="P151" s="1128"/>
      <c r="Q151" s="313">
        <f t="shared" si="25"/>
        <v>1</v>
      </c>
      <c r="R151" s="1124">
        <f t="shared" si="26"/>
        <v>0</v>
      </c>
      <c r="S151" s="698">
        <f t="shared" si="27"/>
        <v>0</v>
      </c>
    </row>
    <row r="152" spans="1:19">
      <c r="A152" s="491"/>
      <c r="B152" s="348"/>
      <c r="C152" s="313">
        <f t="shared" si="18"/>
        <v>1</v>
      </c>
      <c r="D152" s="1128"/>
      <c r="E152" s="313">
        <f t="shared" si="19"/>
        <v>1</v>
      </c>
      <c r="F152" s="1128"/>
      <c r="G152" s="313">
        <f t="shared" si="20"/>
        <v>1</v>
      </c>
      <c r="H152" s="1128"/>
      <c r="I152" s="313">
        <f t="shared" si="21"/>
        <v>1</v>
      </c>
      <c r="J152" s="1128"/>
      <c r="K152" s="313">
        <f t="shared" si="22"/>
        <v>1</v>
      </c>
      <c r="L152" s="1128"/>
      <c r="M152" s="313">
        <f t="shared" si="23"/>
        <v>1</v>
      </c>
      <c r="N152" s="1128"/>
      <c r="O152" s="313">
        <f t="shared" si="24"/>
        <v>1</v>
      </c>
      <c r="P152" s="1128"/>
      <c r="Q152" s="313">
        <f t="shared" si="25"/>
        <v>1</v>
      </c>
      <c r="R152" s="1124">
        <f t="shared" si="26"/>
        <v>0</v>
      </c>
      <c r="S152" s="698">
        <f t="shared" si="27"/>
        <v>0</v>
      </c>
    </row>
    <row r="153" spans="1:19">
      <c r="A153" s="491"/>
      <c r="B153" s="348"/>
      <c r="C153" s="313">
        <f t="shared" si="18"/>
        <v>1</v>
      </c>
      <c r="D153" s="1128"/>
      <c r="E153" s="313">
        <f t="shared" si="19"/>
        <v>1</v>
      </c>
      <c r="F153" s="1128"/>
      <c r="G153" s="313">
        <f t="shared" si="20"/>
        <v>1</v>
      </c>
      <c r="H153" s="1128"/>
      <c r="I153" s="313">
        <f t="shared" si="21"/>
        <v>1</v>
      </c>
      <c r="J153" s="1128"/>
      <c r="K153" s="313">
        <f t="shared" si="22"/>
        <v>1</v>
      </c>
      <c r="L153" s="1128"/>
      <c r="M153" s="313">
        <f t="shared" si="23"/>
        <v>1</v>
      </c>
      <c r="N153" s="1128"/>
      <c r="O153" s="313">
        <f t="shared" si="24"/>
        <v>1</v>
      </c>
      <c r="P153" s="1128"/>
      <c r="Q153" s="313">
        <f t="shared" si="25"/>
        <v>1</v>
      </c>
      <c r="R153" s="1124">
        <f t="shared" si="26"/>
        <v>0</v>
      </c>
      <c r="S153" s="698">
        <f t="shared" si="27"/>
        <v>0</v>
      </c>
    </row>
    <row r="154" spans="1:19">
      <c r="A154" s="491"/>
      <c r="B154" s="348"/>
      <c r="C154" s="313">
        <f t="shared" ref="C154:C217" si="28">IF(B154="",1,(LOOKUP(B154,$3:$3,$4:$4)-LOOKUP($B$24,$3:$3,$4:$4)+100)/100)</f>
        <v>1</v>
      </c>
      <c r="D154" s="1128"/>
      <c r="E154" s="313">
        <f t="shared" ref="E154:E217" si="29">(SUMIF($5:$5,D154,$6:$6)-SUMIF($5:$5,$D$24,$6:$6)+100)/100</f>
        <v>1</v>
      </c>
      <c r="F154" s="1128"/>
      <c r="G154" s="313">
        <f t="shared" ref="G154:G217" si="30">(SUMIF($7:$7,F154,$8:$8)-SUMIF($7:$7,$F$24,$8:$8)+100)/100</f>
        <v>1</v>
      </c>
      <c r="H154" s="1128"/>
      <c r="I154" s="313">
        <f t="shared" ref="I154:I217" si="31">(SUMIF($9:$9,H154,$10:$10)-SUMIF($9:$9,$H$24,$10:$10)+100)/100</f>
        <v>1</v>
      </c>
      <c r="J154" s="1128"/>
      <c r="K154" s="313">
        <f t="shared" ref="K154:K217" si="32">(SUMIF($11:$11,J154,$12:$12)-SUMIF($11:$11,$J$24,$12:$12)+100)/100</f>
        <v>1</v>
      </c>
      <c r="L154" s="1128"/>
      <c r="M154" s="313">
        <f t="shared" ref="M154:M217" si="33">(SUMIF($13:$13,L154,$14:$14)-SUMIF($13:$13,$L$24,$14:$14)+100)/100</f>
        <v>1</v>
      </c>
      <c r="N154" s="1128"/>
      <c r="O154" s="313">
        <f t="shared" ref="O154:O217" si="34">(SUMIF($15:$15,N154,$16:$16)-SUMIF($15:$15,$N$24,$16:$16)+100)/100</f>
        <v>1</v>
      </c>
      <c r="P154" s="1128"/>
      <c r="Q154" s="313">
        <f t="shared" ref="Q154:Q217" si="35">(SUMIF($17:$17,P154,$18:$18)-SUMIF($17:$17,$P$24,$18:$18)+100)/100</f>
        <v>1</v>
      </c>
      <c r="R154" s="1124">
        <f t="shared" ref="R154:R217" si="36">IF(B154="",0,ROUND($R$24*C154*E154*G154*I154*K154*M154*O154*Q154,0))</f>
        <v>0</v>
      </c>
      <c r="S154" s="698">
        <f t="shared" si="27"/>
        <v>0</v>
      </c>
    </row>
    <row r="155" spans="1:19">
      <c r="A155" s="491"/>
      <c r="B155" s="348"/>
      <c r="C155" s="313">
        <f t="shared" si="28"/>
        <v>1</v>
      </c>
      <c r="D155" s="1128"/>
      <c r="E155" s="313">
        <f t="shared" si="29"/>
        <v>1</v>
      </c>
      <c r="F155" s="1128"/>
      <c r="G155" s="313">
        <f t="shared" si="30"/>
        <v>1</v>
      </c>
      <c r="H155" s="1128"/>
      <c r="I155" s="313">
        <f t="shared" si="31"/>
        <v>1</v>
      </c>
      <c r="J155" s="1128"/>
      <c r="K155" s="313">
        <f t="shared" si="32"/>
        <v>1</v>
      </c>
      <c r="L155" s="1128"/>
      <c r="M155" s="313">
        <f t="shared" si="33"/>
        <v>1</v>
      </c>
      <c r="N155" s="1128"/>
      <c r="O155" s="313">
        <f t="shared" si="34"/>
        <v>1</v>
      </c>
      <c r="P155" s="1128"/>
      <c r="Q155" s="313">
        <f t="shared" si="35"/>
        <v>1</v>
      </c>
      <c r="R155" s="1124">
        <f t="shared" si="36"/>
        <v>0</v>
      </c>
      <c r="S155" s="698">
        <f t="shared" si="27"/>
        <v>0</v>
      </c>
    </row>
    <row r="156" spans="1:19">
      <c r="A156" s="491"/>
      <c r="B156" s="348"/>
      <c r="C156" s="313">
        <f t="shared" si="28"/>
        <v>1</v>
      </c>
      <c r="D156" s="1128"/>
      <c r="E156" s="313">
        <f t="shared" si="29"/>
        <v>1</v>
      </c>
      <c r="F156" s="1128"/>
      <c r="G156" s="313">
        <f t="shared" si="30"/>
        <v>1</v>
      </c>
      <c r="H156" s="1128"/>
      <c r="I156" s="313">
        <f t="shared" si="31"/>
        <v>1</v>
      </c>
      <c r="J156" s="1128"/>
      <c r="K156" s="313">
        <f t="shared" si="32"/>
        <v>1</v>
      </c>
      <c r="L156" s="1128"/>
      <c r="M156" s="313">
        <f t="shared" si="33"/>
        <v>1</v>
      </c>
      <c r="N156" s="1128"/>
      <c r="O156" s="313">
        <f t="shared" si="34"/>
        <v>1</v>
      </c>
      <c r="P156" s="1128"/>
      <c r="Q156" s="313">
        <f t="shared" si="35"/>
        <v>1</v>
      </c>
      <c r="R156" s="1124">
        <f t="shared" si="36"/>
        <v>0</v>
      </c>
      <c r="S156" s="698">
        <f t="shared" si="27"/>
        <v>0</v>
      </c>
    </row>
    <row r="157" spans="1:19">
      <c r="A157" s="491"/>
      <c r="B157" s="348"/>
      <c r="C157" s="313">
        <f t="shared" si="28"/>
        <v>1</v>
      </c>
      <c r="D157" s="1128"/>
      <c r="E157" s="313">
        <f t="shared" si="29"/>
        <v>1</v>
      </c>
      <c r="F157" s="1128"/>
      <c r="G157" s="313">
        <f t="shared" si="30"/>
        <v>1</v>
      </c>
      <c r="H157" s="1128"/>
      <c r="I157" s="313">
        <f t="shared" si="31"/>
        <v>1</v>
      </c>
      <c r="J157" s="1128"/>
      <c r="K157" s="313">
        <f t="shared" si="32"/>
        <v>1</v>
      </c>
      <c r="L157" s="1128"/>
      <c r="M157" s="313">
        <f t="shared" si="33"/>
        <v>1</v>
      </c>
      <c r="N157" s="1128"/>
      <c r="O157" s="313">
        <f t="shared" si="34"/>
        <v>1</v>
      </c>
      <c r="P157" s="1128"/>
      <c r="Q157" s="313">
        <f t="shared" si="35"/>
        <v>1</v>
      </c>
      <c r="R157" s="1124">
        <f t="shared" si="36"/>
        <v>0</v>
      </c>
      <c r="S157" s="698">
        <f t="shared" si="27"/>
        <v>0</v>
      </c>
    </row>
    <row r="158" spans="1:19">
      <c r="A158" s="491"/>
      <c r="B158" s="348"/>
      <c r="C158" s="313">
        <f t="shared" si="28"/>
        <v>1</v>
      </c>
      <c r="D158" s="1128"/>
      <c r="E158" s="313">
        <f t="shared" si="29"/>
        <v>1</v>
      </c>
      <c r="F158" s="1128"/>
      <c r="G158" s="313">
        <f t="shared" si="30"/>
        <v>1</v>
      </c>
      <c r="H158" s="1128"/>
      <c r="I158" s="313">
        <f t="shared" si="31"/>
        <v>1</v>
      </c>
      <c r="J158" s="1128"/>
      <c r="K158" s="313">
        <f t="shared" si="32"/>
        <v>1</v>
      </c>
      <c r="L158" s="1128"/>
      <c r="M158" s="313">
        <f t="shared" si="33"/>
        <v>1</v>
      </c>
      <c r="N158" s="1128"/>
      <c r="O158" s="313">
        <f t="shared" si="34"/>
        <v>1</v>
      </c>
      <c r="P158" s="1128"/>
      <c r="Q158" s="313">
        <f t="shared" si="35"/>
        <v>1</v>
      </c>
      <c r="R158" s="1124">
        <f t="shared" si="36"/>
        <v>0</v>
      </c>
      <c r="S158" s="698">
        <f t="shared" si="27"/>
        <v>0</v>
      </c>
    </row>
    <row r="159" spans="1:19">
      <c r="A159" s="491"/>
      <c r="B159" s="348"/>
      <c r="C159" s="313">
        <f t="shared" si="28"/>
        <v>1</v>
      </c>
      <c r="D159" s="1128"/>
      <c r="E159" s="313">
        <f t="shared" si="29"/>
        <v>1</v>
      </c>
      <c r="F159" s="1128"/>
      <c r="G159" s="313">
        <f t="shared" si="30"/>
        <v>1</v>
      </c>
      <c r="H159" s="1128"/>
      <c r="I159" s="313">
        <f t="shared" si="31"/>
        <v>1</v>
      </c>
      <c r="J159" s="1128"/>
      <c r="K159" s="313">
        <f t="shared" si="32"/>
        <v>1</v>
      </c>
      <c r="L159" s="1128"/>
      <c r="M159" s="313">
        <f t="shared" si="33"/>
        <v>1</v>
      </c>
      <c r="N159" s="1128"/>
      <c r="O159" s="313">
        <f t="shared" si="34"/>
        <v>1</v>
      </c>
      <c r="P159" s="1128"/>
      <c r="Q159" s="313">
        <f t="shared" si="35"/>
        <v>1</v>
      </c>
      <c r="R159" s="1124">
        <f t="shared" si="36"/>
        <v>0</v>
      </c>
      <c r="S159" s="698">
        <f t="shared" si="27"/>
        <v>0</v>
      </c>
    </row>
    <row r="160" spans="1:19">
      <c r="A160" s="491"/>
      <c r="B160" s="348"/>
      <c r="C160" s="313">
        <f t="shared" si="28"/>
        <v>1</v>
      </c>
      <c r="D160" s="1128"/>
      <c r="E160" s="313">
        <f t="shared" si="29"/>
        <v>1</v>
      </c>
      <c r="F160" s="1128"/>
      <c r="G160" s="313">
        <f t="shared" si="30"/>
        <v>1</v>
      </c>
      <c r="H160" s="1128"/>
      <c r="I160" s="313">
        <f t="shared" si="31"/>
        <v>1</v>
      </c>
      <c r="J160" s="1128"/>
      <c r="K160" s="313">
        <f t="shared" si="32"/>
        <v>1</v>
      </c>
      <c r="L160" s="1128"/>
      <c r="M160" s="313">
        <f t="shared" si="33"/>
        <v>1</v>
      </c>
      <c r="N160" s="1128"/>
      <c r="O160" s="313">
        <f t="shared" si="34"/>
        <v>1</v>
      </c>
      <c r="P160" s="1128"/>
      <c r="Q160" s="313">
        <f t="shared" si="35"/>
        <v>1</v>
      </c>
      <c r="R160" s="1124">
        <f t="shared" si="36"/>
        <v>0</v>
      </c>
      <c r="S160" s="698">
        <f t="shared" si="27"/>
        <v>0</v>
      </c>
    </row>
    <row r="161" spans="1:19">
      <c r="A161" s="491"/>
      <c r="B161" s="348"/>
      <c r="C161" s="313">
        <f t="shared" si="28"/>
        <v>1</v>
      </c>
      <c r="D161" s="1128"/>
      <c r="E161" s="313">
        <f t="shared" si="29"/>
        <v>1</v>
      </c>
      <c r="F161" s="1128"/>
      <c r="G161" s="313">
        <f t="shared" si="30"/>
        <v>1</v>
      </c>
      <c r="H161" s="1128"/>
      <c r="I161" s="313">
        <f t="shared" si="31"/>
        <v>1</v>
      </c>
      <c r="J161" s="1128"/>
      <c r="K161" s="313">
        <f t="shared" si="32"/>
        <v>1</v>
      </c>
      <c r="L161" s="1128"/>
      <c r="M161" s="313">
        <f t="shared" si="33"/>
        <v>1</v>
      </c>
      <c r="N161" s="1128"/>
      <c r="O161" s="313">
        <f t="shared" si="34"/>
        <v>1</v>
      </c>
      <c r="P161" s="1128"/>
      <c r="Q161" s="313">
        <f t="shared" si="35"/>
        <v>1</v>
      </c>
      <c r="R161" s="1124">
        <f t="shared" si="36"/>
        <v>0</v>
      </c>
      <c r="S161" s="698">
        <f t="shared" si="27"/>
        <v>0</v>
      </c>
    </row>
    <row r="162" spans="1:19">
      <c r="A162" s="491"/>
      <c r="B162" s="348"/>
      <c r="C162" s="313">
        <f t="shared" si="28"/>
        <v>1</v>
      </c>
      <c r="D162" s="1128"/>
      <c r="E162" s="313">
        <f t="shared" si="29"/>
        <v>1</v>
      </c>
      <c r="F162" s="1128"/>
      <c r="G162" s="313">
        <f t="shared" si="30"/>
        <v>1</v>
      </c>
      <c r="H162" s="1128"/>
      <c r="I162" s="313">
        <f t="shared" si="31"/>
        <v>1</v>
      </c>
      <c r="J162" s="1128"/>
      <c r="K162" s="313">
        <f t="shared" si="32"/>
        <v>1</v>
      </c>
      <c r="L162" s="1128"/>
      <c r="M162" s="313">
        <f t="shared" si="33"/>
        <v>1</v>
      </c>
      <c r="N162" s="1128"/>
      <c r="O162" s="313">
        <f t="shared" si="34"/>
        <v>1</v>
      </c>
      <c r="P162" s="1128"/>
      <c r="Q162" s="313">
        <f t="shared" si="35"/>
        <v>1</v>
      </c>
      <c r="R162" s="1124">
        <f t="shared" si="36"/>
        <v>0</v>
      </c>
      <c r="S162" s="698">
        <f t="shared" si="27"/>
        <v>0</v>
      </c>
    </row>
    <row r="163" spans="1:19">
      <c r="A163" s="491"/>
      <c r="B163" s="348"/>
      <c r="C163" s="313">
        <f t="shared" si="28"/>
        <v>1</v>
      </c>
      <c r="D163" s="1128"/>
      <c r="E163" s="313">
        <f t="shared" si="29"/>
        <v>1</v>
      </c>
      <c r="F163" s="1128"/>
      <c r="G163" s="313">
        <f t="shared" si="30"/>
        <v>1</v>
      </c>
      <c r="H163" s="1128"/>
      <c r="I163" s="313">
        <f t="shared" si="31"/>
        <v>1</v>
      </c>
      <c r="J163" s="1128"/>
      <c r="K163" s="313">
        <f t="shared" si="32"/>
        <v>1</v>
      </c>
      <c r="L163" s="1128"/>
      <c r="M163" s="313">
        <f t="shared" si="33"/>
        <v>1</v>
      </c>
      <c r="N163" s="1128"/>
      <c r="O163" s="313">
        <f t="shared" si="34"/>
        <v>1</v>
      </c>
      <c r="P163" s="1128"/>
      <c r="Q163" s="313">
        <f t="shared" si="35"/>
        <v>1</v>
      </c>
      <c r="R163" s="1124">
        <f t="shared" si="36"/>
        <v>0</v>
      </c>
      <c r="S163" s="698">
        <f t="shared" si="27"/>
        <v>0</v>
      </c>
    </row>
    <row r="164" spans="1:19">
      <c r="A164" s="491"/>
      <c r="B164" s="348"/>
      <c r="C164" s="313">
        <f t="shared" si="28"/>
        <v>1</v>
      </c>
      <c r="D164" s="1128"/>
      <c r="E164" s="313">
        <f t="shared" si="29"/>
        <v>1</v>
      </c>
      <c r="F164" s="1128"/>
      <c r="G164" s="313">
        <f t="shared" si="30"/>
        <v>1</v>
      </c>
      <c r="H164" s="1128"/>
      <c r="I164" s="313">
        <f t="shared" si="31"/>
        <v>1</v>
      </c>
      <c r="J164" s="1128"/>
      <c r="K164" s="313">
        <f t="shared" si="32"/>
        <v>1</v>
      </c>
      <c r="L164" s="1128"/>
      <c r="M164" s="313">
        <f t="shared" si="33"/>
        <v>1</v>
      </c>
      <c r="N164" s="1128"/>
      <c r="O164" s="313">
        <f t="shared" si="34"/>
        <v>1</v>
      </c>
      <c r="P164" s="1128"/>
      <c r="Q164" s="313">
        <f t="shared" si="35"/>
        <v>1</v>
      </c>
      <c r="R164" s="1124">
        <f t="shared" si="36"/>
        <v>0</v>
      </c>
      <c r="S164" s="698">
        <f t="shared" si="27"/>
        <v>0</v>
      </c>
    </row>
    <row r="165" spans="1:19">
      <c r="A165" s="491"/>
      <c r="B165" s="348"/>
      <c r="C165" s="313">
        <f t="shared" si="28"/>
        <v>1</v>
      </c>
      <c r="D165" s="1128"/>
      <c r="E165" s="313">
        <f t="shared" si="29"/>
        <v>1</v>
      </c>
      <c r="F165" s="1128"/>
      <c r="G165" s="313">
        <f t="shared" si="30"/>
        <v>1</v>
      </c>
      <c r="H165" s="1128"/>
      <c r="I165" s="313">
        <f t="shared" si="31"/>
        <v>1</v>
      </c>
      <c r="J165" s="1128"/>
      <c r="K165" s="313">
        <f t="shared" si="32"/>
        <v>1</v>
      </c>
      <c r="L165" s="1128"/>
      <c r="M165" s="313">
        <f t="shared" si="33"/>
        <v>1</v>
      </c>
      <c r="N165" s="1128"/>
      <c r="O165" s="313">
        <f t="shared" si="34"/>
        <v>1</v>
      </c>
      <c r="P165" s="1128"/>
      <c r="Q165" s="313">
        <f t="shared" si="35"/>
        <v>1</v>
      </c>
      <c r="R165" s="1124">
        <f t="shared" si="36"/>
        <v>0</v>
      </c>
      <c r="S165" s="698">
        <f t="shared" si="27"/>
        <v>0</v>
      </c>
    </row>
    <row r="166" spans="1:19">
      <c r="A166" s="491"/>
      <c r="B166" s="348"/>
      <c r="C166" s="313">
        <f t="shared" si="28"/>
        <v>1</v>
      </c>
      <c r="D166" s="1128"/>
      <c r="E166" s="313">
        <f t="shared" si="29"/>
        <v>1</v>
      </c>
      <c r="F166" s="1128"/>
      <c r="G166" s="313">
        <f t="shared" si="30"/>
        <v>1</v>
      </c>
      <c r="H166" s="1128"/>
      <c r="I166" s="313">
        <f t="shared" si="31"/>
        <v>1</v>
      </c>
      <c r="J166" s="1128"/>
      <c r="K166" s="313">
        <f t="shared" si="32"/>
        <v>1</v>
      </c>
      <c r="L166" s="1128"/>
      <c r="M166" s="313">
        <f t="shared" si="33"/>
        <v>1</v>
      </c>
      <c r="N166" s="1128"/>
      <c r="O166" s="313">
        <f t="shared" si="34"/>
        <v>1</v>
      </c>
      <c r="P166" s="1128"/>
      <c r="Q166" s="313">
        <f t="shared" si="35"/>
        <v>1</v>
      </c>
      <c r="R166" s="1124">
        <f t="shared" si="36"/>
        <v>0</v>
      </c>
      <c r="S166" s="698">
        <f t="shared" si="27"/>
        <v>0</v>
      </c>
    </row>
    <row r="167" spans="1:19">
      <c r="A167" s="491"/>
      <c r="B167" s="348"/>
      <c r="C167" s="313">
        <f t="shared" si="28"/>
        <v>1</v>
      </c>
      <c r="D167" s="1128"/>
      <c r="E167" s="313">
        <f t="shared" si="29"/>
        <v>1</v>
      </c>
      <c r="F167" s="1128"/>
      <c r="G167" s="313">
        <f t="shared" si="30"/>
        <v>1</v>
      </c>
      <c r="H167" s="1128"/>
      <c r="I167" s="313">
        <f t="shared" si="31"/>
        <v>1</v>
      </c>
      <c r="J167" s="1128"/>
      <c r="K167" s="313">
        <f t="shared" si="32"/>
        <v>1</v>
      </c>
      <c r="L167" s="1128"/>
      <c r="M167" s="313">
        <f t="shared" si="33"/>
        <v>1</v>
      </c>
      <c r="N167" s="1128"/>
      <c r="O167" s="313">
        <f t="shared" si="34"/>
        <v>1</v>
      </c>
      <c r="P167" s="1128"/>
      <c r="Q167" s="313">
        <f t="shared" si="35"/>
        <v>1</v>
      </c>
      <c r="R167" s="1124">
        <f t="shared" si="36"/>
        <v>0</v>
      </c>
      <c r="S167" s="698">
        <f t="shared" si="27"/>
        <v>0</v>
      </c>
    </row>
    <row r="168" spans="1:19">
      <c r="A168" s="491"/>
      <c r="B168" s="348"/>
      <c r="C168" s="313">
        <f t="shared" si="28"/>
        <v>1</v>
      </c>
      <c r="D168" s="1128"/>
      <c r="E168" s="313">
        <f t="shared" si="29"/>
        <v>1</v>
      </c>
      <c r="F168" s="1128"/>
      <c r="G168" s="313">
        <f t="shared" si="30"/>
        <v>1</v>
      </c>
      <c r="H168" s="1128"/>
      <c r="I168" s="313">
        <f t="shared" si="31"/>
        <v>1</v>
      </c>
      <c r="J168" s="1128"/>
      <c r="K168" s="313">
        <f t="shared" si="32"/>
        <v>1</v>
      </c>
      <c r="L168" s="1128"/>
      <c r="M168" s="313">
        <f t="shared" si="33"/>
        <v>1</v>
      </c>
      <c r="N168" s="1128"/>
      <c r="O168" s="313">
        <f t="shared" si="34"/>
        <v>1</v>
      </c>
      <c r="P168" s="1128"/>
      <c r="Q168" s="313">
        <f t="shared" si="35"/>
        <v>1</v>
      </c>
      <c r="R168" s="1124">
        <f t="shared" si="36"/>
        <v>0</v>
      </c>
      <c r="S168" s="698">
        <f t="shared" si="27"/>
        <v>0</v>
      </c>
    </row>
    <row r="169" spans="1:19">
      <c r="A169" s="491"/>
      <c r="B169" s="348"/>
      <c r="C169" s="313">
        <f t="shared" si="28"/>
        <v>1</v>
      </c>
      <c r="D169" s="1128"/>
      <c r="E169" s="313">
        <f t="shared" si="29"/>
        <v>1</v>
      </c>
      <c r="F169" s="1128"/>
      <c r="G169" s="313">
        <f t="shared" si="30"/>
        <v>1</v>
      </c>
      <c r="H169" s="1128"/>
      <c r="I169" s="313">
        <f t="shared" si="31"/>
        <v>1</v>
      </c>
      <c r="J169" s="1128"/>
      <c r="K169" s="313">
        <f t="shared" si="32"/>
        <v>1</v>
      </c>
      <c r="L169" s="1128"/>
      <c r="M169" s="313">
        <f t="shared" si="33"/>
        <v>1</v>
      </c>
      <c r="N169" s="1128"/>
      <c r="O169" s="313">
        <f t="shared" si="34"/>
        <v>1</v>
      </c>
      <c r="P169" s="1128"/>
      <c r="Q169" s="313">
        <f t="shared" si="35"/>
        <v>1</v>
      </c>
      <c r="R169" s="1124">
        <f t="shared" si="36"/>
        <v>0</v>
      </c>
      <c r="S169" s="698">
        <f t="shared" si="27"/>
        <v>0</v>
      </c>
    </row>
    <row r="170" spans="1:19">
      <c r="A170" s="491"/>
      <c r="B170" s="348"/>
      <c r="C170" s="313">
        <f t="shared" si="28"/>
        <v>1</v>
      </c>
      <c r="D170" s="1128"/>
      <c r="E170" s="313">
        <f t="shared" si="29"/>
        <v>1</v>
      </c>
      <c r="F170" s="1128"/>
      <c r="G170" s="313">
        <f t="shared" si="30"/>
        <v>1</v>
      </c>
      <c r="H170" s="1128"/>
      <c r="I170" s="313">
        <f t="shared" si="31"/>
        <v>1</v>
      </c>
      <c r="J170" s="1128"/>
      <c r="K170" s="313">
        <f t="shared" si="32"/>
        <v>1</v>
      </c>
      <c r="L170" s="1128"/>
      <c r="M170" s="313">
        <f t="shared" si="33"/>
        <v>1</v>
      </c>
      <c r="N170" s="1128"/>
      <c r="O170" s="313">
        <f t="shared" si="34"/>
        <v>1</v>
      </c>
      <c r="P170" s="1128"/>
      <c r="Q170" s="313">
        <f t="shared" si="35"/>
        <v>1</v>
      </c>
      <c r="R170" s="1124">
        <f t="shared" si="36"/>
        <v>0</v>
      </c>
      <c r="S170" s="698">
        <f t="shared" si="27"/>
        <v>0</v>
      </c>
    </row>
    <row r="171" spans="1:19">
      <c r="A171" s="491"/>
      <c r="B171" s="348"/>
      <c r="C171" s="313">
        <f t="shared" si="28"/>
        <v>1</v>
      </c>
      <c r="D171" s="1128"/>
      <c r="E171" s="313">
        <f t="shared" si="29"/>
        <v>1</v>
      </c>
      <c r="F171" s="1128"/>
      <c r="G171" s="313">
        <f t="shared" si="30"/>
        <v>1</v>
      </c>
      <c r="H171" s="1128"/>
      <c r="I171" s="313">
        <f t="shared" si="31"/>
        <v>1</v>
      </c>
      <c r="J171" s="1128"/>
      <c r="K171" s="313">
        <f t="shared" si="32"/>
        <v>1</v>
      </c>
      <c r="L171" s="1128"/>
      <c r="M171" s="313">
        <f t="shared" si="33"/>
        <v>1</v>
      </c>
      <c r="N171" s="1128"/>
      <c r="O171" s="313">
        <f t="shared" si="34"/>
        <v>1</v>
      </c>
      <c r="P171" s="1128"/>
      <c r="Q171" s="313">
        <f t="shared" si="35"/>
        <v>1</v>
      </c>
      <c r="R171" s="1124">
        <f t="shared" si="36"/>
        <v>0</v>
      </c>
      <c r="S171" s="698">
        <f t="shared" si="27"/>
        <v>0</v>
      </c>
    </row>
    <row r="172" spans="1:19">
      <c r="A172" s="491"/>
      <c r="B172" s="348"/>
      <c r="C172" s="313">
        <f t="shared" si="28"/>
        <v>1</v>
      </c>
      <c r="D172" s="1128"/>
      <c r="E172" s="313">
        <f t="shared" si="29"/>
        <v>1</v>
      </c>
      <c r="F172" s="1128"/>
      <c r="G172" s="313">
        <f t="shared" si="30"/>
        <v>1</v>
      </c>
      <c r="H172" s="1128"/>
      <c r="I172" s="313">
        <f t="shared" si="31"/>
        <v>1</v>
      </c>
      <c r="J172" s="1128"/>
      <c r="K172" s="313">
        <f t="shared" si="32"/>
        <v>1</v>
      </c>
      <c r="L172" s="1128"/>
      <c r="M172" s="313">
        <f t="shared" si="33"/>
        <v>1</v>
      </c>
      <c r="N172" s="1128"/>
      <c r="O172" s="313">
        <f t="shared" si="34"/>
        <v>1</v>
      </c>
      <c r="P172" s="1128"/>
      <c r="Q172" s="313">
        <f t="shared" si="35"/>
        <v>1</v>
      </c>
      <c r="R172" s="1124">
        <f t="shared" si="36"/>
        <v>0</v>
      </c>
      <c r="S172" s="698">
        <f t="shared" si="27"/>
        <v>0</v>
      </c>
    </row>
    <row r="173" spans="1:19">
      <c r="A173" s="491"/>
      <c r="B173" s="348"/>
      <c r="C173" s="313">
        <f t="shared" si="28"/>
        <v>1</v>
      </c>
      <c r="D173" s="1128"/>
      <c r="E173" s="313">
        <f t="shared" si="29"/>
        <v>1</v>
      </c>
      <c r="F173" s="1128"/>
      <c r="G173" s="313">
        <f t="shared" si="30"/>
        <v>1</v>
      </c>
      <c r="H173" s="1128"/>
      <c r="I173" s="313">
        <f t="shared" si="31"/>
        <v>1</v>
      </c>
      <c r="J173" s="1128"/>
      <c r="K173" s="313">
        <f t="shared" si="32"/>
        <v>1</v>
      </c>
      <c r="L173" s="1128"/>
      <c r="M173" s="313">
        <f t="shared" si="33"/>
        <v>1</v>
      </c>
      <c r="N173" s="1128"/>
      <c r="O173" s="313">
        <f t="shared" si="34"/>
        <v>1</v>
      </c>
      <c r="P173" s="1128"/>
      <c r="Q173" s="313">
        <f t="shared" si="35"/>
        <v>1</v>
      </c>
      <c r="R173" s="1124">
        <f t="shared" si="36"/>
        <v>0</v>
      </c>
      <c r="S173" s="698">
        <f t="shared" si="27"/>
        <v>0</v>
      </c>
    </row>
    <row r="174" spans="1:19">
      <c r="A174" s="491"/>
      <c r="B174" s="348"/>
      <c r="C174" s="313">
        <f t="shared" si="28"/>
        <v>1</v>
      </c>
      <c r="D174" s="1128"/>
      <c r="E174" s="313">
        <f t="shared" si="29"/>
        <v>1</v>
      </c>
      <c r="F174" s="1128"/>
      <c r="G174" s="313">
        <f t="shared" si="30"/>
        <v>1</v>
      </c>
      <c r="H174" s="1128"/>
      <c r="I174" s="313">
        <f t="shared" si="31"/>
        <v>1</v>
      </c>
      <c r="J174" s="1128"/>
      <c r="K174" s="313">
        <f t="shared" si="32"/>
        <v>1</v>
      </c>
      <c r="L174" s="1128"/>
      <c r="M174" s="313">
        <f t="shared" si="33"/>
        <v>1</v>
      </c>
      <c r="N174" s="1128"/>
      <c r="O174" s="313">
        <f t="shared" si="34"/>
        <v>1</v>
      </c>
      <c r="P174" s="1128"/>
      <c r="Q174" s="313">
        <f t="shared" si="35"/>
        <v>1</v>
      </c>
      <c r="R174" s="1124">
        <f t="shared" si="36"/>
        <v>0</v>
      </c>
      <c r="S174" s="698">
        <f t="shared" si="27"/>
        <v>0</v>
      </c>
    </row>
    <row r="175" spans="1:19">
      <c r="A175" s="491"/>
      <c r="B175" s="348"/>
      <c r="C175" s="313">
        <f t="shared" si="28"/>
        <v>1</v>
      </c>
      <c r="D175" s="1128"/>
      <c r="E175" s="313">
        <f t="shared" si="29"/>
        <v>1</v>
      </c>
      <c r="F175" s="1128"/>
      <c r="G175" s="313">
        <f t="shared" si="30"/>
        <v>1</v>
      </c>
      <c r="H175" s="1128"/>
      <c r="I175" s="313">
        <f t="shared" si="31"/>
        <v>1</v>
      </c>
      <c r="J175" s="1128"/>
      <c r="K175" s="313">
        <f t="shared" si="32"/>
        <v>1</v>
      </c>
      <c r="L175" s="1128"/>
      <c r="M175" s="313">
        <f t="shared" si="33"/>
        <v>1</v>
      </c>
      <c r="N175" s="1128"/>
      <c r="O175" s="313">
        <f t="shared" si="34"/>
        <v>1</v>
      </c>
      <c r="P175" s="1128"/>
      <c r="Q175" s="313">
        <f t="shared" si="35"/>
        <v>1</v>
      </c>
      <c r="R175" s="1124">
        <f t="shared" si="36"/>
        <v>0</v>
      </c>
      <c r="S175" s="698">
        <f t="shared" si="27"/>
        <v>0</v>
      </c>
    </row>
    <row r="176" spans="1:19">
      <c r="A176" s="491"/>
      <c r="B176" s="348"/>
      <c r="C176" s="313">
        <f t="shared" si="28"/>
        <v>1</v>
      </c>
      <c r="D176" s="1128"/>
      <c r="E176" s="313">
        <f t="shared" si="29"/>
        <v>1</v>
      </c>
      <c r="F176" s="1128"/>
      <c r="G176" s="313">
        <f t="shared" si="30"/>
        <v>1</v>
      </c>
      <c r="H176" s="1128"/>
      <c r="I176" s="313">
        <f t="shared" si="31"/>
        <v>1</v>
      </c>
      <c r="J176" s="1128"/>
      <c r="K176" s="313">
        <f t="shared" si="32"/>
        <v>1</v>
      </c>
      <c r="L176" s="1128"/>
      <c r="M176" s="313">
        <f t="shared" si="33"/>
        <v>1</v>
      </c>
      <c r="N176" s="1128"/>
      <c r="O176" s="313">
        <f t="shared" si="34"/>
        <v>1</v>
      </c>
      <c r="P176" s="1128"/>
      <c r="Q176" s="313">
        <f t="shared" si="35"/>
        <v>1</v>
      </c>
      <c r="R176" s="1124">
        <f t="shared" si="36"/>
        <v>0</v>
      </c>
      <c r="S176" s="698">
        <f t="shared" si="27"/>
        <v>0</v>
      </c>
    </row>
    <row r="177" spans="1:19">
      <c r="A177" s="491"/>
      <c r="B177" s="348"/>
      <c r="C177" s="313">
        <f t="shared" si="28"/>
        <v>1</v>
      </c>
      <c r="D177" s="1128"/>
      <c r="E177" s="313">
        <f t="shared" si="29"/>
        <v>1</v>
      </c>
      <c r="F177" s="1128"/>
      <c r="G177" s="313">
        <f t="shared" si="30"/>
        <v>1</v>
      </c>
      <c r="H177" s="1128"/>
      <c r="I177" s="313">
        <f t="shared" si="31"/>
        <v>1</v>
      </c>
      <c r="J177" s="1128"/>
      <c r="K177" s="313">
        <f t="shared" si="32"/>
        <v>1</v>
      </c>
      <c r="L177" s="1128"/>
      <c r="M177" s="313">
        <f t="shared" si="33"/>
        <v>1</v>
      </c>
      <c r="N177" s="1128"/>
      <c r="O177" s="313">
        <f t="shared" si="34"/>
        <v>1</v>
      </c>
      <c r="P177" s="1128"/>
      <c r="Q177" s="313">
        <f t="shared" si="35"/>
        <v>1</v>
      </c>
      <c r="R177" s="1124">
        <f t="shared" si="36"/>
        <v>0</v>
      </c>
      <c r="S177" s="698">
        <f t="shared" si="27"/>
        <v>0</v>
      </c>
    </row>
    <row r="178" spans="1:19">
      <c r="A178" s="491"/>
      <c r="B178" s="348"/>
      <c r="C178" s="313">
        <f t="shared" si="28"/>
        <v>1</v>
      </c>
      <c r="D178" s="1128"/>
      <c r="E178" s="313">
        <f t="shared" si="29"/>
        <v>1</v>
      </c>
      <c r="F178" s="1128"/>
      <c r="G178" s="313">
        <f t="shared" si="30"/>
        <v>1</v>
      </c>
      <c r="H178" s="1128"/>
      <c r="I178" s="313">
        <f t="shared" si="31"/>
        <v>1</v>
      </c>
      <c r="J178" s="1128"/>
      <c r="K178" s="313">
        <f t="shared" si="32"/>
        <v>1</v>
      </c>
      <c r="L178" s="1128"/>
      <c r="M178" s="313">
        <f t="shared" si="33"/>
        <v>1</v>
      </c>
      <c r="N178" s="1128"/>
      <c r="O178" s="313">
        <f t="shared" si="34"/>
        <v>1</v>
      </c>
      <c r="P178" s="1128"/>
      <c r="Q178" s="313">
        <f t="shared" si="35"/>
        <v>1</v>
      </c>
      <c r="R178" s="1124">
        <f t="shared" si="36"/>
        <v>0</v>
      </c>
      <c r="S178" s="698">
        <f t="shared" si="27"/>
        <v>0</v>
      </c>
    </row>
    <row r="179" spans="1:19">
      <c r="A179" s="491"/>
      <c r="B179" s="348"/>
      <c r="C179" s="313">
        <f t="shared" si="28"/>
        <v>1</v>
      </c>
      <c r="D179" s="1128"/>
      <c r="E179" s="313">
        <f t="shared" si="29"/>
        <v>1</v>
      </c>
      <c r="F179" s="1128"/>
      <c r="G179" s="313">
        <f t="shared" si="30"/>
        <v>1</v>
      </c>
      <c r="H179" s="1128"/>
      <c r="I179" s="313">
        <f t="shared" si="31"/>
        <v>1</v>
      </c>
      <c r="J179" s="1128"/>
      <c r="K179" s="313">
        <f t="shared" si="32"/>
        <v>1</v>
      </c>
      <c r="L179" s="1128"/>
      <c r="M179" s="313">
        <f t="shared" si="33"/>
        <v>1</v>
      </c>
      <c r="N179" s="1128"/>
      <c r="O179" s="313">
        <f t="shared" si="34"/>
        <v>1</v>
      </c>
      <c r="P179" s="1128"/>
      <c r="Q179" s="313">
        <f t="shared" si="35"/>
        <v>1</v>
      </c>
      <c r="R179" s="1124">
        <f t="shared" si="36"/>
        <v>0</v>
      </c>
      <c r="S179" s="698">
        <f t="shared" si="27"/>
        <v>0</v>
      </c>
    </row>
    <row r="180" spans="1:19">
      <c r="A180" s="491"/>
      <c r="B180" s="348"/>
      <c r="C180" s="313">
        <f t="shared" si="28"/>
        <v>1</v>
      </c>
      <c r="D180" s="1128"/>
      <c r="E180" s="313">
        <f t="shared" si="29"/>
        <v>1</v>
      </c>
      <c r="F180" s="1128"/>
      <c r="G180" s="313">
        <f t="shared" si="30"/>
        <v>1</v>
      </c>
      <c r="H180" s="1128"/>
      <c r="I180" s="313">
        <f t="shared" si="31"/>
        <v>1</v>
      </c>
      <c r="J180" s="1128"/>
      <c r="K180" s="313">
        <f t="shared" si="32"/>
        <v>1</v>
      </c>
      <c r="L180" s="1128"/>
      <c r="M180" s="313">
        <f t="shared" si="33"/>
        <v>1</v>
      </c>
      <c r="N180" s="1128"/>
      <c r="O180" s="313">
        <f t="shared" si="34"/>
        <v>1</v>
      </c>
      <c r="P180" s="1128"/>
      <c r="Q180" s="313">
        <f t="shared" si="35"/>
        <v>1</v>
      </c>
      <c r="R180" s="1124">
        <f t="shared" si="36"/>
        <v>0</v>
      </c>
      <c r="S180" s="698">
        <f t="shared" si="27"/>
        <v>0</v>
      </c>
    </row>
    <row r="181" spans="1:19">
      <c r="A181" s="491"/>
      <c r="B181" s="348"/>
      <c r="C181" s="313">
        <f t="shared" si="28"/>
        <v>1</v>
      </c>
      <c r="D181" s="1128"/>
      <c r="E181" s="313">
        <f t="shared" si="29"/>
        <v>1</v>
      </c>
      <c r="F181" s="1128"/>
      <c r="G181" s="313">
        <f t="shared" si="30"/>
        <v>1</v>
      </c>
      <c r="H181" s="1128"/>
      <c r="I181" s="313">
        <f t="shared" si="31"/>
        <v>1</v>
      </c>
      <c r="J181" s="1128"/>
      <c r="K181" s="313">
        <f t="shared" si="32"/>
        <v>1</v>
      </c>
      <c r="L181" s="1128"/>
      <c r="M181" s="313">
        <f t="shared" si="33"/>
        <v>1</v>
      </c>
      <c r="N181" s="1128"/>
      <c r="O181" s="313">
        <f t="shared" si="34"/>
        <v>1</v>
      </c>
      <c r="P181" s="1128"/>
      <c r="Q181" s="313">
        <f t="shared" si="35"/>
        <v>1</v>
      </c>
      <c r="R181" s="1124">
        <f t="shared" si="36"/>
        <v>0</v>
      </c>
      <c r="S181" s="698">
        <f t="shared" si="27"/>
        <v>0</v>
      </c>
    </row>
    <row r="182" spans="1:19">
      <c r="A182" s="491"/>
      <c r="B182" s="348"/>
      <c r="C182" s="313">
        <f t="shared" si="28"/>
        <v>1</v>
      </c>
      <c r="D182" s="1128"/>
      <c r="E182" s="313">
        <f t="shared" si="29"/>
        <v>1</v>
      </c>
      <c r="F182" s="1128"/>
      <c r="G182" s="313">
        <f t="shared" si="30"/>
        <v>1</v>
      </c>
      <c r="H182" s="1128"/>
      <c r="I182" s="313">
        <f t="shared" si="31"/>
        <v>1</v>
      </c>
      <c r="J182" s="1128"/>
      <c r="K182" s="313">
        <f t="shared" si="32"/>
        <v>1</v>
      </c>
      <c r="L182" s="1128"/>
      <c r="M182" s="313">
        <f t="shared" si="33"/>
        <v>1</v>
      </c>
      <c r="N182" s="1128"/>
      <c r="O182" s="313">
        <f t="shared" si="34"/>
        <v>1</v>
      </c>
      <c r="P182" s="1128"/>
      <c r="Q182" s="313">
        <f t="shared" si="35"/>
        <v>1</v>
      </c>
      <c r="R182" s="1124">
        <f t="shared" si="36"/>
        <v>0</v>
      </c>
      <c r="S182" s="698">
        <f t="shared" si="27"/>
        <v>0</v>
      </c>
    </row>
    <row r="183" spans="1:19">
      <c r="A183" s="491"/>
      <c r="B183" s="348"/>
      <c r="C183" s="313">
        <f t="shared" si="28"/>
        <v>1</v>
      </c>
      <c r="D183" s="1128"/>
      <c r="E183" s="313">
        <f t="shared" si="29"/>
        <v>1</v>
      </c>
      <c r="F183" s="1128"/>
      <c r="G183" s="313">
        <f t="shared" si="30"/>
        <v>1</v>
      </c>
      <c r="H183" s="1128"/>
      <c r="I183" s="313">
        <f t="shared" si="31"/>
        <v>1</v>
      </c>
      <c r="J183" s="1128"/>
      <c r="K183" s="313">
        <f t="shared" si="32"/>
        <v>1</v>
      </c>
      <c r="L183" s="1128"/>
      <c r="M183" s="313">
        <f t="shared" si="33"/>
        <v>1</v>
      </c>
      <c r="N183" s="1128"/>
      <c r="O183" s="313">
        <f t="shared" si="34"/>
        <v>1</v>
      </c>
      <c r="P183" s="1128"/>
      <c r="Q183" s="313">
        <f t="shared" si="35"/>
        <v>1</v>
      </c>
      <c r="R183" s="1124">
        <f t="shared" si="36"/>
        <v>0</v>
      </c>
      <c r="S183" s="698">
        <f t="shared" si="27"/>
        <v>0</v>
      </c>
    </row>
    <row r="184" spans="1:19">
      <c r="A184" s="491"/>
      <c r="B184" s="348"/>
      <c r="C184" s="313">
        <f t="shared" si="28"/>
        <v>1</v>
      </c>
      <c r="D184" s="1128"/>
      <c r="E184" s="313">
        <f t="shared" si="29"/>
        <v>1</v>
      </c>
      <c r="F184" s="1128"/>
      <c r="G184" s="313">
        <f t="shared" si="30"/>
        <v>1</v>
      </c>
      <c r="H184" s="1128"/>
      <c r="I184" s="313">
        <f t="shared" si="31"/>
        <v>1</v>
      </c>
      <c r="J184" s="1128"/>
      <c r="K184" s="313">
        <f t="shared" si="32"/>
        <v>1</v>
      </c>
      <c r="L184" s="1128"/>
      <c r="M184" s="313">
        <f t="shared" si="33"/>
        <v>1</v>
      </c>
      <c r="N184" s="1128"/>
      <c r="O184" s="313">
        <f t="shared" si="34"/>
        <v>1</v>
      </c>
      <c r="P184" s="1128"/>
      <c r="Q184" s="313">
        <f t="shared" si="35"/>
        <v>1</v>
      </c>
      <c r="R184" s="1124">
        <f t="shared" si="36"/>
        <v>0</v>
      </c>
      <c r="S184" s="698">
        <f t="shared" si="27"/>
        <v>0</v>
      </c>
    </row>
    <row r="185" spans="1:19">
      <c r="A185" s="491"/>
      <c r="B185" s="348"/>
      <c r="C185" s="313">
        <f t="shared" si="28"/>
        <v>1</v>
      </c>
      <c r="D185" s="1128"/>
      <c r="E185" s="313">
        <f t="shared" si="29"/>
        <v>1</v>
      </c>
      <c r="F185" s="1128"/>
      <c r="G185" s="313">
        <f t="shared" si="30"/>
        <v>1</v>
      </c>
      <c r="H185" s="1128"/>
      <c r="I185" s="313">
        <f t="shared" si="31"/>
        <v>1</v>
      </c>
      <c r="J185" s="1128"/>
      <c r="K185" s="313">
        <f t="shared" si="32"/>
        <v>1</v>
      </c>
      <c r="L185" s="1128"/>
      <c r="M185" s="313">
        <f t="shared" si="33"/>
        <v>1</v>
      </c>
      <c r="N185" s="1128"/>
      <c r="O185" s="313">
        <f t="shared" si="34"/>
        <v>1</v>
      </c>
      <c r="P185" s="1128"/>
      <c r="Q185" s="313">
        <f t="shared" si="35"/>
        <v>1</v>
      </c>
      <c r="R185" s="1124">
        <f t="shared" si="36"/>
        <v>0</v>
      </c>
      <c r="S185" s="698">
        <f t="shared" si="27"/>
        <v>0</v>
      </c>
    </row>
    <row r="186" spans="1:19">
      <c r="A186" s="491"/>
      <c r="B186" s="348"/>
      <c r="C186" s="313">
        <f t="shared" si="28"/>
        <v>1</v>
      </c>
      <c r="D186" s="1128"/>
      <c r="E186" s="313">
        <f t="shared" si="29"/>
        <v>1</v>
      </c>
      <c r="F186" s="1128"/>
      <c r="G186" s="313">
        <f t="shared" si="30"/>
        <v>1</v>
      </c>
      <c r="H186" s="1128"/>
      <c r="I186" s="313">
        <f t="shared" si="31"/>
        <v>1</v>
      </c>
      <c r="J186" s="1128"/>
      <c r="K186" s="313">
        <f t="shared" si="32"/>
        <v>1</v>
      </c>
      <c r="L186" s="1128"/>
      <c r="M186" s="313">
        <f t="shared" si="33"/>
        <v>1</v>
      </c>
      <c r="N186" s="1128"/>
      <c r="O186" s="313">
        <f t="shared" si="34"/>
        <v>1</v>
      </c>
      <c r="P186" s="1128"/>
      <c r="Q186" s="313">
        <f t="shared" si="35"/>
        <v>1</v>
      </c>
      <c r="R186" s="1124">
        <f t="shared" si="36"/>
        <v>0</v>
      </c>
      <c r="S186" s="698">
        <f t="shared" si="27"/>
        <v>0</v>
      </c>
    </row>
    <row r="187" spans="1:19">
      <c r="A187" s="491"/>
      <c r="B187" s="348"/>
      <c r="C187" s="313">
        <f t="shared" si="28"/>
        <v>1</v>
      </c>
      <c r="D187" s="1128"/>
      <c r="E187" s="313">
        <f t="shared" si="29"/>
        <v>1</v>
      </c>
      <c r="F187" s="1128"/>
      <c r="G187" s="313">
        <f t="shared" si="30"/>
        <v>1</v>
      </c>
      <c r="H187" s="1128"/>
      <c r="I187" s="313">
        <f t="shared" si="31"/>
        <v>1</v>
      </c>
      <c r="J187" s="1128"/>
      <c r="K187" s="313">
        <f t="shared" si="32"/>
        <v>1</v>
      </c>
      <c r="L187" s="1128"/>
      <c r="M187" s="313">
        <f t="shared" si="33"/>
        <v>1</v>
      </c>
      <c r="N187" s="1128"/>
      <c r="O187" s="313">
        <f t="shared" si="34"/>
        <v>1</v>
      </c>
      <c r="P187" s="1128"/>
      <c r="Q187" s="313">
        <f t="shared" si="35"/>
        <v>1</v>
      </c>
      <c r="R187" s="1124">
        <f t="shared" si="36"/>
        <v>0</v>
      </c>
      <c r="S187" s="698">
        <f t="shared" ref="S187:S222" si="37">ROUND(R187*B187/10000,0)</f>
        <v>0</v>
      </c>
    </row>
    <row r="188" spans="1:19">
      <c r="A188" s="491"/>
      <c r="B188" s="348"/>
      <c r="C188" s="313">
        <f t="shared" si="28"/>
        <v>1</v>
      </c>
      <c r="D188" s="1128"/>
      <c r="E188" s="313">
        <f t="shared" si="29"/>
        <v>1</v>
      </c>
      <c r="F188" s="1128"/>
      <c r="G188" s="313">
        <f t="shared" si="30"/>
        <v>1</v>
      </c>
      <c r="H188" s="1128"/>
      <c r="I188" s="313">
        <f t="shared" si="31"/>
        <v>1</v>
      </c>
      <c r="J188" s="1128"/>
      <c r="K188" s="313">
        <f t="shared" si="32"/>
        <v>1</v>
      </c>
      <c r="L188" s="1128"/>
      <c r="M188" s="313">
        <f t="shared" si="33"/>
        <v>1</v>
      </c>
      <c r="N188" s="1128"/>
      <c r="O188" s="313">
        <f t="shared" si="34"/>
        <v>1</v>
      </c>
      <c r="P188" s="1128"/>
      <c r="Q188" s="313">
        <f t="shared" si="35"/>
        <v>1</v>
      </c>
      <c r="R188" s="1124">
        <f t="shared" si="36"/>
        <v>0</v>
      </c>
      <c r="S188" s="698">
        <f t="shared" si="37"/>
        <v>0</v>
      </c>
    </row>
    <row r="189" spans="1:19">
      <c r="A189" s="491"/>
      <c r="B189" s="348"/>
      <c r="C189" s="313">
        <f t="shared" si="28"/>
        <v>1</v>
      </c>
      <c r="D189" s="1128"/>
      <c r="E189" s="313">
        <f t="shared" si="29"/>
        <v>1</v>
      </c>
      <c r="F189" s="1128"/>
      <c r="G189" s="313">
        <f t="shared" si="30"/>
        <v>1</v>
      </c>
      <c r="H189" s="1128"/>
      <c r="I189" s="313">
        <f t="shared" si="31"/>
        <v>1</v>
      </c>
      <c r="J189" s="1128"/>
      <c r="K189" s="313">
        <f t="shared" si="32"/>
        <v>1</v>
      </c>
      <c r="L189" s="1128"/>
      <c r="M189" s="313">
        <f t="shared" si="33"/>
        <v>1</v>
      </c>
      <c r="N189" s="1128"/>
      <c r="O189" s="313">
        <f t="shared" si="34"/>
        <v>1</v>
      </c>
      <c r="P189" s="1128"/>
      <c r="Q189" s="313">
        <f t="shared" si="35"/>
        <v>1</v>
      </c>
      <c r="R189" s="1124">
        <f t="shared" si="36"/>
        <v>0</v>
      </c>
      <c r="S189" s="698">
        <f t="shared" si="37"/>
        <v>0</v>
      </c>
    </row>
    <row r="190" spans="1:19">
      <c r="A190" s="491"/>
      <c r="B190" s="348"/>
      <c r="C190" s="313">
        <f t="shared" si="28"/>
        <v>1</v>
      </c>
      <c r="D190" s="1128"/>
      <c r="E190" s="313">
        <f t="shared" si="29"/>
        <v>1</v>
      </c>
      <c r="F190" s="1128"/>
      <c r="G190" s="313">
        <f t="shared" si="30"/>
        <v>1</v>
      </c>
      <c r="H190" s="1128"/>
      <c r="I190" s="313">
        <f t="shared" si="31"/>
        <v>1</v>
      </c>
      <c r="J190" s="1128"/>
      <c r="K190" s="313">
        <f t="shared" si="32"/>
        <v>1</v>
      </c>
      <c r="L190" s="1128"/>
      <c r="M190" s="313">
        <f t="shared" si="33"/>
        <v>1</v>
      </c>
      <c r="N190" s="1128"/>
      <c r="O190" s="313">
        <f t="shared" si="34"/>
        <v>1</v>
      </c>
      <c r="P190" s="1128"/>
      <c r="Q190" s="313">
        <f t="shared" si="35"/>
        <v>1</v>
      </c>
      <c r="R190" s="1124">
        <f t="shared" si="36"/>
        <v>0</v>
      </c>
      <c r="S190" s="698">
        <f t="shared" si="37"/>
        <v>0</v>
      </c>
    </row>
    <row r="191" spans="1:19">
      <c r="A191" s="491"/>
      <c r="B191" s="348"/>
      <c r="C191" s="313">
        <f t="shared" si="28"/>
        <v>1</v>
      </c>
      <c r="D191" s="1128"/>
      <c r="E191" s="313">
        <f t="shared" si="29"/>
        <v>1</v>
      </c>
      <c r="F191" s="1128"/>
      <c r="G191" s="313">
        <f t="shared" si="30"/>
        <v>1</v>
      </c>
      <c r="H191" s="1128"/>
      <c r="I191" s="313">
        <f t="shared" si="31"/>
        <v>1</v>
      </c>
      <c r="J191" s="1128"/>
      <c r="K191" s="313">
        <f t="shared" si="32"/>
        <v>1</v>
      </c>
      <c r="L191" s="1128"/>
      <c r="M191" s="313">
        <f t="shared" si="33"/>
        <v>1</v>
      </c>
      <c r="N191" s="1128"/>
      <c r="O191" s="313">
        <f t="shared" si="34"/>
        <v>1</v>
      </c>
      <c r="P191" s="1128"/>
      <c r="Q191" s="313">
        <f t="shared" si="35"/>
        <v>1</v>
      </c>
      <c r="R191" s="1124">
        <f t="shared" si="36"/>
        <v>0</v>
      </c>
      <c r="S191" s="698">
        <f t="shared" si="37"/>
        <v>0</v>
      </c>
    </row>
    <row r="192" spans="1:19">
      <c r="A192" s="491"/>
      <c r="B192" s="348"/>
      <c r="C192" s="313">
        <f t="shared" si="28"/>
        <v>1</v>
      </c>
      <c r="D192" s="1128"/>
      <c r="E192" s="313">
        <f t="shared" si="29"/>
        <v>1</v>
      </c>
      <c r="F192" s="1128"/>
      <c r="G192" s="313">
        <f t="shared" si="30"/>
        <v>1</v>
      </c>
      <c r="H192" s="1128"/>
      <c r="I192" s="313">
        <f t="shared" si="31"/>
        <v>1</v>
      </c>
      <c r="J192" s="1128"/>
      <c r="K192" s="313">
        <f t="shared" si="32"/>
        <v>1</v>
      </c>
      <c r="L192" s="1128"/>
      <c r="M192" s="313">
        <f t="shared" si="33"/>
        <v>1</v>
      </c>
      <c r="N192" s="1128"/>
      <c r="O192" s="313">
        <f t="shared" si="34"/>
        <v>1</v>
      </c>
      <c r="P192" s="1128"/>
      <c r="Q192" s="313">
        <f t="shared" si="35"/>
        <v>1</v>
      </c>
      <c r="R192" s="1124">
        <f t="shared" si="36"/>
        <v>0</v>
      </c>
      <c r="S192" s="698">
        <f t="shared" si="37"/>
        <v>0</v>
      </c>
    </row>
    <row r="193" spans="1:19">
      <c r="A193" s="491"/>
      <c r="B193" s="348"/>
      <c r="C193" s="313">
        <f t="shared" si="28"/>
        <v>1</v>
      </c>
      <c r="D193" s="1128"/>
      <c r="E193" s="313">
        <f t="shared" si="29"/>
        <v>1</v>
      </c>
      <c r="F193" s="1128"/>
      <c r="G193" s="313">
        <f t="shared" si="30"/>
        <v>1</v>
      </c>
      <c r="H193" s="1128"/>
      <c r="I193" s="313">
        <f t="shared" si="31"/>
        <v>1</v>
      </c>
      <c r="J193" s="1128"/>
      <c r="K193" s="313">
        <f t="shared" si="32"/>
        <v>1</v>
      </c>
      <c r="L193" s="1128"/>
      <c r="M193" s="313">
        <f t="shared" si="33"/>
        <v>1</v>
      </c>
      <c r="N193" s="1128"/>
      <c r="O193" s="313">
        <f t="shared" si="34"/>
        <v>1</v>
      </c>
      <c r="P193" s="1128"/>
      <c r="Q193" s="313">
        <f t="shared" si="35"/>
        <v>1</v>
      </c>
      <c r="R193" s="1124">
        <f t="shared" si="36"/>
        <v>0</v>
      </c>
      <c r="S193" s="698">
        <f t="shared" si="37"/>
        <v>0</v>
      </c>
    </row>
    <row r="194" spans="1:19">
      <c r="A194" s="491"/>
      <c r="B194" s="348"/>
      <c r="C194" s="313">
        <f t="shared" si="28"/>
        <v>1</v>
      </c>
      <c r="D194" s="1128"/>
      <c r="E194" s="313">
        <f t="shared" si="29"/>
        <v>1</v>
      </c>
      <c r="F194" s="1128"/>
      <c r="G194" s="313">
        <f t="shared" si="30"/>
        <v>1</v>
      </c>
      <c r="H194" s="1128"/>
      <c r="I194" s="313">
        <f t="shared" si="31"/>
        <v>1</v>
      </c>
      <c r="J194" s="1128"/>
      <c r="K194" s="313">
        <f t="shared" si="32"/>
        <v>1</v>
      </c>
      <c r="L194" s="1128"/>
      <c r="M194" s="313">
        <f t="shared" si="33"/>
        <v>1</v>
      </c>
      <c r="N194" s="1128"/>
      <c r="O194" s="313">
        <f t="shared" si="34"/>
        <v>1</v>
      </c>
      <c r="P194" s="1128"/>
      <c r="Q194" s="313">
        <f t="shared" si="35"/>
        <v>1</v>
      </c>
      <c r="R194" s="1124">
        <f t="shared" si="36"/>
        <v>0</v>
      </c>
      <c r="S194" s="698">
        <f t="shared" si="37"/>
        <v>0</v>
      </c>
    </row>
    <row r="195" spans="1:19">
      <c r="A195" s="491"/>
      <c r="B195" s="348"/>
      <c r="C195" s="313">
        <f t="shared" si="28"/>
        <v>1</v>
      </c>
      <c r="D195" s="1128"/>
      <c r="E195" s="313">
        <f t="shared" si="29"/>
        <v>1</v>
      </c>
      <c r="F195" s="1128"/>
      <c r="G195" s="313">
        <f t="shared" si="30"/>
        <v>1</v>
      </c>
      <c r="H195" s="1128"/>
      <c r="I195" s="313">
        <f t="shared" si="31"/>
        <v>1</v>
      </c>
      <c r="J195" s="1128"/>
      <c r="K195" s="313">
        <f t="shared" si="32"/>
        <v>1</v>
      </c>
      <c r="L195" s="1128"/>
      <c r="M195" s="313">
        <f t="shared" si="33"/>
        <v>1</v>
      </c>
      <c r="N195" s="1128"/>
      <c r="O195" s="313">
        <f t="shared" si="34"/>
        <v>1</v>
      </c>
      <c r="P195" s="1128"/>
      <c r="Q195" s="313">
        <f t="shared" si="35"/>
        <v>1</v>
      </c>
      <c r="R195" s="1124">
        <f t="shared" si="36"/>
        <v>0</v>
      </c>
      <c r="S195" s="698">
        <f t="shared" si="37"/>
        <v>0</v>
      </c>
    </row>
    <row r="196" spans="1:19">
      <c r="A196" s="491"/>
      <c r="B196" s="348"/>
      <c r="C196" s="313">
        <f t="shared" si="28"/>
        <v>1</v>
      </c>
      <c r="D196" s="1128"/>
      <c r="E196" s="313">
        <f t="shared" si="29"/>
        <v>1</v>
      </c>
      <c r="F196" s="1128"/>
      <c r="G196" s="313">
        <f t="shared" si="30"/>
        <v>1</v>
      </c>
      <c r="H196" s="1128"/>
      <c r="I196" s="313">
        <f t="shared" si="31"/>
        <v>1</v>
      </c>
      <c r="J196" s="1128"/>
      <c r="K196" s="313">
        <f t="shared" si="32"/>
        <v>1</v>
      </c>
      <c r="L196" s="1128"/>
      <c r="M196" s="313">
        <f t="shared" si="33"/>
        <v>1</v>
      </c>
      <c r="N196" s="1128"/>
      <c r="O196" s="313">
        <f t="shared" si="34"/>
        <v>1</v>
      </c>
      <c r="P196" s="1128"/>
      <c r="Q196" s="313">
        <f t="shared" si="35"/>
        <v>1</v>
      </c>
      <c r="R196" s="1124">
        <f t="shared" si="36"/>
        <v>0</v>
      </c>
      <c r="S196" s="698">
        <f t="shared" si="37"/>
        <v>0</v>
      </c>
    </row>
    <row r="197" spans="1:19">
      <c r="A197" s="491"/>
      <c r="B197" s="348"/>
      <c r="C197" s="313">
        <f t="shared" si="28"/>
        <v>1</v>
      </c>
      <c r="D197" s="1128"/>
      <c r="E197" s="313">
        <f t="shared" si="29"/>
        <v>1</v>
      </c>
      <c r="F197" s="1128"/>
      <c r="G197" s="313">
        <f t="shared" si="30"/>
        <v>1</v>
      </c>
      <c r="H197" s="1128"/>
      <c r="I197" s="313">
        <f t="shared" si="31"/>
        <v>1</v>
      </c>
      <c r="J197" s="1128"/>
      <c r="K197" s="313">
        <f t="shared" si="32"/>
        <v>1</v>
      </c>
      <c r="L197" s="1128"/>
      <c r="M197" s="313">
        <f t="shared" si="33"/>
        <v>1</v>
      </c>
      <c r="N197" s="1128"/>
      <c r="O197" s="313">
        <f t="shared" si="34"/>
        <v>1</v>
      </c>
      <c r="P197" s="1128"/>
      <c r="Q197" s="313">
        <f t="shared" si="35"/>
        <v>1</v>
      </c>
      <c r="R197" s="1124">
        <f t="shared" si="36"/>
        <v>0</v>
      </c>
      <c r="S197" s="698">
        <f t="shared" si="37"/>
        <v>0</v>
      </c>
    </row>
    <row r="198" spans="1:19">
      <c r="A198" s="491"/>
      <c r="B198" s="348"/>
      <c r="C198" s="313">
        <f t="shared" si="28"/>
        <v>1</v>
      </c>
      <c r="D198" s="1128"/>
      <c r="E198" s="313">
        <f t="shared" si="29"/>
        <v>1</v>
      </c>
      <c r="F198" s="1128"/>
      <c r="G198" s="313">
        <f t="shared" si="30"/>
        <v>1</v>
      </c>
      <c r="H198" s="1128"/>
      <c r="I198" s="313">
        <f t="shared" si="31"/>
        <v>1</v>
      </c>
      <c r="J198" s="1128"/>
      <c r="K198" s="313">
        <f t="shared" si="32"/>
        <v>1</v>
      </c>
      <c r="L198" s="1128"/>
      <c r="M198" s="313">
        <f t="shared" si="33"/>
        <v>1</v>
      </c>
      <c r="N198" s="1128"/>
      <c r="O198" s="313">
        <f t="shared" si="34"/>
        <v>1</v>
      </c>
      <c r="P198" s="1128"/>
      <c r="Q198" s="313">
        <f t="shared" si="35"/>
        <v>1</v>
      </c>
      <c r="R198" s="1124">
        <f t="shared" si="36"/>
        <v>0</v>
      </c>
      <c r="S198" s="698">
        <f t="shared" si="37"/>
        <v>0</v>
      </c>
    </row>
    <row r="199" spans="1:19">
      <c r="A199" s="491"/>
      <c r="B199" s="348"/>
      <c r="C199" s="313">
        <f t="shared" si="28"/>
        <v>1</v>
      </c>
      <c r="D199" s="1128"/>
      <c r="E199" s="313">
        <f t="shared" si="29"/>
        <v>1</v>
      </c>
      <c r="F199" s="1128"/>
      <c r="G199" s="313">
        <f t="shared" si="30"/>
        <v>1</v>
      </c>
      <c r="H199" s="1128"/>
      <c r="I199" s="313">
        <f t="shared" si="31"/>
        <v>1</v>
      </c>
      <c r="J199" s="1128"/>
      <c r="K199" s="313">
        <f t="shared" si="32"/>
        <v>1</v>
      </c>
      <c r="L199" s="1128"/>
      <c r="M199" s="313">
        <f t="shared" si="33"/>
        <v>1</v>
      </c>
      <c r="N199" s="1128"/>
      <c r="O199" s="313">
        <f t="shared" si="34"/>
        <v>1</v>
      </c>
      <c r="P199" s="1128"/>
      <c r="Q199" s="313">
        <f t="shared" si="35"/>
        <v>1</v>
      </c>
      <c r="R199" s="1124">
        <f t="shared" si="36"/>
        <v>0</v>
      </c>
      <c r="S199" s="698">
        <f t="shared" si="37"/>
        <v>0</v>
      </c>
    </row>
    <row r="200" spans="1:19">
      <c r="A200" s="491"/>
      <c r="B200" s="348"/>
      <c r="C200" s="313">
        <f t="shared" si="28"/>
        <v>1</v>
      </c>
      <c r="D200" s="1128"/>
      <c r="E200" s="313">
        <f t="shared" si="29"/>
        <v>1</v>
      </c>
      <c r="F200" s="1128"/>
      <c r="G200" s="313">
        <f t="shared" si="30"/>
        <v>1</v>
      </c>
      <c r="H200" s="1128"/>
      <c r="I200" s="313">
        <f t="shared" si="31"/>
        <v>1</v>
      </c>
      <c r="J200" s="1128"/>
      <c r="K200" s="313">
        <f t="shared" si="32"/>
        <v>1</v>
      </c>
      <c r="L200" s="1128"/>
      <c r="M200" s="313">
        <f t="shared" si="33"/>
        <v>1</v>
      </c>
      <c r="N200" s="1128"/>
      <c r="O200" s="313">
        <f t="shared" si="34"/>
        <v>1</v>
      </c>
      <c r="P200" s="1128"/>
      <c r="Q200" s="313">
        <f t="shared" si="35"/>
        <v>1</v>
      </c>
      <c r="R200" s="1124">
        <f t="shared" si="36"/>
        <v>0</v>
      </c>
      <c r="S200" s="698">
        <f t="shared" si="37"/>
        <v>0</v>
      </c>
    </row>
    <row r="201" spans="1:19">
      <c r="A201" s="491"/>
      <c r="B201" s="348"/>
      <c r="C201" s="313">
        <f t="shared" si="28"/>
        <v>1</v>
      </c>
      <c r="D201" s="1128"/>
      <c r="E201" s="313">
        <f t="shared" si="29"/>
        <v>1</v>
      </c>
      <c r="F201" s="1128"/>
      <c r="G201" s="313">
        <f t="shared" si="30"/>
        <v>1</v>
      </c>
      <c r="H201" s="1128"/>
      <c r="I201" s="313">
        <f t="shared" si="31"/>
        <v>1</v>
      </c>
      <c r="J201" s="1128"/>
      <c r="K201" s="313">
        <f t="shared" si="32"/>
        <v>1</v>
      </c>
      <c r="L201" s="1128"/>
      <c r="M201" s="313">
        <f t="shared" si="33"/>
        <v>1</v>
      </c>
      <c r="N201" s="1128"/>
      <c r="O201" s="313">
        <f t="shared" si="34"/>
        <v>1</v>
      </c>
      <c r="P201" s="1128"/>
      <c r="Q201" s="313">
        <f t="shared" si="35"/>
        <v>1</v>
      </c>
      <c r="R201" s="1124">
        <f t="shared" si="36"/>
        <v>0</v>
      </c>
      <c r="S201" s="698">
        <f t="shared" si="37"/>
        <v>0</v>
      </c>
    </row>
    <row r="202" spans="1:19">
      <c r="A202" s="491"/>
      <c r="B202" s="348"/>
      <c r="C202" s="313">
        <f t="shared" si="28"/>
        <v>1</v>
      </c>
      <c r="D202" s="1128"/>
      <c r="E202" s="313">
        <f t="shared" si="29"/>
        <v>1</v>
      </c>
      <c r="F202" s="1128"/>
      <c r="G202" s="313">
        <f t="shared" si="30"/>
        <v>1</v>
      </c>
      <c r="H202" s="1128"/>
      <c r="I202" s="313">
        <f t="shared" si="31"/>
        <v>1</v>
      </c>
      <c r="J202" s="1128"/>
      <c r="K202" s="313">
        <f t="shared" si="32"/>
        <v>1</v>
      </c>
      <c r="L202" s="1128"/>
      <c r="M202" s="313">
        <f t="shared" si="33"/>
        <v>1</v>
      </c>
      <c r="N202" s="1128"/>
      <c r="O202" s="313">
        <f t="shared" si="34"/>
        <v>1</v>
      </c>
      <c r="P202" s="1128"/>
      <c r="Q202" s="313">
        <f t="shared" si="35"/>
        <v>1</v>
      </c>
      <c r="R202" s="1124">
        <f t="shared" si="36"/>
        <v>0</v>
      </c>
      <c r="S202" s="698">
        <f t="shared" si="37"/>
        <v>0</v>
      </c>
    </row>
    <row r="203" spans="1:19">
      <c r="A203" s="491"/>
      <c r="B203" s="348"/>
      <c r="C203" s="313">
        <f t="shared" si="28"/>
        <v>1</v>
      </c>
      <c r="D203" s="1128"/>
      <c r="E203" s="313">
        <f t="shared" si="29"/>
        <v>1</v>
      </c>
      <c r="F203" s="1128"/>
      <c r="G203" s="313">
        <f t="shared" si="30"/>
        <v>1</v>
      </c>
      <c r="H203" s="1128"/>
      <c r="I203" s="313">
        <f t="shared" si="31"/>
        <v>1</v>
      </c>
      <c r="J203" s="1128"/>
      <c r="K203" s="313">
        <f t="shared" si="32"/>
        <v>1</v>
      </c>
      <c r="L203" s="1128"/>
      <c r="M203" s="313">
        <f t="shared" si="33"/>
        <v>1</v>
      </c>
      <c r="N203" s="1128"/>
      <c r="O203" s="313">
        <f t="shared" si="34"/>
        <v>1</v>
      </c>
      <c r="P203" s="1128"/>
      <c r="Q203" s="313">
        <f t="shared" si="35"/>
        <v>1</v>
      </c>
      <c r="R203" s="1124">
        <f t="shared" si="36"/>
        <v>0</v>
      </c>
      <c r="S203" s="698">
        <f t="shared" si="37"/>
        <v>0</v>
      </c>
    </row>
    <row r="204" spans="1:19">
      <c r="A204" s="491"/>
      <c r="B204" s="348"/>
      <c r="C204" s="313">
        <f t="shared" si="28"/>
        <v>1</v>
      </c>
      <c r="D204" s="1128"/>
      <c r="E204" s="313">
        <f t="shared" si="29"/>
        <v>1</v>
      </c>
      <c r="F204" s="1128"/>
      <c r="G204" s="313">
        <f t="shared" si="30"/>
        <v>1</v>
      </c>
      <c r="H204" s="1128"/>
      <c r="I204" s="313">
        <f t="shared" si="31"/>
        <v>1</v>
      </c>
      <c r="J204" s="1128"/>
      <c r="K204" s="313">
        <f t="shared" si="32"/>
        <v>1</v>
      </c>
      <c r="L204" s="1128"/>
      <c r="M204" s="313">
        <f t="shared" si="33"/>
        <v>1</v>
      </c>
      <c r="N204" s="1128"/>
      <c r="O204" s="313">
        <f t="shared" si="34"/>
        <v>1</v>
      </c>
      <c r="P204" s="1128"/>
      <c r="Q204" s="313">
        <f t="shared" si="35"/>
        <v>1</v>
      </c>
      <c r="R204" s="1124">
        <f t="shared" si="36"/>
        <v>0</v>
      </c>
      <c r="S204" s="698">
        <f t="shared" si="37"/>
        <v>0</v>
      </c>
    </row>
    <row r="205" spans="1:19">
      <c r="A205" s="491"/>
      <c r="B205" s="348"/>
      <c r="C205" s="313">
        <f t="shared" si="28"/>
        <v>1</v>
      </c>
      <c r="D205" s="1128"/>
      <c r="E205" s="313">
        <f t="shared" si="29"/>
        <v>1</v>
      </c>
      <c r="F205" s="1128"/>
      <c r="G205" s="313">
        <f t="shared" si="30"/>
        <v>1</v>
      </c>
      <c r="H205" s="1128"/>
      <c r="I205" s="313">
        <f t="shared" si="31"/>
        <v>1</v>
      </c>
      <c r="J205" s="1128"/>
      <c r="K205" s="313">
        <f t="shared" si="32"/>
        <v>1</v>
      </c>
      <c r="L205" s="1128"/>
      <c r="M205" s="313">
        <f t="shared" si="33"/>
        <v>1</v>
      </c>
      <c r="N205" s="1128"/>
      <c r="O205" s="313">
        <f t="shared" si="34"/>
        <v>1</v>
      </c>
      <c r="P205" s="1128"/>
      <c r="Q205" s="313">
        <f t="shared" si="35"/>
        <v>1</v>
      </c>
      <c r="R205" s="1124">
        <f t="shared" si="36"/>
        <v>0</v>
      </c>
      <c r="S205" s="698">
        <f t="shared" si="37"/>
        <v>0</v>
      </c>
    </row>
    <row r="206" spans="1:19">
      <c r="A206" s="491"/>
      <c r="B206" s="348"/>
      <c r="C206" s="313">
        <f t="shared" si="28"/>
        <v>1</v>
      </c>
      <c r="D206" s="1128"/>
      <c r="E206" s="313">
        <f t="shared" si="29"/>
        <v>1</v>
      </c>
      <c r="F206" s="1128"/>
      <c r="G206" s="313">
        <f t="shared" si="30"/>
        <v>1</v>
      </c>
      <c r="H206" s="1128"/>
      <c r="I206" s="313">
        <f t="shared" si="31"/>
        <v>1</v>
      </c>
      <c r="J206" s="1128"/>
      <c r="K206" s="313">
        <f t="shared" si="32"/>
        <v>1</v>
      </c>
      <c r="L206" s="1128"/>
      <c r="M206" s="313">
        <f t="shared" si="33"/>
        <v>1</v>
      </c>
      <c r="N206" s="1128"/>
      <c r="O206" s="313">
        <f t="shared" si="34"/>
        <v>1</v>
      </c>
      <c r="P206" s="1128"/>
      <c r="Q206" s="313">
        <f t="shared" si="35"/>
        <v>1</v>
      </c>
      <c r="R206" s="1124">
        <f t="shared" si="36"/>
        <v>0</v>
      </c>
      <c r="S206" s="698">
        <f t="shared" si="37"/>
        <v>0</v>
      </c>
    </row>
    <row r="207" spans="1:19">
      <c r="A207" s="491"/>
      <c r="B207" s="348"/>
      <c r="C207" s="313">
        <f t="shared" si="28"/>
        <v>1</v>
      </c>
      <c r="D207" s="1128"/>
      <c r="E207" s="313">
        <f t="shared" si="29"/>
        <v>1</v>
      </c>
      <c r="F207" s="1128"/>
      <c r="G207" s="313">
        <f t="shared" si="30"/>
        <v>1</v>
      </c>
      <c r="H207" s="1128"/>
      <c r="I207" s="313">
        <f t="shared" si="31"/>
        <v>1</v>
      </c>
      <c r="J207" s="1128"/>
      <c r="K207" s="313">
        <f t="shared" si="32"/>
        <v>1</v>
      </c>
      <c r="L207" s="1128"/>
      <c r="M207" s="313">
        <f t="shared" si="33"/>
        <v>1</v>
      </c>
      <c r="N207" s="1128"/>
      <c r="O207" s="313">
        <f t="shared" si="34"/>
        <v>1</v>
      </c>
      <c r="P207" s="1128"/>
      <c r="Q207" s="313">
        <f t="shared" si="35"/>
        <v>1</v>
      </c>
      <c r="R207" s="1124">
        <f t="shared" si="36"/>
        <v>0</v>
      </c>
      <c r="S207" s="698">
        <f t="shared" si="37"/>
        <v>0</v>
      </c>
    </row>
    <row r="208" spans="1:19">
      <c r="A208" s="491"/>
      <c r="B208" s="348"/>
      <c r="C208" s="313">
        <f t="shared" si="28"/>
        <v>1</v>
      </c>
      <c r="D208" s="1128"/>
      <c r="E208" s="313">
        <f t="shared" si="29"/>
        <v>1</v>
      </c>
      <c r="F208" s="1128"/>
      <c r="G208" s="313">
        <f t="shared" si="30"/>
        <v>1</v>
      </c>
      <c r="H208" s="1128"/>
      <c r="I208" s="313">
        <f t="shared" si="31"/>
        <v>1</v>
      </c>
      <c r="J208" s="1128"/>
      <c r="K208" s="313">
        <f t="shared" si="32"/>
        <v>1</v>
      </c>
      <c r="L208" s="1128"/>
      <c r="M208" s="313">
        <f t="shared" si="33"/>
        <v>1</v>
      </c>
      <c r="N208" s="1128"/>
      <c r="O208" s="313">
        <f t="shared" si="34"/>
        <v>1</v>
      </c>
      <c r="P208" s="1128"/>
      <c r="Q208" s="313">
        <f t="shared" si="35"/>
        <v>1</v>
      </c>
      <c r="R208" s="1124">
        <f t="shared" si="36"/>
        <v>0</v>
      </c>
      <c r="S208" s="698">
        <f t="shared" si="37"/>
        <v>0</v>
      </c>
    </row>
    <row r="209" spans="1:19">
      <c r="A209" s="491"/>
      <c r="B209" s="348"/>
      <c r="C209" s="313">
        <f t="shared" si="28"/>
        <v>1</v>
      </c>
      <c r="D209" s="1128"/>
      <c r="E209" s="313">
        <f t="shared" si="29"/>
        <v>1</v>
      </c>
      <c r="F209" s="1128"/>
      <c r="G209" s="313">
        <f t="shared" si="30"/>
        <v>1</v>
      </c>
      <c r="H209" s="1128"/>
      <c r="I209" s="313">
        <f t="shared" si="31"/>
        <v>1</v>
      </c>
      <c r="J209" s="1128"/>
      <c r="K209" s="313">
        <f t="shared" si="32"/>
        <v>1</v>
      </c>
      <c r="L209" s="1128"/>
      <c r="M209" s="313">
        <f t="shared" si="33"/>
        <v>1</v>
      </c>
      <c r="N209" s="1128"/>
      <c r="O209" s="313">
        <f t="shared" si="34"/>
        <v>1</v>
      </c>
      <c r="P209" s="1128"/>
      <c r="Q209" s="313">
        <f t="shared" si="35"/>
        <v>1</v>
      </c>
      <c r="R209" s="1124">
        <f t="shared" si="36"/>
        <v>0</v>
      </c>
      <c r="S209" s="698">
        <f t="shared" si="37"/>
        <v>0</v>
      </c>
    </row>
    <row r="210" spans="1:19">
      <c r="A210" s="491"/>
      <c r="B210" s="348"/>
      <c r="C210" s="313">
        <f t="shared" si="28"/>
        <v>1</v>
      </c>
      <c r="D210" s="1128"/>
      <c r="E210" s="313">
        <f t="shared" si="29"/>
        <v>1</v>
      </c>
      <c r="F210" s="1128"/>
      <c r="G210" s="313">
        <f t="shared" si="30"/>
        <v>1</v>
      </c>
      <c r="H210" s="1128"/>
      <c r="I210" s="313">
        <f t="shared" si="31"/>
        <v>1</v>
      </c>
      <c r="J210" s="1128"/>
      <c r="K210" s="313">
        <f t="shared" si="32"/>
        <v>1</v>
      </c>
      <c r="L210" s="1128"/>
      <c r="M210" s="313">
        <f t="shared" si="33"/>
        <v>1</v>
      </c>
      <c r="N210" s="1128"/>
      <c r="O210" s="313">
        <f t="shared" si="34"/>
        <v>1</v>
      </c>
      <c r="P210" s="1128"/>
      <c r="Q210" s="313">
        <f t="shared" si="35"/>
        <v>1</v>
      </c>
      <c r="R210" s="1124">
        <f t="shared" si="36"/>
        <v>0</v>
      </c>
      <c r="S210" s="698">
        <f t="shared" si="37"/>
        <v>0</v>
      </c>
    </row>
    <row r="211" spans="1:19">
      <c r="A211" s="491"/>
      <c r="B211" s="348"/>
      <c r="C211" s="313">
        <f t="shared" si="28"/>
        <v>1</v>
      </c>
      <c r="D211" s="1128"/>
      <c r="E211" s="313">
        <f t="shared" si="29"/>
        <v>1</v>
      </c>
      <c r="F211" s="1128"/>
      <c r="G211" s="313">
        <f t="shared" si="30"/>
        <v>1</v>
      </c>
      <c r="H211" s="1128"/>
      <c r="I211" s="313">
        <f t="shared" si="31"/>
        <v>1</v>
      </c>
      <c r="J211" s="1128"/>
      <c r="K211" s="313">
        <f t="shared" si="32"/>
        <v>1</v>
      </c>
      <c r="L211" s="1128"/>
      <c r="M211" s="313">
        <f t="shared" si="33"/>
        <v>1</v>
      </c>
      <c r="N211" s="1128"/>
      <c r="O211" s="313">
        <f t="shared" si="34"/>
        <v>1</v>
      </c>
      <c r="P211" s="1128"/>
      <c r="Q211" s="313">
        <f t="shared" si="35"/>
        <v>1</v>
      </c>
      <c r="R211" s="1124">
        <f t="shared" si="36"/>
        <v>0</v>
      </c>
      <c r="S211" s="698">
        <f t="shared" si="37"/>
        <v>0</v>
      </c>
    </row>
    <row r="212" spans="1:19">
      <c r="A212" s="491"/>
      <c r="B212" s="348"/>
      <c r="C212" s="313">
        <f t="shared" si="28"/>
        <v>1</v>
      </c>
      <c r="D212" s="1128"/>
      <c r="E212" s="313">
        <f t="shared" si="29"/>
        <v>1</v>
      </c>
      <c r="F212" s="1128"/>
      <c r="G212" s="313">
        <f t="shared" si="30"/>
        <v>1</v>
      </c>
      <c r="H212" s="1128"/>
      <c r="I212" s="313">
        <f t="shared" si="31"/>
        <v>1</v>
      </c>
      <c r="J212" s="1128"/>
      <c r="K212" s="313">
        <f t="shared" si="32"/>
        <v>1</v>
      </c>
      <c r="L212" s="1128"/>
      <c r="M212" s="313">
        <f t="shared" si="33"/>
        <v>1</v>
      </c>
      <c r="N212" s="1128"/>
      <c r="O212" s="313">
        <f t="shared" si="34"/>
        <v>1</v>
      </c>
      <c r="P212" s="1128"/>
      <c r="Q212" s="313">
        <f t="shared" si="35"/>
        <v>1</v>
      </c>
      <c r="R212" s="1124">
        <f t="shared" si="36"/>
        <v>0</v>
      </c>
      <c r="S212" s="698">
        <f t="shared" si="37"/>
        <v>0</v>
      </c>
    </row>
    <row r="213" spans="1:19">
      <c r="A213" s="491"/>
      <c r="B213" s="348"/>
      <c r="C213" s="313">
        <f t="shared" si="28"/>
        <v>1</v>
      </c>
      <c r="D213" s="1128"/>
      <c r="E213" s="313">
        <f t="shared" si="29"/>
        <v>1</v>
      </c>
      <c r="F213" s="1128"/>
      <c r="G213" s="313">
        <f t="shared" si="30"/>
        <v>1</v>
      </c>
      <c r="H213" s="1128"/>
      <c r="I213" s="313">
        <f t="shared" si="31"/>
        <v>1</v>
      </c>
      <c r="J213" s="1128"/>
      <c r="K213" s="313">
        <f t="shared" si="32"/>
        <v>1</v>
      </c>
      <c r="L213" s="1128"/>
      <c r="M213" s="313">
        <f t="shared" si="33"/>
        <v>1</v>
      </c>
      <c r="N213" s="1128"/>
      <c r="O213" s="313">
        <f t="shared" si="34"/>
        <v>1</v>
      </c>
      <c r="P213" s="1128"/>
      <c r="Q213" s="313">
        <f t="shared" si="35"/>
        <v>1</v>
      </c>
      <c r="R213" s="1124">
        <f t="shared" si="36"/>
        <v>0</v>
      </c>
      <c r="S213" s="698">
        <f t="shared" si="37"/>
        <v>0</v>
      </c>
    </row>
    <row r="214" spans="1:19">
      <c r="A214" s="491"/>
      <c r="B214" s="348"/>
      <c r="C214" s="313">
        <f t="shared" si="28"/>
        <v>1</v>
      </c>
      <c r="D214" s="1128"/>
      <c r="E214" s="313">
        <f t="shared" si="29"/>
        <v>1</v>
      </c>
      <c r="F214" s="1128"/>
      <c r="G214" s="313">
        <f t="shared" si="30"/>
        <v>1</v>
      </c>
      <c r="H214" s="1128"/>
      <c r="I214" s="313">
        <f t="shared" si="31"/>
        <v>1</v>
      </c>
      <c r="J214" s="1128"/>
      <c r="K214" s="313">
        <f t="shared" si="32"/>
        <v>1</v>
      </c>
      <c r="L214" s="1128"/>
      <c r="M214" s="313">
        <f t="shared" si="33"/>
        <v>1</v>
      </c>
      <c r="N214" s="1128"/>
      <c r="O214" s="313">
        <f t="shared" si="34"/>
        <v>1</v>
      </c>
      <c r="P214" s="1128"/>
      <c r="Q214" s="313">
        <f t="shared" si="35"/>
        <v>1</v>
      </c>
      <c r="R214" s="1124">
        <f t="shared" si="36"/>
        <v>0</v>
      </c>
      <c r="S214" s="698">
        <f t="shared" si="37"/>
        <v>0</v>
      </c>
    </row>
    <row r="215" spans="1:19">
      <c r="A215" s="491"/>
      <c r="B215" s="348"/>
      <c r="C215" s="313">
        <f t="shared" si="28"/>
        <v>1</v>
      </c>
      <c r="D215" s="1128"/>
      <c r="E215" s="313">
        <f t="shared" si="29"/>
        <v>1</v>
      </c>
      <c r="F215" s="1128"/>
      <c r="G215" s="313">
        <f t="shared" si="30"/>
        <v>1</v>
      </c>
      <c r="H215" s="1128"/>
      <c r="I215" s="313">
        <f t="shared" si="31"/>
        <v>1</v>
      </c>
      <c r="J215" s="1128"/>
      <c r="K215" s="313">
        <f t="shared" si="32"/>
        <v>1</v>
      </c>
      <c r="L215" s="1128"/>
      <c r="M215" s="313">
        <f t="shared" si="33"/>
        <v>1</v>
      </c>
      <c r="N215" s="1128"/>
      <c r="O215" s="313">
        <f t="shared" si="34"/>
        <v>1</v>
      </c>
      <c r="P215" s="1128"/>
      <c r="Q215" s="313">
        <f t="shared" si="35"/>
        <v>1</v>
      </c>
      <c r="R215" s="1124">
        <f t="shared" si="36"/>
        <v>0</v>
      </c>
      <c r="S215" s="698">
        <f t="shared" si="37"/>
        <v>0</v>
      </c>
    </row>
    <row r="216" spans="1:19">
      <c r="A216" s="491"/>
      <c r="B216" s="348"/>
      <c r="C216" s="313">
        <f t="shared" si="28"/>
        <v>1</v>
      </c>
      <c r="D216" s="1128"/>
      <c r="E216" s="313">
        <f t="shared" si="29"/>
        <v>1</v>
      </c>
      <c r="F216" s="1128"/>
      <c r="G216" s="313">
        <f t="shared" si="30"/>
        <v>1</v>
      </c>
      <c r="H216" s="1128"/>
      <c r="I216" s="313">
        <f t="shared" si="31"/>
        <v>1</v>
      </c>
      <c r="J216" s="1128"/>
      <c r="K216" s="313">
        <f t="shared" si="32"/>
        <v>1</v>
      </c>
      <c r="L216" s="1128"/>
      <c r="M216" s="313">
        <f t="shared" si="33"/>
        <v>1</v>
      </c>
      <c r="N216" s="1128"/>
      <c r="O216" s="313">
        <f t="shared" si="34"/>
        <v>1</v>
      </c>
      <c r="P216" s="1128"/>
      <c r="Q216" s="313">
        <f t="shared" si="35"/>
        <v>1</v>
      </c>
      <c r="R216" s="1124">
        <f t="shared" si="36"/>
        <v>0</v>
      </c>
      <c r="S216" s="698">
        <f t="shared" si="37"/>
        <v>0</v>
      </c>
    </row>
    <row r="217" spans="1:19">
      <c r="A217" s="491"/>
      <c r="B217" s="348"/>
      <c r="C217" s="313">
        <f t="shared" si="28"/>
        <v>1</v>
      </c>
      <c r="D217" s="1128"/>
      <c r="E217" s="313">
        <f t="shared" si="29"/>
        <v>1</v>
      </c>
      <c r="F217" s="1128"/>
      <c r="G217" s="313">
        <f t="shared" si="30"/>
        <v>1</v>
      </c>
      <c r="H217" s="1128"/>
      <c r="I217" s="313">
        <f t="shared" si="31"/>
        <v>1</v>
      </c>
      <c r="J217" s="1128"/>
      <c r="K217" s="313">
        <f t="shared" si="32"/>
        <v>1</v>
      </c>
      <c r="L217" s="1128"/>
      <c r="M217" s="313">
        <f t="shared" si="33"/>
        <v>1</v>
      </c>
      <c r="N217" s="1128"/>
      <c r="O217" s="313">
        <f t="shared" si="34"/>
        <v>1</v>
      </c>
      <c r="P217" s="1128"/>
      <c r="Q217" s="313">
        <f t="shared" si="35"/>
        <v>1</v>
      </c>
      <c r="R217" s="1124">
        <f t="shared" si="36"/>
        <v>0</v>
      </c>
      <c r="S217" s="698">
        <f t="shared" si="37"/>
        <v>0</v>
      </c>
    </row>
    <row r="218" spans="1:19">
      <c r="A218" s="491"/>
      <c r="B218" s="348"/>
      <c r="C218" s="313">
        <f t="shared" ref="C218:C281" si="38">IF(B218="",1,(LOOKUP(B218,$3:$3,$4:$4)-LOOKUP($B$24,$3:$3,$4:$4)+100)/100)</f>
        <v>1</v>
      </c>
      <c r="D218" s="1128"/>
      <c r="E218" s="313">
        <f t="shared" ref="E218:E281" si="39">(SUMIF($5:$5,D218,$6:$6)-SUMIF($5:$5,$D$24,$6:$6)+100)/100</f>
        <v>1</v>
      </c>
      <c r="F218" s="1128"/>
      <c r="G218" s="313">
        <f t="shared" ref="G218:G281" si="40">(SUMIF($7:$7,F218,$8:$8)-SUMIF($7:$7,$F$24,$8:$8)+100)/100</f>
        <v>1</v>
      </c>
      <c r="H218" s="1128"/>
      <c r="I218" s="313">
        <f t="shared" ref="I218:I281" si="41">(SUMIF($9:$9,H218,$10:$10)-SUMIF($9:$9,$H$24,$10:$10)+100)/100</f>
        <v>1</v>
      </c>
      <c r="J218" s="1128"/>
      <c r="K218" s="313">
        <f t="shared" ref="K218:K281" si="42">(SUMIF($11:$11,J218,$12:$12)-SUMIF($11:$11,$J$24,$12:$12)+100)/100</f>
        <v>1</v>
      </c>
      <c r="L218" s="1128"/>
      <c r="M218" s="313">
        <f t="shared" ref="M218:M281" si="43">(SUMIF($13:$13,L218,$14:$14)-SUMIF($13:$13,$L$24,$14:$14)+100)/100</f>
        <v>1</v>
      </c>
      <c r="N218" s="1128"/>
      <c r="O218" s="313">
        <f t="shared" ref="O218:O281" si="44">(SUMIF($15:$15,N218,$16:$16)-SUMIF($15:$15,$N$24,$16:$16)+100)/100</f>
        <v>1</v>
      </c>
      <c r="P218" s="1128"/>
      <c r="Q218" s="313">
        <f t="shared" ref="Q218:Q281" si="45">(SUMIF($17:$17,P218,$18:$18)-SUMIF($17:$17,$P$24,$18:$18)+100)/100</f>
        <v>1</v>
      </c>
      <c r="R218" s="1124">
        <f t="shared" ref="R218:R281" si="46">IF(B218="",0,ROUND($R$24*C218*E218*G218*I218*K218*M218*O218*Q218,0))</f>
        <v>0</v>
      </c>
      <c r="S218" s="698">
        <f t="shared" si="37"/>
        <v>0</v>
      </c>
    </row>
    <row r="219" spans="1:19">
      <c r="A219" s="491"/>
      <c r="B219" s="348"/>
      <c r="C219" s="313">
        <f t="shared" si="38"/>
        <v>1</v>
      </c>
      <c r="D219" s="1128"/>
      <c r="E219" s="313">
        <f t="shared" si="39"/>
        <v>1</v>
      </c>
      <c r="F219" s="1128"/>
      <c r="G219" s="313">
        <f t="shared" si="40"/>
        <v>1</v>
      </c>
      <c r="H219" s="1128"/>
      <c r="I219" s="313">
        <f t="shared" si="41"/>
        <v>1</v>
      </c>
      <c r="J219" s="1128"/>
      <c r="K219" s="313">
        <f t="shared" si="42"/>
        <v>1</v>
      </c>
      <c r="L219" s="1128"/>
      <c r="M219" s="313">
        <f t="shared" si="43"/>
        <v>1</v>
      </c>
      <c r="N219" s="1128"/>
      <c r="O219" s="313">
        <f t="shared" si="44"/>
        <v>1</v>
      </c>
      <c r="P219" s="1128"/>
      <c r="Q219" s="313">
        <f t="shared" si="45"/>
        <v>1</v>
      </c>
      <c r="R219" s="1124">
        <f t="shared" si="46"/>
        <v>0</v>
      </c>
      <c r="S219" s="698">
        <f t="shared" si="37"/>
        <v>0</v>
      </c>
    </row>
    <row r="220" spans="1:19">
      <c r="A220" s="491"/>
      <c r="B220" s="348"/>
      <c r="C220" s="313">
        <f t="shared" si="38"/>
        <v>1</v>
      </c>
      <c r="D220" s="1128"/>
      <c r="E220" s="313">
        <f t="shared" si="39"/>
        <v>1</v>
      </c>
      <c r="F220" s="1128"/>
      <c r="G220" s="313">
        <f t="shared" si="40"/>
        <v>1</v>
      </c>
      <c r="H220" s="1128"/>
      <c r="I220" s="313">
        <f t="shared" si="41"/>
        <v>1</v>
      </c>
      <c r="J220" s="1128"/>
      <c r="K220" s="313">
        <f t="shared" si="42"/>
        <v>1</v>
      </c>
      <c r="L220" s="1128"/>
      <c r="M220" s="313">
        <f t="shared" si="43"/>
        <v>1</v>
      </c>
      <c r="N220" s="1128"/>
      <c r="O220" s="313">
        <f t="shared" si="44"/>
        <v>1</v>
      </c>
      <c r="P220" s="1128"/>
      <c r="Q220" s="313">
        <f t="shared" si="45"/>
        <v>1</v>
      </c>
      <c r="R220" s="1124">
        <f t="shared" si="46"/>
        <v>0</v>
      </c>
      <c r="S220" s="698">
        <f t="shared" si="37"/>
        <v>0</v>
      </c>
    </row>
    <row r="221" spans="1:19">
      <c r="A221" s="491"/>
      <c r="B221" s="348"/>
      <c r="C221" s="313">
        <f t="shared" si="38"/>
        <v>1</v>
      </c>
      <c r="D221" s="1128"/>
      <c r="E221" s="313">
        <f t="shared" si="39"/>
        <v>1</v>
      </c>
      <c r="F221" s="1128"/>
      <c r="G221" s="313">
        <f t="shared" si="40"/>
        <v>1</v>
      </c>
      <c r="H221" s="1128"/>
      <c r="I221" s="313">
        <f t="shared" si="41"/>
        <v>1</v>
      </c>
      <c r="J221" s="1128"/>
      <c r="K221" s="313">
        <f t="shared" si="42"/>
        <v>1</v>
      </c>
      <c r="L221" s="1128"/>
      <c r="M221" s="313">
        <f t="shared" si="43"/>
        <v>1</v>
      </c>
      <c r="N221" s="1128"/>
      <c r="O221" s="313">
        <f t="shared" si="44"/>
        <v>1</v>
      </c>
      <c r="P221" s="1128"/>
      <c r="Q221" s="313">
        <f t="shared" si="45"/>
        <v>1</v>
      </c>
      <c r="R221" s="1124">
        <f t="shared" si="46"/>
        <v>0</v>
      </c>
      <c r="S221" s="698">
        <f t="shared" si="37"/>
        <v>0</v>
      </c>
    </row>
    <row r="222" spans="1:19">
      <c r="A222" s="491"/>
      <c r="B222" s="348"/>
      <c r="C222" s="313">
        <f t="shared" si="38"/>
        <v>1</v>
      </c>
      <c r="D222" s="1128"/>
      <c r="E222" s="313">
        <f t="shared" si="39"/>
        <v>1</v>
      </c>
      <c r="F222" s="1128"/>
      <c r="G222" s="313">
        <f t="shared" si="40"/>
        <v>1</v>
      </c>
      <c r="H222" s="1128"/>
      <c r="I222" s="313">
        <f t="shared" si="41"/>
        <v>1</v>
      </c>
      <c r="J222" s="1128"/>
      <c r="K222" s="313">
        <f t="shared" si="42"/>
        <v>1</v>
      </c>
      <c r="L222" s="1128"/>
      <c r="M222" s="313">
        <f t="shared" si="43"/>
        <v>1</v>
      </c>
      <c r="N222" s="1128"/>
      <c r="O222" s="313">
        <f t="shared" si="44"/>
        <v>1</v>
      </c>
      <c r="P222" s="1128"/>
      <c r="Q222" s="313">
        <f t="shared" si="45"/>
        <v>1</v>
      </c>
      <c r="R222" s="1124">
        <f t="shared" si="46"/>
        <v>0</v>
      </c>
      <c r="S222" s="698">
        <f t="shared" si="37"/>
        <v>0</v>
      </c>
    </row>
    <row r="223" spans="1:19">
      <c r="A223" s="491"/>
      <c r="B223" s="348"/>
      <c r="C223" s="313">
        <f t="shared" si="38"/>
        <v>1</v>
      </c>
      <c r="D223" s="1128"/>
      <c r="E223" s="313">
        <f t="shared" si="39"/>
        <v>1</v>
      </c>
      <c r="F223" s="1128"/>
      <c r="G223" s="313">
        <f t="shared" si="40"/>
        <v>1</v>
      </c>
      <c r="H223" s="1128"/>
      <c r="I223" s="313">
        <f t="shared" si="41"/>
        <v>1</v>
      </c>
      <c r="J223" s="1128"/>
      <c r="K223" s="313">
        <f t="shared" si="42"/>
        <v>1</v>
      </c>
      <c r="L223" s="1128"/>
      <c r="M223" s="313">
        <f t="shared" si="43"/>
        <v>1</v>
      </c>
      <c r="N223" s="1128"/>
      <c r="O223" s="313">
        <f t="shared" si="44"/>
        <v>1</v>
      </c>
      <c r="P223" s="1128"/>
      <c r="Q223" s="313">
        <f t="shared" si="45"/>
        <v>1</v>
      </c>
      <c r="R223" s="1124">
        <f t="shared" si="46"/>
        <v>0</v>
      </c>
      <c r="S223" s="698">
        <f t="shared" ref="S223:S286" si="47">ROUND(R223*B223/10000,0)</f>
        <v>0</v>
      </c>
    </row>
    <row r="224" spans="1:19">
      <c r="A224" s="491"/>
      <c r="B224" s="348"/>
      <c r="C224" s="313">
        <f t="shared" si="38"/>
        <v>1</v>
      </c>
      <c r="D224" s="1128"/>
      <c r="E224" s="313">
        <f t="shared" si="39"/>
        <v>1</v>
      </c>
      <c r="F224" s="1128"/>
      <c r="G224" s="313">
        <f t="shared" si="40"/>
        <v>1</v>
      </c>
      <c r="H224" s="1128"/>
      <c r="I224" s="313">
        <f t="shared" si="41"/>
        <v>1</v>
      </c>
      <c r="J224" s="1128"/>
      <c r="K224" s="313">
        <f t="shared" si="42"/>
        <v>1</v>
      </c>
      <c r="L224" s="1128"/>
      <c r="M224" s="313">
        <f t="shared" si="43"/>
        <v>1</v>
      </c>
      <c r="N224" s="1128"/>
      <c r="O224" s="313">
        <f t="shared" si="44"/>
        <v>1</v>
      </c>
      <c r="P224" s="1128"/>
      <c r="Q224" s="313">
        <f t="shared" si="45"/>
        <v>1</v>
      </c>
      <c r="R224" s="1124">
        <f t="shared" si="46"/>
        <v>0</v>
      </c>
      <c r="S224" s="698">
        <f t="shared" si="47"/>
        <v>0</v>
      </c>
    </row>
    <row r="225" spans="1:19">
      <c r="A225" s="491"/>
      <c r="B225" s="348"/>
      <c r="C225" s="313">
        <f t="shared" si="38"/>
        <v>1</v>
      </c>
      <c r="D225" s="1128"/>
      <c r="E225" s="313">
        <f t="shared" si="39"/>
        <v>1</v>
      </c>
      <c r="F225" s="1128"/>
      <c r="G225" s="313">
        <f t="shared" si="40"/>
        <v>1</v>
      </c>
      <c r="H225" s="1128"/>
      <c r="I225" s="313">
        <f t="shared" si="41"/>
        <v>1</v>
      </c>
      <c r="J225" s="1128"/>
      <c r="K225" s="313">
        <f t="shared" si="42"/>
        <v>1</v>
      </c>
      <c r="L225" s="1128"/>
      <c r="M225" s="313">
        <f t="shared" si="43"/>
        <v>1</v>
      </c>
      <c r="N225" s="1128"/>
      <c r="O225" s="313">
        <f t="shared" si="44"/>
        <v>1</v>
      </c>
      <c r="P225" s="1128"/>
      <c r="Q225" s="313">
        <f t="shared" si="45"/>
        <v>1</v>
      </c>
      <c r="R225" s="1124">
        <f t="shared" si="46"/>
        <v>0</v>
      </c>
      <c r="S225" s="698">
        <f t="shared" si="47"/>
        <v>0</v>
      </c>
    </row>
    <row r="226" spans="1:19">
      <c r="A226" s="491"/>
      <c r="B226" s="348"/>
      <c r="C226" s="313">
        <f t="shared" si="38"/>
        <v>1</v>
      </c>
      <c r="D226" s="1128"/>
      <c r="E226" s="313">
        <f t="shared" si="39"/>
        <v>1</v>
      </c>
      <c r="F226" s="1128"/>
      <c r="G226" s="313">
        <f t="shared" si="40"/>
        <v>1</v>
      </c>
      <c r="H226" s="1128"/>
      <c r="I226" s="313">
        <f t="shared" si="41"/>
        <v>1</v>
      </c>
      <c r="J226" s="1128"/>
      <c r="K226" s="313">
        <f t="shared" si="42"/>
        <v>1</v>
      </c>
      <c r="L226" s="1128"/>
      <c r="M226" s="313">
        <f t="shared" si="43"/>
        <v>1</v>
      </c>
      <c r="N226" s="1128"/>
      <c r="O226" s="313">
        <f t="shared" si="44"/>
        <v>1</v>
      </c>
      <c r="P226" s="1128"/>
      <c r="Q226" s="313">
        <f t="shared" si="45"/>
        <v>1</v>
      </c>
      <c r="R226" s="1124">
        <f t="shared" si="46"/>
        <v>0</v>
      </c>
      <c r="S226" s="698">
        <f t="shared" si="47"/>
        <v>0</v>
      </c>
    </row>
    <row r="227" spans="1:19">
      <c r="A227" s="491"/>
      <c r="B227" s="348"/>
      <c r="C227" s="313">
        <f t="shared" si="38"/>
        <v>1</v>
      </c>
      <c r="D227" s="1128"/>
      <c r="E227" s="313">
        <f t="shared" si="39"/>
        <v>1</v>
      </c>
      <c r="F227" s="1128"/>
      <c r="G227" s="313">
        <f t="shared" si="40"/>
        <v>1</v>
      </c>
      <c r="H227" s="1128"/>
      <c r="I227" s="313">
        <f t="shared" si="41"/>
        <v>1</v>
      </c>
      <c r="J227" s="1128"/>
      <c r="K227" s="313">
        <f t="shared" si="42"/>
        <v>1</v>
      </c>
      <c r="L227" s="1128"/>
      <c r="M227" s="313">
        <f t="shared" si="43"/>
        <v>1</v>
      </c>
      <c r="N227" s="1128"/>
      <c r="O227" s="313">
        <f t="shared" si="44"/>
        <v>1</v>
      </c>
      <c r="P227" s="1128"/>
      <c r="Q227" s="313">
        <f t="shared" si="45"/>
        <v>1</v>
      </c>
      <c r="R227" s="1124">
        <f t="shared" si="46"/>
        <v>0</v>
      </c>
      <c r="S227" s="698">
        <f t="shared" si="47"/>
        <v>0</v>
      </c>
    </row>
    <row r="228" spans="1:19">
      <c r="A228" s="491"/>
      <c r="B228" s="348"/>
      <c r="C228" s="313">
        <f t="shared" si="38"/>
        <v>1</v>
      </c>
      <c r="D228" s="1128"/>
      <c r="E228" s="313">
        <f t="shared" si="39"/>
        <v>1</v>
      </c>
      <c r="F228" s="1128"/>
      <c r="G228" s="313">
        <f t="shared" si="40"/>
        <v>1</v>
      </c>
      <c r="H228" s="1128"/>
      <c r="I228" s="313">
        <f t="shared" si="41"/>
        <v>1</v>
      </c>
      <c r="J228" s="1128"/>
      <c r="K228" s="313">
        <f t="shared" si="42"/>
        <v>1</v>
      </c>
      <c r="L228" s="1128"/>
      <c r="M228" s="313">
        <f t="shared" si="43"/>
        <v>1</v>
      </c>
      <c r="N228" s="1128"/>
      <c r="O228" s="313">
        <f t="shared" si="44"/>
        <v>1</v>
      </c>
      <c r="P228" s="1128"/>
      <c r="Q228" s="313">
        <f t="shared" si="45"/>
        <v>1</v>
      </c>
      <c r="R228" s="1124">
        <f t="shared" si="46"/>
        <v>0</v>
      </c>
      <c r="S228" s="698">
        <f t="shared" si="47"/>
        <v>0</v>
      </c>
    </row>
    <row r="229" spans="1:19">
      <c r="A229" s="491"/>
      <c r="B229" s="348"/>
      <c r="C229" s="313">
        <f t="shared" si="38"/>
        <v>1</v>
      </c>
      <c r="D229" s="1128"/>
      <c r="E229" s="313">
        <f t="shared" si="39"/>
        <v>1</v>
      </c>
      <c r="F229" s="1128"/>
      <c r="G229" s="313">
        <f t="shared" si="40"/>
        <v>1</v>
      </c>
      <c r="H229" s="1128"/>
      <c r="I229" s="313">
        <f t="shared" si="41"/>
        <v>1</v>
      </c>
      <c r="J229" s="1128"/>
      <c r="K229" s="313">
        <f t="shared" si="42"/>
        <v>1</v>
      </c>
      <c r="L229" s="1128"/>
      <c r="M229" s="313">
        <f t="shared" si="43"/>
        <v>1</v>
      </c>
      <c r="N229" s="1128"/>
      <c r="O229" s="313">
        <f t="shared" si="44"/>
        <v>1</v>
      </c>
      <c r="P229" s="1128"/>
      <c r="Q229" s="313">
        <f t="shared" si="45"/>
        <v>1</v>
      </c>
      <c r="R229" s="1124">
        <f t="shared" si="46"/>
        <v>0</v>
      </c>
      <c r="S229" s="698">
        <f t="shared" si="47"/>
        <v>0</v>
      </c>
    </row>
    <row r="230" spans="1:19">
      <c r="A230" s="491"/>
      <c r="B230" s="348"/>
      <c r="C230" s="313">
        <f t="shared" si="38"/>
        <v>1</v>
      </c>
      <c r="D230" s="1128"/>
      <c r="E230" s="313">
        <f t="shared" si="39"/>
        <v>1</v>
      </c>
      <c r="F230" s="1128"/>
      <c r="G230" s="313">
        <f t="shared" si="40"/>
        <v>1</v>
      </c>
      <c r="H230" s="1128"/>
      <c r="I230" s="313">
        <f t="shared" si="41"/>
        <v>1</v>
      </c>
      <c r="J230" s="1128"/>
      <c r="K230" s="313">
        <f t="shared" si="42"/>
        <v>1</v>
      </c>
      <c r="L230" s="1128"/>
      <c r="M230" s="313">
        <f t="shared" si="43"/>
        <v>1</v>
      </c>
      <c r="N230" s="1128"/>
      <c r="O230" s="313">
        <f t="shared" si="44"/>
        <v>1</v>
      </c>
      <c r="P230" s="1128"/>
      <c r="Q230" s="313">
        <f t="shared" si="45"/>
        <v>1</v>
      </c>
      <c r="R230" s="1124">
        <f t="shared" si="46"/>
        <v>0</v>
      </c>
      <c r="S230" s="698">
        <f t="shared" si="47"/>
        <v>0</v>
      </c>
    </row>
    <row r="231" spans="1:19">
      <c r="A231" s="491"/>
      <c r="B231" s="348"/>
      <c r="C231" s="313">
        <f t="shared" si="38"/>
        <v>1</v>
      </c>
      <c r="D231" s="1128"/>
      <c r="E231" s="313">
        <f t="shared" si="39"/>
        <v>1</v>
      </c>
      <c r="F231" s="1128"/>
      <c r="G231" s="313">
        <f t="shared" si="40"/>
        <v>1</v>
      </c>
      <c r="H231" s="1128"/>
      <c r="I231" s="313">
        <f t="shared" si="41"/>
        <v>1</v>
      </c>
      <c r="J231" s="1128"/>
      <c r="K231" s="313">
        <f t="shared" si="42"/>
        <v>1</v>
      </c>
      <c r="L231" s="1128"/>
      <c r="M231" s="313">
        <f t="shared" si="43"/>
        <v>1</v>
      </c>
      <c r="N231" s="1128"/>
      <c r="O231" s="313">
        <f t="shared" si="44"/>
        <v>1</v>
      </c>
      <c r="P231" s="1128"/>
      <c r="Q231" s="313">
        <f t="shared" si="45"/>
        <v>1</v>
      </c>
      <c r="R231" s="1124">
        <f t="shared" si="46"/>
        <v>0</v>
      </c>
      <c r="S231" s="698">
        <f t="shared" si="47"/>
        <v>0</v>
      </c>
    </row>
    <row r="232" spans="1:19">
      <c r="A232" s="491"/>
      <c r="B232" s="348"/>
      <c r="C232" s="313">
        <f t="shared" si="38"/>
        <v>1</v>
      </c>
      <c r="D232" s="1128"/>
      <c r="E232" s="313">
        <f t="shared" si="39"/>
        <v>1</v>
      </c>
      <c r="F232" s="1128"/>
      <c r="G232" s="313">
        <f t="shared" si="40"/>
        <v>1</v>
      </c>
      <c r="H232" s="1128"/>
      <c r="I232" s="313">
        <f t="shared" si="41"/>
        <v>1</v>
      </c>
      <c r="J232" s="1128"/>
      <c r="K232" s="313">
        <f t="shared" si="42"/>
        <v>1</v>
      </c>
      <c r="L232" s="1128"/>
      <c r="M232" s="313">
        <f t="shared" si="43"/>
        <v>1</v>
      </c>
      <c r="N232" s="1128"/>
      <c r="O232" s="313">
        <f t="shared" si="44"/>
        <v>1</v>
      </c>
      <c r="P232" s="1128"/>
      <c r="Q232" s="313">
        <f t="shared" si="45"/>
        <v>1</v>
      </c>
      <c r="R232" s="1124">
        <f t="shared" si="46"/>
        <v>0</v>
      </c>
      <c r="S232" s="698">
        <f t="shared" si="47"/>
        <v>0</v>
      </c>
    </row>
    <row r="233" spans="1:19">
      <c r="A233" s="491"/>
      <c r="B233" s="348"/>
      <c r="C233" s="313">
        <f t="shared" si="38"/>
        <v>1</v>
      </c>
      <c r="D233" s="1128"/>
      <c r="E233" s="313">
        <f t="shared" si="39"/>
        <v>1</v>
      </c>
      <c r="F233" s="1128"/>
      <c r="G233" s="313">
        <f t="shared" si="40"/>
        <v>1</v>
      </c>
      <c r="H233" s="1128"/>
      <c r="I233" s="313">
        <f t="shared" si="41"/>
        <v>1</v>
      </c>
      <c r="J233" s="1128"/>
      <c r="K233" s="313">
        <f t="shared" si="42"/>
        <v>1</v>
      </c>
      <c r="L233" s="1128"/>
      <c r="M233" s="313">
        <f t="shared" si="43"/>
        <v>1</v>
      </c>
      <c r="N233" s="1128"/>
      <c r="O233" s="313">
        <f t="shared" si="44"/>
        <v>1</v>
      </c>
      <c r="P233" s="1128"/>
      <c r="Q233" s="313">
        <f t="shared" si="45"/>
        <v>1</v>
      </c>
      <c r="R233" s="1124">
        <f t="shared" si="46"/>
        <v>0</v>
      </c>
      <c r="S233" s="698">
        <f t="shared" si="47"/>
        <v>0</v>
      </c>
    </row>
    <row r="234" spans="1:19">
      <c r="A234" s="491"/>
      <c r="B234" s="348"/>
      <c r="C234" s="313">
        <f t="shared" si="38"/>
        <v>1</v>
      </c>
      <c r="D234" s="1128"/>
      <c r="E234" s="313">
        <f t="shared" si="39"/>
        <v>1</v>
      </c>
      <c r="F234" s="1128"/>
      <c r="G234" s="313">
        <f t="shared" si="40"/>
        <v>1</v>
      </c>
      <c r="H234" s="1128"/>
      <c r="I234" s="313">
        <f t="shared" si="41"/>
        <v>1</v>
      </c>
      <c r="J234" s="1128"/>
      <c r="K234" s="313">
        <f t="shared" si="42"/>
        <v>1</v>
      </c>
      <c r="L234" s="1128"/>
      <c r="M234" s="313">
        <f t="shared" si="43"/>
        <v>1</v>
      </c>
      <c r="N234" s="1128"/>
      <c r="O234" s="313">
        <f t="shared" si="44"/>
        <v>1</v>
      </c>
      <c r="P234" s="1128"/>
      <c r="Q234" s="313">
        <f t="shared" si="45"/>
        <v>1</v>
      </c>
      <c r="R234" s="1124">
        <f t="shared" si="46"/>
        <v>0</v>
      </c>
      <c r="S234" s="698">
        <f t="shared" si="47"/>
        <v>0</v>
      </c>
    </row>
    <row r="235" spans="1:19">
      <c r="A235" s="491"/>
      <c r="B235" s="348"/>
      <c r="C235" s="313">
        <f t="shared" si="38"/>
        <v>1</v>
      </c>
      <c r="D235" s="1128"/>
      <c r="E235" s="313">
        <f t="shared" si="39"/>
        <v>1</v>
      </c>
      <c r="F235" s="1128"/>
      <c r="G235" s="313">
        <f t="shared" si="40"/>
        <v>1</v>
      </c>
      <c r="H235" s="1128"/>
      <c r="I235" s="313">
        <f t="shared" si="41"/>
        <v>1</v>
      </c>
      <c r="J235" s="1128"/>
      <c r="K235" s="313">
        <f t="shared" si="42"/>
        <v>1</v>
      </c>
      <c r="L235" s="1128"/>
      <c r="M235" s="313">
        <f t="shared" si="43"/>
        <v>1</v>
      </c>
      <c r="N235" s="1128"/>
      <c r="O235" s="313">
        <f t="shared" si="44"/>
        <v>1</v>
      </c>
      <c r="P235" s="1128"/>
      <c r="Q235" s="313">
        <f t="shared" si="45"/>
        <v>1</v>
      </c>
      <c r="R235" s="1124">
        <f t="shared" si="46"/>
        <v>0</v>
      </c>
      <c r="S235" s="698">
        <f t="shared" si="47"/>
        <v>0</v>
      </c>
    </row>
    <row r="236" spans="1:19">
      <c r="A236" s="491"/>
      <c r="B236" s="348"/>
      <c r="C236" s="313">
        <f t="shared" si="38"/>
        <v>1</v>
      </c>
      <c r="D236" s="1128"/>
      <c r="E236" s="313">
        <f t="shared" si="39"/>
        <v>1</v>
      </c>
      <c r="F236" s="1128"/>
      <c r="G236" s="313">
        <f t="shared" si="40"/>
        <v>1</v>
      </c>
      <c r="H236" s="1128"/>
      <c r="I236" s="313">
        <f t="shared" si="41"/>
        <v>1</v>
      </c>
      <c r="J236" s="1128"/>
      <c r="K236" s="313">
        <f t="shared" si="42"/>
        <v>1</v>
      </c>
      <c r="L236" s="1128"/>
      <c r="M236" s="313">
        <f t="shared" si="43"/>
        <v>1</v>
      </c>
      <c r="N236" s="1128"/>
      <c r="O236" s="313">
        <f t="shared" si="44"/>
        <v>1</v>
      </c>
      <c r="P236" s="1128"/>
      <c r="Q236" s="313">
        <f t="shared" si="45"/>
        <v>1</v>
      </c>
      <c r="R236" s="1124">
        <f t="shared" si="46"/>
        <v>0</v>
      </c>
      <c r="S236" s="698">
        <f t="shared" si="47"/>
        <v>0</v>
      </c>
    </row>
    <row r="237" spans="1:19">
      <c r="A237" s="491"/>
      <c r="B237" s="348"/>
      <c r="C237" s="313">
        <f t="shared" si="38"/>
        <v>1</v>
      </c>
      <c r="D237" s="1128"/>
      <c r="E237" s="313">
        <f t="shared" si="39"/>
        <v>1</v>
      </c>
      <c r="F237" s="1128"/>
      <c r="G237" s="313">
        <f t="shared" si="40"/>
        <v>1</v>
      </c>
      <c r="H237" s="1128"/>
      <c r="I237" s="313">
        <f t="shared" si="41"/>
        <v>1</v>
      </c>
      <c r="J237" s="1128"/>
      <c r="K237" s="313">
        <f t="shared" si="42"/>
        <v>1</v>
      </c>
      <c r="L237" s="1128"/>
      <c r="M237" s="313">
        <f t="shared" si="43"/>
        <v>1</v>
      </c>
      <c r="N237" s="1128"/>
      <c r="O237" s="313">
        <f t="shared" si="44"/>
        <v>1</v>
      </c>
      <c r="P237" s="1128"/>
      <c r="Q237" s="313">
        <f t="shared" si="45"/>
        <v>1</v>
      </c>
      <c r="R237" s="1124">
        <f t="shared" si="46"/>
        <v>0</v>
      </c>
      <c r="S237" s="698">
        <f t="shared" si="47"/>
        <v>0</v>
      </c>
    </row>
    <row r="238" spans="1:19">
      <c r="A238" s="491"/>
      <c r="B238" s="348"/>
      <c r="C238" s="313">
        <f t="shared" si="38"/>
        <v>1</v>
      </c>
      <c r="D238" s="1128"/>
      <c r="E238" s="313">
        <f t="shared" si="39"/>
        <v>1</v>
      </c>
      <c r="F238" s="1128"/>
      <c r="G238" s="313">
        <f t="shared" si="40"/>
        <v>1</v>
      </c>
      <c r="H238" s="1128"/>
      <c r="I238" s="313">
        <f t="shared" si="41"/>
        <v>1</v>
      </c>
      <c r="J238" s="1128"/>
      <c r="K238" s="313">
        <f t="shared" si="42"/>
        <v>1</v>
      </c>
      <c r="L238" s="1128"/>
      <c r="M238" s="313">
        <f t="shared" si="43"/>
        <v>1</v>
      </c>
      <c r="N238" s="1128"/>
      <c r="O238" s="313">
        <f t="shared" si="44"/>
        <v>1</v>
      </c>
      <c r="P238" s="1128"/>
      <c r="Q238" s="313">
        <f t="shared" si="45"/>
        <v>1</v>
      </c>
      <c r="R238" s="1124">
        <f t="shared" si="46"/>
        <v>0</v>
      </c>
      <c r="S238" s="698">
        <f t="shared" si="47"/>
        <v>0</v>
      </c>
    </row>
    <row r="239" spans="1:19">
      <c r="A239" s="491"/>
      <c r="B239" s="348"/>
      <c r="C239" s="313">
        <f t="shared" si="38"/>
        <v>1</v>
      </c>
      <c r="D239" s="1128"/>
      <c r="E239" s="313">
        <f t="shared" si="39"/>
        <v>1</v>
      </c>
      <c r="F239" s="1128"/>
      <c r="G239" s="313">
        <f t="shared" si="40"/>
        <v>1</v>
      </c>
      <c r="H239" s="1128"/>
      <c r="I239" s="313">
        <f t="shared" si="41"/>
        <v>1</v>
      </c>
      <c r="J239" s="1128"/>
      <c r="K239" s="313">
        <f t="shared" si="42"/>
        <v>1</v>
      </c>
      <c r="L239" s="1128"/>
      <c r="M239" s="313">
        <f t="shared" si="43"/>
        <v>1</v>
      </c>
      <c r="N239" s="1128"/>
      <c r="O239" s="313">
        <f t="shared" si="44"/>
        <v>1</v>
      </c>
      <c r="P239" s="1128"/>
      <c r="Q239" s="313">
        <f t="shared" si="45"/>
        <v>1</v>
      </c>
      <c r="R239" s="1124">
        <f t="shared" si="46"/>
        <v>0</v>
      </c>
      <c r="S239" s="698">
        <f t="shared" si="47"/>
        <v>0</v>
      </c>
    </row>
    <row r="240" spans="1:19">
      <c r="A240" s="491"/>
      <c r="B240" s="348"/>
      <c r="C240" s="313">
        <f t="shared" si="38"/>
        <v>1</v>
      </c>
      <c r="D240" s="1128"/>
      <c r="E240" s="313">
        <f t="shared" si="39"/>
        <v>1</v>
      </c>
      <c r="F240" s="1128"/>
      <c r="G240" s="313">
        <f t="shared" si="40"/>
        <v>1</v>
      </c>
      <c r="H240" s="1128"/>
      <c r="I240" s="313">
        <f t="shared" si="41"/>
        <v>1</v>
      </c>
      <c r="J240" s="1128"/>
      <c r="K240" s="313">
        <f t="shared" si="42"/>
        <v>1</v>
      </c>
      <c r="L240" s="1128"/>
      <c r="M240" s="313">
        <f t="shared" si="43"/>
        <v>1</v>
      </c>
      <c r="N240" s="1128"/>
      <c r="O240" s="313">
        <f t="shared" si="44"/>
        <v>1</v>
      </c>
      <c r="P240" s="1128"/>
      <c r="Q240" s="313">
        <f t="shared" si="45"/>
        <v>1</v>
      </c>
      <c r="R240" s="1124">
        <f t="shared" si="46"/>
        <v>0</v>
      </c>
      <c r="S240" s="698">
        <f t="shared" si="47"/>
        <v>0</v>
      </c>
    </row>
    <row r="241" spans="1:19">
      <c r="A241" s="491"/>
      <c r="B241" s="348"/>
      <c r="C241" s="313">
        <f t="shared" si="38"/>
        <v>1</v>
      </c>
      <c r="D241" s="1128"/>
      <c r="E241" s="313">
        <f t="shared" si="39"/>
        <v>1</v>
      </c>
      <c r="F241" s="1128"/>
      <c r="G241" s="313">
        <f t="shared" si="40"/>
        <v>1</v>
      </c>
      <c r="H241" s="1128"/>
      <c r="I241" s="313">
        <f t="shared" si="41"/>
        <v>1</v>
      </c>
      <c r="J241" s="1128"/>
      <c r="K241" s="313">
        <f t="shared" si="42"/>
        <v>1</v>
      </c>
      <c r="L241" s="1128"/>
      <c r="M241" s="313">
        <f t="shared" si="43"/>
        <v>1</v>
      </c>
      <c r="N241" s="1128"/>
      <c r="O241" s="313">
        <f t="shared" si="44"/>
        <v>1</v>
      </c>
      <c r="P241" s="1128"/>
      <c r="Q241" s="313">
        <f t="shared" si="45"/>
        <v>1</v>
      </c>
      <c r="R241" s="1124">
        <f t="shared" si="46"/>
        <v>0</v>
      </c>
      <c r="S241" s="698">
        <f t="shared" si="47"/>
        <v>0</v>
      </c>
    </row>
    <row r="242" spans="1:19">
      <c r="A242" s="491"/>
      <c r="B242" s="348"/>
      <c r="C242" s="313">
        <f t="shared" si="38"/>
        <v>1</v>
      </c>
      <c r="D242" s="1128"/>
      <c r="E242" s="313">
        <f t="shared" si="39"/>
        <v>1</v>
      </c>
      <c r="F242" s="1128"/>
      <c r="G242" s="313">
        <f t="shared" si="40"/>
        <v>1</v>
      </c>
      <c r="H242" s="1128"/>
      <c r="I242" s="313">
        <f t="shared" si="41"/>
        <v>1</v>
      </c>
      <c r="J242" s="1128"/>
      <c r="K242" s="313">
        <f t="shared" si="42"/>
        <v>1</v>
      </c>
      <c r="L242" s="1128"/>
      <c r="M242" s="313">
        <f t="shared" si="43"/>
        <v>1</v>
      </c>
      <c r="N242" s="1128"/>
      <c r="O242" s="313">
        <f t="shared" si="44"/>
        <v>1</v>
      </c>
      <c r="P242" s="1128"/>
      <c r="Q242" s="313">
        <f t="shared" si="45"/>
        <v>1</v>
      </c>
      <c r="R242" s="1124">
        <f t="shared" si="46"/>
        <v>0</v>
      </c>
      <c r="S242" s="698">
        <f t="shared" si="47"/>
        <v>0</v>
      </c>
    </row>
    <row r="243" spans="1:19">
      <c r="A243" s="491"/>
      <c r="B243" s="348"/>
      <c r="C243" s="313">
        <f t="shared" si="38"/>
        <v>1</v>
      </c>
      <c r="D243" s="1128"/>
      <c r="E243" s="313">
        <f t="shared" si="39"/>
        <v>1</v>
      </c>
      <c r="F243" s="1128"/>
      <c r="G243" s="313">
        <f t="shared" si="40"/>
        <v>1</v>
      </c>
      <c r="H243" s="1128"/>
      <c r="I243" s="313">
        <f t="shared" si="41"/>
        <v>1</v>
      </c>
      <c r="J243" s="1128"/>
      <c r="K243" s="313">
        <f t="shared" si="42"/>
        <v>1</v>
      </c>
      <c r="L243" s="1128"/>
      <c r="M243" s="313">
        <f t="shared" si="43"/>
        <v>1</v>
      </c>
      <c r="N243" s="1128"/>
      <c r="O243" s="313">
        <f t="shared" si="44"/>
        <v>1</v>
      </c>
      <c r="P243" s="1128"/>
      <c r="Q243" s="313">
        <f t="shared" si="45"/>
        <v>1</v>
      </c>
      <c r="R243" s="1124">
        <f t="shared" si="46"/>
        <v>0</v>
      </c>
      <c r="S243" s="698">
        <f t="shared" si="47"/>
        <v>0</v>
      </c>
    </row>
    <row r="244" spans="1:19">
      <c r="A244" s="491"/>
      <c r="B244" s="348"/>
      <c r="C244" s="313">
        <f t="shared" si="38"/>
        <v>1</v>
      </c>
      <c r="D244" s="1128"/>
      <c r="E244" s="313">
        <f t="shared" si="39"/>
        <v>1</v>
      </c>
      <c r="F244" s="1128"/>
      <c r="G244" s="313">
        <f t="shared" si="40"/>
        <v>1</v>
      </c>
      <c r="H244" s="1128"/>
      <c r="I244" s="313">
        <f t="shared" si="41"/>
        <v>1</v>
      </c>
      <c r="J244" s="1128"/>
      <c r="K244" s="313">
        <f t="shared" si="42"/>
        <v>1</v>
      </c>
      <c r="L244" s="1128"/>
      <c r="M244" s="313">
        <f t="shared" si="43"/>
        <v>1</v>
      </c>
      <c r="N244" s="1128"/>
      <c r="O244" s="313">
        <f t="shared" si="44"/>
        <v>1</v>
      </c>
      <c r="P244" s="1128"/>
      <c r="Q244" s="313">
        <f t="shared" si="45"/>
        <v>1</v>
      </c>
      <c r="R244" s="1124">
        <f t="shared" si="46"/>
        <v>0</v>
      </c>
      <c r="S244" s="698">
        <f t="shared" si="47"/>
        <v>0</v>
      </c>
    </row>
    <row r="245" spans="1:19">
      <c r="A245" s="491"/>
      <c r="B245" s="348"/>
      <c r="C245" s="313">
        <f t="shared" si="38"/>
        <v>1</v>
      </c>
      <c r="D245" s="1128"/>
      <c r="E245" s="313">
        <f t="shared" si="39"/>
        <v>1</v>
      </c>
      <c r="F245" s="1128"/>
      <c r="G245" s="313">
        <f t="shared" si="40"/>
        <v>1</v>
      </c>
      <c r="H245" s="1128"/>
      <c r="I245" s="313">
        <f t="shared" si="41"/>
        <v>1</v>
      </c>
      <c r="J245" s="1128"/>
      <c r="K245" s="313">
        <f t="shared" si="42"/>
        <v>1</v>
      </c>
      <c r="L245" s="1128"/>
      <c r="M245" s="313">
        <f t="shared" si="43"/>
        <v>1</v>
      </c>
      <c r="N245" s="1128"/>
      <c r="O245" s="313">
        <f t="shared" si="44"/>
        <v>1</v>
      </c>
      <c r="P245" s="1128"/>
      <c r="Q245" s="313">
        <f t="shared" si="45"/>
        <v>1</v>
      </c>
      <c r="R245" s="1124">
        <f t="shared" si="46"/>
        <v>0</v>
      </c>
      <c r="S245" s="698">
        <f t="shared" si="47"/>
        <v>0</v>
      </c>
    </row>
    <row r="246" spans="1:19">
      <c r="A246" s="491"/>
      <c r="B246" s="348"/>
      <c r="C246" s="313">
        <f t="shared" si="38"/>
        <v>1</v>
      </c>
      <c r="D246" s="1128"/>
      <c r="E246" s="313">
        <f t="shared" si="39"/>
        <v>1</v>
      </c>
      <c r="F246" s="1128"/>
      <c r="G246" s="313">
        <f t="shared" si="40"/>
        <v>1</v>
      </c>
      <c r="H246" s="1128"/>
      <c r="I246" s="313">
        <f t="shared" si="41"/>
        <v>1</v>
      </c>
      <c r="J246" s="1128"/>
      <c r="K246" s="313">
        <f t="shared" si="42"/>
        <v>1</v>
      </c>
      <c r="L246" s="1128"/>
      <c r="M246" s="313">
        <f t="shared" si="43"/>
        <v>1</v>
      </c>
      <c r="N246" s="1128"/>
      <c r="O246" s="313">
        <f t="shared" si="44"/>
        <v>1</v>
      </c>
      <c r="P246" s="1128"/>
      <c r="Q246" s="313">
        <f t="shared" si="45"/>
        <v>1</v>
      </c>
      <c r="R246" s="1124">
        <f t="shared" si="46"/>
        <v>0</v>
      </c>
      <c r="S246" s="698">
        <f t="shared" si="47"/>
        <v>0</v>
      </c>
    </row>
    <row r="247" spans="1:19">
      <c r="A247" s="491"/>
      <c r="B247" s="348"/>
      <c r="C247" s="313">
        <f t="shared" si="38"/>
        <v>1</v>
      </c>
      <c r="D247" s="1128"/>
      <c r="E247" s="313">
        <f t="shared" si="39"/>
        <v>1</v>
      </c>
      <c r="F247" s="1128"/>
      <c r="G247" s="313">
        <f t="shared" si="40"/>
        <v>1</v>
      </c>
      <c r="H247" s="1128"/>
      <c r="I247" s="313">
        <f t="shared" si="41"/>
        <v>1</v>
      </c>
      <c r="J247" s="1128"/>
      <c r="K247" s="313">
        <f t="shared" si="42"/>
        <v>1</v>
      </c>
      <c r="L247" s="1128"/>
      <c r="M247" s="313">
        <f t="shared" si="43"/>
        <v>1</v>
      </c>
      <c r="N247" s="1128"/>
      <c r="O247" s="313">
        <f t="shared" si="44"/>
        <v>1</v>
      </c>
      <c r="P247" s="1128"/>
      <c r="Q247" s="313">
        <f t="shared" si="45"/>
        <v>1</v>
      </c>
      <c r="R247" s="1124">
        <f t="shared" si="46"/>
        <v>0</v>
      </c>
      <c r="S247" s="698">
        <f t="shared" si="47"/>
        <v>0</v>
      </c>
    </row>
    <row r="248" spans="1:19">
      <c r="A248" s="491"/>
      <c r="B248" s="348"/>
      <c r="C248" s="313">
        <f t="shared" si="38"/>
        <v>1</v>
      </c>
      <c r="D248" s="1128"/>
      <c r="E248" s="313">
        <f t="shared" si="39"/>
        <v>1</v>
      </c>
      <c r="F248" s="1128"/>
      <c r="G248" s="313">
        <f t="shared" si="40"/>
        <v>1</v>
      </c>
      <c r="H248" s="1128"/>
      <c r="I248" s="313">
        <f t="shared" si="41"/>
        <v>1</v>
      </c>
      <c r="J248" s="1128"/>
      <c r="K248" s="313">
        <f t="shared" si="42"/>
        <v>1</v>
      </c>
      <c r="L248" s="1128"/>
      <c r="M248" s="313">
        <f t="shared" si="43"/>
        <v>1</v>
      </c>
      <c r="N248" s="1128"/>
      <c r="O248" s="313">
        <f t="shared" si="44"/>
        <v>1</v>
      </c>
      <c r="P248" s="1128"/>
      <c r="Q248" s="313">
        <f t="shared" si="45"/>
        <v>1</v>
      </c>
      <c r="R248" s="1124">
        <f t="shared" si="46"/>
        <v>0</v>
      </c>
      <c r="S248" s="698">
        <f t="shared" si="47"/>
        <v>0</v>
      </c>
    </row>
    <row r="249" spans="1:19">
      <c r="A249" s="491"/>
      <c r="B249" s="348"/>
      <c r="C249" s="313">
        <f t="shared" si="38"/>
        <v>1</v>
      </c>
      <c r="D249" s="1128"/>
      <c r="E249" s="313">
        <f t="shared" si="39"/>
        <v>1</v>
      </c>
      <c r="F249" s="1128"/>
      <c r="G249" s="313">
        <f t="shared" si="40"/>
        <v>1</v>
      </c>
      <c r="H249" s="1128"/>
      <c r="I249" s="313">
        <f t="shared" si="41"/>
        <v>1</v>
      </c>
      <c r="J249" s="1128"/>
      <c r="K249" s="313">
        <f t="shared" si="42"/>
        <v>1</v>
      </c>
      <c r="L249" s="1128"/>
      <c r="M249" s="313">
        <f t="shared" si="43"/>
        <v>1</v>
      </c>
      <c r="N249" s="1128"/>
      <c r="O249" s="313">
        <f t="shared" si="44"/>
        <v>1</v>
      </c>
      <c r="P249" s="1128"/>
      <c r="Q249" s="313">
        <f t="shared" si="45"/>
        <v>1</v>
      </c>
      <c r="R249" s="1124">
        <f t="shared" si="46"/>
        <v>0</v>
      </c>
      <c r="S249" s="698">
        <f t="shared" si="47"/>
        <v>0</v>
      </c>
    </row>
    <row r="250" spans="1:19">
      <c r="A250" s="491"/>
      <c r="B250" s="348"/>
      <c r="C250" s="313">
        <f t="shared" si="38"/>
        <v>1</v>
      </c>
      <c r="D250" s="1128"/>
      <c r="E250" s="313">
        <f t="shared" si="39"/>
        <v>1</v>
      </c>
      <c r="F250" s="1128"/>
      <c r="G250" s="313">
        <f t="shared" si="40"/>
        <v>1</v>
      </c>
      <c r="H250" s="1128"/>
      <c r="I250" s="313">
        <f t="shared" si="41"/>
        <v>1</v>
      </c>
      <c r="J250" s="1128"/>
      <c r="K250" s="313">
        <f t="shared" si="42"/>
        <v>1</v>
      </c>
      <c r="L250" s="1128"/>
      <c r="M250" s="313">
        <f t="shared" si="43"/>
        <v>1</v>
      </c>
      <c r="N250" s="1128"/>
      <c r="O250" s="313">
        <f t="shared" si="44"/>
        <v>1</v>
      </c>
      <c r="P250" s="1128"/>
      <c r="Q250" s="313">
        <f t="shared" si="45"/>
        <v>1</v>
      </c>
      <c r="R250" s="1124">
        <f t="shared" si="46"/>
        <v>0</v>
      </c>
      <c r="S250" s="698">
        <f t="shared" si="47"/>
        <v>0</v>
      </c>
    </row>
    <row r="251" spans="1:19">
      <c r="A251" s="491"/>
      <c r="B251" s="348"/>
      <c r="C251" s="313">
        <f t="shared" si="38"/>
        <v>1</v>
      </c>
      <c r="D251" s="1128"/>
      <c r="E251" s="313">
        <f t="shared" si="39"/>
        <v>1</v>
      </c>
      <c r="F251" s="1128"/>
      <c r="G251" s="313">
        <f t="shared" si="40"/>
        <v>1</v>
      </c>
      <c r="H251" s="1128"/>
      <c r="I251" s="313">
        <f t="shared" si="41"/>
        <v>1</v>
      </c>
      <c r="J251" s="1128"/>
      <c r="K251" s="313">
        <f t="shared" si="42"/>
        <v>1</v>
      </c>
      <c r="L251" s="1128"/>
      <c r="M251" s="313">
        <f t="shared" si="43"/>
        <v>1</v>
      </c>
      <c r="N251" s="1128"/>
      <c r="O251" s="313">
        <f t="shared" si="44"/>
        <v>1</v>
      </c>
      <c r="P251" s="1128"/>
      <c r="Q251" s="313">
        <f t="shared" si="45"/>
        <v>1</v>
      </c>
      <c r="R251" s="1124">
        <f t="shared" si="46"/>
        <v>0</v>
      </c>
      <c r="S251" s="698">
        <f t="shared" si="47"/>
        <v>0</v>
      </c>
    </row>
    <row r="252" spans="1:19">
      <c r="A252" s="491"/>
      <c r="B252" s="348"/>
      <c r="C252" s="313">
        <f t="shared" si="38"/>
        <v>1</v>
      </c>
      <c r="D252" s="1128"/>
      <c r="E252" s="313">
        <f t="shared" si="39"/>
        <v>1</v>
      </c>
      <c r="F252" s="1128"/>
      <c r="G252" s="313">
        <f t="shared" si="40"/>
        <v>1</v>
      </c>
      <c r="H252" s="1128"/>
      <c r="I252" s="313">
        <f t="shared" si="41"/>
        <v>1</v>
      </c>
      <c r="J252" s="1128"/>
      <c r="K252" s="313">
        <f t="shared" si="42"/>
        <v>1</v>
      </c>
      <c r="L252" s="1128"/>
      <c r="M252" s="313">
        <f t="shared" si="43"/>
        <v>1</v>
      </c>
      <c r="N252" s="1128"/>
      <c r="O252" s="313">
        <f t="shared" si="44"/>
        <v>1</v>
      </c>
      <c r="P252" s="1128"/>
      <c r="Q252" s="313">
        <f t="shared" si="45"/>
        <v>1</v>
      </c>
      <c r="R252" s="1124">
        <f t="shared" si="46"/>
        <v>0</v>
      </c>
      <c r="S252" s="698">
        <f t="shared" si="47"/>
        <v>0</v>
      </c>
    </row>
    <row r="253" spans="1:19">
      <c r="A253" s="491"/>
      <c r="B253" s="348"/>
      <c r="C253" s="313">
        <f t="shared" si="38"/>
        <v>1</v>
      </c>
      <c r="D253" s="1128"/>
      <c r="E253" s="313">
        <f t="shared" si="39"/>
        <v>1</v>
      </c>
      <c r="F253" s="1128"/>
      <c r="G253" s="313">
        <f t="shared" si="40"/>
        <v>1</v>
      </c>
      <c r="H253" s="1128"/>
      <c r="I253" s="313">
        <f t="shared" si="41"/>
        <v>1</v>
      </c>
      <c r="J253" s="1128"/>
      <c r="K253" s="313">
        <f t="shared" si="42"/>
        <v>1</v>
      </c>
      <c r="L253" s="1128"/>
      <c r="M253" s="313">
        <f t="shared" si="43"/>
        <v>1</v>
      </c>
      <c r="N253" s="1128"/>
      <c r="O253" s="313">
        <f t="shared" si="44"/>
        <v>1</v>
      </c>
      <c r="P253" s="1128"/>
      <c r="Q253" s="313">
        <f t="shared" si="45"/>
        <v>1</v>
      </c>
      <c r="R253" s="1124">
        <f t="shared" si="46"/>
        <v>0</v>
      </c>
      <c r="S253" s="698">
        <f t="shared" si="47"/>
        <v>0</v>
      </c>
    </row>
    <row r="254" spans="1:19">
      <c r="A254" s="491"/>
      <c r="B254" s="348"/>
      <c r="C254" s="313">
        <f t="shared" si="38"/>
        <v>1</v>
      </c>
      <c r="D254" s="1128"/>
      <c r="E254" s="313">
        <f t="shared" si="39"/>
        <v>1</v>
      </c>
      <c r="F254" s="1128"/>
      <c r="G254" s="313">
        <f t="shared" si="40"/>
        <v>1</v>
      </c>
      <c r="H254" s="1128"/>
      <c r="I254" s="313">
        <f t="shared" si="41"/>
        <v>1</v>
      </c>
      <c r="J254" s="1128"/>
      <c r="K254" s="313">
        <f t="shared" si="42"/>
        <v>1</v>
      </c>
      <c r="L254" s="1128"/>
      <c r="M254" s="313">
        <f t="shared" si="43"/>
        <v>1</v>
      </c>
      <c r="N254" s="1128"/>
      <c r="O254" s="313">
        <f t="shared" si="44"/>
        <v>1</v>
      </c>
      <c r="P254" s="1128"/>
      <c r="Q254" s="313">
        <f t="shared" si="45"/>
        <v>1</v>
      </c>
      <c r="R254" s="1124">
        <f t="shared" si="46"/>
        <v>0</v>
      </c>
      <c r="S254" s="698">
        <f t="shared" si="47"/>
        <v>0</v>
      </c>
    </row>
    <row r="255" spans="1:19">
      <c r="A255" s="491"/>
      <c r="B255" s="348"/>
      <c r="C255" s="313">
        <f t="shared" si="38"/>
        <v>1</v>
      </c>
      <c r="D255" s="1128"/>
      <c r="E255" s="313">
        <f t="shared" si="39"/>
        <v>1</v>
      </c>
      <c r="F255" s="1128"/>
      <c r="G255" s="313">
        <f t="shared" si="40"/>
        <v>1</v>
      </c>
      <c r="H255" s="1128"/>
      <c r="I255" s="313">
        <f t="shared" si="41"/>
        <v>1</v>
      </c>
      <c r="J255" s="1128"/>
      <c r="K255" s="313">
        <f t="shared" si="42"/>
        <v>1</v>
      </c>
      <c r="L255" s="1128"/>
      <c r="M255" s="313">
        <f t="shared" si="43"/>
        <v>1</v>
      </c>
      <c r="N255" s="1128"/>
      <c r="O255" s="313">
        <f t="shared" si="44"/>
        <v>1</v>
      </c>
      <c r="P255" s="1128"/>
      <c r="Q255" s="313">
        <f t="shared" si="45"/>
        <v>1</v>
      </c>
      <c r="R255" s="1124">
        <f t="shared" si="46"/>
        <v>0</v>
      </c>
      <c r="S255" s="698">
        <f t="shared" si="47"/>
        <v>0</v>
      </c>
    </row>
    <row r="256" spans="1:19">
      <c r="A256" s="491"/>
      <c r="B256" s="348"/>
      <c r="C256" s="313">
        <f t="shared" si="38"/>
        <v>1</v>
      </c>
      <c r="D256" s="1128"/>
      <c r="E256" s="313">
        <f t="shared" si="39"/>
        <v>1</v>
      </c>
      <c r="F256" s="1128"/>
      <c r="G256" s="313">
        <f t="shared" si="40"/>
        <v>1</v>
      </c>
      <c r="H256" s="1128"/>
      <c r="I256" s="313">
        <f t="shared" si="41"/>
        <v>1</v>
      </c>
      <c r="J256" s="1128"/>
      <c r="K256" s="313">
        <f t="shared" si="42"/>
        <v>1</v>
      </c>
      <c r="L256" s="1128"/>
      <c r="M256" s="313">
        <f t="shared" si="43"/>
        <v>1</v>
      </c>
      <c r="N256" s="1128"/>
      <c r="O256" s="313">
        <f t="shared" si="44"/>
        <v>1</v>
      </c>
      <c r="P256" s="1128"/>
      <c r="Q256" s="313">
        <f t="shared" si="45"/>
        <v>1</v>
      </c>
      <c r="R256" s="1124">
        <f t="shared" si="46"/>
        <v>0</v>
      </c>
      <c r="S256" s="698">
        <f t="shared" si="47"/>
        <v>0</v>
      </c>
    </row>
    <row r="257" spans="1:19">
      <c r="A257" s="491"/>
      <c r="B257" s="348"/>
      <c r="C257" s="313">
        <f t="shared" si="38"/>
        <v>1</v>
      </c>
      <c r="D257" s="1128"/>
      <c r="E257" s="313">
        <f t="shared" si="39"/>
        <v>1</v>
      </c>
      <c r="F257" s="1128"/>
      <c r="G257" s="313">
        <f t="shared" si="40"/>
        <v>1</v>
      </c>
      <c r="H257" s="1128"/>
      <c r="I257" s="313">
        <f t="shared" si="41"/>
        <v>1</v>
      </c>
      <c r="J257" s="1128"/>
      <c r="K257" s="313">
        <f t="shared" si="42"/>
        <v>1</v>
      </c>
      <c r="L257" s="1128"/>
      <c r="M257" s="313">
        <f t="shared" si="43"/>
        <v>1</v>
      </c>
      <c r="N257" s="1128"/>
      <c r="O257" s="313">
        <f t="shared" si="44"/>
        <v>1</v>
      </c>
      <c r="P257" s="1128"/>
      <c r="Q257" s="313">
        <f t="shared" si="45"/>
        <v>1</v>
      </c>
      <c r="R257" s="1124">
        <f t="shared" si="46"/>
        <v>0</v>
      </c>
      <c r="S257" s="698">
        <f t="shared" si="47"/>
        <v>0</v>
      </c>
    </row>
    <row r="258" spans="1:19">
      <c r="A258" s="491"/>
      <c r="B258" s="348"/>
      <c r="C258" s="313">
        <f t="shared" si="38"/>
        <v>1</v>
      </c>
      <c r="D258" s="1128"/>
      <c r="E258" s="313">
        <f t="shared" si="39"/>
        <v>1</v>
      </c>
      <c r="F258" s="1128"/>
      <c r="G258" s="313">
        <f t="shared" si="40"/>
        <v>1</v>
      </c>
      <c r="H258" s="1128"/>
      <c r="I258" s="313">
        <f t="shared" si="41"/>
        <v>1</v>
      </c>
      <c r="J258" s="1128"/>
      <c r="K258" s="313">
        <f t="shared" si="42"/>
        <v>1</v>
      </c>
      <c r="L258" s="1128"/>
      <c r="M258" s="313">
        <f t="shared" si="43"/>
        <v>1</v>
      </c>
      <c r="N258" s="1128"/>
      <c r="O258" s="313">
        <f t="shared" si="44"/>
        <v>1</v>
      </c>
      <c r="P258" s="1128"/>
      <c r="Q258" s="313">
        <f t="shared" si="45"/>
        <v>1</v>
      </c>
      <c r="R258" s="1124">
        <f t="shared" si="46"/>
        <v>0</v>
      </c>
      <c r="S258" s="698">
        <f t="shared" si="47"/>
        <v>0</v>
      </c>
    </row>
    <row r="259" spans="1:19">
      <c r="A259" s="491"/>
      <c r="B259" s="348"/>
      <c r="C259" s="313">
        <f t="shared" si="38"/>
        <v>1</v>
      </c>
      <c r="D259" s="1128"/>
      <c r="E259" s="313">
        <f t="shared" si="39"/>
        <v>1</v>
      </c>
      <c r="F259" s="1128"/>
      <c r="G259" s="313">
        <f t="shared" si="40"/>
        <v>1</v>
      </c>
      <c r="H259" s="1128"/>
      <c r="I259" s="313">
        <f t="shared" si="41"/>
        <v>1</v>
      </c>
      <c r="J259" s="1128"/>
      <c r="K259" s="313">
        <f t="shared" si="42"/>
        <v>1</v>
      </c>
      <c r="L259" s="1128"/>
      <c r="M259" s="313">
        <f t="shared" si="43"/>
        <v>1</v>
      </c>
      <c r="N259" s="1128"/>
      <c r="O259" s="313">
        <f t="shared" si="44"/>
        <v>1</v>
      </c>
      <c r="P259" s="1128"/>
      <c r="Q259" s="313">
        <f t="shared" si="45"/>
        <v>1</v>
      </c>
      <c r="R259" s="1124">
        <f t="shared" si="46"/>
        <v>0</v>
      </c>
      <c r="S259" s="698">
        <f t="shared" si="47"/>
        <v>0</v>
      </c>
    </row>
    <row r="260" spans="1:19">
      <c r="A260" s="491"/>
      <c r="B260" s="348"/>
      <c r="C260" s="313">
        <f t="shared" si="38"/>
        <v>1</v>
      </c>
      <c r="D260" s="1128"/>
      <c r="E260" s="313">
        <f t="shared" si="39"/>
        <v>1</v>
      </c>
      <c r="F260" s="1128"/>
      <c r="G260" s="313">
        <f t="shared" si="40"/>
        <v>1</v>
      </c>
      <c r="H260" s="1128"/>
      <c r="I260" s="313">
        <f t="shared" si="41"/>
        <v>1</v>
      </c>
      <c r="J260" s="1128"/>
      <c r="K260" s="313">
        <f t="shared" si="42"/>
        <v>1</v>
      </c>
      <c r="L260" s="1128"/>
      <c r="M260" s="313">
        <f t="shared" si="43"/>
        <v>1</v>
      </c>
      <c r="N260" s="1128"/>
      <c r="O260" s="313">
        <f t="shared" si="44"/>
        <v>1</v>
      </c>
      <c r="P260" s="1128"/>
      <c r="Q260" s="313">
        <f t="shared" si="45"/>
        <v>1</v>
      </c>
      <c r="R260" s="1124">
        <f t="shared" si="46"/>
        <v>0</v>
      </c>
      <c r="S260" s="698">
        <f t="shared" si="47"/>
        <v>0</v>
      </c>
    </row>
    <row r="261" spans="1:19">
      <c r="A261" s="491"/>
      <c r="B261" s="348"/>
      <c r="C261" s="313">
        <f t="shared" si="38"/>
        <v>1</v>
      </c>
      <c r="D261" s="1128"/>
      <c r="E261" s="313">
        <f t="shared" si="39"/>
        <v>1</v>
      </c>
      <c r="F261" s="1128"/>
      <c r="G261" s="313">
        <f t="shared" si="40"/>
        <v>1</v>
      </c>
      <c r="H261" s="1128"/>
      <c r="I261" s="313">
        <f t="shared" si="41"/>
        <v>1</v>
      </c>
      <c r="J261" s="1128"/>
      <c r="K261" s="313">
        <f t="shared" si="42"/>
        <v>1</v>
      </c>
      <c r="L261" s="1128"/>
      <c r="M261" s="313">
        <f t="shared" si="43"/>
        <v>1</v>
      </c>
      <c r="N261" s="1128"/>
      <c r="O261" s="313">
        <f t="shared" si="44"/>
        <v>1</v>
      </c>
      <c r="P261" s="1128"/>
      <c r="Q261" s="313">
        <f t="shared" si="45"/>
        <v>1</v>
      </c>
      <c r="R261" s="1124">
        <f t="shared" si="46"/>
        <v>0</v>
      </c>
      <c r="S261" s="698">
        <f t="shared" si="47"/>
        <v>0</v>
      </c>
    </row>
    <row r="262" spans="1:19">
      <c r="A262" s="491"/>
      <c r="B262" s="348"/>
      <c r="C262" s="313">
        <f t="shared" si="38"/>
        <v>1</v>
      </c>
      <c r="D262" s="1128"/>
      <c r="E262" s="313">
        <f t="shared" si="39"/>
        <v>1</v>
      </c>
      <c r="F262" s="1128"/>
      <c r="G262" s="313">
        <f t="shared" si="40"/>
        <v>1</v>
      </c>
      <c r="H262" s="1128"/>
      <c r="I262" s="313">
        <f t="shared" si="41"/>
        <v>1</v>
      </c>
      <c r="J262" s="1128"/>
      <c r="K262" s="313">
        <f t="shared" si="42"/>
        <v>1</v>
      </c>
      <c r="L262" s="1128"/>
      <c r="M262" s="313">
        <f t="shared" si="43"/>
        <v>1</v>
      </c>
      <c r="N262" s="1128"/>
      <c r="O262" s="313">
        <f t="shared" si="44"/>
        <v>1</v>
      </c>
      <c r="P262" s="1128"/>
      <c r="Q262" s="313">
        <f t="shared" si="45"/>
        <v>1</v>
      </c>
      <c r="R262" s="1124">
        <f t="shared" si="46"/>
        <v>0</v>
      </c>
      <c r="S262" s="698">
        <f t="shared" si="47"/>
        <v>0</v>
      </c>
    </row>
    <row r="263" spans="1:19">
      <c r="A263" s="491"/>
      <c r="B263" s="348"/>
      <c r="C263" s="313">
        <f t="shared" si="38"/>
        <v>1</v>
      </c>
      <c r="D263" s="1128"/>
      <c r="E263" s="313">
        <f t="shared" si="39"/>
        <v>1</v>
      </c>
      <c r="F263" s="1128"/>
      <c r="G263" s="313">
        <f t="shared" si="40"/>
        <v>1</v>
      </c>
      <c r="H263" s="1128"/>
      <c r="I263" s="313">
        <f t="shared" si="41"/>
        <v>1</v>
      </c>
      <c r="J263" s="1128"/>
      <c r="K263" s="313">
        <f t="shared" si="42"/>
        <v>1</v>
      </c>
      <c r="L263" s="1128"/>
      <c r="M263" s="313">
        <f t="shared" si="43"/>
        <v>1</v>
      </c>
      <c r="N263" s="1128"/>
      <c r="O263" s="313">
        <f t="shared" si="44"/>
        <v>1</v>
      </c>
      <c r="P263" s="1128"/>
      <c r="Q263" s="313">
        <f t="shared" si="45"/>
        <v>1</v>
      </c>
      <c r="R263" s="1124">
        <f t="shared" si="46"/>
        <v>0</v>
      </c>
      <c r="S263" s="698">
        <f t="shared" si="47"/>
        <v>0</v>
      </c>
    </row>
    <row r="264" spans="1:19">
      <c r="A264" s="491"/>
      <c r="B264" s="348"/>
      <c r="C264" s="313">
        <f t="shared" si="38"/>
        <v>1</v>
      </c>
      <c r="D264" s="1128"/>
      <c r="E264" s="313">
        <f t="shared" si="39"/>
        <v>1</v>
      </c>
      <c r="F264" s="1128"/>
      <c r="G264" s="313">
        <f t="shared" si="40"/>
        <v>1</v>
      </c>
      <c r="H264" s="1128"/>
      <c r="I264" s="313">
        <f t="shared" si="41"/>
        <v>1</v>
      </c>
      <c r="J264" s="1128"/>
      <c r="K264" s="313">
        <f t="shared" si="42"/>
        <v>1</v>
      </c>
      <c r="L264" s="1128"/>
      <c r="M264" s="313">
        <f t="shared" si="43"/>
        <v>1</v>
      </c>
      <c r="N264" s="1128"/>
      <c r="O264" s="313">
        <f t="shared" si="44"/>
        <v>1</v>
      </c>
      <c r="P264" s="1128"/>
      <c r="Q264" s="313">
        <f t="shared" si="45"/>
        <v>1</v>
      </c>
      <c r="R264" s="1124">
        <f t="shared" si="46"/>
        <v>0</v>
      </c>
      <c r="S264" s="698">
        <f t="shared" si="47"/>
        <v>0</v>
      </c>
    </row>
    <row r="265" spans="1:19">
      <c r="A265" s="491"/>
      <c r="B265" s="348"/>
      <c r="C265" s="313">
        <f t="shared" si="38"/>
        <v>1</v>
      </c>
      <c r="D265" s="1128"/>
      <c r="E265" s="313">
        <f t="shared" si="39"/>
        <v>1</v>
      </c>
      <c r="F265" s="1128"/>
      <c r="G265" s="313">
        <f t="shared" si="40"/>
        <v>1</v>
      </c>
      <c r="H265" s="1128"/>
      <c r="I265" s="313">
        <f t="shared" si="41"/>
        <v>1</v>
      </c>
      <c r="J265" s="1128"/>
      <c r="K265" s="313">
        <f t="shared" si="42"/>
        <v>1</v>
      </c>
      <c r="L265" s="1128"/>
      <c r="M265" s="313">
        <f t="shared" si="43"/>
        <v>1</v>
      </c>
      <c r="N265" s="1128"/>
      <c r="O265" s="313">
        <f t="shared" si="44"/>
        <v>1</v>
      </c>
      <c r="P265" s="1128"/>
      <c r="Q265" s="313">
        <f t="shared" si="45"/>
        <v>1</v>
      </c>
      <c r="R265" s="1124">
        <f t="shared" si="46"/>
        <v>0</v>
      </c>
      <c r="S265" s="698">
        <f t="shared" si="47"/>
        <v>0</v>
      </c>
    </row>
    <row r="266" spans="1:19">
      <c r="A266" s="491"/>
      <c r="B266" s="348"/>
      <c r="C266" s="313">
        <f t="shared" si="38"/>
        <v>1</v>
      </c>
      <c r="D266" s="1128"/>
      <c r="E266" s="313">
        <f t="shared" si="39"/>
        <v>1</v>
      </c>
      <c r="F266" s="1128"/>
      <c r="G266" s="313">
        <f t="shared" si="40"/>
        <v>1</v>
      </c>
      <c r="H266" s="1128"/>
      <c r="I266" s="313">
        <f t="shared" si="41"/>
        <v>1</v>
      </c>
      <c r="J266" s="1128"/>
      <c r="K266" s="313">
        <f t="shared" si="42"/>
        <v>1</v>
      </c>
      <c r="L266" s="1128"/>
      <c r="M266" s="313">
        <f t="shared" si="43"/>
        <v>1</v>
      </c>
      <c r="N266" s="1128"/>
      <c r="O266" s="313">
        <f t="shared" si="44"/>
        <v>1</v>
      </c>
      <c r="P266" s="1128"/>
      <c r="Q266" s="313">
        <f t="shared" si="45"/>
        <v>1</v>
      </c>
      <c r="R266" s="1124">
        <f t="shared" si="46"/>
        <v>0</v>
      </c>
      <c r="S266" s="698">
        <f t="shared" si="47"/>
        <v>0</v>
      </c>
    </row>
    <row r="267" spans="1:19">
      <c r="A267" s="491"/>
      <c r="B267" s="348"/>
      <c r="C267" s="313">
        <f t="shared" si="38"/>
        <v>1</v>
      </c>
      <c r="D267" s="1128"/>
      <c r="E267" s="313">
        <f t="shared" si="39"/>
        <v>1</v>
      </c>
      <c r="F267" s="1128"/>
      <c r="G267" s="313">
        <f t="shared" si="40"/>
        <v>1</v>
      </c>
      <c r="H267" s="1128"/>
      <c r="I267" s="313">
        <f t="shared" si="41"/>
        <v>1</v>
      </c>
      <c r="J267" s="1128"/>
      <c r="K267" s="313">
        <f t="shared" si="42"/>
        <v>1</v>
      </c>
      <c r="L267" s="1128"/>
      <c r="M267" s="313">
        <f t="shared" si="43"/>
        <v>1</v>
      </c>
      <c r="N267" s="1128"/>
      <c r="O267" s="313">
        <f t="shared" si="44"/>
        <v>1</v>
      </c>
      <c r="P267" s="1128"/>
      <c r="Q267" s="313">
        <f t="shared" si="45"/>
        <v>1</v>
      </c>
      <c r="R267" s="1124">
        <f t="shared" si="46"/>
        <v>0</v>
      </c>
      <c r="S267" s="698">
        <f t="shared" si="47"/>
        <v>0</v>
      </c>
    </row>
    <row r="268" spans="1:19">
      <c r="A268" s="491"/>
      <c r="B268" s="348"/>
      <c r="C268" s="313">
        <f t="shared" si="38"/>
        <v>1</v>
      </c>
      <c r="D268" s="1128"/>
      <c r="E268" s="313">
        <f t="shared" si="39"/>
        <v>1</v>
      </c>
      <c r="F268" s="1128"/>
      <c r="G268" s="313">
        <f t="shared" si="40"/>
        <v>1</v>
      </c>
      <c r="H268" s="1128"/>
      <c r="I268" s="313">
        <f t="shared" si="41"/>
        <v>1</v>
      </c>
      <c r="J268" s="1128"/>
      <c r="K268" s="313">
        <f t="shared" si="42"/>
        <v>1</v>
      </c>
      <c r="L268" s="1128"/>
      <c r="M268" s="313">
        <f t="shared" si="43"/>
        <v>1</v>
      </c>
      <c r="N268" s="1128"/>
      <c r="O268" s="313">
        <f t="shared" si="44"/>
        <v>1</v>
      </c>
      <c r="P268" s="1128"/>
      <c r="Q268" s="313">
        <f t="shared" si="45"/>
        <v>1</v>
      </c>
      <c r="R268" s="1124">
        <f t="shared" si="46"/>
        <v>0</v>
      </c>
      <c r="S268" s="698">
        <f t="shared" si="47"/>
        <v>0</v>
      </c>
    </row>
    <row r="269" spans="1:19">
      <c r="A269" s="491"/>
      <c r="B269" s="348"/>
      <c r="C269" s="313">
        <f t="shared" si="38"/>
        <v>1</v>
      </c>
      <c r="D269" s="1128"/>
      <c r="E269" s="313">
        <f t="shared" si="39"/>
        <v>1</v>
      </c>
      <c r="F269" s="1128"/>
      <c r="G269" s="313">
        <f t="shared" si="40"/>
        <v>1</v>
      </c>
      <c r="H269" s="1128"/>
      <c r="I269" s="313">
        <f t="shared" si="41"/>
        <v>1</v>
      </c>
      <c r="J269" s="1128"/>
      <c r="K269" s="313">
        <f t="shared" si="42"/>
        <v>1</v>
      </c>
      <c r="L269" s="1128"/>
      <c r="M269" s="313">
        <f t="shared" si="43"/>
        <v>1</v>
      </c>
      <c r="N269" s="1128"/>
      <c r="O269" s="313">
        <f t="shared" si="44"/>
        <v>1</v>
      </c>
      <c r="P269" s="1128"/>
      <c r="Q269" s="313">
        <f t="shared" si="45"/>
        <v>1</v>
      </c>
      <c r="R269" s="1124">
        <f t="shared" si="46"/>
        <v>0</v>
      </c>
      <c r="S269" s="698">
        <f t="shared" si="47"/>
        <v>0</v>
      </c>
    </row>
    <row r="270" spans="1:19">
      <c r="A270" s="491"/>
      <c r="B270" s="348"/>
      <c r="C270" s="313">
        <f t="shared" si="38"/>
        <v>1</v>
      </c>
      <c r="D270" s="1128"/>
      <c r="E270" s="313">
        <f t="shared" si="39"/>
        <v>1</v>
      </c>
      <c r="F270" s="1128"/>
      <c r="G270" s="313">
        <f t="shared" si="40"/>
        <v>1</v>
      </c>
      <c r="H270" s="1128"/>
      <c r="I270" s="313">
        <f t="shared" si="41"/>
        <v>1</v>
      </c>
      <c r="J270" s="1128"/>
      <c r="K270" s="313">
        <f t="shared" si="42"/>
        <v>1</v>
      </c>
      <c r="L270" s="1128"/>
      <c r="M270" s="313">
        <f t="shared" si="43"/>
        <v>1</v>
      </c>
      <c r="N270" s="1128"/>
      <c r="O270" s="313">
        <f t="shared" si="44"/>
        <v>1</v>
      </c>
      <c r="P270" s="1128"/>
      <c r="Q270" s="313">
        <f t="shared" si="45"/>
        <v>1</v>
      </c>
      <c r="R270" s="1124">
        <f t="shared" si="46"/>
        <v>0</v>
      </c>
      <c r="S270" s="698">
        <f t="shared" si="47"/>
        <v>0</v>
      </c>
    </row>
    <row r="271" spans="1:19">
      <c r="A271" s="491"/>
      <c r="B271" s="348"/>
      <c r="C271" s="313">
        <f t="shared" si="38"/>
        <v>1</v>
      </c>
      <c r="D271" s="1128"/>
      <c r="E271" s="313">
        <f t="shared" si="39"/>
        <v>1</v>
      </c>
      <c r="F271" s="1128"/>
      <c r="G271" s="313">
        <f t="shared" si="40"/>
        <v>1</v>
      </c>
      <c r="H271" s="1128"/>
      <c r="I271" s="313">
        <f t="shared" si="41"/>
        <v>1</v>
      </c>
      <c r="J271" s="1128"/>
      <c r="K271" s="313">
        <f t="shared" si="42"/>
        <v>1</v>
      </c>
      <c r="L271" s="1128"/>
      <c r="M271" s="313">
        <f t="shared" si="43"/>
        <v>1</v>
      </c>
      <c r="N271" s="1128"/>
      <c r="O271" s="313">
        <f t="shared" si="44"/>
        <v>1</v>
      </c>
      <c r="P271" s="1128"/>
      <c r="Q271" s="313">
        <f t="shared" si="45"/>
        <v>1</v>
      </c>
      <c r="R271" s="1124">
        <f t="shared" si="46"/>
        <v>0</v>
      </c>
      <c r="S271" s="698">
        <f t="shared" si="47"/>
        <v>0</v>
      </c>
    </row>
    <row r="272" spans="1:19">
      <c r="A272" s="491"/>
      <c r="B272" s="348"/>
      <c r="C272" s="313">
        <f t="shared" si="38"/>
        <v>1</v>
      </c>
      <c r="D272" s="1128"/>
      <c r="E272" s="313">
        <f t="shared" si="39"/>
        <v>1</v>
      </c>
      <c r="F272" s="1128"/>
      <c r="G272" s="313">
        <f t="shared" si="40"/>
        <v>1</v>
      </c>
      <c r="H272" s="1128"/>
      <c r="I272" s="313">
        <f t="shared" si="41"/>
        <v>1</v>
      </c>
      <c r="J272" s="1128"/>
      <c r="K272" s="313">
        <f t="shared" si="42"/>
        <v>1</v>
      </c>
      <c r="L272" s="1128"/>
      <c r="M272" s="313">
        <f t="shared" si="43"/>
        <v>1</v>
      </c>
      <c r="N272" s="1128"/>
      <c r="O272" s="313">
        <f t="shared" si="44"/>
        <v>1</v>
      </c>
      <c r="P272" s="1128"/>
      <c r="Q272" s="313">
        <f t="shared" si="45"/>
        <v>1</v>
      </c>
      <c r="R272" s="1124">
        <f t="shared" si="46"/>
        <v>0</v>
      </c>
      <c r="S272" s="698">
        <f t="shared" si="47"/>
        <v>0</v>
      </c>
    </row>
    <row r="273" spans="1:19">
      <c r="A273" s="491"/>
      <c r="B273" s="348"/>
      <c r="C273" s="313">
        <f t="shared" si="38"/>
        <v>1</v>
      </c>
      <c r="D273" s="1128"/>
      <c r="E273" s="313">
        <f t="shared" si="39"/>
        <v>1</v>
      </c>
      <c r="F273" s="1128"/>
      <c r="G273" s="313">
        <f t="shared" si="40"/>
        <v>1</v>
      </c>
      <c r="H273" s="1128"/>
      <c r="I273" s="313">
        <f t="shared" si="41"/>
        <v>1</v>
      </c>
      <c r="J273" s="1128"/>
      <c r="K273" s="313">
        <f t="shared" si="42"/>
        <v>1</v>
      </c>
      <c r="L273" s="1128"/>
      <c r="M273" s="313">
        <f t="shared" si="43"/>
        <v>1</v>
      </c>
      <c r="N273" s="1128"/>
      <c r="O273" s="313">
        <f t="shared" si="44"/>
        <v>1</v>
      </c>
      <c r="P273" s="1128"/>
      <c r="Q273" s="313">
        <f t="shared" si="45"/>
        <v>1</v>
      </c>
      <c r="R273" s="1124">
        <f t="shared" si="46"/>
        <v>0</v>
      </c>
      <c r="S273" s="698">
        <f t="shared" si="47"/>
        <v>0</v>
      </c>
    </row>
    <row r="274" spans="1:19">
      <c r="A274" s="491"/>
      <c r="B274" s="348"/>
      <c r="C274" s="313">
        <f t="shared" si="38"/>
        <v>1</v>
      </c>
      <c r="D274" s="1128"/>
      <c r="E274" s="313">
        <f t="shared" si="39"/>
        <v>1</v>
      </c>
      <c r="F274" s="1128"/>
      <c r="G274" s="313">
        <f t="shared" si="40"/>
        <v>1</v>
      </c>
      <c r="H274" s="1128"/>
      <c r="I274" s="313">
        <f t="shared" si="41"/>
        <v>1</v>
      </c>
      <c r="J274" s="1128"/>
      <c r="K274" s="313">
        <f t="shared" si="42"/>
        <v>1</v>
      </c>
      <c r="L274" s="1128"/>
      <c r="M274" s="313">
        <f t="shared" si="43"/>
        <v>1</v>
      </c>
      <c r="N274" s="1128"/>
      <c r="O274" s="313">
        <f t="shared" si="44"/>
        <v>1</v>
      </c>
      <c r="P274" s="1128"/>
      <c r="Q274" s="313">
        <f t="shared" si="45"/>
        <v>1</v>
      </c>
      <c r="R274" s="1124">
        <f t="shared" si="46"/>
        <v>0</v>
      </c>
      <c r="S274" s="698">
        <f t="shared" si="47"/>
        <v>0</v>
      </c>
    </row>
    <row r="275" spans="1:19">
      <c r="A275" s="491"/>
      <c r="B275" s="348"/>
      <c r="C275" s="313">
        <f t="shared" si="38"/>
        <v>1</v>
      </c>
      <c r="D275" s="1128"/>
      <c r="E275" s="313">
        <f t="shared" si="39"/>
        <v>1</v>
      </c>
      <c r="F275" s="1128"/>
      <c r="G275" s="313">
        <f t="shared" si="40"/>
        <v>1</v>
      </c>
      <c r="H275" s="1128"/>
      <c r="I275" s="313">
        <f t="shared" si="41"/>
        <v>1</v>
      </c>
      <c r="J275" s="1128"/>
      <c r="K275" s="313">
        <f t="shared" si="42"/>
        <v>1</v>
      </c>
      <c r="L275" s="1128"/>
      <c r="M275" s="313">
        <f t="shared" si="43"/>
        <v>1</v>
      </c>
      <c r="N275" s="1128"/>
      <c r="O275" s="313">
        <f t="shared" si="44"/>
        <v>1</v>
      </c>
      <c r="P275" s="1128"/>
      <c r="Q275" s="313">
        <f t="shared" si="45"/>
        <v>1</v>
      </c>
      <c r="R275" s="1124">
        <f t="shared" si="46"/>
        <v>0</v>
      </c>
      <c r="S275" s="698">
        <f t="shared" si="47"/>
        <v>0</v>
      </c>
    </row>
    <row r="276" spans="1:19">
      <c r="A276" s="491"/>
      <c r="B276" s="348"/>
      <c r="C276" s="313">
        <f t="shared" si="38"/>
        <v>1</v>
      </c>
      <c r="D276" s="1128"/>
      <c r="E276" s="313">
        <f t="shared" si="39"/>
        <v>1</v>
      </c>
      <c r="F276" s="1128"/>
      <c r="G276" s="313">
        <f t="shared" si="40"/>
        <v>1</v>
      </c>
      <c r="H276" s="1128"/>
      <c r="I276" s="313">
        <f t="shared" si="41"/>
        <v>1</v>
      </c>
      <c r="J276" s="1128"/>
      <c r="K276" s="313">
        <f t="shared" si="42"/>
        <v>1</v>
      </c>
      <c r="L276" s="1128"/>
      <c r="M276" s="313">
        <f t="shared" si="43"/>
        <v>1</v>
      </c>
      <c r="N276" s="1128"/>
      <c r="O276" s="313">
        <f t="shared" si="44"/>
        <v>1</v>
      </c>
      <c r="P276" s="1128"/>
      <c r="Q276" s="313">
        <f t="shared" si="45"/>
        <v>1</v>
      </c>
      <c r="R276" s="1124">
        <f t="shared" si="46"/>
        <v>0</v>
      </c>
      <c r="S276" s="698">
        <f t="shared" si="47"/>
        <v>0</v>
      </c>
    </row>
    <row r="277" spans="1:19">
      <c r="A277" s="491"/>
      <c r="B277" s="348"/>
      <c r="C277" s="313">
        <f t="shared" si="38"/>
        <v>1</v>
      </c>
      <c r="D277" s="1128"/>
      <c r="E277" s="313">
        <f t="shared" si="39"/>
        <v>1</v>
      </c>
      <c r="F277" s="1128"/>
      <c r="G277" s="313">
        <f t="shared" si="40"/>
        <v>1</v>
      </c>
      <c r="H277" s="1128"/>
      <c r="I277" s="313">
        <f t="shared" si="41"/>
        <v>1</v>
      </c>
      <c r="J277" s="1128"/>
      <c r="K277" s="313">
        <f t="shared" si="42"/>
        <v>1</v>
      </c>
      <c r="L277" s="1128"/>
      <c r="M277" s="313">
        <f t="shared" si="43"/>
        <v>1</v>
      </c>
      <c r="N277" s="1128"/>
      <c r="O277" s="313">
        <f t="shared" si="44"/>
        <v>1</v>
      </c>
      <c r="P277" s="1128"/>
      <c r="Q277" s="313">
        <f t="shared" si="45"/>
        <v>1</v>
      </c>
      <c r="R277" s="1124">
        <f t="shared" si="46"/>
        <v>0</v>
      </c>
      <c r="S277" s="698">
        <f t="shared" si="47"/>
        <v>0</v>
      </c>
    </row>
    <row r="278" spans="1:19">
      <c r="A278" s="491"/>
      <c r="B278" s="348"/>
      <c r="C278" s="313">
        <f t="shared" si="38"/>
        <v>1</v>
      </c>
      <c r="D278" s="1128"/>
      <c r="E278" s="313">
        <f t="shared" si="39"/>
        <v>1</v>
      </c>
      <c r="F278" s="1128"/>
      <c r="G278" s="313">
        <f t="shared" si="40"/>
        <v>1</v>
      </c>
      <c r="H278" s="1128"/>
      <c r="I278" s="313">
        <f t="shared" si="41"/>
        <v>1</v>
      </c>
      <c r="J278" s="1128"/>
      <c r="K278" s="313">
        <f t="shared" si="42"/>
        <v>1</v>
      </c>
      <c r="L278" s="1128"/>
      <c r="M278" s="313">
        <f t="shared" si="43"/>
        <v>1</v>
      </c>
      <c r="N278" s="1128"/>
      <c r="O278" s="313">
        <f t="shared" si="44"/>
        <v>1</v>
      </c>
      <c r="P278" s="1128"/>
      <c r="Q278" s="313">
        <f t="shared" si="45"/>
        <v>1</v>
      </c>
      <c r="R278" s="1124">
        <f t="shared" si="46"/>
        <v>0</v>
      </c>
      <c r="S278" s="698">
        <f t="shared" si="47"/>
        <v>0</v>
      </c>
    </row>
    <row r="279" spans="1:19">
      <c r="A279" s="491"/>
      <c r="B279" s="348"/>
      <c r="C279" s="313">
        <f t="shared" si="38"/>
        <v>1</v>
      </c>
      <c r="D279" s="1128"/>
      <c r="E279" s="313">
        <f t="shared" si="39"/>
        <v>1</v>
      </c>
      <c r="F279" s="1128"/>
      <c r="G279" s="313">
        <f t="shared" si="40"/>
        <v>1</v>
      </c>
      <c r="H279" s="1128"/>
      <c r="I279" s="313">
        <f t="shared" si="41"/>
        <v>1</v>
      </c>
      <c r="J279" s="1128"/>
      <c r="K279" s="313">
        <f t="shared" si="42"/>
        <v>1</v>
      </c>
      <c r="L279" s="1128"/>
      <c r="M279" s="313">
        <f t="shared" si="43"/>
        <v>1</v>
      </c>
      <c r="N279" s="1128"/>
      <c r="O279" s="313">
        <f t="shared" si="44"/>
        <v>1</v>
      </c>
      <c r="P279" s="1128"/>
      <c r="Q279" s="313">
        <f t="shared" si="45"/>
        <v>1</v>
      </c>
      <c r="R279" s="1124">
        <f t="shared" si="46"/>
        <v>0</v>
      </c>
      <c r="S279" s="698">
        <f t="shared" si="47"/>
        <v>0</v>
      </c>
    </row>
    <row r="280" spans="1:19">
      <c r="A280" s="491"/>
      <c r="B280" s="348"/>
      <c r="C280" s="313">
        <f t="shared" si="38"/>
        <v>1</v>
      </c>
      <c r="D280" s="1128"/>
      <c r="E280" s="313">
        <f t="shared" si="39"/>
        <v>1</v>
      </c>
      <c r="F280" s="1128"/>
      <c r="G280" s="313">
        <f t="shared" si="40"/>
        <v>1</v>
      </c>
      <c r="H280" s="1128"/>
      <c r="I280" s="313">
        <f t="shared" si="41"/>
        <v>1</v>
      </c>
      <c r="J280" s="1128"/>
      <c r="K280" s="313">
        <f t="shared" si="42"/>
        <v>1</v>
      </c>
      <c r="L280" s="1128"/>
      <c r="M280" s="313">
        <f t="shared" si="43"/>
        <v>1</v>
      </c>
      <c r="N280" s="1128"/>
      <c r="O280" s="313">
        <f t="shared" si="44"/>
        <v>1</v>
      </c>
      <c r="P280" s="1128"/>
      <c r="Q280" s="313">
        <f t="shared" si="45"/>
        <v>1</v>
      </c>
      <c r="R280" s="1124">
        <f t="shared" si="46"/>
        <v>0</v>
      </c>
      <c r="S280" s="698">
        <f t="shared" si="47"/>
        <v>0</v>
      </c>
    </row>
    <row r="281" spans="1:19">
      <c r="A281" s="491"/>
      <c r="B281" s="348"/>
      <c r="C281" s="313">
        <f t="shared" si="38"/>
        <v>1</v>
      </c>
      <c r="D281" s="1128"/>
      <c r="E281" s="313">
        <f t="shared" si="39"/>
        <v>1</v>
      </c>
      <c r="F281" s="1128"/>
      <c r="G281" s="313">
        <f t="shared" si="40"/>
        <v>1</v>
      </c>
      <c r="H281" s="1128"/>
      <c r="I281" s="313">
        <f t="shared" si="41"/>
        <v>1</v>
      </c>
      <c r="J281" s="1128"/>
      <c r="K281" s="313">
        <f t="shared" si="42"/>
        <v>1</v>
      </c>
      <c r="L281" s="1128"/>
      <c r="M281" s="313">
        <f t="shared" si="43"/>
        <v>1</v>
      </c>
      <c r="N281" s="1128"/>
      <c r="O281" s="313">
        <f t="shared" si="44"/>
        <v>1</v>
      </c>
      <c r="P281" s="1128"/>
      <c r="Q281" s="313">
        <f t="shared" si="45"/>
        <v>1</v>
      </c>
      <c r="R281" s="1124">
        <f t="shared" si="46"/>
        <v>0</v>
      </c>
      <c r="S281" s="698">
        <f t="shared" si="47"/>
        <v>0</v>
      </c>
    </row>
    <row r="282" spans="1:19">
      <c r="A282" s="491"/>
      <c r="B282" s="348"/>
      <c r="C282" s="313">
        <f t="shared" ref="C282:C345" si="48">IF(B282="",1,(LOOKUP(B282,$3:$3,$4:$4)-LOOKUP($B$24,$3:$3,$4:$4)+100)/100)</f>
        <v>1</v>
      </c>
      <c r="D282" s="1128"/>
      <c r="E282" s="313">
        <f t="shared" ref="E282:E345" si="49">(SUMIF($5:$5,D282,$6:$6)-SUMIF($5:$5,$D$24,$6:$6)+100)/100</f>
        <v>1</v>
      </c>
      <c r="F282" s="1128"/>
      <c r="G282" s="313">
        <f t="shared" ref="G282:G345" si="50">(SUMIF($7:$7,F282,$8:$8)-SUMIF($7:$7,$F$24,$8:$8)+100)/100</f>
        <v>1</v>
      </c>
      <c r="H282" s="1128"/>
      <c r="I282" s="313">
        <f t="shared" ref="I282:I345" si="51">(SUMIF($9:$9,H282,$10:$10)-SUMIF($9:$9,$H$24,$10:$10)+100)/100</f>
        <v>1</v>
      </c>
      <c r="J282" s="1128"/>
      <c r="K282" s="313">
        <f t="shared" ref="K282:K345" si="52">(SUMIF($11:$11,J282,$12:$12)-SUMIF($11:$11,$J$24,$12:$12)+100)/100</f>
        <v>1</v>
      </c>
      <c r="L282" s="1128"/>
      <c r="M282" s="313">
        <f t="shared" ref="M282:M345" si="53">(SUMIF($13:$13,L282,$14:$14)-SUMIF($13:$13,$L$24,$14:$14)+100)/100</f>
        <v>1</v>
      </c>
      <c r="N282" s="1128"/>
      <c r="O282" s="313">
        <f t="shared" ref="O282:O345" si="54">(SUMIF($15:$15,N282,$16:$16)-SUMIF($15:$15,$N$24,$16:$16)+100)/100</f>
        <v>1</v>
      </c>
      <c r="P282" s="1128"/>
      <c r="Q282" s="313">
        <f t="shared" ref="Q282:Q345" si="55">(SUMIF($17:$17,P282,$18:$18)-SUMIF($17:$17,$P$24,$18:$18)+100)/100</f>
        <v>1</v>
      </c>
      <c r="R282" s="1124">
        <f t="shared" ref="R282:R345" si="56">IF(B282="",0,ROUND($R$24*C282*E282*G282*I282*K282*M282*O282*Q282,0))</f>
        <v>0</v>
      </c>
      <c r="S282" s="698">
        <f t="shared" si="47"/>
        <v>0</v>
      </c>
    </row>
    <row r="283" spans="1:19">
      <c r="A283" s="491"/>
      <c r="B283" s="348"/>
      <c r="C283" s="313">
        <f t="shared" si="48"/>
        <v>1</v>
      </c>
      <c r="D283" s="1128"/>
      <c r="E283" s="313">
        <f t="shared" si="49"/>
        <v>1</v>
      </c>
      <c r="F283" s="1128"/>
      <c r="G283" s="313">
        <f t="shared" si="50"/>
        <v>1</v>
      </c>
      <c r="H283" s="1128"/>
      <c r="I283" s="313">
        <f t="shared" si="51"/>
        <v>1</v>
      </c>
      <c r="J283" s="1128"/>
      <c r="K283" s="313">
        <f t="shared" si="52"/>
        <v>1</v>
      </c>
      <c r="L283" s="1128"/>
      <c r="M283" s="313">
        <f t="shared" si="53"/>
        <v>1</v>
      </c>
      <c r="N283" s="1128"/>
      <c r="O283" s="313">
        <f t="shared" si="54"/>
        <v>1</v>
      </c>
      <c r="P283" s="1128"/>
      <c r="Q283" s="313">
        <f t="shared" si="55"/>
        <v>1</v>
      </c>
      <c r="R283" s="1124">
        <f t="shared" si="56"/>
        <v>0</v>
      </c>
      <c r="S283" s="698">
        <f t="shared" si="47"/>
        <v>0</v>
      </c>
    </row>
    <row r="284" spans="1:19">
      <c r="A284" s="491"/>
      <c r="B284" s="348"/>
      <c r="C284" s="313">
        <f t="shared" si="48"/>
        <v>1</v>
      </c>
      <c r="D284" s="1128"/>
      <c r="E284" s="313">
        <f t="shared" si="49"/>
        <v>1</v>
      </c>
      <c r="F284" s="1128"/>
      <c r="G284" s="313">
        <f t="shared" si="50"/>
        <v>1</v>
      </c>
      <c r="H284" s="1128"/>
      <c r="I284" s="313">
        <f t="shared" si="51"/>
        <v>1</v>
      </c>
      <c r="J284" s="1128"/>
      <c r="K284" s="313">
        <f t="shared" si="52"/>
        <v>1</v>
      </c>
      <c r="L284" s="1128"/>
      <c r="M284" s="313">
        <f t="shared" si="53"/>
        <v>1</v>
      </c>
      <c r="N284" s="1128"/>
      <c r="O284" s="313">
        <f t="shared" si="54"/>
        <v>1</v>
      </c>
      <c r="P284" s="1128"/>
      <c r="Q284" s="313">
        <f t="shared" si="55"/>
        <v>1</v>
      </c>
      <c r="R284" s="1124">
        <f t="shared" si="56"/>
        <v>0</v>
      </c>
      <c r="S284" s="698">
        <f t="shared" si="47"/>
        <v>0</v>
      </c>
    </row>
    <row r="285" spans="1:19">
      <c r="A285" s="491"/>
      <c r="B285" s="348"/>
      <c r="C285" s="313">
        <f t="shared" si="48"/>
        <v>1</v>
      </c>
      <c r="D285" s="1128"/>
      <c r="E285" s="313">
        <f t="shared" si="49"/>
        <v>1</v>
      </c>
      <c r="F285" s="1128"/>
      <c r="G285" s="313">
        <f t="shared" si="50"/>
        <v>1</v>
      </c>
      <c r="H285" s="1128"/>
      <c r="I285" s="313">
        <f t="shared" si="51"/>
        <v>1</v>
      </c>
      <c r="J285" s="1128"/>
      <c r="K285" s="313">
        <f t="shared" si="52"/>
        <v>1</v>
      </c>
      <c r="L285" s="1128"/>
      <c r="M285" s="313">
        <f t="shared" si="53"/>
        <v>1</v>
      </c>
      <c r="N285" s="1128"/>
      <c r="O285" s="313">
        <f t="shared" si="54"/>
        <v>1</v>
      </c>
      <c r="P285" s="1128"/>
      <c r="Q285" s="313">
        <f t="shared" si="55"/>
        <v>1</v>
      </c>
      <c r="R285" s="1124">
        <f t="shared" si="56"/>
        <v>0</v>
      </c>
      <c r="S285" s="698">
        <f t="shared" si="47"/>
        <v>0</v>
      </c>
    </row>
    <row r="286" spans="1:19">
      <c r="A286" s="491"/>
      <c r="B286" s="348"/>
      <c r="C286" s="313">
        <f t="shared" si="48"/>
        <v>1</v>
      </c>
      <c r="D286" s="1128"/>
      <c r="E286" s="313">
        <f t="shared" si="49"/>
        <v>1</v>
      </c>
      <c r="F286" s="1128"/>
      <c r="G286" s="313">
        <f t="shared" si="50"/>
        <v>1</v>
      </c>
      <c r="H286" s="1128"/>
      <c r="I286" s="313">
        <f t="shared" si="51"/>
        <v>1</v>
      </c>
      <c r="J286" s="1128"/>
      <c r="K286" s="313">
        <f t="shared" si="52"/>
        <v>1</v>
      </c>
      <c r="L286" s="1128"/>
      <c r="M286" s="313">
        <f t="shared" si="53"/>
        <v>1</v>
      </c>
      <c r="N286" s="1128"/>
      <c r="O286" s="313">
        <f t="shared" si="54"/>
        <v>1</v>
      </c>
      <c r="P286" s="1128"/>
      <c r="Q286" s="313">
        <f t="shared" si="55"/>
        <v>1</v>
      </c>
      <c r="R286" s="1124">
        <f t="shared" si="56"/>
        <v>0</v>
      </c>
      <c r="S286" s="698">
        <f t="shared" si="47"/>
        <v>0</v>
      </c>
    </row>
    <row r="287" spans="1:19">
      <c r="A287" s="491"/>
      <c r="B287" s="348"/>
      <c r="C287" s="313">
        <f t="shared" si="48"/>
        <v>1</v>
      </c>
      <c r="D287" s="1128"/>
      <c r="E287" s="313">
        <f t="shared" si="49"/>
        <v>1</v>
      </c>
      <c r="F287" s="1128"/>
      <c r="G287" s="313">
        <f t="shared" si="50"/>
        <v>1</v>
      </c>
      <c r="H287" s="1128"/>
      <c r="I287" s="313">
        <f t="shared" si="51"/>
        <v>1</v>
      </c>
      <c r="J287" s="1128"/>
      <c r="K287" s="313">
        <f t="shared" si="52"/>
        <v>1</v>
      </c>
      <c r="L287" s="1128"/>
      <c r="M287" s="313">
        <f t="shared" si="53"/>
        <v>1</v>
      </c>
      <c r="N287" s="1128"/>
      <c r="O287" s="313">
        <f t="shared" si="54"/>
        <v>1</v>
      </c>
      <c r="P287" s="1128"/>
      <c r="Q287" s="313">
        <f t="shared" si="55"/>
        <v>1</v>
      </c>
      <c r="R287" s="1124">
        <f t="shared" si="56"/>
        <v>0</v>
      </c>
      <c r="S287" s="698">
        <f t="shared" ref="S287:S320" si="57">ROUND(R287*B287/10000,0)</f>
        <v>0</v>
      </c>
    </row>
    <row r="288" spans="1:19">
      <c r="A288" s="491"/>
      <c r="B288" s="348"/>
      <c r="C288" s="313">
        <f t="shared" si="48"/>
        <v>1</v>
      </c>
      <c r="D288" s="1128"/>
      <c r="E288" s="313">
        <f t="shared" si="49"/>
        <v>1</v>
      </c>
      <c r="F288" s="1128"/>
      <c r="G288" s="313">
        <f t="shared" si="50"/>
        <v>1</v>
      </c>
      <c r="H288" s="1128"/>
      <c r="I288" s="313">
        <f t="shared" si="51"/>
        <v>1</v>
      </c>
      <c r="J288" s="1128"/>
      <c r="K288" s="313">
        <f t="shared" si="52"/>
        <v>1</v>
      </c>
      <c r="L288" s="1128"/>
      <c r="M288" s="313">
        <f t="shared" si="53"/>
        <v>1</v>
      </c>
      <c r="N288" s="1128"/>
      <c r="O288" s="313">
        <f t="shared" si="54"/>
        <v>1</v>
      </c>
      <c r="P288" s="1128"/>
      <c r="Q288" s="313">
        <f t="shared" si="55"/>
        <v>1</v>
      </c>
      <c r="R288" s="1124">
        <f t="shared" si="56"/>
        <v>0</v>
      </c>
      <c r="S288" s="698">
        <f t="shared" si="57"/>
        <v>0</v>
      </c>
    </row>
    <row r="289" spans="1:19">
      <c r="A289" s="491"/>
      <c r="B289" s="348"/>
      <c r="C289" s="313">
        <f t="shared" si="48"/>
        <v>1</v>
      </c>
      <c r="D289" s="1128"/>
      <c r="E289" s="313">
        <f t="shared" si="49"/>
        <v>1</v>
      </c>
      <c r="F289" s="1128"/>
      <c r="G289" s="313">
        <f t="shared" si="50"/>
        <v>1</v>
      </c>
      <c r="H289" s="1128"/>
      <c r="I289" s="313">
        <f t="shared" si="51"/>
        <v>1</v>
      </c>
      <c r="J289" s="1128"/>
      <c r="K289" s="313">
        <f t="shared" si="52"/>
        <v>1</v>
      </c>
      <c r="L289" s="1128"/>
      <c r="M289" s="313">
        <f t="shared" si="53"/>
        <v>1</v>
      </c>
      <c r="N289" s="1128"/>
      <c r="O289" s="313">
        <f t="shared" si="54"/>
        <v>1</v>
      </c>
      <c r="P289" s="1128"/>
      <c r="Q289" s="313">
        <f t="shared" si="55"/>
        <v>1</v>
      </c>
      <c r="R289" s="1124">
        <f t="shared" si="56"/>
        <v>0</v>
      </c>
      <c r="S289" s="698">
        <f t="shared" si="57"/>
        <v>0</v>
      </c>
    </row>
    <row r="290" spans="1:19">
      <c r="A290" s="491"/>
      <c r="B290" s="348"/>
      <c r="C290" s="313">
        <f t="shared" si="48"/>
        <v>1</v>
      </c>
      <c r="D290" s="1128"/>
      <c r="E290" s="313">
        <f t="shared" si="49"/>
        <v>1</v>
      </c>
      <c r="F290" s="1128"/>
      <c r="G290" s="313">
        <f t="shared" si="50"/>
        <v>1</v>
      </c>
      <c r="H290" s="1128"/>
      <c r="I290" s="313">
        <f t="shared" si="51"/>
        <v>1</v>
      </c>
      <c r="J290" s="1128"/>
      <c r="K290" s="313">
        <f t="shared" si="52"/>
        <v>1</v>
      </c>
      <c r="L290" s="1128"/>
      <c r="M290" s="313">
        <f t="shared" si="53"/>
        <v>1</v>
      </c>
      <c r="N290" s="1128"/>
      <c r="O290" s="313">
        <f t="shared" si="54"/>
        <v>1</v>
      </c>
      <c r="P290" s="1128"/>
      <c r="Q290" s="313">
        <f t="shared" si="55"/>
        <v>1</v>
      </c>
      <c r="R290" s="1124">
        <f t="shared" si="56"/>
        <v>0</v>
      </c>
      <c r="S290" s="698">
        <f t="shared" si="57"/>
        <v>0</v>
      </c>
    </row>
    <row r="291" spans="1:19">
      <c r="A291" s="491"/>
      <c r="B291" s="348"/>
      <c r="C291" s="313">
        <f t="shared" si="48"/>
        <v>1</v>
      </c>
      <c r="D291" s="1128"/>
      <c r="E291" s="313">
        <f t="shared" si="49"/>
        <v>1</v>
      </c>
      <c r="F291" s="1128"/>
      <c r="G291" s="313">
        <f t="shared" si="50"/>
        <v>1</v>
      </c>
      <c r="H291" s="1128"/>
      <c r="I291" s="313">
        <f t="shared" si="51"/>
        <v>1</v>
      </c>
      <c r="J291" s="1128"/>
      <c r="K291" s="313">
        <f t="shared" si="52"/>
        <v>1</v>
      </c>
      <c r="L291" s="1128"/>
      <c r="M291" s="313">
        <f t="shared" si="53"/>
        <v>1</v>
      </c>
      <c r="N291" s="1128"/>
      <c r="O291" s="313">
        <f t="shared" si="54"/>
        <v>1</v>
      </c>
      <c r="P291" s="1128"/>
      <c r="Q291" s="313">
        <f t="shared" si="55"/>
        <v>1</v>
      </c>
      <c r="R291" s="1124">
        <f t="shared" si="56"/>
        <v>0</v>
      </c>
      <c r="S291" s="698">
        <f t="shared" si="57"/>
        <v>0</v>
      </c>
    </row>
    <row r="292" spans="1:19">
      <c r="A292" s="491"/>
      <c r="B292" s="348"/>
      <c r="C292" s="313">
        <f t="shared" si="48"/>
        <v>1</v>
      </c>
      <c r="D292" s="1128"/>
      <c r="E292" s="313">
        <f t="shared" si="49"/>
        <v>1</v>
      </c>
      <c r="F292" s="1128"/>
      <c r="G292" s="313">
        <f t="shared" si="50"/>
        <v>1</v>
      </c>
      <c r="H292" s="1128"/>
      <c r="I292" s="313">
        <f t="shared" si="51"/>
        <v>1</v>
      </c>
      <c r="J292" s="1128"/>
      <c r="K292" s="313">
        <f t="shared" si="52"/>
        <v>1</v>
      </c>
      <c r="L292" s="1128"/>
      <c r="M292" s="313">
        <f t="shared" si="53"/>
        <v>1</v>
      </c>
      <c r="N292" s="1128"/>
      <c r="O292" s="313">
        <f t="shared" si="54"/>
        <v>1</v>
      </c>
      <c r="P292" s="1128"/>
      <c r="Q292" s="313">
        <f t="shared" si="55"/>
        <v>1</v>
      </c>
      <c r="R292" s="1124">
        <f t="shared" si="56"/>
        <v>0</v>
      </c>
      <c r="S292" s="698">
        <f t="shared" si="57"/>
        <v>0</v>
      </c>
    </row>
    <row r="293" spans="1:19">
      <c r="A293" s="491"/>
      <c r="B293" s="348"/>
      <c r="C293" s="313">
        <f t="shared" si="48"/>
        <v>1</v>
      </c>
      <c r="D293" s="1128"/>
      <c r="E293" s="313">
        <f t="shared" si="49"/>
        <v>1</v>
      </c>
      <c r="F293" s="1128"/>
      <c r="G293" s="313">
        <f t="shared" si="50"/>
        <v>1</v>
      </c>
      <c r="H293" s="1128"/>
      <c r="I293" s="313">
        <f t="shared" si="51"/>
        <v>1</v>
      </c>
      <c r="J293" s="1128"/>
      <c r="K293" s="313">
        <f t="shared" si="52"/>
        <v>1</v>
      </c>
      <c r="L293" s="1128"/>
      <c r="M293" s="313">
        <f t="shared" si="53"/>
        <v>1</v>
      </c>
      <c r="N293" s="1128"/>
      <c r="O293" s="313">
        <f t="shared" si="54"/>
        <v>1</v>
      </c>
      <c r="P293" s="1128"/>
      <c r="Q293" s="313">
        <f t="shared" si="55"/>
        <v>1</v>
      </c>
      <c r="R293" s="1124">
        <f t="shared" si="56"/>
        <v>0</v>
      </c>
      <c r="S293" s="698">
        <f t="shared" si="57"/>
        <v>0</v>
      </c>
    </row>
    <row r="294" spans="1:19">
      <c r="A294" s="491"/>
      <c r="B294" s="348"/>
      <c r="C294" s="313">
        <f t="shared" si="48"/>
        <v>1</v>
      </c>
      <c r="D294" s="1128"/>
      <c r="E294" s="313">
        <f t="shared" si="49"/>
        <v>1</v>
      </c>
      <c r="F294" s="1128"/>
      <c r="G294" s="313">
        <f t="shared" si="50"/>
        <v>1</v>
      </c>
      <c r="H294" s="1128"/>
      <c r="I294" s="313">
        <f t="shared" si="51"/>
        <v>1</v>
      </c>
      <c r="J294" s="1128"/>
      <c r="K294" s="313">
        <f t="shared" si="52"/>
        <v>1</v>
      </c>
      <c r="L294" s="1128"/>
      <c r="M294" s="313">
        <f t="shared" si="53"/>
        <v>1</v>
      </c>
      <c r="N294" s="1128"/>
      <c r="O294" s="313">
        <f t="shared" si="54"/>
        <v>1</v>
      </c>
      <c r="P294" s="1128"/>
      <c r="Q294" s="313">
        <f t="shared" si="55"/>
        <v>1</v>
      </c>
      <c r="R294" s="1124">
        <f t="shared" si="56"/>
        <v>0</v>
      </c>
      <c r="S294" s="698">
        <f t="shared" si="57"/>
        <v>0</v>
      </c>
    </row>
    <row r="295" spans="1:19">
      <c r="A295" s="491"/>
      <c r="B295" s="348"/>
      <c r="C295" s="313">
        <f t="shared" si="48"/>
        <v>1</v>
      </c>
      <c r="D295" s="1128"/>
      <c r="E295" s="313">
        <f t="shared" si="49"/>
        <v>1</v>
      </c>
      <c r="F295" s="1128"/>
      <c r="G295" s="313">
        <f t="shared" si="50"/>
        <v>1</v>
      </c>
      <c r="H295" s="1128"/>
      <c r="I295" s="313">
        <f t="shared" si="51"/>
        <v>1</v>
      </c>
      <c r="J295" s="1128"/>
      <c r="K295" s="313">
        <f t="shared" si="52"/>
        <v>1</v>
      </c>
      <c r="L295" s="1128"/>
      <c r="M295" s="313">
        <f t="shared" si="53"/>
        <v>1</v>
      </c>
      <c r="N295" s="1128"/>
      <c r="O295" s="313">
        <f t="shared" si="54"/>
        <v>1</v>
      </c>
      <c r="P295" s="1128"/>
      <c r="Q295" s="313">
        <f t="shared" si="55"/>
        <v>1</v>
      </c>
      <c r="R295" s="1124">
        <f t="shared" si="56"/>
        <v>0</v>
      </c>
      <c r="S295" s="698">
        <f t="shared" si="57"/>
        <v>0</v>
      </c>
    </row>
    <row r="296" spans="1:19">
      <c r="A296" s="491"/>
      <c r="B296" s="348"/>
      <c r="C296" s="313">
        <f t="shared" si="48"/>
        <v>1</v>
      </c>
      <c r="D296" s="1128"/>
      <c r="E296" s="313">
        <f t="shared" si="49"/>
        <v>1</v>
      </c>
      <c r="F296" s="1128"/>
      <c r="G296" s="313">
        <f t="shared" si="50"/>
        <v>1</v>
      </c>
      <c r="H296" s="1128"/>
      <c r="I296" s="313">
        <f t="shared" si="51"/>
        <v>1</v>
      </c>
      <c r="J296" s="1128"/>
      <c r="K296" s="313">
        <f t="shared" si="52"/>
        <v>1</v>
      </c>
      <c r="L296" s="1128"/>
      <c r="M296" s="313">
        <f t="shared" si="53"/>
        <v>1</v>
      </c>
      <c r="N296" s="1128"/>
      <c r="O296" s="313">
        <f t="shared" si="54"/>
        <v>1</v>
      </c>
      <c r="P296" s="1128"/>
      <c r="Q296" s="313">
        <f t="shared" si="55"/>
        <v>1</v>
      </c>
      <c r="R296" s="1124">
        <f t="shared" si="56"/>
        <v>0</v>
      </c>
      <c r="S296" s="698">
        <f t="shared" si="57"/>
        <v>0</v>
      </c>
    </row>
    <row r="297" spans="1:19">
      <c r="A297" s="491"/>
      <c r="B297" s="348"/>
      <c r="C297" s="313">
        <f t="shared" si="48"/>
        <v>1</v>
      </c>
      <c r="D297" s="1128"/>
      <c r="E297" s="313">
        <f t="shared" si="49"/>
        <v>1</v>
      </c>
      <c r="F297" s="1128"/>
      <c r="G297" s="313">
        <f t="shared" si="50"/>
        <v>1</v>
      </c>
      <c r="H297" s="1128"/>
      <c r="I297" s="313">
        <f t="shared" si="51"/>
        <v>1</v>
      </c>
      <c r="J297" s="1128"/>
      <c r="K297" s="313">
        <f t="shared" si="52"/>
        <v>1</v>
      </c>
      <c r="L297" s="1128"/>
      <c r="M297" s="313">
        <f t="shared" si="53"/>
        <v>1</v>
      </c>
      <c r="N297" s="1128"/>
      <c r="O297" s="313">
        <f t="shared" si="54"/>
        <v>1</v>
      </c>
      <c r="P297" s="1128"/>
      <c r="Q297" s="313">
        <f t="shared" si="55"/>
        <v>1</v>
      </c>
      <c r="R297" s="1124">
        <f t="shared" si="56"/>
        <v>0</v>
      </c>
      <c r="S297" s="698">
        <f t="shared" si="57"/>
        <v>0</v>
      </c>
    </row>
    <row r="298" spans="1:19">
      <c r="A298" s="491"/>
      <c r="B298" s="348"/>
      <c r="C298" s="313">
        <f t="shared" si="48"/>
        <v>1</v>
      </c>
      <c r="D298" s="1128"/>
      <c r="E298" s="313">
        <f t="shared" si="49"/>
        <v>1</v>
      </c>
      <c r="F298" s="1128"/>
      <c r="G298" s="313">
        <f t="shared" si="50"/>
        <v>1</v>
      </c>
      <c r="H298" s="1128"/>
      <c r="I298" s="313">
        <f t="shared" si="51"/>
        <v>1</v>
      </c>
      <c r="J298" s="1128"/>
      <c r="K298" s="313">
        <f t="shared" si="52"/>
        <v>1</v>
      </c>
      <c r="L298" s="1128"/>
      <c r="M298" s="313">
        <f t="shared" si="53"/>
        <v>1</v>
      </c>
      <c r="N298" s="1128"/>
      <c r="O298" s="313">
        <f t="shared" si="54"/>
        <v>1</v>
      </c>
      <c r="P298" s="1128"/>
      <c r="Q298" s="313">
        <f t="shared" si="55"/>
        <v>1</v>
      </c>
      <c r="R298" s="1124">
        <f t="shared" si="56"/>
        <v>0</v>
      </c>
      <c r="S298" s="698">
        <f t="shared" si="57"/>
        <v>0</v>
      </c>
    </row>
    <row r="299" spans="1:19">
      <c r="A299" s="491"/>
      <c r="B299" s="348"/>
      <c r="C299" s="313">
        <f t="shared" si="48"/>
        <v>1</v>
      </c>
      <c r="D299" s="1128"/>
      <c r="E299" s="313">
        <f t="shared" si="49"/>
        <v>1</v>
      </c>
      <c r="F299" s="1128"/>
      <c r="G299" s="313">
        <f t="shared" si="50"/>
        <v>1</v>
      </c>
      <c r="H299" s="1128"/>
      <c r="I299" s="313">
        <f t="shared" si="51"/>
        <v>1</v>
      </c>
      <c r="J299" s="1128"/>
      <c r="K299" s="313">
        <f t="shared" si="52"/>
        <v>1</v>
      </c>
      <c r="L299" s="1128"/>
      <c r="M299" s="313">
        <f t="shared" si="53"/>
        <v>1</v>
      </c>
      <c r="N299" s="1128"/>
      <c r="O299" s="313">
        <f t="shared" si="54"/>
        <v>1</v>
      </c>
      <c r="P299" s="1128"/>
      <c r="Q299" s="313">
        <f t="shared" si="55"/>
        <v>1</v>
      </c>
      <c r="R299" s="1124">
        <f t="shared" si="56"/>
        <v>0</v>
      </c>
      <c r="S299" s="698">
        <f t="shared" si="57"/>
        <v>0</v>
      </c>
    </row>
    <row r="300" spans="1:19">
      <c r="A300" s="491"/>
      <c r="B300" s="348"/>
      <c r="C300" s="313">
        <f t="shared" si="48"/>
        <v>1</v>
      </c>
      <c r="D300" s="1128"/>
      <c r="E300" s="313">
        <f t="shared" si="49"/>
        <v>1</v>
      </c>
      <c r="F300" s="1128"/>
      <c r="G300" s="313">
        <f t="shared" si="50"/>
        <v>1</v>
      </c>
      <c r="H300" s="1128"/>
      <c r="I300" s="313">
        <f t="shared" si="51"/>
        <v>1</v>
      </c>
      <c r="J300" s="1128"/>
      <c r="K300" s="313">
        <f t="shared" si="52"/>
        <v>1</v>
      </c>
      <c r="L300" s="1128"/>
      <c r="M300" s="313">
        <f t="shared" si="53"/>
        <v>1</v>
      </c>
      <c r="N300" s="1128"/>
      <c r="O300" s="313">
        <f t="shared" si="54"/>
        <v>1</v>
      </c>
      <c r="P300" s="1128"/>
      <c r="Q300" s="313">
        <f t="shared" si="55"/>
        <v>1</v>
      </c>
      <c r="R300" s="1124">
        <f t="shared" si="56"/>
        <v>0</v>
      </c>
      <c r="S300" s="698">
        <f t="shared" si="57"/>
        <v>0</v>
      </c>
    </row>
    <row r="301" spans="1:19">
      <c r="A301" s="491"/>
      <c r="B301" s="348"/>
      <c r="C301" s="313">
        <f t="shared" si="48"/>
        <v>1</v>
      </c>
      <c r="D301" s="1128"/>
      <c r="E301" s="313">
        <f t="shared" si="49"/>
        <v>1</v>
      </c>
      <c r="F301" s="1128"/>
      <c r="G301" s="313">
        <f t="shared" si="50"/>
        <v>1</v>
      </c>
      <c r="H301" s="1128"/>
      <c r="I301" s="313">
        <f t="shared" si="51"/>
        <v>1</v>
      </c>
      <c r="J301" s="1128"/>
      <c r="K301" s="313">
        <f t="shared" si="52"/>
        <v>1</v>
      </c>
      <c r="L301" s="1128"/>
      <c r="M301" s="313">
        <f t="shared" si="53"/>
        <v>1</v>
      </c>
      <c r="N301" s="1128"/>
      <c r="O301" s="313">
        <f t="shared" si="54"/>
        <v>1</v>
      </c>
      <c r="P301" s="1128"/>
      <c r="Q301" s="313">
        <f t="shared" si="55"/>
        <v>1</v>
      </c>
      <c r="R301" s="1124">
        <f t="shared" si="56"/>
        <v>0</v>
      </c>
      <c r="S301" s="698">
        <f t="shared" si="57"/>
        <v>0</v>
      </c>
    </row>
    <row r="302" spans="1:19">
      <c r="A302" s="491"/>
      <c r="B302" s="348"/>
      <c r="C302" s="313">
        <f t="shared" si="48"/>
        <v>1</v>
      </c>
      <c r="D302" s="1128"/>
      <c r="E302" s="313">
        <f t="shared" si="49"/>
        <v>1</v>
      </c>
      <c r="F302" s="1128"/>
      <c r="G302" s="313">
        <f t="shared" si="50"/>
        <v>1</v>
      </c>
      <c r="H302" s="1128"/>
      <c r="I302" s="313">
        <f t="shared" si="51"/>
        <v>1</v>
      </c>
      <c r="J302" s="1128"/>
      <c r="K302" s="313">
        <f t="shared" si="52"/>
        <v>1</v>
      </c>
      <c r="L302" s="1128"/>
      <c r="M302" s="313">
        <f t="shared" si="53"/>
        <v>1</v>
      </c>
      <c r="N302" s="1128"/>
      <c r="O302" s="313">
        <f t="shared" si="54"/>
        <v>1</v>
      </c>
      <c r="P302" s="1128"/>
      <c r="Q302" s="313">
        <f t="shared" si="55"/>
        <v>1</v>
      </c>
      <c r="R302" s="1124">
        <f t="shared" si="56"/>
        <v>0</v>
      </c>
      <c r="S302" s="698">
        <f t="shared" si="57"/>
        <v>0</v>
      </c>
    </row>
    <row r="303" spans="1:19">
      <c r="A303" s="491"/>
      <c r="B303" s="348"/>
      <c r="C303" s="313">
        <f t="shared" si="48"/>
        <v>1</v>
      </c>
      <c r="D303" s="1128"/>
      <c r="E303" s="313">
        <f t="shared" si="49"/>
        <v>1</v>
      </c>
      <c r="F303" s="1128"/>
      <c r="G303" s="313">
        <f t="shared" si="50"/>
        <v>1</v>
      </c>
      <c r="H303" s="1128"/>
      <c r="I303" s="313">
        <f t="shared" si="51"/>
        <v>1</v>
      </c>
      <c r="J303" s="1128"/>
      <c r="K303" s="313">
        <f t="shared" si="52"/>
        <v>1</v>
      </c>
      <c r="L303" s="1128"/>
      <c r="M303" s="313">
        <f t="shared" si="53"/>
        <v>1</v>
      </c>
      <c r="N303" s="1128"/>
      <c r="O303" s="313">
        <f t="shared" si="54"/>
        <v>1</v>
      </c>
      <c r="P303" s="1128"/>
      <c r="Q303" s="313">
        <f t="shared" si="55"/>
        <v>1</v>
      </c>
      <c r="R303" s="1124">
        <f t="shared" si="56"/>
        <v>0</v>
      </c>
      <c r="S303" s="698">
        <f t="shared" si="57"/>
        <v>0</v>
      </c>
    </row>
    <row r="304" spans="1:19">
      <c r="A304" s="491"/>
      <c r="B304" s="348"/>
      <c r="C304" s="313">
        <f t="shared" si="48"/>
        <v>1</v>
      </c>
      <c r="D304" s="1128"/>
      <c r="E304" s="313">
        <f t="shared" si="49"/>
        <v>1</v>
      </c>
      <c r="F304" s="1128"/>
      <c r="G304" s="313">
        <f t="shared" si="50"/>
        <v>1</v>
      </c>
      <c r="H304" s="1128"/>
      <c r="I304" s="313">
        <f t="shared" si="51"/>
        <v>1</v>
      </c>
      <c r="J304" s="1128"/>
      <c r="K304" s="313">
        <f t="shared" si="52"/>
        <v>1</v>
      </c>
      <c r="L304" s="1128"/>
      <c r="M304" s="313">
        <f t="shared" si="53"/>
        <v>1</v>
      </c>
      <c r="N304" s="1128"/>
      <c r="O304" s="313">
        <f t="shared" si="54"/>
        <v>1</v>
      </c>
      <c r="P304" s="1128"/>
      <c r="Q304" s="313">
        <f t="shared" si="55"/>
        <v>1</v>
      </c>
      <c r="R304" s="1124">
        <f t="shared" si="56"/>
        <v>0</v>
      </c>
      <c r="S304" s="698">
        <f t="shared" si="57"/>
        <v>0</v>
      </c>
    </row>
    <row r="305" spans="1:19">
      <c r="A305" s="491"/>
      <c r="B305" s="348"/>
      <c r="C305" s="313">
        <f t="shared" si="48"/>
        <v>1</v>
      </c>
      <c r="D305" s="1128"/>
      <c r="E305" s="313">
        <f t="shared" si="49"/>
        <v>1</v>
      </c>
      <c r="F305" s="1128"/>
      <c r="G305" s="313">
        <f t="shared" si="50"/>
        <v>1</v>
      </c>
      <c r="H305" s="1128"/>
      <c r="I305" s="313">
        <f t="shared" si="51"/>
        <v>1</v>
      </c>
      <c r="J305" s="1128"/>
      <c r="K305" s="313">
        <f t="shared" si="52"/>
        <v>1</v>
      </c>
      <c r="L305" s="1128"/>
      <c r="M305" s="313">
        <f t="shared" si="53"/>
        <v>1</v>
      </c>
      <c r="N305" s="1128"/>
      <c r="O305" s="313">
        <f t="shared" si="54"/>
        <v>1</v>
      </c>
      <c r="P305" s="1128"/>
      <c r="Q305" s="313">
        <f t="shared" si="55"/>
        <v>1</v>
      </c>
      <c r="R305" s="1124">
        <f t="shared" si="56"/>
        <v>0</v>
      </c>
      <c r="S305" s="698">
        <f t="shared" si="57"/>
        <v>0</v>
      </c>
    </row>
    <row r="306" spans="1:19">
      <c r="A306" s="491"/>
      <c r="B306" s="348"/>
      <c r="C306" s="313">
        <f t="shared" si="48"/>
        <v>1</v>
      </c>
      <c r="D306" s="1128"/>
      <c r="E306" s="313">
        <f t="shared" si="49"/>
        <v>1</v>
      </c>
      <c r="F306" s="1128"/>
      <c r="G306" s="313">
        <f t="shared" si="50"/>
        <v>1</v>
      </c>
      <c r="H306" s="1128"/>
      <c r="I306" s="313">
        <f t="shared" si="51"/>
        <v>1</v>
      </c>
      <c r="J306" s="1128"/>
      <c r="K306" s="313">
        <f t="shared" si="52"/>
        <v>1</v>
      </c>
      <c r="L306" s="1128"/>
      <c r="M306" s="313">
        <f t="shared" si="53"/>
        <v>1</v>
      </c>
      <c r="N306" s="1128"/>
      <c r="O306" s="313">
        <f t="shared" si="54"/>
        <v>1</v>
      </c>
      <c r="P306" s="1128"/>
      <c r="Q306" s="313">
        <f t="shared" si="55"/>
        <v>1</v>
      </c>
      <c r="R306" s="1124">
        <f t="shared" si="56"/>
        <v>0</v>
      </c>
      <c r="S306" s="698">
        <f t="shared" si="57"/>
        <v>0</v>
      </c>
    </row>
    <row r="307" spans="1:19">
      <c r="A307" s="491"/>
      <c r="B307" s="348"/>
      <c r="C307" s="313">
        <f t="shared" si="48"/>
        <v>1</v>
      </c>
      <c r="D307" s="1128"/>
      <c r="E307" s="313">
        <f t="shared" si="49"/>
        <v>1</v>
      </c>
      <c r="F307" s="1128"/>
      <c r="G307" s="313">
        <f t="shared" si="50"/>
        <v>1</v>
      </c>
      <c r="H307" s="1128"/>
      <c r="I307" s="313">
        <f t="shared" si="51"/>
        <v>1</v>
      </c>
      <c r="J307" s="1128"/>
      <c r="K307" s="313">
        <f t="shared" si="52"/>
        <v>1</v>
      </c>
      <c r="L307" s="1128"/>
      <c r="M307" s="313">
        <f t="shared" si="53"/>
        <v>1</v>
      </c>
      <c r="N307" s="1128"/>
      <c r="O307" s="313">
        <f t="shared" si="54"/>
        <v>1</v>
      </c>
      <c r="P307" s="1128"/>
      <c r="Q307" s="313">
        <f t="shared" si="55"/>
        <v>1</v>
      </c>
      <c r="R307" s="1124">
        <f t="shared" si="56"/>
        <v>0</v>
      </c>
      <c r="S307" s="698">
        <f t="shared" si="57"/>
        <v>0</v>
      </c>
    </row>
    <row r="308" spans="1:19">
      <c r="A308" s="491"/>
      <c r="B308" s="348"/>
      <c r="C308" s="313">
        <f t="shared" si="48"/>
        <v>1</v>
      </c>
      <c r="D308" s="1128"/>
      <c r="E308" s="313">
        <f t="shared" si="49"/>
        <v>1</v>
      </c>
      <c r="F308" s="1128"/>
      <c r="G308" s="313">
        <f t="shared" si="50"/>
        <v>1</v>
      </c>
      <c r="H308" s="1128"/>
      <c r="I308" s="313">
        <f t="shared" si="51"/>
        <v>1</v>
      </c>
      <c r="J308" s="1128"/>
      <c r="K308" s="313">
        <f t="shared" si="52"/>
        <v>1</v>
      </c>
      <c r="L308" s="1128"/>
      <c r="M308" s="313">
        <f t="shared" si="53"/>
        <v>1</v>
      </c>
      <c r="N308" s="1128"/>
      <c r="O308" s="313">
        <f t="shared" si="54"/>
        <v>1</v>
      </c>
      <c r="P308" s="1128"/>
      <c r="Q308" s="313">
        <f t="shared" si="55"/>
        <v>1</v>
      </c>
      <c r="R308" s="1124">
        <f t="shared" si="56"/>
        <v>0</v>
      </c>
      <c r="S308" s="698">
        <f t="shared" si="57"/>
        <v>0</v>
      </c>
    </row>
    <row r="309" spans="1:19">
      <c r="A309" s="491"/>
      <c r="B309" s="348"/>
      <c r="C309" s="313">
        <f t="shared" si="48"/>
        <v>1</v>
      </c>
      <c r="D309" s="1128"/>
      <c r="E309" s="313">
        <f t="shared" si="49"/>
        <v>1</v>
      </c>
      <c r="F309" s="1128"/>
      <c r="G309" s="313">
        <f t="shared" si="50"/>
        <v>1</v>
      </c>
      <c r="H309" s="1128"/>
      <c r="I309" s="313">
        <f t="shared" si="51"/>
        <v>1</v>
      </c>
      <c r="J309" s="1128"/>
      <c r="K309" s="313">
        <f t="shared" si="52"/>
        <v>1</v>
      </c>
      <c r="L309" s="1128"/>
      <c r="M309" s="313">
        <f t="shared" si="53"/>
        <v>1</v>
      </c>
      <c r="N309" s="1128"/>
      <c r="O309" s="313">
        <f t="shared" si="54"/>
        <v>1</v>
      </c>
      <c r="P309" s="1128"/>
      <c r="Q309" s="313">
        <f t="shared" si="55"/>
        <v>1</v>
      </c>
      <c r="R309" s="1124">
        <f t="shared" si="56"/>
        <v>0</v>
      </c>
      <c r="S309" s="698">
        <f t="shared" si="57"/>
        <v>0</v>
      </c>
    </row>
    <row r="310" spans="1:19">
      <c r="A310" s="491"/>
      <c r="B310" s="348"/>
      <c r="C310" s="313">
        <f t="shared" si="48"/>
        <v>1</v>
      </c>
      <c r="D310" s="1128"/>
      <c r="E310" s="313">
        <f t="shared" si="49"/>
        <v>1</v>
      </c>
      <c r="F310" s="1128"/>
      <c r="G310" s="313">
        <f t="shared" si="50"/>
        <v>1</v>
      </c>
      <c r="H310" s="1128"/>
      <c r="I310" s="313">
        <f t="shared" si="51"/>
        <v>1</v>
      </c>
      <c r="J310" s="1128"/>
      <c r="K310" s="313">
        <f t="shared" si="52"/>
        <v>1</v>
      </c>
      <c r="L310" s="1128"/>
      <c r="M310" s="313">
        <f t="shared" si="53"/>
        <v>1</v>
      </c>
      <c r="N310" s="1128"/>
      <c r="O310" s="313">
        <f t="shared" si="54"/>
        <v>1</v>
      </c>
      <c r="P310" s="1128"/>
      <c r="Q310" s="313">
        <f t="shared" si="55"/>
        <v>1</v>
      </c>
      <c r="R310" s="1124">
        <f t="shared" si="56"/>
        <v>0</v>
      </c>
      <c r="S310" s="698">
        <f t="shared" si="57"/>
        <v>0</v>
      </c>
    </row>
    <row r="311" spans="1:19">
      <c r="A311" s="491"/>
      <c r="B311" s="348"/>
      <c r="C311" s="313">
        <f t="shared" si="48"/>
        <v>1</v>
      </c>
      <c r="D311" s="1128"/>
      <c r="E311" s="313">
        <f t="shared" si="49"/>
        <v>1</v>
      </c>
      <c r="F311" s="1128"/>
      <c r="G311" s="313">
        <f t="shared" si="50"/>
        <v>1</v>
      </c>
      <c r="H311" s="1128"/>
      <c r="I311" s="313">
        <f t="shared" si="51"/>
        <v>1</v>
      </c>
      <c r="J311" s="1128"/>
      <c r="K311" s="313">
        <f t="shared" si="52"/>
        <v>1</v>
      </c>
      <c r="L311" s="1128"/>
      <c r="M311" s="313">
        <f t="shared" si="53"/>
        <v>1</v>
      </c>
      <c r="N311" s="1128"/>
      <c r="O311" s="313">
        <f t="shared" si="54"/>
        <v>1</v>
      </c>
      <c r="P311" s="1128"/>
      <c r="Q311" s="313">
        <f t="shared" si="55"/>
        <v>1</v>
      </c>
      <c r="R311" s="1124">
        <f t="shared" si="56"/>
        <v>0</v>
      </c>
      <c r="S311" s="698">
        <f t="shared" si="57"/>
        <v>0</v>
      </c>
    </row>
    <row r="312" spans="1:19">
      <c r="A312" s="491"/>
      <c r="B312" s="348"/>
      <c r="C312" s="313">
        <f t="shared" si="48"/>
        <v>1</v>
      </c>
      <c r="D312" s="1128"/>
      <c r="E312" s="313">
        <f t="shared" si="49"/>
        <v>1</v>
      </c>
      <c r="F312" s="1128"/>
      <c r="G312" s="313">
        <f t="shared" si="50"/>
        <v>1</v>
      </c>
      <c r="H312" s="1128"/>
      <c r="I312" s="313">
        <f t="shared" si="51"/>
        <v>1</v>
      </c>
      <c r="J312" s="1128"/>
      <c r="K312" s="313">
        <f t="shared" si="52"/>
        <v>1</v>
      </c>
      <c r="L312" s="1128"/>
      <c r="M312" s="313">
        <f t="shared" si="53"/>
        <v>1</v>
      </c>
      <c r="N312" s="1128"/>
      <c r="O312" s="313">
        <f t="shared" si="54"/>
        <v>1</v>
      </c>
      <c r="P312" s="1128"/>
      <c r="Q312" s="313">
        <f t="shared" si="55"/>
        <v>1</v>
      </c>
      <c r="R312" s="1124">
        <f t="shared" si="56"/>
        <v>0</v>
      </c>
      <c r="S312" s="698">
        <f t="shared" si="57"/>
        <v>0</v>
      </c>
    </row>
    <row r="313" spans="1:19">
      <c r="A313" s="491"/>
      <c r="B313" s="348"/>
      <c r="C313" s="313">
        <f t="shared" si="48"/>
        <v>1</v>
      </c>
      <c r="D313" s="1128"/>
      <c r="E313" s="313">
        <f t="shared" si="49"/>
        <v>1</v>
      </c>
      <c r="F313" s="1128"/>
      <c r="G313" s="313">
        <f t="shared" si="50"/>
        <v>1</v>
      </c>
      <c r="H313" s="1128"/>
      <c r="I313" s="313">
        <f t="shared" si="51"/>
        <v>1</v>
      </c>
      <c r="J313" s="1128"/>
      <c r="K313" s="313">
        <f t="shared" si="52"/>
        <v>1</v>
      </c>
      <c r="L313" s="1128"/>
      <c r="M313" s="313">
        <f t="shared" si="53"/>
        <v>1</v>
      </c>
      <c r="N313" s="1128"/>
      <c r="O313" s="313">
        <f t="shared" si="54"/>
        <v>1</v>
      </c>
      <c r="P313" s="1128"/>
      <c r="Q313" s="313">
        <f t="shared" si="55"/>
        <v>1</v>
      </c>
      <c r="R313" s="1124">
        <f t="shared" si="56"/>
        <v>0</v>
      </c>
      <c r="S313" s="698">
        <f t="shared" si="57"/>
        <v>0</v>
      </c>
    </row>
    <row r="314" spans="1:19">
      <c r="A314" s="491"/>
      <c r="B314" s="348"/>
      <c r="C314" s="313">
        <f t="shared" si="48"/>
        <v>1</v>
      </c>
      <c r="D314" s="1128"/>
      <c r="E314" s="313">
        <f t="shared" si="49"/>
        <v>1</v>
      </c>
      <c r="F314" s="1128"/>
      <c r="G314" s="313">
        <f t="shared" si="50"/>
        <v>1</v>
      </c>
      <c r="H314" s="1128"/>
      <c r="I314" s="313">
        <f t="shared" si="51"/>
        <v>1</v>
      </c>
      <c r="J314" s="1128"/>
      <c r="K314" s="313">
        <f t="shared" si="52"/>
        <v>1</v>
      </c>
      <c r="L314" s="1128"/>
      <c r="M314" s="313">
        <f t="shared" si="53"/>
        <v>1</v>
      </c>
      <c r="N314" s="1128"/>
      <c r="O314" s="313">
        <f t="shared" si="54"/>
        <v>1</v>
      </c>
      <c r="P314" s="1128"/>
      <c r="Q314" s="313">
        <f t="shared" si="55"/>
        <v>1</v>
      </c>
      <c r="R314" s="1124">
        <f t="shared" si="56"/>
        <v>0</v>
      </c>
      <c r="S314" s="698">
        <f t="shared" si="57"/>
        <v>0</v>
      </c>
    </row>
    <row r="315" spans="1:19">
      <c r="A315" s="491"/>
      <c r="B315" s="348"/>
      <c r="C315" s="313">
        <f t="shared" si="48"/>
        <v>1</v>
      </c>
      <c r="D315" s="1128"/>
      <c r="E315" s="313">
        <f t="shared" si="49"/>
        <v>1</v>
      </c>
      <c r="F315" s="1128"/>
      <c r="G315" s="313">
        <f t="shared" si="50"/>
        <v>1</v>
      </c>
      <c r="H315" s="1128"/>
      <c r="I315" s="313">
        <f t="shared" si="51"/>
        <v>1</v>
      </c>
      <c r="J315" s="1128"/>
      <c r="K315" s="313">
        <f t="shared" si="52"/>
        <v>1</v>
      </c>
      <c r="L315" s="1128"/>
      <c r="M315" s="313">
        <f t="shared" si="53"/>
        <v>1</v>
      </c>
      <c r="N315" s="1128"/>
      <c r="O315" s="313">
        <f t="shared" si="54"/>
        <v>1</v>
      </c>
      <c r="P315" s="1128"/>
      <c r="Q315" s="313">
        <f t="shared" si="55"/>
        <v>1</v>
      </c>
      <c r="R315" s="1124">
        <f t="shared" si="56"/>
        <v>0</v>
      </c>
      <c r="S315" s="698">
        <f t="shared" si="57"/>
        <v>0</v>
      </c>
    </row>
    <row r="316" spans="1:19">
      <c r="A316" s="491"/>
      <c r="B316" s="348"/>
      <c r="C316" s="313">
        <f t="shared" si="48"/>
        <v>1</v>
      </c>
      <c r="D316" s="1128"/>
      <c r="E316" s="313">
        <f t="shared" si="49"/>
        <v>1</v>
      </c>
      <c r="F316" s="1128"/>
      <c r="G316" s="313">
        <f t="shared" si="50"/>
        <v>1</v>
      </c>
      <c r="H316" s="1128"/>
      <c r="I316" s="313">
        <f t="shared" si="51"/>
        <v>1</v>
      </c>
      <c r="J316" s="1128"/>
      <c r="K316" s="313">
        <f t="shared" si="52"/>
        <v>1</v>
      </c>
      <c r="L316" s="1128"/>
      <c r="M316" s="313">
        <f t="shared" si="53"/>
        <v>1</v>
      </c>
      <c r="N316" s="1128"/>
      <c r="O316" s="313">
        <f t="shared" si="54"/>
        <v>1</v>
      </c>
      <c r="P316" s="1128"/>
      <c r="Q316" s="313">
        <f t="shared" si="55"/>
        <v>1</v>
      </c>
      <c r="R316" s="1124">
        <f t="shared" si="56"/>
        <v>0</v>
      </c>
      <c r="S316" s="698">
        <f t="shared" si="57"/>
        <v>0</v>
      </c>
    </row>
    <row r="317" spans="1:19">
      <c r="A317" s="491"/>
      <c r="B317" s="348"/>
      <c r="C317" s="313">
        <f t="shared" si="48"/>
        <v>1</v>
      </c>
      <c r="D317" s="1128"/>
      <c r="E317" s="313">
        <f t="shared" si="49"/>
        <v>1</v>
      </c>
      <c r="F317" s="1128"/>
      <c r="G317" s="313">
        <f t="shared" si="50"/>
        <v>1</v>
      </c>
      <c r="H317" s="1128"/>
      <c r="I317" s="313">
        <f t="shared" si="51"/>
        <v>1</v>
      </c>
      <c r="J317" s="1128"/>
      <c r="K317" s="313">
        <f t="shared" si="52"/>
        <v>1</v>
      </c>
      <c r="L317" s="1128"/>
      <c r="M317" s="313">
        <f t="shared" si="53"/>
        <v>1</v>
      </c>
      <c r="N317" s="1128"/>
      <c r="O317" s="313">
        <f t="shared" si="54"/>
        <v>1</v>
      </c>
      <c r="P317" s="1128"/>
      <c r="Q317" s="313">
        <f t="shared" si="55"/>
        <v>1</v>
      </c>
      <c r="R317" s="1124">
        <f t="shared" si="56"/>
        <v>0</v>
      </c>
      <c r="S317" s="698">
        <f t="shared" si="57"/>
        <v>0</v>
      </c>
    </row>
    <row r="318" spans="1:19">
      <c r="A318" s="491"/>
      <c r="B318" s="348"/>
      <c r="C318" s="313">
        <f t="shared" si="48"/>
        <v>1</v>
      </c>
      <c r="D318" s="1128"/>
      <c r="E318" s="313">
        <f t="shared" si="49"/>
        <v>1</v>
      </c>
      <c r="F318" s="1128"/>
      <c r="G318" s="313">
        <f t="shared" si="50"/>
        <v>1</v>
      </c>
      <c r="H318" s="1128"/>
      <c r="I318" s="313">
        <f t="shared" si="51"/>
        <v>1</v>
      </c>
      <c r="J318" s="1128"/>
      <c r="K318" s="313">
        <f t="shared" si="52"/>
        <v>1</v>
      </c>
      <c r="L318" s="1128"/>
      <c r="M318" s="313">
        <f t="shared" si="53"/>
        <v>1</v>
      </c>
      <c r="N318" s="1128"/>
      <c r="O318" s="313">
        <f t="shared" si="54"/>
        <v>1</v>
      </c>
      <c r="P318" s="1128"/>
      <c r="Q318" s="313">
        <f t="shared" si="55"/>
        <v>1</v>
      </c>
      <c r="R318" s="1124">
        <f t="shared" si="56"/>
        <v>0</v>
      </c>
      <c r="S318" s="698">
        <f t="shared" si="57"/>
        <v>0</v>
      </c>
    </row>
    <row r="319" spans="1:19">
      <c r="A319" s="491"/>
      <c r="B319" s="348"/>
      <c r="C319" s="313">
        <f t="shared" si="48"/>
        <v>1</v>
      </c>
      <c r="D319" s="1128"/>
      <c r="E319" s="313">
        <f t="shared" si="49"/>
        <v>1</v>
      </c>
      <c r="F319" s="1128"/>
      <c r="G319" s="313">
        <f t="shared" si="50"/>
        <v>1</v>
      </c>
      <c r="H319" s="1128"/>
      <c r="I319" s="313">
        <f t="shared" si="51"/>
        <v>1</v>
      </c>
      <c r="J319" s="1128"/>
      <c r="K319" s="313">
        <f t="shared" si="52"/>
        <v>1</v>
      </c>
      <c r="L319" s="1128"/>
      <c r="M319" s="313">
        <f t="shared" si="53"/>
        <v>1</v>
      </c>
      <c r="N319" s="1128"/>
      <c r="O319" s="313">
        <f t="shared" si="54"/>
        <v>1</v>
      </c>
      <c r="P319" s="1128"/>
      <c r="Q319" s="313">
        <f t="shared" si="55"/>
        <v>1</v>
      </c>
      <c r="R319" s="1124">
        <f t="shared" si="56"/>
        <v>0</v>
      </c>
      <c r="S319" s="698">
        <f t="shared" si="57"/>
        <v>0</v>
      </c>
    </row>
    <row r="320" spans="1:19">
      <c r="A320" s="491"/>
      <c r="B320" s="348"/>
      <c r="C320" s="313">
        <f t="shared" si="48"/>
        <v>1</v>
      </c>
      <c r="D320" s="1128"/>
      <c r="E320" s="313">
        <f t="shared" si="49"/>
        <v>1</v>
      </c>
      <c r="F320" s="1128"/>
      <c r="G320" s="313">
        <f t="shared" si="50"/>
        <v>1</v>
      </c>
      <c r="H320" s="1128"/>
      <c r="I320" s="313">
        <f t="shared" si="51"/>
        <v>1</v>
      </c>
      <c r="J320" s="1128"/>
      <c r="K320" s="313">
        <f t="shared" si="52"/>
        <v>1</v>
      </c>
      <c r="L320" s="1128"/>
      <c r="M320" s="313">
        <f t="shared" si="53"/>
        <v>1</v>
      </c>
      <c r="N320" s="1128"/>
      <c r="O320" s="313">
        <f t="shared" si="54"/>
        <v>1</v>
      </c>
      <c r="P320" s="1128"/>
      <c r="Q320" s="313">
        <f t="shared" si="55"/>
        <v>1</v>
      </c>
      <c r="R320" s="1124">
        <f t="shared" si="56"/>
        <v>0</v>
      </c>
      <c r="S320" s="698">
        <f t="shared" si="57"/>
        <v>0</v>
      </c>
    </row>
    <row r="321" spans="1:19">
      <c r="A321" s="491"/>
      <c r="B321" s="348"/>
      <c r="C321" s="313">
        <f t="shared" si="48"/>
        <v>1</v>
      </c>
      <c r="D321" s="1128"/>
      <c r="E321" s="313">
        <f t="shared" si="49"/>
        <v>1</v>
      </c>
      <c r="F321" s="1128"/>
      <c r="G321" s="313">
        <f t="shared" si="50"/>
        <v>1</v>
      </c>
      <c r="H321" s="1128"/>
      <c r="I321" s="313">
        <f t="shared" si="51"/>
        <v>1</v>
      </c>
      <c r="J321" s="1128"/>
      <c r="K321" s="313">
        <f t="shared" si="52"/>
        <v>1</v>
      </c>
      <c r="L321" s="1128"/>
      <c r="M321" s="313">
        <f t="shared" si="53"/>
        <v>1</v>
      </c>
      <c r="N321" s="1128"/>
      <c r="O321" s="313">
        <f t="shared" si="54"/>
        <v>1</v>
      </c>
      <c r="P321" s="1128"/>
      <c r="Q321" s="313">
        <f t="shared" si="55"/>
        <v>1</v>
      </c>
      <c r="R321" s="1124">
        <f t="shared" si="56"/>
        <v>0</v>
      </c>
      <c r="S321" s="698">
        <f t="shared" ref="S321:S384" si="58">ROUND(R321*B321/10000,0)</f>
        <v>0</v>
      </c>
    </row>
    <row r="322" spans="1:19">
      <c r="A322" s="491"/>
      <c r="B322" s="348"/>
      <c r="C322" s="313">
        <f t="shared" si="48"/>
        <v>1</v>
      </c>
      <c r="D322" s="1128"/>
      <c r="E322" s="313">
        <f t="shared" si="49"/>
        <v>1</v>
      </c>
      <c r="F322" s="1128"/>
      <c r="G322" s="313">
        <f t="shared" si="50"/>
        <v>1</v>
      </c>
      <c r="H322" s="1128"/>
      <c r="I322" s="313">
        <f t="shared" si="51"/>
        <v>1</v>
      </c>
      <c r="J322" s="1128"/>
      <c r="K322" s="313">
        <f t="shared" si="52"/>
        <v>1</v>
      </c>
      <c r="L322" s="1128"/>
      <c r="M322" s="313">
        <f t="shared" si="53"/>
        <v>1</v>
      </c>
      <c r="N322" s="1128"/>
      <c r="O322" s="313">
        <f t="shared" si="54"/>
        <v>1</v>
      </c>
      <c r="P322" s="1128"/>
      <c r="Q322" s="313">
        <f t="shared" si="55"/>
        <v>1</v>
      </c>
      <c r="R322" s="1124">
        <f t="shared" si="56"/>
        <v>0</v>
      </c>
      <c r="S322" s="698">
        <f t="shared" si="58"/>
        <v>0</v>
      </c>
    </row>
    <row r="323" spans="1:19">
      <c r="A323" s="491"/>
      <c r="B323" s="348"/>
      <c r="C323" s="313">
        <f t="shared" si="48"/>
        <v>1</v>
      </c>
      <c r="D323" s="1128"/>
      <c r="E323" s="313">
        <f t="shared" si="49"/>
        <v>1</v>
      </c>
      <c r="F323" s="1128"/>
      <c r="G323" s="313">
        <f t="shared" si="50"/>
        <v>1</v>
      </c>
      <c r="H323" s="1128"/>
      <c r="I323" s="313">
        <f t="shared" si="51"/>
        <v>1</v>
      </c>
      <c r="J323" s="1128"/>
      <c r="K323" s="313">
        <f t="shared" si="52"/>
        <v>1</v>
      </c>
      <c r="L323" s="1128"/>
      <c r="M323" s="313">
        <f t="shared" si="53"/>
        <v>1</v>
      </c>
      <c r="N323" s="1128"/>
      <c r="O323" s="313">
        <f t="shared" si="54"/>
        <v>1</v>
      </c>
      <c r="P323" s="1128"/>
      <c r="Q323" s="313">
        <f t="shared" si="55"/>
        <v>1</v>
      </c>
      <c r="R323" s="1124">
        <f t="shared" si="56"/>
        <v>0</v>
      </c>
      <c r="S323" s="698">
        <f t="shared" si="58"/>
        <v>0</v>
      </c>
    </row>
    <row r="324" spans="1:19">
      <c r="A324" s="491"/>
      <c r="B324" s="348"/>
      <c r="C324" s="313">
        <f t="shared" si="48"/>
        <v>1</v>
      </c>
      <c r="D324" s="1128"/>
      <c r="E324" s="313">
        <f t="shared" si="49"/>
        <v>1</v>
      </c>
      <c r="F324" s="1128"/>
      <c r="G324" s="313">
        <f t="shared" si="50"/>
        <v>1</v>
      </c>
      <c r="H324" s="1128"/>
      <c r="I324" s="313">
        <f t="shared" si="51"/>
        <v>1</v>
      </c>
      <c r="J324" s="1128"/>
      <c r="K324" s="313">
        <f t="shared" si="52"/>
        <v>1</v>
      </c>
      <c r="L324" s="1128"/>
      <c r="M324" s="313">
        <f t="shared" si="53"/>
        <v>1</v>
      </c>
      <c r="N324" s="1128"/>
      <c r="O324" s="313">
        <f t="shared" si="54"/>
        <v>1</v>
      </c>
      <c r="P324" s="1128"/>
      <c r="Q324" s="313">
        <f t="shared" si="55"/>
        <v>1</v>
      </c>
      <c r="R324" s="1124">
        <f t="shared" si="56"/>
        <v>0</v>
      </c>
      <c r="S324" s="698">
        <f t="shared" si="58"/>
        <v>0</v>
      </c>
    </row>
    <row r="325" spans="1:19">
      <c r="A325" s="491"/>
      <c r="B325" s="348"/>
      <c r="C325" s="313">
        <f t="shared" si="48"/>
        <v>1</v>
      </c>
      <c r="D325" s="1128"/>
      <c r="E325" s="313">
        <f t="shared" si="49"/>
        <v>1</v>
      </c>
      <c r="F325" s="1128"/>
      <c r="G325" s="313">
        <f t="shared" si="50"/>
        <v>1</v>
      </c>
      <c r="H325" s="1128"/>
      <c r="I325" s="313">
        <f t="shared" si="51"/>
        <v>1</v>
      </c>
      <c r="J325" s="1128"/>
      <c r="K325" s="313">
        <f t="shared" si="52"/>
        <v>1</v>
      </c>
      <c r="L325" s="1128"/>
      <c r="M325" s="313">
        <f t="shared" si="53"/>
        <v>1</v>
      </c>
      <c r="N325" s="1128"/>
      <c r="O325" s="313">
        <f t="shared" si="54"/>
        <v>1</v>
      </c>
      <c r="P325" s="1128"/>
      <c r="Q325" s="313">
        <f t="shared" si="55"/>
        <v>1</v>
      </c>
      <c r="R325" s="1124">
        <f t="shared" si="56"/>
        <v>0</v>
      </c>
      <c r="S325" s="698">
        <f t="shared" si="58"/>
        <v>0</v>
      </c>
    </row>
    <row r="326" spans="1:19">
      <c r="A326" s="491"/>
      <c r="B326" s="348"/>
      <c r="C326" s="313">
        <f t="shared" si="48"/>
        <v>1</v>
      </c>
      <c r="D326" s="1128"/>
      <c r="E326" s="313">
        <f t="shared" si="49"/>
        <v>1</v>
      </c>
      <c r="F326" s="1128"/>
      <c r="G326" s="313">
        <f t="shared" si="50"/>
        <v>1</v>
      </c>
      <c r="H326" s="1128"/>
      <c r="I326" s="313">
        <f t="shared" si="51"/>
        <v>1</v>
      </c>
      <c r="J326" s="1128"/>
      <c r="K326" s="313">
        <f t="shared" si="52"/>
        <v>1</v>
      </c>
      <c r="L326" s="1128"/>
      <c r="M326" s="313">
        <f t="shared" si="53"/>
        <v>1</v>
      </c>
      <c r="N326" s="1128"/>
      <c r="O326" s="313">
        <f t="shared" si="54"/>
        <v>1</v>
      </c>
      <c r="P326" s="1128"/>
      <c r="Q326" s="313">
        <f t="shared" si="55"/>
        <v>1</v>
      </c>
      <c r="R326" s="1124">
        <f t="shared" si="56"/>
        <v>0</v>
      </c>
      <c r="S326" s="698">
        <f t="shared" si="58"/>
        <v>0</v>
      </c>
    </row>
    <row r="327" spans="1:19">
      <c r="A327" s="491"/>
      <c r="B327" s="348"/>
      <c r="C327" s="313">
        <f t="shared" si="48"/>
        <v>1</v>
      </c>
      <c r="D327" s="1128"/>
      <c r="E327" s="313">
        <f t="shared" si="49"/>
        <v>1</v>
      </c>
      <c r="F327" s="1128"/>
      <c r="G327" s="313">
        <f t="shared" si="50"/>
        <v>1</v>
      </c>
      <c r="H327" s="1128"/>
      <c r="I327" s="313">
        <f t="shared" si="51"/>
        <v>1</v>
      </c>
      <c r="J327" s="1128"/>
      <c r="K327" s="313">
        <f t="shared" si="52"/>
        <v>1</v>
      </c>
      <c r="L327" s="1128"/>
      <c r="M327" s="313">
        <f t="shared" si="53"/>
        <v>1</v>
      </c>
      <c r="N327" s="1128"/>
      <c r="O327" s="313">
        <f t="shared" si="54"/>
        <v>1</v>
      </c>
      <c r="P327" s="1128"/>
      <c r="Q327" s="313">
        <f t="shared" si="55"/>
        <v>1</v>
      </c>
      <c r="R327" s="1124">
        <f t="shared" si="56"/>
        <v>0</v>
      </c>
      <c r="S327" s="698">
        <f t="shared" si="58"/>
        <v>0</v>
      </c>
    </row>
    <row r="328" spans="1:19">
      <c r="A328" s="491"/>
      <c r="B328" s="348"/>
      <c r="C328" s="313">
        <f t="shared" si="48"/>
        <v>1</v>
      </c>
      <c r="D328" s="1128"/>
      <c r="E328" s="313">
        <f t="shared" si="49"/>
        <v>1</v>
      </c>
      <c r="F328" s="1128"/>
      <c r="G328" s="313">
        <f t="shared" si="50"/>
        <v>1</v>
      </c>
      <c r="H328" s="1128"/>
      <c r="I328" s="313">
        <f t="shared" si="51"/>
        <v>1</v>
      </c>
      <c r="J328" s="1128"/>
      <c r="K328" s="313">
        <f t="shared" si="52"/>
        <v>1</v>
      </c>
      <c r="L328" s="1128"/>
      <c r="M328" s="313">
        <f t="shared" si="53"/>
        <v>1</v>
      </c>
      <c r="N328" s="1128"/>
      <c r="O328" s="313">
        <f t="shared" si="54"/>
        <v>1</v>
      </c>
      <c r="P328" s="1128"/>
      <c r="Q328" s="313">
        <f t="shared" si="55"/>
        <v>1</v>
      </c>
      <c r="R328" s="1124">
        <f t="shared" si="56"/>
        <v>0</v>
      </c>
      <c r="S328" s="698">
        <f t="shared" si="58"/>
        <v>0</v>
      </c>
    </row>
    <row r="329" spans="1:19">
      <c r="A329" s="491"/>
      <c r="B329" s="348"/>
      <c r="C329" s="313">
        <f t="shared" si="48"/>
        <v>1</v>
      </c>
      <c r="D329" s="1128"/>
      <c r="E329" s="313">
        <f t="shared" si="49"/>
        <v>1</v>
      </c>
      <c r="F329" s="1128"/>
      <c r="G329" s="313">
        <f t="shared" si="50"/>
        <v>1</v>
      </c>
      <c r="H329" s="1128"/>
      <c r="I329" s="313">
        <f t="shared" si="51"/>
        <v>1</v>
      </c>
      <c r="J329" s="1128"/>
      <c r="K329" s="313">
        <f t="shared" si="52"/>
        <v>1</v>
      </c>
      <c r="L329" s="1128"/>
      <c r="M329" s="313">
        <f t="shared" si="53"/>
        <v>1</v>
      </c>
      <c r="N329" s="1128"/>
      <c r="O329" s="313">
        <f t="shared" si="54"/>
        <v>1</v>
      </c>
      <c r="P329" s="1128"/>
      <c r="Q329" s="313">
        <f t="shared" si="55"/>
        <v>1</v>
      </c>
      <c r="R329" s="1124">
        <f t="shared" si="56"/>
        <v>0</v>
      </c>
      <c r="S329" s="698">
        <f t="shared" si="58"/>
        <v>0</v>
      </c>
    </row>
    <row r="330" spans="1:19">
      <c r="A330" s="491"/>
      <c r="B330" s="348"/>
      <c r="C330" s="313">
        <f t="shared" si="48"/>
        <v>1</v>
      </c>
      <c r="D330" s="1128"/>
      <c r="E330" s="313">
        <f t="shared" si="49"/>
        <v>1</v>
      </c>
      <c r="F330" s="1128"/>
      <c r="G330" s="313">
        <f t="shared" si="50"/>
        <v>1</v>
      </c>
      <c r="H330" s="1128"/>
      <c r="I330" s="313">
        <f t="shared" si="51"/>
        <v>1</v>
      </c>
      <c r="J330" s="1128"/>
      <c r="K330" s="313">
        <f t="shared" si="52"/>
        <v>1</v>
      </c>
      <c r="L330" s="1128"/>
      <c r="M330" s="313">
        <f t="shared" si="53"/>
        <v>1</v>
      </c>
      <c r="N330" s="1128"/>
      <c r="O330" s="313">
        <f t="shared" si="54"/>
        <v>1</v>
      </c>
      <c r="P330" s="1128"/>
      <c r="Q330" s="313">
        <f t="shared" si="55"/>
        <v>1</v>
      </c>
      <c r="R330" s="1124">
        <f t="shared" si="56"/>
        <v>0</v>
      </c>
      <c r="S330" s="698">
        <f t="shared" si="58"/>
        <v>0</v>
      </c>
    </row>
    <row r="331" spans="1:19">
      <c r="A331" s="491"/>
      <c r="B331" s="348"/>
      <c r="C331" s="313">
        <f t="shared" si="48"/>
        <v>1</v>
      </c>
      <c r="D331" s="1128"/>
      <c r="E331" s="313">
        <f t="shared" si="49"/>
        <v>1</v>
      </c>
      <c r="F331" s="1128"/>
      <c r="G331" s="313">
        <f t="shared" si="50"/>
        <v>1</v>
      </c>
      <c r="H331" s="1128"/>
      <c r="I331" s="313">
        <f t="shared" si="51"/>
        <v>1</v>
      </c>
      <c r="J331" s="1128"/>
      <c r="K331" s="313">
        <f t="shared" si="52"/>
        <v>1</v>
      </c>
      <c r="L331" s="1128"/>
      <c r="M331" s="313">
        <f t="shared" si="53"/>
        <v>1</v>
      </c>
      <c r="N331" s="1128"/>
      <c r="O331" s="313">
        <f t="shared" si="54"/>
        <v>1</v>
      </c>
      <c r="P331" s="1128"/>
      <c r="Q331" s="313">
        <f t="shared" si="55"/>
        <v>1</v>
      </c>
      <c r="R331" s="1124">
        <f t="shared" si="56"/>
        <v>0</v>
      </c>
      <c r="S331" s="698">
        <f t="shared" si="58"/>
        <v>0</v>
      </c>
    </row>
    <row r="332" spans="1:19">
      <c r="A332" s="491"/>
      <c r="B332" s="348"/>
      <c r="C332" s="313">
        <f t="shared" si="48"/>
        <v>1</v>
      </c>
      <c r="D332" s="1128"/>
      <c r="E332" s="313">
        <f t="shared" si="49"/>
        <v>1</v>
      </c>
      <c r="F332" s="1128"/>
      <c r="G332" s="313">
        <f t="shared" si="50"/>
        <v>1</v>
      </c>
      <c r="H332" s="1128"/>
      <c r="I332" s="313">
        <f t="shared" si="51"/>
        <v>1</v>
      </c>
      <c r="J332" s="1128"/>
      <c r="K332" s="313">
        <f t="shared" si="52"/>
        <v>1</v>
      </c>
      <c r="L332" s="1128"/>
      <c r="M332" s="313">
        <f t="shared" si="53"/>
        <v>1</v>
      </c>
      <c r="N332" s="1128"/>
      <c r="O332" s="313">
        <f t="shared" si="54"/>
        <v>1</v>
      </c>
      <c r="P332" s="1128"/>
      <c r="Q332" s="313">
        <f t="shared" si="55"/>
        <v>1</v>
      </c>
      <c r="R332" s="1124">
        <f t="shared" si="56"/>
        <v>0</v>
      </c>
      <c r="S332" s="698">
        <f t="shared" si="58"/>
        <v>0</v>
      </c>
    </row>
    <row r="333" spans="1:19">
      <c r="A333" s="491"/>
      <c r="B333" s="348"/>
      <c r="C333" s="313">
        <f t="shared" si="48"/>
        <v>1</v>
      </c>
      <c r="D333" s="1128"/>
      <c r="E333" s="313">
        <f t="shared" si="49"/>
        <v>1</v>
      </c>
      <c r="F333" s="1128"/>
      <c r="G333" s="313">
        <f t="shared" si="50"/>
        <v>1</v>
      </c>
      <c r="H333" s="1128"/>
      <c r="I333" s="313">
        <f t="shared" si="51"/>
        <v>1</v>
      </c>
      <c r="J333" s="1128"/>
      <c r="K333" s="313">
        <f t="shared" si="52"/>
        <v>1</v>
      </c>
      <c r="L333" s="1128"/>
      <c r="M333" s="313">
        <f t="shared" si="53"/>
        <v>1</v>
      </c>
      <c r="N333" s="1128"/>
      <c r="O333" s="313">
        <f t="shared" si="54"/>
        <v>1</v>
      </c>
      <c r="P333" s="1128"/>
      <c r="Q333" s="313">
        <f t="shared" si="55"/>
        <v>1</v>
      </c>
      <c r="R333" s="1124">
        <f t="shared" si="56"/>
        <v>0</v>
      </c>
      <c r="S333" s="698">
        <f t="shared" si="58"/>
        <v>0</v>
      </c>
    </row>
    <row r="334" spans="1:19">
      <c r="A334" s="491"/>
      <c r="B334" s="348"/>
      <c r="C334" s="313">
        <f t="shared" si="48"/>
        <v>1</v>
      </c>
      <c r="D334" s="1128"/>
      <c r="E334" s="313">
        <f t="shared" si="49"/>
        <v>1</v>
      </c>
      <c r="F334" s="1128"/>
      <c r="G334" s="313">
        <f t="shared" si="50"/>
        <v>1</v>
      </c>
      <c r="H334" s="1128"/>
      <c r="I334" s="313">
        <f t="shared" si="51"/>
        <v>1</v>
      </c>
      <c r="J334" s="1128"/>
      <c r="K334" s="313">
        <f t="shared" si="52"/>
        <v>1</v>
      </c>
      <c r="L334" s="1128"/>
      <c r="M334" s="313">
        <f t="shared" si="53"/>
        <v>1</v>
      </c>
      <c r="N334" s="1128"/>
      <c r="O334" s="313">
        <f t="shared" si="54"/>
        <v>1</v>
      </c>
      <c r="P334" s="1128"/>
      <c r="Q334" s="313">
        <f t="shared" si="55"/>
        <v>1</v>
      </c>
      <c r="R334" s="1124">
        <f t="shared" si="56"/>
        <v>0</v>
      </c>
      <c r="S334" s="698">
        <f t="shared" si="58"/>
        <v>0</v>
      </c>
    </row>
    <row r="335" spans="1:19">
      <c r="A335" s="491"/>
      <c r="B335" s="348"/>
      <c r="C335" s="313">
        <f t="shared" si="48"/>
        <v>1</v>
      </c>
      <c r="D335" s="1128"/>
      <c r="E335" s="313">
        <f t="shared" si="49"/>
        <v>1</v>
      </c>
      <c r="F335" s="1128"/>
      <c r="G335" s="313">
        <f t="shared" si="50"/>
        <v>1</v>
      </c>
      <c r="H335" s="1128"/>
      <c r="I335" s="313">
        <f t="shared" si="51"/>
        <v>1</v>
      </c>
      <c r="J335" s="1128"/>
      <c r="K335" s="313">
        <f t="shared" si="52"/>
        <v>1</v>
      </c>
      <c r="L335" s="1128"/>
      <c r="M335" s="313">
        <f t="shared" si="53"/>
        <v>1</v>
      </c>
      <c r="N335" s="1128"/>
      <c r="O335" s="313">
        <f t="shared" si="54"/>
        <v>1</v>
      </c>
      <c r="P335" s="1128"/>
      <c r="Q335" s="313">
        <f t="shared" si="55"/>
        <v>1</v>
      </c>
      <c r="R335" s="1124">
        <f t="shared" si="56"/>
        <v>0</v>
      </c>
      <c r="S335" s="698">
        <f t="shared" si="58"/>
        <v>0</v>
      </c>
    </row>
    <row r="336" spans="1:19">
      <c r="A336" s="491"/>
      <c r="B336" s="348"/>
      <c r="C336" s="313">
        <f t="shared" si="48"/>
        <v>1</v>
      </c>
      <c r="D336" s="1128"/>
      <c r="E336" s="313">
        <f t="shared" si="49"/>
        <v>1</v>
      </c>
      <c r="F336" s="1128"/>
      <c r="G336" s="313">
        <f t="shared" si="50"/>
        <v>1</v>
      </c>
      <c r="H336" s="1128"/>
      <c r="I336" s="313">
        <f t="shared" si="51"/>
        <v>1</v>
      </c>
      <c r="J336" s="1128"/>
      <c r="K336" s="313">
        <f t="shared" si="52"/>
        <v>1</v>
      </c>
      <c r="L336" s="1128"/>
      <c r="M336" s="313">
        <f t="shared" si="53"/>
        <v>1</v>
      </c>
      <c r="N336" s="1128"/>
      <c r="O336" s="313">
        <f t="shared" si="54"/>
        <v>1</v>
      </c>
      <c r="P336" s="1128"/>
      <c r="Q336" s="313">
        <f t="shared" si="55"/>
        <v>1</v>
      </c>
      <c r="R336" s="1124">
        <f t="shared" si="56"/>
        <v>0</v>
      </c>
      <c r="S336" s="698">
        <f t="shared" si="58"/>
        <v>0</v>
      </c>
    </row>
    <row r="337" spans="1:19">
      <c r="A337" s="491"/>
      <c r="B337" s="348"/>
      <c r="C337" s="313">
        <f t="shared" si="48"/>
        <v>1</v>
      </c>
      <c r="D337" s="1128"/>
      <c r="E337" s="313">
        <f t="shared" si="49"/>
        <v>1</v>
      </c>
      <c r="F337" s="1128"/>
      <c r="G337" s="313">
        <f t="shared" si="50"/>
        <v>1</v>
      </c>
      <c r="H337" s="1128"/>
      <c r="I337" s="313">
        <f t="shared" si="51"/>
        <v>1</v>
      </c>
      <c r="J337" s="1128"/>
      <c r="K337" s="313">
        <f t="shared" si="52"/>
        <v>1</v>
      </c>
      <c r="L337" s="1128"/>
      <c r="M337" s="313">
        <f t="shared" si="53"/>
        <v>1</v>
      </c>
      <c r="N337" s="1128"/>
      <c r="O337" s="313">
        <f t="shared" si="54"/>
        <v>1</v>
      </c>
      <c r="P337" s="1128"/>
      <c r="Q337" s="313">
        <f t="shared" si="55"/>
        <v>1</v>
      </c>
      <c r="R337" s="1124">
        <f t="shared" si="56"/>
        <v>0</v>
      </c>
      <c r="S337" s="698">
        <f t="shared" si="58"/>
        <v>0</v>
      </c>
    </row>
    <row r="338" spans="1:19">
      <c r="A338" s="491"/>
      <c r="B338" s="348"/>
      <c r="C338" s="313">
        <f t="shared" si="48"/>
        <v>1</v>
      </c>
      <c r="D338" s="1128"/>
      <c r="E338" s="313">
        <f t="shared" si="49"/>
        <v>1</v>
      </c>
      <c r="F338" s="1128"/>
      <c r="G338" s="313">
        <f t="shared" si="50"/>
        <v>1</v>
      </c>
      <c r="H338" s="1128"/>
      <c r="I338" s="313">
        <f t="shared" si="51"/>
        <v>1</v>
      </c>
      <c r="J338" s="1128"/>
      <c r="K338" s="313">
        <f t="shared" si="52"/>
        <v>1</v>
      </c>
      <c r="L338" s="1128"/>
      <c r="M338" s="313">
        <f t="shared" si="53"/>
        <v>1</v>
      </c>
      <c r="N338" s="1128"/>
      <c r="O338" s="313">
        <f t="shared" si="54"/>
        <v>1</v>
      </c>
      <c r="P338" s="1128"/>
      <c r="Q338" s="313">
        <f t="shared" si="55"/>
        <v>1</v>
      </c>
      <c r="R338" s="1124">
        <f t="shared" si="56"/>
        <v>0</v>
      </c>
      <c r="S338" s="698">
        <f t="shared" si="58"/>
        <v>0</v>
      </c>
    </row>
    <row r="339" spans="1:19">
      <c r="A339" s="491"/>
      <c r="B339" s="348"/>
      <c r="C339" s="313">
        <f t="shared" si="48"/>
        <v>1</v>
      </c>
      <c r="D339" s="1128"/>
      <c r="E339" s="313">
        <f t="shared" si="49"/>
        <v>1</v>
      </c>
      <c r="F339" s="1128"/>
      <c r="G339" s="313">
        <f t="shared" si="50"/>
        <v>1</v>
      </c>
      <c r="H339" s="1128"/>
      <c r="I339" s="313">
        <f t="shared" si="51"/>
        <v>1</v>
      </c>
      <c r="J339" s="1128"/>
      <c r="K339" s="313">
        <f t="shared" si="52"/>
        <v>1</v>
      </c>
      <c r="L339" s="1128"/>
      <c r="M339" s="313">
        <f t="shared" si="53"/>
        <v>1</v>
      </c>
      <c r="N339" s="1128"/>
      <c r="O339" s="313">
        <f t="shared" si="54"/>
        <v>1</v>
      </c>
      <c r="P339" s="1128"/>
      <c r="Q339" s="313">
        <f t="shared" si="55"/>
        <v>1</v>
      </c>
      <c r="R339" s="1124">
        <f t="shared" si="56"/>
        <v>0</v>
      </c>
      <c r="S339" s="698">
        <f t="shared" si="58"/>
        <v>0</v>
      </c>
    </row>
    <row r="340" spans="1:19">
      <c r="A340" s="491"/>
      <c r="B340" s="348"/>
      <c r="C340" s="313">
        <f t="shared" si="48"/>
        <v>1</v>
      </c>
      <c r="D340" s="1128"/>
      <c r="E340" s="313">
        <f t="shared" si="49"/>
        <v>1</v>
      </c>
      <c r="F340" s="1128"/>
      <c r="G340" s="313">
        <f t="shared" si="50"/>
        <v>1</v>
      </c>
      <c r="H340" s="1128"/>
      <c r="I340" s="313">
        <f t="shared" si="51"/>
        <v>1</v>
      </c>
      <c r="J340" s="1128"/>
      <c r="K340" s="313">
        <f t="shared" si="52"/>
        <v>1</v>
      </c>
      <c r="L340" s="1128"/>
      <c r="M340" s="313">
        <f t="shared" si="53"/>
        <v>1</v>
      </c>
      <c r="N340" s="1128"/>
      <c r="O340" s="313">
        <f t="shared" si="54"/>
        <v>1</v>
      </c>
      <c r="P340" s="1128"/>
      <c r="Q340" s="313">
        <f t="shared" si="55"/>
        <v>1</v>
      </c>
      <c r="R340" s="1124">
        <f t="shared" si="56"/>
        <v>0</v>
      </c>
      <c r="S340" s="698">
        <f t="shared" si="58"/>
        <v>0</v>
      </c>
    </row>
    <row r="341" spans="1:19">
      <c r="A341" s="491"/>
      <c r="B341" s="348"/>
      <c r="C341" s="313">
        <f t="shared" si="48"/>
        <v>1</v>
      </c>
      <c r="D341" s="1128"/>
      <c r="E341" s="313">
        <f t="shared" si="49"/>
        <v>1</v>
      </c>
      <c r="F341" s="1128"/>
      <c r="G341" s="313">
        <f t="shared" si="50"/>
        <v>1</v>
      </c>
      <c r="H341" s="1128"/>
      <c r="I341" s="313">
        <f t="shared" si="51"/>
        <v>1</v>
      </c>
      <c r="J341" s="1128"/>
      <c r="K341" s="313">
        <f t="shared" si="52"/>
        <v>1</v>
      </c>
      <c r="L341" s="1128"/>
      <c r="M341" s="313">
        <f t="shared" si="53"/>
        <v>1</v>
      </c>
      <c r="N341" s="1128"/>
      <c r="O341" s="313">
        <f t="shared" si="54"/>
        <v>1</v>
      </c>
      <c r="P341" s="1128"/>
      <c r="Q341" s="313">
        <f t="shared" si="55"/>
        <v>1</v>
      </c>
      <c r="R341" s="1124">
        <f t="shared" si="56"/>
        <v>0</v>
      </c>
      <c r="S341" s="698">
        <f t="shared" si="58"/>
        <v>0</v>
      </c>
    </row>
    <row r="342" spans="1:19">
      <c r="A342" s="491"/>
      <c r="B342" s="348"/>
      <c r="C342" s="313">
        <f t="shared" si="48"/>
        <v>1</v>
      </c>
      <c r="D342" s="1128"/>
      <c r="E342" s="313">
        <f t="shared" si="49"/>
        <v>1</v>
      </c>
      <c r="F342" s="1128"/>
      <c r="G342" s="313">
        <f t="shared" si="50"/>
        <v>1</v>
      </c>
      <c r="H342" s="1128"/>
      <c r="I342" s="313">
        <f t="shared" si="51"/>
        <v>1</v>
      </c>
      <c r="J342" s="1128"/>
      <c r="K342" s="313">
        <f t="shared" si="52"/>
        <v>1</v>
      </c>
      <c r="L342" s="1128"/>
      <c r="M342" s="313">
        <f t="shared" si="53"/>
        <v>1</v>
      </c>
      <c r="N342" s="1128"/>
      <c r="O342" s="313">
        <f t="shared" si="54"/>
        <v>1</v>
      </c>
      <c r="P342" s="1128"/>
      <c r="Q342" s="313">
        <f t="shared" si="55"/>
        <v>1</v>
      </c>
      <c r="R342" s="1124">
        <f t="shared" si="56"/>
        <v>0</v>
      </c>
      <c r="S342" s="698">
        <f t="shared" si="58"/>
        <v>0</v>
      </c>
    </row>
    <row r="343" spans="1:19">
      <c r="A343" s="491"/>
      <c r="B343" s="348"/>
      <c r="C343" s="313">
        <f t="shared" si="48"/>
        <v>1</v>
      </c>
      <c r="D343" s="1128"/>
      <c r="E343" s="313">
        <f t="shared" si="49"/>
        <v>1</v>
      </c>
      <c r="F343" s="1128"/>
      <c r="G343" s="313">
        <f t="shared" si="50"/>
        <v>1</v>
      </c>
      <c r="H343" s="1128"/>
      <c r="I343" s="313">
        <f t="shared" si="51"/>
        <v>1</v>
      </c>
      <c r="J343" s="1128"/>
      <c r="K343" s="313">
        <f t="shared" si="52"/>
        <v>1</v>
      </c>
      <c r="L343" s="1128"/>
      <c r="M343" s="313">
        <f t="shared" si="53"/>
        <v>1</v>
      </c>
      <c r="N343" s="1128"/>
      <c r="O343" s="313">
        <f t="shared" si="54"/>
        <v>1</v>
      </c>
      <c r="P343" s="1128"/>
      <c r="Q343" s="313">
        <f t="shared" si="55"/>
        <v>1</v>
      </c>
      <c r="R343" s="1124">
        <f t="shared" si="56"/>
        <v>0</v>
      </c>
      <c r="S343" s="698">
        <f t="shared" si="58"/>
        <v>0</v>
      </c>
    </row>
    <row r="344" spans="1:19">
      <c r="A344" s="491"/>
      <c r="B344" s="348"/>
      <c r="C344" s="313">
        <f t="shared" si="48"/>
        <v>1</v>
      </c>
      <c r="D344" s="1128"/>
      <c r="E344" s="313">
        <f t="shared" si="49"/>
        <v>1</v>
      </c>
      <c r="F344" s="1128"/>
      <c r="G344" s="313">
        <f t="shared" si="50"/>
        <v>1</v>
      </c>
      <c r="H344" s="1128"/>
      <c r="I344" s="313">
        <f t="shared" si="51"/>
        <v>1</v>
      </c>
      <c r="J344" s="1128"/>
      <c r="K344" s="313">
        <f t="shared" si="52"/>
        <v>1</v>
      </c>
      <c r="L344" s="1128"/>
      <c r="M344" s="313">
        <f t="shared" si="53"/>
        <v>1</v>
      </c>
      <c r="N344" s="1128"/>
      <c r="O344" s="313">
        <f t="shared" si="54"/>
        <v>1</v>
      </c>
      <c r="P344" s="1128"/>
      <c r="Q344" s="313">
        <f t="shared" si="55"/>
        <v>1</v>
      </c>
      <c r="R344" s="1124">
        <f t="shared" si="56"/>
        <v>0</v>
      </c>
      <c r="S344" s="698">
        <f t="shared" si="58"/>
        <v>0</v>
      </c>
    </row>
    <row r="345" spans="1:19">
      <c r="A345" s="491"/>
      <c r="B345" s="348"/>
      <c r="C345" s="313">
        <f t="shared" si="48"/>
        <v>1</v>
      </c>
      <c r="D345" s="1128"/>
      <c r="E345" s="313">
        <f t="shared" si="49"/>
        <v>1</v>
      </c>
      <c r="F345" s="1128"/>
      <c r="G345" s="313">
        <f t="shared" si="50"/>
        <v>1</v>
      </c>
      <c r="H345" s="1128"/>
      <c r="I345" s="313">
        <f t="shared" si="51"/>
        <v>1</v>
      </c>
      <c r="J345" s="1128"/>
      <c r="K345" s="313">
        <f t="shared" si="52"/>
        <v>1</v>
      </c>
      <c r="L345" s="1128"/>
      <c r="M345" s="313">
        <f t="shared" si="53"/>
        <v>1</v>
      </c>
      <c r="N345" s="1128"/>
      <c r="O345" s="313">
        <f t="shared" si="54"/>
        <v>1</v>
      </c>
      <c r="P345" s="1128"/>
      <c r="Q345" s="313">
        <f t="shared" si="55"/>
        <v>1</v>
      </c>
      <c r="R345" s="1124">
        <f t="shared" si="56"/>
        <v>0</v>
      </c>
      <c r="S345" s="698">
        <f t="shared" si="58"/>
        <v>0</v>
      </c>
    </row>
    <row r="346" spans="1:19">
      <c r="A346" s="491"/>
      <c r="B346" s="348"/>
      <c r="C346" s="313">
        <f t="shared" ref="C346:C409" si="59">IF(B346="",1,(LOOKUP(B346,$3:$3,$4:$4)-LOOKUP($B$24,$3:$3,$4:$4)+100)/100)</f>
        <v>1</v>
      </c>
      <c r="D346" s="1128"/>
      <c r="E346" s="313">
        <f t="shared" ref="E346:E409" si="60">(SUMIF($5:$5,D346,$6:$6)-SUMIF($5:$5,$D$24,$6:$6)+100)/100</f>
        <v>1</v>
      </c>
      <c r="F346" s="1128"/>
      <c r="G346" s="313">
        <f t="shared" ref="G346:G409" si="61">(SUMIF($7:$7,F346,$8:$8)-SUMIF($7:$7,$F$24,$8:$8)+100)/100</f>
        <v>1</v>
      </c>
      <c r="H346" s="1128"/>
      <c r="I346" s="313">
        <f t="shared" ref="I346:I409" si="62">(SUMIF($9:$9,H346,$10:$10)-SUMIF($9:$9,$H$24,$10:$10)+100)/100</f>
        <v>1</v>
      </c>
      <c r="J346" s="1128"/>
      <c r="K346" s="313">
        <f t="shared" ref="K346:K409" si="63">(SUMIF($11:$11,J346,$12:$12)-SUMIF($11:$11,$J$24,$12:$12)+100)/100</f>
        <v>1</v>
      </c>
      <c r="L346" s="1128"/>
      <c r="M346" s="313">
        <f t="shared" ref="M346:M409" si="64">(SUMIF($13:$13,L346,$14:$14)-SUMIF($13:$13,$L$24,$14:$14)+100)/100</f>
        <v>1</v>
      </c>
      <c r="N346" s="1128"/>
      <c r="O346" s="313">
        <f t="shared" ref="O346:O409" si="65">(SUMIF($15:$15,N346,$16:$16)-SUMIF($15:$15,$N$24,$16:$16)+100)/100</f>
        <v>1</v>
      </c>
      <c r="P346" s="1128"/>
      <c r="Q346" s="313">
        <f t="shared" ref="Q346:Q409" si="66">(SUMIF($17:$17,P346,$18:$18)-SUMIF($17:$17,$P$24,$18:$18)+100)/100</f>
        <v>1</v>
      </c>
      <c r="R346" s="1124">
        <f t="shared" ref="R346:R409" si="67">IF(B346="",0,ROUND($R$24*C346*E346*G346*I346*K346*M346*O346*Q346,0))</f>
        <v>0</v>
      </c>
      <c r="S346" s="698">
        <f t="shared" si="58"/>
        <v>0</v>
      </c>
    </row>
    <row r="347" spans="1:19">
      <c r="A347" s="491"/>
      <c r="B347" s="348"/>
      <c r="C347" s="313">
        <f t="shared" si="59"/>
        <v>1</v>
      </c>
      <c r="D347" s="1128"/>
      <c r="E347" s="313">
        <f t="shared" si="60"/>
        <v>1</v>
      </c>
      <c r="F347" s="1128"/>
      <c r="G347" s="313">
        <f t="shared" si="61"/>
        <v>1</v>
      </c>
      <c r="H347" s="1128"/>
      <c r="I347" s="313">
        <f t="shared" si="62"/>
        <v>1</v>
      </c>
      <c r="J347" s="1128"/>
      <c r="K347" s="313">
        <f t="shared" si="63"/>
        <v>1</v>
      </c>
      <c r="L347" s="1128"/>
      <c r="M347" s="313">
        <f t="shared" si="64"/>
        <v>1</v>
      </c>
      <c r="N347" s="1128"/>
      <c r="O347" s="313">
        <f t="shared" si="65"/>
        <v>1</v>
      </c>
      <c r="P347" s="1128"/>
      <c r="Q347" s="313">
        <f t="shared" si="66"/>
        <v>1</v>
      </c>
      <c r="R347" s="1124">
        <f t="shared" si="67"/>
        <v>0</v>
      </c>
      <c r="S347" s="698">
        <f t="shared" si="58"/>
        <v>0</v>
      </c>
    </row>
    <row r="348" spans="1:19">
      <c r="A348" s="491"/>
      <c r="B348" s="348"/>
      <c r="C348" s="313">
        <f t="shared" si="59"/>
        <v>1</v>
      </c>
      <c r="D348" s="1128"/>
      <c r="E348" s="313">
        <f t="shared" si="60"/>
        <v>1</v>
      </c>
      <c r="F348" s="1128"/>
      <c r="G348" s="313">
        <f t="shared" si="61"/>
        <v>1</v>
      </c>
      <c r="H348" s="1128"/>
      <c r="I348" s="313">
        <f t="shared" si="62"/>
        <v>1</v>
      </c>
      <c r="J348" s="1128"/>
      <c r="K348" s="313">
        <f t="shared" si="63"/>
        <v>1</v>
      </c>
      <c r="L348" s="1128"/>
      <c r="M348" s="313">
        <f t="shared" si="64"/>
        <v>1</v>
      </c>
      <c r="N348" s="1128"/>
      <c r="O348" s="313">
        <f t="shared" si="65"/>
        <v>1</v>
      </c>
      <c r="P348" s="1128"/>
      <c r="Q348" s="313">
        <f t="shared" si="66"/>
        <v>1</v>
      </c>
      <c r="R348" s="1124">
        <f t="shared" si="67"/>
        <v>0</v>
      </c>
      <c r="S348" s="698">
        <f t="shared" si="58"/>
        <v>0</v>
      </c>
    </row>
    <row r="349" spans="1:19">
      <c r="A349" s="491"/>
      <c r="B349" s="348"/>
      <c r="C349" s="313">
        <f t="shared" si="59"/>
        <v>1</v>
      </c>
      <c r="D349" s="1128"/>
      <c r="E349" s="313">
        <f t="shared" si="60"/>
        <v>1</v>
      </c>
      <c r="F349" s="1128"/>
      <c r="G349" s="313">
        <f t="shared" si="61"/>
        <v>1</v>
      </c>
      <c r="H349" s="1128"/>
      <c r="I349" s="313">
        <f t="shared" si="62"/>
        <v>1</v>
      </c>
      <c r="J349" s="1128"/>
      <c r="K349" s="313">
        <f t="shared" si="63"/>
        <v>1</v>
      </c>
      <c r="L349" s="1128"/>
      <c r="M349" s="313">
        <f t="shared" si="64"/>
        <v>1</v>
      </c>
      <c r="N349" s="1128"/>
      <c r="O349" s="313">
        <f t="shared" si="65"/>
        <v>1</v>
      </c>
      <c r="P349" s="1128"/>
      <c r="Q349" s="313">
        <f t="shared" si="66"/>
        <v>1</v>
      </c>
      <c r="R349" s="1124">
        <f t="shared" si="67"/>
        <v>0</v>
      </c>
      <c r="S349" s="698">
        <f t="shared" si="58"/>
        <v>0</v>
      </c>
    </row>
    <row r="350" spans="1:19">
      <c r="A350" s="491"/>
      <c r="B350" s="348"/>
      <c r="C350" s="313">
        <f t="shared" si="59"/>
        <v>1</v>
      </c>
      <c r="D350" s="1128"/>
      <c r="E350" s="313">
        <f t="shared" si="60"/>
        <v>1</v>
      </c>
      <c r="F350" s="1128"/>
      <c r="G350" s="313">
        <f t="shared" si="61"/>
        <v>1</v>
      </c>
      <c r="H350" s="1128"/>
      <c r="I350" s="313">
        <f t="shared" si="62"/>
        <v>1</v>
      </c>
      <c r="J350" s="1128"/>
      <c r="K350" s="313">
        <f t="shared" si="63"/>
        <v>1</v>
      </c>
      <c r="L350" s="1128"/>
      <c r="M350" s="313">
        <f t="shared" si="64"/>
        <v>1</v>
      </c>
      <c r="N350" s="1128"/>
      <c r="O350" s="313">
        <f t="shared" si="65"/>
        <v>1</v>
      </c>
      <c r="P350" s="1128"/>
      <c r="Q350" s="313">
        <f t="shared" si="66"/>
        <v>1</v>
      </c>
      <c r="R350" s="1124">
        <f t="shared" si="67"/>
        <v>0</v>
      </c>
      <c r="S350" s="698">
        <f t="shared" si="58"/>
        <v>0</v>
      </c>
    </row>
    <row r="351" spans="1:19">
      <c r="A351" s="491"/>
      <c r="B351" s="348"/>
      <c r="C351" s="313">
        <f t="shared" si="59"/>
        <v>1</v>
      </c>
      <c r="D351" s="1128"/>
      <c r="E351" s="313">
        <f t="shared" si="60"/>
        <v>1</v>
      </c>
      <c r="F351" s="1128"/>
      <c r="G351" s="313">
        <f t="shared" si="61"/>
        <v>1</v>
      </c>
      <c r="H351" s="1128"/>
      <c r="I351" s="313">
        <f t="shared" si="62"/>
        <v>1</v>
      </c>
      <c r="J351" s="1128"/>
      <c r="K351" s="313">
        <f t="shared" si="63"/>
        <v>1</v>
      </c>
      <c r="L351" s="1128"/>
      <c r="M351" s="313">
        <f t="shared" si="64"/>
        <v>1</v>
      </c>
      <c r="N351" s="1128"/>
      <c r="O351" s="313">
        <f t="shared" si="65"/>
        <v>1</v>
      </c>
      <c r="P351" s="1128"/>
      <c r="Q351" s="313">
        <f t="shared" si="66"/>
        <v>1</v>
      </c>
      <c r="R351" s="1124">
        <f t="shared" si="67"/>
        <v>0</v>
      </c>
      <c r="S351" s="698">
        <f t="shared" si="58"/>
        <v>0</v>
      </c>
    </row>
    <row r="352" spans="1:19">
      <c r="A352" s="491"/>
      <c r="B352" s="348"/>
      <c r="C352" s="313">
        <f t="shared" si="59"/>
        <v>1</v>
      </c>
      <c r="D352" s="1128"/>
      <c r="E352" s="313">
        <f t="shared" si="60"/>
        <v>1</v>
      </c>
      <c r="F352" s="1128"/>
      <c r="G352" s="313">
        <f t="shared" si="61"/>
        <v>1</v>
      </c>
      <c r="H352" s="1128"/>
      <c r="I352" s="313">
        <f t="shared" si="62"/>
        <v>1</v>
      </c>
      <c r="J352" s="1128"/>
      <c r="K352" s="313">
        <f t="shared" si="63"/>
        <v>1</v>
      </c>
      <c r="L352" s="1128"/>
      <c r="M352" s="313">
        <f t="shared" si="64"/>
        <v>1</v>
      </c>
      <c r="N352" s="1128"/>
      <c r="O352" s="313">
        <f t="shared" si="65"/>
        <v>1</v>
      </c>
      <c r="P352" s="1128"/>
      <c r="Q352" s="313">
        <f t="shared" si="66"/>
        <v>1</v>
      </c>
      <c r="R352" s="1124">
        <f t="shared" si="67"/>
        <v>0</v>
      </c>
      <c r="S352" s="698">
        <f t="shared" si="58"/>
        <v>0</v>
      </c>
    </row>
    <row r="353" spans="1:19">
      <c r="A353" s="491"/>
      <c r="B353" s="348"/>
      <c r="C353" s="313">
        <f t="shared" si="59"/>
        <v>1</v>
      </c>
      <c r="D353" s="1128"/>
      <c r="E353" s="313">
        <f t="shared" si="60"/>
        <v>1</v>
      </c>
      <c r="F353" s="1128"/>
      <c r="G353" s="313">
        <f t="shared" si="61"/>
        <v>1</v>
      </c>
      <c r="H353" s="1128"/>
      <c r="I353" s="313">
        <f t="shared" si="62"/>
        <v>1</v>
      </c>
      <c r="J353" s="1128"/>
      <c r="K353" s="313">
        <f t="shared" si="63"/>
        <v>1</v>
      </c>
      <c r="L353" s="1128"/>
      <c r="M353" s="313">
        <f t="shared" si="64"/>
        <v>1</v>
      </c>
      <c r="N353" s="1128"/>
      <c r="O353" s="313">
        <f t="shared" si="65"/>
        <v>1</v>
      </c>
      <c r="P353" s="1128"/>
      <c r="Q353" s="313">
        <f t="shared" si="66"/>
        <v>1</v>
      </c>
      <c r="R353" s="1124">
        <f t="shared" si="67"/>
        <v>0</v>
      </c>
      <c r="S353" s="698">
        <f t="shared" si="58"/>
        <v>0</v>
      </c>
    </row>
    <row r="354" spans="1:19">
      <c r="A354" s="491"/>
      <c r="B354" s="348"/>
      <c r="C354" s="313">
        <f t="shared" si="59"/>
        <v>1</v>
      </c>
      <c r="D354" s="1128"/>
      <c r="E354" s="313">
        <f t="shared" si="60"/>
        <v>1</v>
      </c>
      <c r="F354" s="1128"/>
      <c r="G354" s="313">
        <f t="shared" si="61"/>
        <v>1</v>
      </c>
      <c r="H354" s="1128"/>
      <c r="I354" s="313">
        <f t="shared" si="62"/>
        <v>1</v>
      </c>
      <c r="J354" s="1128"/>
      <c r="K354" s="313">
        <f t="shared" si="63"/>
        <v>1</v>
      </c>
      <c r="L354" s="1128"/>
      <c r="M354" s="313">
        <f t="shared" si="64"/>
        <v>1</v>
      </c>
      <c r="N354" s="1128"/>
      <c r="O354" s="313">
        <f t="shared" si="65"/>
        <v>1</v>
      </c>
      <c r="P354" s="1128"/>
      <c r="Q354" s="313">
        <f t="shared" si="66"/>
        <v>1</v>
      </c>
      <c r="R354" s="1124">
        <f t="shared" si="67"/>
        <v>0</v>
      </c>
      <c r="S354" s="698">
        <f t="shared" si="58"/>
        <v>0</v>
      </c>
    </row>
    <row r="355" spans="1:19">
      <c r="A355" s="491"/>
      <c r="B355" s="348"/>
      <c r="C355" s="313">
        <f t="shared" si="59"/>
        <v>1</v>
      </c>
      <c r="D355" s="1128"/>
      <c r="E355" s="313">
        <f t="shared" si="60"/>
        <v>1</v>
      </c>
      <c r="F355" s="1128"/>
      <c r="G355" s="313">
        <f t="shared" si="61"/>
        <v>1</v>
      </c>
      <c r="H355" s="1128"/>
      <c r="I355" s="313">
        <f t="shared" si="62"/>
        <v>1</v>
      </c>
      <c r="J355" s="1128"/>
      <c r="K355" s="313">
        <f t="shared" si="63"/>
        <v>1</v>
      </c>
      <c r="L355" s="1128"/>
      <c r="M355" s="313">
        <f t="shared" si="64"/>
        <v>1</v>
      </c>
      <c r="N355" s="1128"/>
      <c r="O355" s="313">
        <f t="shared" si="65"/>
        <v>1</v>
      </c>
      <c r="P355" s="1128"/>
      <c r="Q355" s="313">
        <f t="shared" si="66"/>
        <v>1</v>
      </c>
      <c r="R355" s="1124">
        <f t="shared" si="67"/>
        <v>0</v>
      </c>
      <c r="S355" s="698">
        <f t="shared" si="58"/>
        <v>0</v>
      </c>
    </row>
    <row r="356" spans="1:19">
      <c r="A356" s="491"/>
      <c r="B356" s="348"/>
      <c r="C356" s="313">
        <f t="shared" si="59"/>
        <v>1</v>
      </c>
      <c r="D356" s="1128"/>
      <c r="E356" s="313">
        <f t="shared" si="60"/>
        <v>1</v>
      </c>
      <c r="F356" s="1128"/>
      <c r="G356" s="313">
        <f t="shared" si="61"/>
        <v>1</v>
      </c>
      <c r="H356" s="1128"/>
      <c r="I356" s="313">
        <f t="shared" si="62"/>
        <v>1</v>
      </c>
      <c r="J356" s="1128"/>
      <c r="K356" s="313">
        <f t="shared" si="63"/>
        <v>1</v>
      </c>
      <c r="L356" s="1128"/>
      <c r="M356" s="313">
        <f t="shared" si="64"/>
        <v>1</v>
      </c>
      <c r="N356" s="1128"/>
      <c r="O356" s="313">
        <f t="shared" si="65"/>
        <v>1</v>
      </c>
      <c r="P356" s="1128"/>
      <c r="Q356" s="313">
        <f t="shared" si="66"/>
        <v>1</v>
      </c>
      <c r="R356" s="1124">
        <f t="shared" si="67"/>
        <v>0</v>
      </c>
      <c r="S356" s="698">
        <f t="shared" si="58"/>
        <v>0</v>
      </c>
    </row>
    <row r="357" spans="1:19">
      <c r="A357" s="491"/>
      <c r="B357" s="348"/>
      <c r="C357" s="313">
        <f t="shared" si="59"/>
        <v>1</v>
      </c>
      <c r="D357" s="1128"/>
      <c r="E357" s="313">
        <f t="shared" si="60"/>
        <v>1</v>
      </c>
      <c r="F357" s="1128"/>
      <c r="G357" s="313">
        <f t="shared" si="61"/>
        <v>1</v>
      </c>
      <c r="H357" s="1128"/>
      <c r="I357" s="313">
        <f t="shared" si="62"/>
        <v>1</v>
      </c>
      <c r="J357" s="1128"/>
      <c r="K357" s="313">
        <f t="shared" si="63"/>
        <v>1</v>
      </c>
      <c r="L357" s="1128"/>
      <c r="M357" s="313">
        <f t="shared" si="64"/>
        <v>1</v>
      </c>
      <c r="N357" s="1128"/>
      <c r="O357" s="313">
        <f t="shared" si="65"/>
        <v>1</v>
      </c>
      <c r="P357" s="1128"/>
      <c r="Q357" s="313">
        <f t="shared" si="66"/>
        <v>1</v>
      </c>
      <c r="R357" s="1124">
        <f t="shared" si="67"/>
        <v>0</v>
      </c>
      <c r="S357" s="698">
        <f t="shared" si="58"/>
        <v>0</v>
      </c>
    </row>
    <row r="358" spans="1:19">
      <c r="A358" s="491"/>
      <c r="B358" s="348"/>
      <c r="C358" s="313">
        <f t="shared" si="59"/>
        <v>1</v>
      </c>
      <c r="D358" s="1128"/>
      <c r="E358" s="313">
        <f t="shared" si="60"/>
        <v>1</v>
      </c>
      <c r="F358" s="1128"/>
      <c r="G358" s="313">
        <f t="shared" si="61"/>
        <v>1</v>
      </c>
      <c r="H358" s="1128"/>
      <c r="I358" s="313">
        <f t="shared" si="62"/>
        <v>1</v>
      </c>
      <c r="J358" s="1128"/>
      <c r="K358" s="313">
        <f t="shared" si="63"/>
        <v>1</v>
      </c>
      <c r="L358" s="1128"/>
      <c r="M358" s="313">
        <f t="shared" si="64"/>
        <v>1</v>
      </c>
      <c r="N358" s="1128"/>
      <c r="O358" s="313">
        <f t="shared" si="65"/>
        <v>1</v>
      </c>
      <c r="P358" s="1128"/>
      <c r="Q358" s="313">
        <f t="shared" si="66"/>
        <v>1</v>
      </c>
      <c r="R358" s="1124">
        <f t="shared" si="67"/>
        <v>0</v>
      </c>
      <c r="S358" s="698">
        <f t="shared" si="58"/>
        <v>0</v>
      </c>
    </row>
    <row r="359" spans="1:19">
      <c r="A359" s="491"/>
      <c r="B359" s="348"/>
      <c r="C359" s="313">
        <f t="shared" si="59"/>
        <v>1</v>
      </c>
      <c r="D359" s="1128"/>
      <c r="E359" s="313">
        <f t="shared" si="60"/>
        <v>1</v>
      </c>
      <c r="F359" s="1128"/>
      <c r="G359" s="313">
        <f t="shared" si="61"/>
        <v>1</v>
      </c>
      <c r="H359" s="1128"/>
      <c r="I359" s="313">
        <f t="shared" si="62"/>
        <v>1</v>
      </c>
      <c r="J359" s="1128"/>
      <c r="K359" s="313">
        <f t="shared" si="63"/>
        <v>1</v>
      </c>
      <c r="L359" s="1128"/>
      <c r="M359" s="313">
        <f t="shared" si="64"/>
        <v>1</v>
      </c>
      <c r="N359" s="1128"/>
      <c r="O359" s="313">
        <f t="shared" si="65"/>
        <v>1</v>
      </c>
      <c r="P359" s="1128"/>
      <c r="Q359" s="313">
        <f t="shared" si="66"/>
        <v>1</v>
      </c>
      <c r="R359" s="1124">
        <f t="shared" si="67"/>
        <v>0</v>
      </c>
      <c r="S359" s="698">
        <f t="shared" si="58"/>
        <v>0</v>
      </c>
    </row>
    <row r="360" spans="1:19">
      <c r="A360" s="491"/>
      <c r="B360" s="348"/>
      <c r="C360" s="313">
        <f t="shared" si="59"/>
        <v>1</v>
      </c>
      <c r="D360" s="1128"/>
      <c r="E360" s="313">
        <f t="shared" si="60"/>
        <v>1</v>
      </c>
      <c r="F360" s="1128"/>
      <c r="G360" s="313">
        <f t="shared" si="61"/>
        <v>1</v>
      </c>
      <c r="H360" s="1128"/>
      <c r="I360" s="313">
        <f t="shared" si="62"/>
        <v>1</v>
      </c>
      <c r="J360" s="1128"/>
      <c r="K360" s="313">
        <f t="shared" si="63"/>
        <v>1</v>
      </c>
      <c r="L360" s="1128"/>
      <c r="M360" s="313">
        <f t="shared" si="64"/>
        <v>1</v>
      </c>
      <c r="N360" s="1128"/>
      <c r="O360" s="313">
        <f t="shared" si="65"/>
        <v>1</v>
      </c>
      <c r="P360" s="1128"/>
      <c r="Q360" s="313">
        <f t="shared" si="66"/>
        <v>1</v>
      </c>
      <c r="R360" s="1124">
        <f t="shared" si="67"/>
        <v>0</v>
      </c>
      <c r="S360" s="698">
        <f t="shared" si="58"/>
        <v>0</v>
      </c>
    </row>
    <row r="361" spans="1:19">
      <c r="A361" s="491"/>
      <c r="B361" s="348"/>
      <c r="C361" s="313">
        <f t="shared" si="59"/>
        <v>1</v>
      </c>
      <c r="D361" s="1128"/>
      <c r="E361" s="313">
        <f t="shared" si="60"/>
        <v>1</v>
      </c>
      <c r="F361" s="1128"/>
      <c r="G361" s="313">
        <f t="shared" si="61"/>
        <v>1</v>
      </c>
      <c r="H361" s="1128"/>
      <c r="I361" s="313">
        <f t="shared" si="62"/>
        <v>1</v>
      </c>
      <c r="J361" s="1128"/>
      <c r="K361" s="313">
        <f t="shared" si="63"/>
        <v>1</v>
      </c>
      <c r="L361" s="1128"/>
      <c r="M361" s="313">
        <f t="shared" si="64"/>
        <v>1</v>
      </c>
      <c r="N361" s="1128"/>
      <c r="O361" s="313">
        <f t="shared" si="65"/>
        <v>1</v>
      </c>
      <c r="P361" s="1128"/>
      <c r="Q361" s="313">
        <f t="shared" si="66"/>
        <v>1</v>
      </c>
      <c r="R361" s="1124">
        <f t="shared" si="67"/>
        <v>0</v>
      </c>
      <c r="S361" s="698">
        <f t="shared" si="58"/>
        <v>0</v>
      </c>
    </row>
    <row r="362" spans="1:19">
      <c r="A362" s="491"/>
      <c r="B362" s="348"/>
      <c r="C362" s="313">
        <f t="shared" si="59"/>
        <v>1</v>
      </c>
      <c r="D362" s="1128"/>
      <c r="E362" s="313">
        <f t="shared" si="60"/>
        <v>1</v>
      </c>
      <c r="F362" s="1128"/>
      <c r="G362" s="313">
        <f t="shared" si="61"/>
        <v>1</v>
      </c>
      <c r="H362" s="1128"/>
      <c r="I362" s="313">
        <f t="shared" si="62"/>
        <v>1</v>
      </c>
      <c r="J362" s="1128"/>
      <c r="K362" s="313">
        <f t="shared" si="63"/>
        <v>1</v>
      </c>
      <c r="L362" s="1128"/>
      <c r="M362" s="313">
        <f t="shared" si="64"/>
        <v>1</v>
      </c>
      <c r="N362" s="1128"/>
      <c r="O362" s="313">
        <f t="shared" si="65"/>
        <v>1</v>
      </c>
      <c r="P362" s="1128"/>
      <c r="Q362" s="313">
        <f t="shared" si="66"/>
        <v>1</v>
      </c>
      <c r="R362" s="1124">
        <f t="shared" si="67"/>
        <v>0</v>
      </c>
      <c r="S362" s="698">
        <f t="shared" si="58"/>
        <v>0</v>
      </c>
    </row>
    <row r="363" spans="1:19">
      <c r="A363" s="491"/>
      <c r="B363" s="348"/>
      <c r="C363" s="313">
        <f t="shared" si="59"/>
        <v>1</v>
      </c>
      <c r="D363" s="1128"/>
      <c r="E363" s="313">
        <f t="shared" si="60"/>
        <v>1</v>
      </c>
      <c r="F363" s="1128"/>
      <c r="G363" s="313">
        <f t="shared" si="61"/>
        <v>1</v>
      </c>
      <c r="H363" s="1128"/>
      <c r="I363" s="313">
        <f t="shared" si="62"/>
        <v>1</v>
      </c>
      <c r="J363" s="1128"/>
      <c r="K363" s="313">
        <f t="shared" si="63"/>
        <v>1</v>
      </c>
      <c r="L363" s="1128"/>
      <c r="M363" s="313">
        <f t="shared" si="64"/>
        <v>1</v>
      </c>
      <c r="N363" s="1128"/>
      <c r="O363" s="313">
        <f t="shared" si="65"/>
        <v>1</v>
      </c>
      <c r="P363" s="1128"/>
      <c r="Q363" s="313">
        <f t="shared" si="66"/>
        <v>1</v>
      </c>
      <c r="R363" s="1124">
        <f t="shared" si="67"/>
        <v>0</v>
      </c>
      <c r="S363" s="698">
        <f t="shared" si="58"/>
        <v>0</v>
      </c>
    </row>
    <row r="364" spans="1:19">
      <c r="A364" s="491"/>
      <c r="B364" s="348"/>
      <c r="C364" s="313">
        <f t="shared" si="59"/>
        <v>1</v>
      </c>
      <c r="D364" s="1128"/>
      <c r="E364" s="313">
        <f t="shared" si="60"/>
        <v>1</v>
      </c>
      <c r="F364" s="1128"/>
      <c r="G364" s="313">
        <f t="shared" si="61"/>
        <v>1</v>
      </c>
      <c r="H364" s="1128"/>
      <c r="I364" s="313">
        <f t="shared" si="62"/>
        <v>1</v>
      </c>
      <c r="J364" s="1128"/>
      <c r="K364" s="313">
        <f t="shared" si="63"/>
        <v>1</v>
      </c>
      <c r="L364" s="1128"/>
      <c r="M364" s="313">
        <f t="shared" si="64"/>
        <v>1</v>
      </c>
      <c r="N364" s="1128"/>
      <c r="O364" s="313">
        <f t="shared" si="65"/>
        <v>1</v>
      </c>
      <c r="P364" s="1128"/>
      <c r="Q364" s="313">
        <f t="shared" si="66"/>
        <v>1</v>
      </c>
      <c r="R364" s="1124">
        <f t="shared" si="67"/>
        <v>0</v>
      </c>
      <c r="S364" s="698">
        <f t="shared" si="58"/>
        <v>0</v>
      </c>
    </row>
    <row r="365" spans="1:19">
      <c r="A365" s="491"/>
      <c r="B365" s="348"/>
      <c r="C365" s="313">
        <f t="shared" si="59"/>
        <v>1</v>
      </c>
      <c r="D365" s="1128"/>
      <c r="E365" s="313">
        <f t="shared" si="60"/>
        <v>1</v>
      </c>
      <c r="F365" s="1128"/>
      <c r="G365" s="313">
        <f t="shared" si="61"/>
        <v>1</v>
      </c>
      <c r="H365" s="1128"/>
      <c r="I365" s="313">
        <f t="shared" si="62"/>
        <v>1</v>
      </c>
      <c r="J365" s="1128"/>
      <c r="K365" s="313">
        <f t="shared" si="63"/>
        <v>1</v>
      </c>
      <c r="L365" s="1128"/>
      <c r="M365" s="313">
        <f t="shared" si="64"/>
        <v>1</v>
      </c>
      <c r="N365" s="1128"/>
      <c r="O365" s="313">
        <f t="shared" si="65"/>
        <v>1</v>
      </c>
      <c r="P365" s="1128"/>
      <c r="Q365" s="313">
        <f t="shared" si="66"/>
        <v>1</v>
      </c>
      <c r="R365" s="1124">
        <f t="shared" si="67"/>
        <v>0</v>
      </c>
      <c r="S365" s="698">
        <f t="shared" si="58"/>
        <v>0</v>
      </c>
    </row>
    <row r="366" spans="1:19">
      <c r="A366" s="491"/>
      <c r="B366" s="348"/>
      <c r="C366" s="313">
        <f t="shared" si="59"/>
        <v>1</v>
      </c>
      <c r="D366" s="1128"/>
      <c r="E366" s="313">
        <f t="shared" si="60"/>
        <v>1</v>
      </c>
      <c r="F366" s="1128"/>
      <c r="G366" s="313">
        <f t="shared" si="61"/>
        <v>1</v>
      </c>
      <c r="H366" s="1128"/>
      <c r="I366" s="313">
        <f t="shared" si="62"/>
        <v>1</v>
      </c>
      <c r="J366" s="1128"/>
      <c r="K366" s="313">
        <f t="shared" si="63"/>
        <v>1</v>
      </c>
      <c r="L366" s="1128"/>
      <c r="M366" s="313">
        <f t="shared" si="64"/>
        <v>1</v>
      </c>
      <c r="N366" s="1128"/>
      <c r="O366" s="313">
        <f t="shared" si="65"/>
        <v>1</v>
      </c>
      <c r="P366" s="1128"/>
      <c r="Q366" s="313">
        <f t="shared" si="66"/>
        <v>1</v>
      </c>
      <c r="R366" s="1124">
        <f t="shared" si="67"/>
        <v>0</v>
      </c>
      <c r="S366" s="698">
        <f t="shared" si="58"/>
        <v>0</v>
      </c>
    </row>
    <row r="367" spans="1:19">
      <c r="A367" s="491"/>
      <c r="B367" s="348"/>
      <c r="C367" s="313">
        <f t="shared" si="59"/>
        <v>1</v>
      </c>
      <c r="D367" s="1128"/>
      <c r="E367" s="313">
        <f t="shared" si="60"/>
        <v>1</v>
      </c>
      <c r="F367" s="1128"/>
      <c r="G367" s="313">
        <f t="shared" si="61"/>
        <v>1</v>
      </c>
      <c r="H367" s="1128"/>
      <c r="I367" s="313">
        <f t="shared" si="62"/>
        <v>1</v>
      </c>
      <c r="J367" s="1128"/>
      <c r="K367" s="313">
        <f t="shared" si="63"/>
        <v>1</v>
      </c>
      <c r="L367" s="1128"/>
      <c r="M367" s="313">
        <f t="shared" si="64"/>
        <v>1</v>
      </c>
      <c r="N367" s="1128"/>
      <c r="O367" s="313">
        <f t="shared" si="65"/>
        <v>1</v>
      </c>
      <c r="P367" s="1128"/>
      <c r="Q367" s="313">
        <f t="shared" si="66"/>
        <v>1</v>
      </c>
      <c r="R367" s="1124">
        <f t="shared" si="67"/>
        <v>0</v>
      </c>
      <c r="S367" s="698">
        <f t="shared" si="58"/>
        <v>0</v>
      </c>
    </row>
    <row r="368" spans="1:19">
      <c r="A368" s="491"/>
      <c r="B368" s="348"/>
      <c r="C368" s="313">
        <f t="shared" si="59"/>
        <v>1</v>
      </c>
      <c r="D368" s="1128"/>
      <c r="E368" s="313">
        <f t="shared" si="60"/>
        <v>1</v>
      </c>
      <c r="F368" s="1128"/>
      <c r="G368" s="313">
        <f t="shared" si="61"/>
        <v>1</v>
      </c>
      <c r="H368" s="1128"/>
      <c r="I368" s="313">
        <f t="shared" si="62"/>
        <v>1</v>
      </c>
      <c r="J368" s="1128"/>
      <c r="K368" s="313">
        <f t="shared" si="63"/>
        <v>1</v>
      </c>
      <c r="L368" s="1128"/>
      <c r="M368" s="313">
        <f t="shared" si="64"/>
        <v>1</v>
      </c>
      <c r="N368" s="1128"/>
      <c r="O368" s="313">
        <f t="shared" si="65"/>
        <v>1</v>
      </c>
      <c r="P368" s="1128"/>
      <c r="Q368" s="313">
        <f t="shared" si="66"/>
        <v>1</v>
      </c>
      <c r="R368" s="1124">
        <f t="shared" si="67"/>
        <v>0</v>
      </c>
      <c r="S368" s="698">
        <f t="shared" si="58"/>
        <v>0</v>
      </c>
    </row>
    <row r="369" spans="1:19">
      <c r="A369" s="491"/>
      <c r="B369" s="348"/>
      <c r="C369" s="313">
        <f t="shared" si="59"/>
        <v>1</v>
      </c>
      <c r="D369" s="1128"/>
      <c r="E369" s="313">
        <f t="shared" si="60"/>
        <v>1</v>
      </c>
      <c r="F369" s="1128"/>
      <c r="G369" s="313">
        <f t="shared" si="61"/>
        <v>1</v>
      </c>
      <c r="H369" s="1128"/>
      <c r="I369" s="313">
        <f t="shared" si="62"/>
        <v>1</v>
      </c>
      <c r="J369" s="1128"/>
      <c r="K369" s="313">
        <f t="shared" si="63"/>
        <v>1</v>
      </c>
      <c r="L369" s="1128"/>
      <c r="M369" s="313">
        <f t="shared" si="64"/>
        <v>1</v>
      </c>
      <c r="N369" s="1128"/>
      <c r="O369" s="313">
        <f t="shared" si="65"/>
        <v>1</v>
      </c>
      <c r="P369" s="1128"/>
      <c r="Q369" s="313">
        <f t="shared" si="66"/>
        <v>1</v>
      </c>
      <c r="R369" s="1124">
        <f t="shared" si="67"/>
        <v>0</v>
      </c>
      <c r="S369" s="698">
        <f t="shared" si="58"/>
        <v>0</v>
      </c>
    </row>
    <row r="370" spans="1:19">
      <c r="A370" s="491"/>
      <c r="B370" s="348"/>
      <c r="C370" s="313">
        <f t="shared" si="59"/>
        <v>1</v>
      </c>
      <c r="D370" s="1128"/>
      <c r="E370" s="313">
        <f t="shared" si="60"/>
        <v>1</v>
      </c>
      <c r="F370" s="1128"/>
      <c r="G370" s="313">
        <f t="shared" si="61"/>
        <v>1</v>
      </c>
      <c r="H370" s="1128"/>
      <c r="I370" s="313">
        <f t="shared" si="62"/>
        <v>1</v>
      </c>
      <c r="J370" s="1128"/>
      <c r="K370" s="313">
        <f t="shared" si="63"/>
        <v>1</v>
      </c>
      <c r="L370" s="1128"/>
      <c r="M370" s="313">
        <f t="shared" si="64"/>
        <v>1</v>
      </c>
      <c r="N370" s="1128"/>
      <c r="O370" s="313">
        <f t="shared" si="65"/>
        <v>1</v>
      </c>
      <c r="P370" s="1128"/>
      <c r="Q370" s="313">
        <f t="shared" si="66"/>
        <v>1</v>
      </c>
      <c r="R370" s="1124">
        <f t="shared" si="67"/>
        <v>0</v>
      </c>
      <c r="S370" s="698">
        <f t="shared" si="58"/>
        <v>0</v>
      </c>
    </row>
    <row r="371" spans="1:19">
      <c r="A371" s="491"/>
      <c r="B371" s="348"/>
      <c r="C371" s="313">
        <f t="shared" si="59"/>
        <v>1</v>
      </c>
      <c r="D371" s="1128"/>
      <c r="E371" s="313">
        <f t="shared" si="60"/>
        <v>1</v>
      </c>
      <c r="F371" s="1128"/>
      <c r="G371" s="313">
        <f t="shared" si="61"/>
        <v>1</v>
      </c>
      <c r="H371" s="1128"/>
      <c r="I371" s="313">
        <f t="shared" si="62"/>
        <v>1</v>
      </c>
      <c r="J371" s="1128"/>
      <c r="K371" s="313">
        <f t="shared" si="63"/>
        <v>1</v>
      </c>
      <c r="L371" s="1128"/>
      <c r="M371" s="313">
        <f t="shared" si="64"/>
        <v>1</v>
      </c>
      <c r="N371" s="1128"/>
      <c r="O371" s="313">
        <f t="shared" si="65"/>
        <v>1</v>
      </c>
      <c r="P371" s="1128"/>
      <c r="Q371" s="313">
        <f t="shared" si="66"/>
        <v>1</v>
      </c>
      <c r="R371" s="1124">
        <f t="shared" si="67"/>
        <v>0</v>
      </c>
      <c r="S371" s="698">
        <f t="shared" si="58"/>
        <v>0</v>
      </c>
    </row>
    <row r="372" spans="1:19">
      <c r="A372" s="491"/>
      <c r="B372" s="348"/>
      <c r="C372" s="313">
        <f t="shared" si="59"/>
        <v>1</v>
      </c>
      <c r="D372" s="1128"/>
      <c r="E372" s="313">
        <f t="shared" si="60"/>
        <v>1</v>
      </c>
      <c r="F372" s="1128"/>
      <c r="G372" s="313">
        <f t="shared" si="61"/>
        <v>1</v>
      </c>
      <c r="H372" s="1128"/>
      <c r="I372" s="313">
        <f t="shared" si="62"/>
        <v>1</v>
      </c>
      <c r="J372" s="1128"/>
      <c r="K372" s="313">
        <f t="shared" si="63"/>
        <v>1</v>
      </c>
      <c r="L372" s="1128"/>
      <c r="M372" s="313">
        <f t="shared" si="64"/>
        <v>1</v>
      </c>
      <c r="N372" s="1128"/>
      <c r="O372" s="313">
        <f t="shared" si="65"/>
        <v>1</v>
      </c>
      <c r="P372" s="1128"/>
      <c r="Q372" s="313">
        <f t="shared" si="66"/>
        <v>1</v>
      </c>
      <c r="R372" s="1124">
        <f t="shared" si="67"/>
        <v>0</v>
      </c>
      <c r="S372" s="698">
        <f t="shared" si="58"/>
        <v>0</v>
      </c>
    </row>
    <row r="373" spans="1:19">
      <c r="A373" s="491"/>
      <c r="B373" s="348"/>
      <c r="C373" s="313">
        <f t="shared" si="59"/>
        <v>1</v>
      </c>
      <c r="D373" s="1128"/>
      <c r="E373" s="313">
        <f t="shared" si="60"/>
        <v>1</v>
      </c>
      <c r="F373" s="1128"/>
      <c r="G373" s="313">
        <f t="shared" si="61"/>
        <v>1</v>
      </c>
      <c r="H373" s="1128"/>
      <c r="I373" s="313">
        <f t="shared" si="62"/>
        <v>1</v>
      </c>
      <c r="J373" s="1128"/>
      <c r="K373" s="313">
        <f t="shared" si="63"/>
        <v>1</v>
      </c>
      <c r="L373" s="1128"/>
      <c r="M373" s="313">
        <f t="shared" si="64"/>
        <v>1</v>
      </c>
      <c r="N373" s="1128"/>
      <c r="O373" s="313">
        <f t="shared" si="65"/>
        <v>1</v>
      </c>
      <c r="P373" s="1128"/>
      <c r="Q373" s="313">
        <f t="shared" si="66"/>
        <v>1</v>
      </c>
      <c r="R373" s="1124">
        <f t="shared" si="67"/>
        <v>0</v>
      </c>
      <c r="S373" s="698">
        <f t="shared" si="58"/>
        <v>0</v>
      </c>
    </row>
    <row r="374" spans="1:19">
      <c r="A374" s="491"/>
      <c r="B374" s="348"/>
      <c r="C374" s="313">
        <f t="shared" si="59"/>
        <v>1</v>
      </c>
      <c r="D374" s="1128"/>
      <c r="E374" s="313">
        <f t="shared" si="60"/>
        <v>1</v>
      </c>
      <c r="F374" s="1128"/>
      <c r="G374" s="313">
        <f t="shared" si="61"/>
        <v>1</v>
      </c>
      <c r="H374" s="1128"/>
      <c r="I374" s="313">
        <f t="shared" si="62"/>
        <v>1</v>
      </c>
      <c r="J374" s="1128"/>
      <c r="K374" s="313">
        <f t="shared" si="63"/>
        <v>1</v>
      </c>
      <c r="L374" s="1128"/>
      <c r="M374" s="313">
        <f t="shared" si="64"/>
        <v>1</v>
      </c>
      <c r="N374" s="1128"/>
      <c r="O374" s="313">
        <f t="shared" si="65"/>
        <v>1</v>
      </c>
      <c r="P374" s="1128"/>
      <c r="Q374" s="313">
        <f t="shared" si="66"/>
        <v>1</v>
      </c>
      <c r="R374" s="1124">
        <f t="shared" si="67"/>
        <v>0</v>
      </c>
      <c r="S374" s="698">
        <f t="shared" si="58"/>
        <v>0</v>
      </c>
    </row>
    <row r="375" spans="1:19">
      <c r="A375" s="491"/>
      <c r="B375" s="348"/>
      <c r="C375" s="313">
        <f t="shared" si="59"/>
        <v>1</v>
      </c>
      <c r="D375" s="1128"/>
      <c r="E375" s="313">
        <f t="shared" si="60"/>
        <v>1</v>
      </c>
      <c r="F375" s="1128"/>
      <c r="G375" s="313">
        <f t="shared" si="61"/>
        <v>1</v>
      </c>
      <c r="H375" s="1128"/>
      <c r="I375" s="313">
        <f t="shared" si="62"/>
        <v>1</v>
      </c>
      <c r="J375" s="1128"/>
      <c r="K375" s="313">
        <f t="shared" si="63"/>
        <v>1</v>
      </c>
      <c r="L375" s="1128"/>
      <c r="M375" s="313">
        <f t="shared" si="64"/>
        <v>1</v>
      </c>
      <c r="N375" s="1128"/>
      <c r="O375" s="313">
        <f t="shared" si="65"/>
        <v>1</v>
      </c>
      <c r="P375" s="1128"/>
      <c r="Q375" s="313">
        <f t="shared" si="66"/>
        <v>1</v>
      </c>
      <c r="R375" s="1124">
        <f t="shared" si="67"/>
        <v>0</v>
      </c>
      <c r="S375" s="698">
        <f t="shared" si="58"/>
        <v>0</v>
      </c>
    </row>
    <row r="376" spans="1:19">
      <c r="A376" s="491"/>
      <c r="B376" s="348"/>
      <c r="C376" s="313">
        <f t="shared" si="59"/>
        <v>1</v>
      </c>
      <c r="D376" s="1128"/>
      <c r="E376" s="313">
        <f t="shared" si="60"/>
        <v>1</v>
      </c>
      <c r="F376" s="1128"/>
      <c r="G376" s="313">
        <f t="shared" si="61"/>
        <v>1</v>
      </c>
      <c r="H376" s="1128"/>
      <c r="I376" s="313">
        <f t="shared" si="62"/>
        <v>1</v>
      </c>
      <c r="J376" s="1128"/>
      <c r="K376" s="313">
        <f t="shared" si="63"/>
        <v>1</v>
      </c>
      <c r="L376" s="1128"/>
      <c r="M376" s="313">
        <f t="shared" si="64"/>
        <v>1</v>
      </c>
      <c r="N376" s="1128"/>
      <c r="O376" s="313">
        <f t="shared" si="65"/>
        <v>1</v>
      </c>
      <c r="P376" s="1128"/>
      <c r="Q376" s="313">
        <f t="shared" si="66"/>
        <v>1</v>
      </c>
      <c r="R376" s="1124">
        <f t="shared" si="67"/>
        <v>0</v>
      </c>
      <c r="S376" s="698">
        <f t="shared" si="58"/>
        <v>0</v>
      </c>
    </row>
    <row r="377" spans="1:19">
      <c r="A377" s="491"/>
      <c r="B377" s="348"/>
      <c r="C377" s="313">
        <f t="shared" si="59"/>
        <v>1</v>
      </c>
      <c r="D377" s="1128"/>
      <c r="E377" s="313">
        <f t="shared" si="60"/>
        <v>1</v>
      </c>
      <c r="F377" s="1128"/>
      <c r="G377" s="313">
        <f t="shared" si="61"/>
        <v>1</v>
      </c>
      <c r="H377" s="1128"/>
      <c r="I377" s="313">
        <f t="shared" si="62"/>
        <v>1</v>
      </c>
      <c r="J377" s="1128"/>
      <c r="K377" s="313">
        <f t="shared" si="63"/>
        <v>1</v>
      </c>
      <c r="L377" s="1128"/>
      <c r="M377" s="313">
        <f t="shared" si="64"/>
        <v>1</v>
      </c>
      <c r="N377" s="1128"/>
      <c r="O377" s="313">
        <f t="shared" si="65"/>
        <v>1</v>
      </c>
      <c r="P377" s="1128"/>
      <c r="Q377" s="313">
        <f t="shared" si="66"/>
        <v>1</v>
      </c>
      <c r="R377" s="1124">
        <f t="shared" si="67"/>
        <v>0</v>
      </c>
      <c r="S377" s="698">
        <f t="shared" si="58"/>
        <v>0</v>
      </c>
    </row>
    <row r="378" spans="1:19">
      <c r="A378" s="491"/>
      <c r="B378" s="348"/>
      <c r="C378" s="313">
        <f t="shared" si="59"/>
        <v>1</v>
      </c>
      <c r="D378" s="1128"/>
      <c r="E378" s="313">
        <f t="shared" si="60"/>
        <v>1</v>
      </c>
      <c r="F378" s="1128"/>
      <c r="G378" s="313">
        <f t="shared" si="61"/>
        <v>1</v>
      </c>
      <c r="H378" s="1128"/>
      <c r="I378" s="313">
        <f t="shared" si="62"/>
        <v>1</v>
      </c>
      <c r="J378" s="1128"/>
      <c r="K378" s="313">
        <f t="shared" si="63"/>
        <v>1</v>
      </c>
      <c r="L378" s="1128"/>
      <c r="M378" s="313">
        <f t="shared" si="64"/>
        <v>1</v>
      </c>
      <c r="N378" s="1128"/>
      <c r="O378" s="313">
        <f t="shared" si="65"/>
        <v>1</v>
      </c>
      <c r="P378" s="1128"/>
      <c r="Q378" s="313">
        <f t="shared" si="66"/>
        <v>1</v>
      </c>
      <c r="R378" s="1124">
        <f t="shared" si="67"/>
        <v>0</v>
      </c>
      <c r="S378" s="698">
        <f t="shared" si="58"/>
        <v>0</v>
      </c>
    </row>
    <row r="379" spans="1:19">
      <c r="A379" s="491"/>
      <c r="B379" s="348"/>
      <c r="C379" s="313">
        <f t="shared" si="59"/>
        <v>1</v>
      </c>
      <c r="D379" s="1128"/>
      <c r="E379" s="313">
        <f t="shared" si="60"/>
        <v>1</v>
      </c>
      <c r="F379" s="1128"/>
      <c r="G379" s="313">
        <f t="shared" si="61"/>
        <v>1</v>
      </c>
      <c r="H379" s="1128"/>
      <c r="I379" s="313">
        <f t="shared" si="62"/>
        <v>1</v>
      </c>
      <c r="J379" s="1128"/>
      <c r="K379" s="313">
        <f t="shared" si="63"/>
        <v>1</v>
      </c>
      <c r="L379" s="1128"/>
      <c r="M379" s="313">
        <f t="shared" si="64"/>
        <v>1</v>
      </c>
      <c r="N379" s="1128"/>
      <c r="O379" s="313">
        <f t="shared" si="65"/>
        <v>1</v>
      </c>
      <c r="P379" s="1128"/>
      <c r="Q379" s="313">
        <f t="shared" si="66"/>
        <v>1</v>
      </c>
      <c r="R379" s="1124">
        <f t="shared" si="67"/>
        <v>0</v>
      </c>
      <c r="S379" s="698">
        <f t="shared" si="58"/>
        <v>0</v>
      </c>
    </row>
    <row r="380" spans="1:19">
      <c r="A380" s="491"/>
      <c r="B380" s="348"/>
      <c r="C380" s="313">
        <f t="shared" si="59"/>
        <v>1</v>
      </c>
      <c r="D380" s="1128"/>
      <c r="E380" s="313">
        <f t="shared" si="60"/>
        <v>1</v>
      </c>
      <c r="F380" s="1128"/>
      <c r="G380" s="313">
        <f t="shared" si="61"/>
        <v>1</v>
      </c>
      <c r="H380" s="1128"/>
      <c r="I380" s="313">
        <f t="shared" si="62"/>
        <v>1</v>
      </c>
      <c r="J380" s="1128"/>
      <c r="K380" s="313">
        <f t="shared" si="63"/>
        <v>1</v>
      </c>
      <c r="L380" s="1128"/>
      <c r="M380" s="313">
        <f t="shared" si="64"/>
        <v>1</v>
      </c>
      <c r="N380" s="1128"/>
      <c r="O380" s="313">
        <f t="shared" si="65"/>
        <v>1</v>
      </c>
      <c r="P380" s="1128"/>
      <c r="Q380" s="313">
        <f t="shared" si="66"/>
        <v>1</v>
      </c>
      <c r="R380" s="1124">
        <f t="shared" si="67"/>
        <v>0</v>
      </c>
      <c r="S380" s="698">
        <f t="shared" si="58"/>
        <v>0</v>
      </c>
    </row>
    <row r="381" spans="1:19">
      <c r="A381" s="491"/>
      <c r="B381" s="348"/>
      <c r="C381" s="313">
        <f t="shared" si="59"/>
        <v>1</v>
      </c>
      <c r="D381" s="1128"/>
      <c r="E381" s="313">
        <f t="shared" si="60"/>
        <v>1</v>
      </c>
      <c r="F381" s="1128"/>
      <c r="G381" s="313">
        <f t="shared" si="61"/>
        <v>1</v>
      </c>
      <c r="H381" s="1128"/>
      <c r="I381" s="313">
        <f t="shared" si="62"/>
        <v>1</v>
      </c>
      <c r="J381" s="1128"/>
      <c r="K381" s="313">
        <f t="shared" si="63"/>
        <v>1</v>
      </c>
      <c r="L381" s="1128"/>
      <c r="M381" s="313">
        <f t="shared" si="64"/>
        <v>1</v>
      </c>
      <c r="N381" s="1128"/>
      <c r="O381" s="313">
        <f t="shared" si="65"/>
        <v>1</v>
      </c>
      <c r="P381" s="1128"/>
      <c r="Q381" s="313">
        <f t="shared" si="66"/>
        <v>1</v>
      </c>
      <c r="R381" s="1124">
        <f t="shared" si="67"/>
        <v>0</v>
      </c>
      <c r="S381" s="698">
        <f t="shared" si="58"/>
        <v>0</v>
      </c>
    </row>
    <row r="382" spans="1:19">
      <c r="A382" s="491"/>
      <c r="B382" s="348"/>
      <c r="C382" s="313">
        <f t="shared" si="59"/>
        <v>1</v>
      </c>
      <c r="D382" s="1128"/>
      <c r="E382" s="313">
        <f t="shared" si="60"/>
        <v>1</v>
      </c>
      <c r="F382" s="1128"/>
      <c r="G382" s="313">
        <f t="shared" si="61"/>
        <v>1</v>
      </c>
      <c r="H382" s="1128"/>
      <c r="I382" s="313">
        <f t="shared" si="62"/>
        <v>1</v>
      </c>
      <c r="J382" s="1128"/>
      <c r="K382" s="313">
        <f t="shared" si="63"/>
        <v>1</v>
      </c>
      <c r="L382" s="1128"/>
      <c r="M382" s="313">
        <f t="shared" si="64"/>
        <v>1</v>
      </c>
      <c r="N382" s="1128"/>
      <c r="O382" s="313">
        <f t="shared" si="65"/>
        <v>1</v>
      </c>
      <c r="P382" s="1128"/>
      <c r="Q382" s="313">
        <f t="shared" si="66"/>
        <v>1</v>
      </c>
      <c r="R382" s="1124">
        <f t="shared" si="67"/>
        <v>0</v>
      </c>
      <c r="S382" s="698">
        <f t="shared" si="58"/>
        <v>0</v>
      </c>
    </row>
    <row r="383" spans="1:19">
      <c r="A383" s="491"/>
      <c r="B383" s="348"/>
      <c r="C383" s="313">
        <f t="shared" si="59"/>
        <v>1</v>
      </c>
      <c r="D383" s="1128"/>
      <c r="E383" s="313">
        <f t="shared" si="60"/>
        <v>1</v>
      </c>
      <c r="F383" s="1128"/>
      <c r="G383" s="313">
        <f t="shared" si="61"/>
        <v>1</v>
      </c>
      <c r="H383" s="1128"/>
      <c r="I383" s="313">
        <f t="shared" si="62"/>
        <v>1</v>
      </c>
      <c r="J383" s="1128"/>
      <c r="K383" s="313">
        <f t="shared" si="63"/>
        <v>1</v>
      </c>
      <c r="L383" s="1128"/>
      <c r="M383" s="313">
        <f t="shared" si="64"/>
        <v>1</v>
      </c>
      <c r="N383" s="1128"/>
      <c r="O383" s="313">
        <f t="shared" si="65"/>
        <v>1</v>
      </c>
      <c r="P383" s="1128"/>
      <c r="Q383" s="313">
        <f t="shared" si="66"/>
        <v>1</v>
      </c>
      <c r="R383" s="1124">
        <f t="shared" si="67"/>
        <v>0</v>
      </c>
      <c r="S383" s="698">
        <f t="shared" si="58"/>
        <v>0</v>
      </c>
    </row>
    <row r="384" spans="1:19">
      <c r="A384" s="491"/>
      <c r="B384" s="348"/>
      <c r="C384" s="313">
        <f t="shared" si="59"/>
        <v>1</v>
      </c>
      <c r="D384" s="1128"/>
      <c r="E384" s="313">
        <f t="shared" si="60"/>
        <v>1</v>
      </c>
      <c r="F384" s="1128"/>
      <c r="G384" s="313">
        <f t="shared" si="61"/>
        <v>1</v>
      </c>
      <c r="H384" s="1128"/>
      <c r="I384" s="313">
        <f t="shared" si="62"/>
        <v>1</v>
      </c>
      <c r="J384" s="1128"/>
      <c r="K384" s="313">
        <f t="shared" si="63"/>
        <v>1</v>
      </c>
      <c r="L384" s="1128"/>
      <c r="M384" s="313">
        <f t="shared" si="64"/>
        <v>1</v>
      </c>
      <c r="N384" s="1128"/>
      <c r="O384" s="313">
        <f t="shared" si="65"/>
        <v>1</v>
      </c>
      <c r="P384" s="1128"/>
      <c r="Q384" s="313">
        <f t="shared" si="66"/>
        <v>1</v>
      </c>
      <c r="R384" s="1124">
        <f t="shared" si="67"/>
        <v>0</v>
      </c>
      <c r="S384" s="698">
        <f t="shared" si="58"/>
        <v>0</v>
      </c>
    </row>
    <row r="385" spans="1:19">
      <c r="A385" s="491"/>
      <c r="B385" s="348"/>
      <c r="C385" s="313">
        <f t="shared" si="59"/>
        <v>1</v>
      </c>
      <c r="D385" s="1128"/>
      <c r="E385" s="313">
        <f t="shared" si="60"/>
        <v>1</v>
      </c>
      <c r="F385" s="1128"/>
      <c r="G385" s="313">
        <f t="shared" si="61"/>
        <v>1</v>
      </c>
      <c r="H385" s="1128"/>
      <c r="I385" s="313">
        <f t="shared" si="62"/>
        <v>1</v>
      </c>
      <c r="J385" s="1128"/>
      <c r="K385" s="313">
        <f t="shared" si="63"/>
        <v>1</v>
      </c>
      <c r="L385" s="1128"/>
      <c r="M385" s="313">
        <f t="shared" si="64"/>
        <v>1</v>
      </c>
      <c r="N385" s="1128"/>
      <c r="O385" s="313">
        <f t="shared" si="65"/>
        <v>1</v>
      </c>
      <c r="P385" s="1128"/>
      <c r="Q385" s="313">
        <f t="shared" si="66"/>
        <v>1</v>
      </c>
      <c r="R385" s="1124">
        <f t="shared" si="67"/>
        <v>0</v>
      </c>
      <c r="S385" s="698">
        <f t="shared" ref="S385:S422" si="68">ROUND(R385*B385/10000,0)</f>
        <v>0</v>
      </c>
    </row>
    <row r="386" spans="1:19">
      <c r="A386" s="491"/>
      <c r="B386" s="348"/>
      <c r="C386" s="313">
        <f t="shared" si="59"/>
        <v>1</v>
      </c>
      <c r="D386" s="1128"/>
      <c r="E386" s="313">
        <f t="shared" si="60"/>
        <v>1</v>
      </c>
      <c r="F386" s="1128"/>
      <c r="G386" s="313">
        <f t="shared" si="61"/>
        <v>1</v>
      </c>
      <c r="H386" s="1128"/>
      <c r="I386" s="313">
        <f t="shared" si="62"/>
        <v>1</v>
      </c>
      <c r="J386" s="1128"/>
      <c r="K386" s="313">
        <f t="shared" si="63"/>
        <v>1</v>
      </c>
      <c r="L386" s="1128"/>
      <c r="M386" s="313">
        <f t="shared" si="64"/>
        <v>1</v>
      </c>
      <c r="N386" s="1128"/>
      <c r="O386" s="313">
        <f t="shared" si="65"/>
        <v>1</v>
      </c>
      <c r="P386" s="1128"/>
      <c r="Q386" s="313">
        <f t="shared" si="66"/>
        <v>1</v>
      </c>
      <c r="R386" s="1124">
        <f t="shared" si="67"/>
        <v>0</v>
      </c>
      <c r="S386" s="698">
        <f t="shared" si="68"/>
        <v>0</v>
      </c>
    </row>
    <row r="387" spans="1:19">
      <c r="A387" s="491"/>
      <c r="B387" s="348"/>
      <c r="C387" s="313">
        <f t="shared" si="59"/>
        <v>1</v>
      </c>
      <c r="D387" s="1128"/>
      <c r="E387" s="313">
        <f t="shared" si="60"/>
        <v>1</v>
      </c>
      <c r="F387" s="1128"/>
      <c r="G387" s="313">
        <f t="shared" si="61"/>
        <v>1</v>
      </c>
      <c r="H387" s="1128"/>
      <c r="I387" s="313">
        <f t="shared" si="62"/>
        <v>1</v>
      </c>
      <c r="J387" s="1128"/>
      <c r="K387" s="313">
        <f t="shared" si="63"/>
        <v>1</v>
      </c>
      <c r="L387" s="1128"/>
      <c r="M387" s="313">
        <f t="shared" si="64"/>
        <v>1</v>
      </c>
      <c r="N387" s="1128"/>
      <c r="O387" s="313">
        <f t="shared" si="65"/>
        <v>1</v>
      </c>
      <c r="P387" s="1128"/>
      <c r="Q387" s="313">
        <f t="shared" si="66"/>
        <v>1</v>
      </c>
      <c r="R387" s="1124">
        <f t="shared" si="67"/>
        <v>0</v>
      </c>
      <c r="S387" s="698">
        <f t="shared" si="68"/>
        <v>0</v>
      </c>
    </row>
    <row r="388" spans="1:19">
      <c r="A388" s="491"/>
      <c r="B388" s="348"/>
      <c r="C388" s="313">
        <f t="shared" si="59"/>
        <v>1</v>
      </c>
      <c r="D388" s="1128"/>
      <c r="E388" s="313">
        <f t="shared" si="60"/>
        <v>1</v>
      </c>
      <c r="F388" s="1128"/>
      <c r="G388" s="313">
        <f t="shared" si="61"/>
        <v>1</v>
      </c>
      <c r="H388" s="1128"/>
      <c r="I388" s="313">
        <f t="shared" si="62"/>
        <v>1</v>
      </c>
      <c r="J388" s="1128"/>
      <c r="K388" s="313">
        <f t="shared" si="63"/>
        <v>1</v>
      </c>
      <c r="L388" s="1128"/>
      <c r="M388" s="313">
        <f t="shared" si="64"/>
        <v>1</v>
      </c>
      <c r="N388" s="1128"/>
      <c r="O388" s="313">
        <f t="shared" si="65"/>
        <v>1</v>
      </c>
      <c r="P388" s="1128"/>
      <c r="Q388" s="313">
        <f t="shared" si="66"/>
        <v>1</v>
      </c>
      <c r="R388" s="1124">
        <f t="shared" si="67"/>
        <v>0</v>
      </c>
      <c r="S388" s="698">
        <f t="shared" si="68"/>
        <v>0</v>
      </c>
    </row>
    <row r="389" spans="1:19">
      <c r="A389" s="491"/>
      <c r="B389" s="348"/>
      <c r="C389" s="313">
        <f t="shared" si="59"/>
        <v>1</v>
      </c>
      <c r="D389" s="1128"/>
      <c r="E389" s="313">
        <f t="shared" si="60"/>
        <v>1</v>
      </c>
      <c r="F389" s="1128"/>
      <c r="G389" s="313">
        <f t="shared" si="61"/>
        <v>1</v>
      </c>
      <c r="H389" s="1128"/>
      <c r="I389" s="313">
        <f t="shared" si="62"/>
        <v>1</v>
      </c>
      <c r="J389" s="1128"/>
      <c r="K389" s="313">
        <f t="shared" si="63"/>
        <v>1</v>
      </c>
      <c r="L389" s="1128"/>
      <c r="M389" s="313">
        <f t="shared" si="64"/>
        <v>1</v>
      </c>
      <c r="N389" s="1128"/>
      <c r="O389" s="313">
        <f t="shared" si="65"/>
        <v>1</v>
      </c>
      <c r="P389" s="1128"/>
      <c r="Q389" s="313">
        <f t="shared" si="66"/>
        <v>1</v>
      </c>
      <c r="R389" s="1124">
        <f t="shared" si="67"/>
        <v>0</v>
      </c>
      <c r="S389" s="698">
        <f t="shared" si="68"/>
        <v>0</v>
      </c>
    </row>
    <row r="390" spans="1:19">
      <c r="A390" s="491"/>
      <c r="B390" s="348"/>
      <c r="C390" s="313">
        <f t="shared" si="59"/>
        <v>1</v>
      </c>
      <c r="D390" s="1128"/>
      <c r="E390" s="313">
        <f t="shared" si="60"/>
        <v>1</v>
      </c>
      <c r="F390" s="1128"/>
      <c r="G390" s="313">
        <f t="shared" si="61"/>
        <v>1</v>
      </c>
      <c r="H390" s="1128"/>
      <c r="I390" s="313">
        <f t="shared" si="62"/>
        <v>1</v>
      </c>
      <c r="J390" s="1128"/>
      <c r="K390" s="313">
        <f t="shared" si="63"/>
        <v>1</v>
      </c>
      <c r="L390" s="1128"/>
      <c r="M390" s="313">
        <f t="shared" si="64"/>
        <v>1</v>
      </c>
      <c r="N390" s="1128"/>
      <c r="O390" s="313">
        <f t="shared" si="65"/>
        <v>1</v>
      </c>
      <c r="P390" s="1128"/>
      <c r="Q390" s="313">
        <f t="shared" si="66"/>
        <v>1</v>
      </c>
      <c r="R390" s="1124">
        <f t="shared" si="67"/>
        <v>0</v>
      </c>
      <c r="S390" s="698">
        <f t="shared" si="68"/>
        <v>0</v>
      </c>
    </row>
    <row r="391" spans="1:19">
      <c r="A391" s="491"/>
      <c r="B391" s="348"/>
      <c r="C391" s="313">
        <f t="shared" si="59"/>
        <v>1</v>
      </c>
      <c r="D391" s="1128"/>
      <c r="E391" s="313">
        <f t="shared" si="60"/>
        <v>1</v>
      </c>
      <c r="F391" s="1128"/>
      <c r="G391" s="313">
        <f t="shared" si="61"/>
        <v>1</v>
      </c>
      <c r="H391" s="1128"/>
      <c r="I391" s="313">
        <f t="shared" si="62"/>
        <v>1</v>
      </c>
      <c r="J391" s="1128"/>
      <c r="K391" s="313">
        <f t="shared" si="63"/>
        <v>1</v>
      </c>
      <c r="L391" s="1128"/>
      <c r="M391" s="313">
        <f t="shared" si="64"/>
        <v>1</v>
      </c>
      <c r="N391" s="1128"/>
      <c r="O391" s="313">
        <f t="shared" si="65"/>
        <v>1</v>
      </c>
      <c r="P391" s="1128"/>
      <c r="Q391" s="313">
        <f t="shared" si="66"/>
        <v>1</v>
      </c>
      <c r="R391" s="1124">
        <f t="shared" si="67"/>
        <v>0</v>
      </c>
      <c r="S391" s="698">
        <f t="shared" si="68"/>
        <v>0</v>
      </c>
    </row>
    <row r="392" spans="1:19">
      <c r="A392" s="491"/>
      <c r="B392" s="348"/>
      <c r="C392" s="313">
        <f t="shared" si="59"/>
        <v>1</v>
      </c>
      <c r="D392" s="1128"/>
      <c r="E392" s="313">
        <f t="shared" si="60"/>
        <v>1</v>
      </c>
      <c r="F392" s="1128"/>
      <c r="G392" s="313">
        <f t="shared" si="61"/>
        <v>1</v>
      </c>
      <c r="H392" s="1128"/>
      <c r="I392" s="313">
        <f t="shared" si="62"/>
        <v>1</v>
      </c>
      <c r="J392" s="1128"/>
      <c r="K392" s="313">
        <f t="shared" si="63"/>
        <v>1</v>
      </c>
      <c r="L392" s="1128"/>
      <c r="M392" s="313">
        <f t="shared" si="64"/>
        <v>1</v>
      </c>
      <c r="N392" s="1128"/>
      <c r="O392" s="313">
        <f t="shared" si="65"/>
        <v>1</v>
      </c>
      <c r="P392" s="1128"/>
      <c r="Q392" s="313">
        <f t="shared" si="66"/>
        <v>1</v>
      </c>
      <c r="R392" s="1124">
        <f t="shared" si="67"/>
        <v>0</v>
      </c>
      <c r="S392" s="698">
        <f t="shared" si="68"/>
        <v>0</v>
      </c>
    </row>
    <row r="393" spans="1:19">
      <c r="A393" s="491"/>
      <c r="B393" s="348"/>
      <c r="C393" s="313">
        <f t="shared" si="59"/>
        <v>1</v>
      </c>
      <c r="D393" s="1128"/>
      <c r="E393" s="313">
        <f t="shared" si="60"/>
        <v>1</v>
      </c>
      <c r="F393" s="1128"/>
      <c r="G393" s="313">
        <f t="shared" si="61"/>
        <v>1</v>
      </c>
      <c r="H393" s="1128"/>
      <c r="I393" s="313">
        <f t="shared" si="62"/>
        <v>1</v>
      </c>
      <c r="J393" s="1128"/>
      <c r="K393" s="313">
        <f t="shared" si="63"/>
        <v>1</v>
      </c>
      <c r="L393" s="1128"/>
      <c r="M393" s="313">
        <f t="shared" si="64"/>
        <v>1</v>
      </c>
      <c r="N393" s="1128"/>
      <c r="O393" s="313">
        <f t="shared" si="65"/>
        <v>1</v>
      </c>
      <c r="P393" s="1128"/>
      <c r="Q393" s="313">
        <f t="shared" si="66"/>
        <v>1</v>
      </c>
      <c r="R393" s="1124">
        <f t="shared" si="67"/>
        <v>0</v>
      </c>
      <c r="S393" s="698">
        <f t="shared" si="68"/>
        <v>0</v>
      </c>
    </row>
    <row r="394" spans="1:19">
      <c r="A394" s="491"/>
      <c r="B394" s="348"/>
      <c r="C394" s="313">
        <f t="shared" si="59"/>
        <v>1</v>
      </c>
      <c r="D394" s="1128"/>
      <c r="E394" s="313">
        <f t="shared" si="60"/>
        <v>1</v>
      </c>
      <c r="F394" s="1128"/>
      <c r="G394" s="313">
        <f t="shared" si="61"/>
        <v>1</v>
      </c>
      <c r="H394" s="1128"/>
      <c r="I394" s="313">
        <f t="shared" si="62"/>
        <v>1</v>
      </c>
      <c r="J394" s="1128"/>
      <c r="K394" s="313">
        <f t="shared" si="63"/>
        <v>1</v>
      </c>
      <c r="L394" s="1128"/>
      <c r="M394" s="313">
        <f t="shared" si="64"/>
        <v>1</v>
      </c>
      <c r="N394" s="1128"/>
      <c r="O394" s="313">
        <f t="shared" si="65"/>
        <v>1</v>
      </c>
      <c r="P394" s="1128"/>
      <c r="Q394" s="313">
        <f t="shared" si="66"/>
        <v>1</v>
      </c>
      <c r="R394" s="1124">
        <f t="shared" si="67"/>
        <v>0</v>
      </c>
      <c r="S394" s="698">
        <f t="shared" si="68"/>
        <v>0</v>
      </c>
    </row>
    <row r="395" spans="1:19">
      <c r="A395" s="491"/>
      <c r="B395" s="348"/>
      <c r="C395" s="313">
        <f t="shared" si="59"/>
        <v>1</v>
      </c>
      <c r="D395" s="1128"/>
      <c r="E395" s="313">
        <f t="shared" si="60"/>
        <v>1</v>
      </c>
      <c r="F395" s="1128"/>
      <c r="G395" s="313">
        <f t="shared" si="61"/>
        <v>1</v>
      </c>
      <c r="H395" s="1128"/>
      <c r="I395" s="313">
        <f t="shared" si="62"/>
        <v>1</v>
      </c>
      <c r="J395" s="1128"/>
      <c r="K395" s="313">
        <f t="shared" si="63"/>
        <v>1</v>
      </c>
      <c r="L395" s="1128"/>
      <c r="M395" s="313">
        <f t="shared" si="64"/>
        <v>1</v>
      </c>
      <c r="N395" s="1128"/>
      <c r="O395" s="313">
        <f t="shared" si="65"/>
        <v>1</v>
      </c>
      <c r="P395" s="1128"/>
      <c r="Q395" s="313">
        <f t="shared" si="66"/>
        <v>1</v>
      </c>
      <c r="R395" s="1124">
        <f t="shared" si="67"/>
        <v>0</v>
      </c>
      <c r="S395" s="698">
        <f t="shared" si="68"/>
        <v>0</v>
      </c>
    </row>
    <row r="396" spans="1:19">
      <c r="A396" s="491"/>
      <c r="B396" s="348"/>
      <c r="C396" s="313">
        <f t="shared" si="59"/>
        <v>1</v>
      </c>
      <c r="D396" s="1128"/>
      <c r="E396" s="313">
        <f t="shared" si="60"/>
        <v>1</v>
      </c>
      <c r="F396" s="1128"/>
      <c r="G396" s="313">
        <f t="shared" si="61"/>
        <v>1</v>
      </c>
      <c r="H396" s="1128"/>
      <c r="I396" s="313">
        <f t="shared" si="62"/>
        <v>1</v>
      </c>
      <c r="J396" s="1128"/>
      <c r="K396" s="313">
        <f t="shared" si="63"/>
        <v>1</v>
      </c>
      <c r="L396" s="1128"/>
      <c r="M396" s="313">
        <f t="shared" si="64"/>
        <v>1</v>
      </c>
      <c r="N396" s="1128"/>
      <c r="O396" s="313">
        <f t="shared" si="65"/>
        <v>1</v>
      </c>
      <c r="P396" s="1128"/>
      <c r="Q396" s="313">
        <f t="shared" si="66"/>
        <v>1</v>
      </c>
      <c r="R396" s="1124">
        <f t="shared" si="67"/>
        <v>0</v>
      </c>
      <c r="S396" s="698">
        <f t="shared" si="68"/>
        <v>0</v>
      </c>
    </row>
    <row r="397" spans="1:19">
      <c r="A397" s="491"/>
      <c r="B397" s="348"/>
      <c r="C397" s="313">
        <f t="shared" si="59"/>
        <v>1</v>
      </c>
      <c r="D397" s="1128"/>
      <c r="E397" s="313">
        <f t="shared" si="60"/>
        <v>1</v>
      </c>
      <c r="F397" s="1128"/>
      <c r="G397" s="313">
        <f t="shared" si="61"/>
        <v>1</v>
      </c>
      <c r="H397" s="1128"/>
      <c r="I397" s="313">
        <f t="shared" si="62"/>
        <v>1</v>
      </c>
      <c r="J397" s="1128"/>
      <c r="K397" s="313">
        <f t="shared" si="63"/>
        <v>1</v>
      </c>
      <c r="L397" s="1128"/>
      <c r="M397" s="313">
        <f t="shared" si="64"/>
        <v>1</v>
      </c>
      <c r="N397" s="1128"/>
      <c r="O397" s="313">
        <f t="shared" si="65"/>
        <v>1</v>
      </c>
      <c r="P397" s="1128"/>
      <c r="Q397" s="313">
        <f t="shared" si="66"/>
        <v>1</v>
      </c>
      <c r="R397" s="1124">
        <f t="shared" si="67"/>
        <v>0</v>
      </c>
      <c r="S397" s="698">
        <f t="shared" si="68"/>
        <v>0</v>
      </c>
    </row>
    <row r="398" spans="1:19">
      <c r="A398" s="491"/>
      <c r="B398" s="348"/>
      <c r="C398" s="313">
        <f t="shared" si="59"/>
        <v>1</v>
      </c>
      <c r="D398" s="1128"/>
      <c r="E398" s="313">
        <f t="shared" si="60"/>
        <v>1</v>
      </c>
      <c r="F398" s="1128"/>
      <c r="G398" s="313">
        <f t="shared" si="61"/>
        <v>1</v>
      </c>
      <c r="H398" s="1128"/>
      <c r="I398" s="313">
        <f t="shared" si="62"/>
        <v>1</v>
      </c>
      <c r="J398" s="1128"/>
      <c r="K398" s="313">
        <f t="shared" si="63"/>
        <v>1</v>
      </c>
      <c r="L398" s="1128"/>
      <c r="M398" s="313">
        <f t="shared" si="64"/>
        <v>1</v>
      </c>
      <c r="N398" s="1128"/>
      <c r="O398" s="313">
        <f t="shared" si="65"/>
        <v>1</v>
      </c>
      <c r="P398" s="1128"/>
      <c r="Q398" s="313">
        <f t="shared" si="66"/>
        <v>1</v>
      </c>
      <c r="R398" s="1124">
        <f t="shared" si="67"/>
        <v>0</v>
      </c>
      <c r="S398" s="698">
        <f t="shared" si="68"/>
        <v>0</v>
      </c>
    </row>
    <row r="399" spans="1:19">
      <c r="A399" s="491"/>
      <c r="B399" s="348"/>
      <c r="C399" s="313">
        <f t="shared" si="59"/>
        <v>1</v>
      </c>
      <c r="D399" s="1128"/>
      <c r="E399" s="313">
        <f t="shared" si="60"/>
        <v>1</v>
      </c>
      <c r="F399" s="1128"/>
      <c r="G399" s="313">
        <f t="shared" si="61"/>
        <v>1</v>
      </c>
      <c r="H399" s="1128"/>
      <c r="I399" s="313">
        <f t="shared" si="62"/>
        <v>1</v>
      </c>
      <c r="J399" s="1128"/>
      <c r="K399" s="313">
        <f t="shared" si="63"/>
        <v>1</v>
      </c>
      <c r="L399" s="1128"/>
      <c r="M399" s="313">
        <f t="shared" si="64"/>
        <v>1</v>
      </c>
      <c r="N399" s="1128"/>
      <c r="O399" s="313">
        <f t="shared" si="65"/>
        <v>1</v>
      </c>
      <c r="P399" s="1128"/>
      <c r="Q399" s="313">
        <f t="shared" si="66"/>
        <v>1</v>
      </c>
      <c r="R399" s="1124">
        <f t="shared" si="67"/>
        <v>0</v>
      </c>
      <c r="S399" s="698">
        <f t="shared" si="68"/>
        <v>0</v>
      </c>
    </row>
    <row r="400" spans="1:19">
      <c r="A400" s="491"/>
      <c r="B400" s="348"/>
      <c r="C400" s="313">
        <f t="shared" si="59"/>
        <v>1</v>
      </c>
      <c r="D400" s="1128"/>
      <c r="E400" s="313">
        <f t="shared" si="60"/>
        <v>1</v>
      </c>
      <c r="F400" s="1128"/>
      <c r="G400" s="313">
        <f t="shared" si="61"/>
        <v>1</v>
      </c>
      <c r="H400" s="1128"/>
      <c r="I400" s="313">
        <f t="shared" si="62"/>
        <v>1</v>
      </c>
      <c r="J400" s="1128"/>
      <c r="K400" s="313">
        <f t="shared" si="63"/>
        <v>1</v>
      </c>
      <c r="L400" s="1128"/>
      <c r="M400" s="313">
        <f t="shared" si="64"/>
        <v>1</v>
      </c>
      <c r="N400" s="1128"/>
      <c r="O400" s="313">
        <f t="shared" si="65"/>
        <v>1</v>
      </c>
      <c r="P400" s="1128"/>
      <c r="Q400" s="313">
        <f t="shared" si="66"/>
        <v>1</v>
      </c>
      <c r="R400" s="1124">
        <f t="shared" si="67"/>
        <v>0</v>
      </c>
      <c r="S400" s="698">
        <f t="shared" si="68"/>
        <v>0</v>
      </c>
    </row>
    <row r="401" spans="1:19">
      <c r="A401" s="491"/>
      <c r="B401" s="348"/>
      <c r="C401" s="313">
        <f t="shared" si="59"/>
        <v>1</v>
      </c>
      <c r="D401" s="1128"/>
      <c r="E401" s="313">
        <f t="shared" si="60"/>
        <v>1</v>
      </c>
      <c r="F401" s="1128"/>
      <c r="G401" s="313">
        <f t="shared" si="61"/>
        <v>1</v>
      </c>
      <c r="H401" s="1128"/>
      <c r="I401" s="313">
        <f t="shared" si="62"/>
        <v>1</v>
      </c>
      <c r="J401" s="1128"/>
      <c r="K401" s="313">
        <f t="shared" si="63"/>
        <v>1</v>
      </c>
      <c r="L401" s="1128"/>
      <c r="M401" s="313">
        <f t="shared" si="64"/>
        <v>1</v>
      </c>
      <c r="N401" s="1128"/>
      <c r="O401" s="313">
        <f t="shared" si="65"/>
        <v>1</v>
      </c>
      <c r="P401" s="1128"/>
      <c r="Q401" s="313">
        <f t="shared" si="66"/>
        <v>1</v>
      </c>
      <c r="R401" s="1124">
        <f t="shared" si="67"/>
        <v>0</v>
      </c>
      <c r="S401" s="698">
        <f t="shared" si="68"/>
        <v>0</v>
      </c>
    </row>
    <row r="402" spans="1:19">
      <c r="A402" s="491"/>
      <c r="B402" s="348"/>
      <c r="C402" s="313">
        <f t="shared" si="59"/>
        <v>1</v>
      </c>
      <c r="D402" s="1128"/>
      <c r="E402" s="313">
        <f t="shared" si="60"/>
        <v>1</v>
      </c>
      <c r="F402" s="1128"/>
      <c r="G402" s="313">
        <f t="shared" si="61"/>
        <v>1</v>
      </c>
      <c r="H402" s="1128"/>
      <c r="I402" s="313">
        <f t="shared" si="62"/>
        <v>1</v>
      </c>
      <c r="J402" s="1128"/>
      <c r="K402" s="313">
        <f t="shared" si="63"/>
        <v>1</v>
      </c>
      <c r="L402" s="1128"/>
      <c r="M402" s="313">
        <f t="shared" si="64"/>
        <v>1</v>
      </c>
      <c r="N402" s="1128"/>
      <c r="O402" s="313">
        <f t="shared" si="65"/>
        <v>1</v>
      </c>
      <c r="P402" s="1128"/>
      <c r="Q402" s="313">
        <f t="shared" si="66"/>
        <v>1</v>
      </c>
      <c r="R402" s="1124">
        <f t="shared" si="67"/>
        <v>0</v>
      </c>
      <c r="S402" s="698">
        <f t="shared" si="68"/>
        <v>0</v>
      </c>
    </row>
    <row r="403" spans="1:19">
      <c r="A403" s="491"/>
      <c r="B403" s="348"/>
      <c r="C403" s="313">
        <f t="shared" si="59"/>
        <v>1</v>
      </c>
      <c r="D403" s="1128"/>
      <c r="E403" s="313">
        <f t="shared" si="60"/>
        <v>1</v>
      </c>
      <c r="F403" s="1128"/>
      <c r="G403" s="313">
        <f t="shared" si="61"/>
        <v>1</v>
      </c>
      <c r="H403" s="1128"/>
      <c r="I403" s="313">
        <f t="shared" si="62"/>
        <v>1</v>
      </c>
      <c r="J403" s="1128"/>
      <c r="K403" s="313">
        <f t="shared" si="63"/>
        <v>1</v>
      </c>
      <c r="L403" s="1128"/>
      <c r="M403" s="313">
        <f t="shared" si="64"/>
        <v>1</v>
      </c>
      <c r="N403" s="1128"/>
      <c r="O403" s="313">
        <f t="shared" si="65"/>
        <v>1</v>
      </c>
      <c r="P403" s="1128"/>
      <c r="Q403" s="313">
        <f t="shared" si="66"/>
        <v>1</v>
      </c>
      <c r="R403" s="1124">
        <f t="shared" si="67"/>
        <v>0</v>
      </c>
      <c r="S403" s="698">
        <f t="shared" si="68"/>
        <v>0</v>
      </c>
    </row>
    <row r="404" spans="1:19">
      <c r="A404" s="491"/>
      <c r="B404" s="348"/>
      <c r="C404" s="313">
        <f t="shared" si="59"/>
        <v>1</v>
      </c>
      <c r="D404" s="1128"/>
      <c r="E404" s="313">
        <f t="shared" si="60"/>
        <v>1</v>
      </c>
      <c r="F404" s="1128"/>
      <c r="G404" s="313">
        <f t="shared" si="61"/>
        <v>1</v>
      </c>
      <c r="H404" s="1128"/>
      <c r="I404" s="313">
        <f t="shared" si="62"/>
        <v>1</v>
      </c>
      <c r="J404" s="1128"/>
      <c r="K404" s="313">
        <f t="shared" si="63"/>
        <v>1</v>
      </c>
      <c r="L404" s="1128"/>
      <c r="M404" s="313">
        <f t="shared" si="64"/>
        <v>1</v>
      </c>
      <c r="N404" s="1128"/>
      <c r="O404" s="313">
        <f t="shared" si="65"/>
        <v>1</v>
      </c>
      <c r="P404" s="1128"/>
      <c r="Q404" s="313">
        <f t="shared" si="66"/>
        <v>1</v>
      </c>
      <c r="R404" s="1124">
        <f t="shared" si="67"/>
        <v>0</v>
      </c>
      <c r="S404" s="698">
        <f t="shared" si="68"/>
        <v>0</v>
      </c>
    </row>
    <row r="405" spans="1:19">
      <c r="A405" s="491"/>
      <c r="B405" s="348"/>
      <c r="C405" s="313">
        <f t="shared" si="59"/>
        <v>1</v>
      </c>
      <c r="D405" s="1128"/>
      <c r="E405" s="313">
        <f t="shared" si="60"/>
        <v>1</v>
      </c>
      <c r="F405" s="1128"/>
      <c r="G405" s="313">
        <f t="shared" si="61"/>
        <v>1</v>
      </c>
      <c r="H405" s="1128"/>
      <c r="I405" s="313">
        <f t="shared" si="62"/>
        <v>1</v>
      </c>
      <c r="J405" s="1128"/>
      <c r="K405" s="313">
        <f t="shared" si="63"/>
        <v>1</v>
      </c>
      <c r="L405" s="1128"/>
      <c r="M405" s="313">
        <f t="shared" si="64"/>
        <v>1</v>
      </c>
      <c r="N405" s="1128"/>
      <c r="O405" s="313">
        <f t="shared" si="65"/>
        <v>1</v>
      </c>
      <c r="P405" s="1128"/>
      <c r="Q405" s="313">
        <f t="shared" si="66"/>
        <v>1</v>
      </c>
      <c r="R405" s="1124">
        <f t="shared" si="67"/>
        <v>0</v>
      </c>
      <c r="S405" s="698">
        <f t="shared" si="68"/>
        <v>0</v>
      </c>
    </row>
    <row r="406" spans="1:19">
      <c r="A406" s="491"/>
      <c r="B406" s="348"/>
      <c r="C406" s="313">
        <f t="shared" si="59"/>
        <v>1</v>
      </c>
      <c r="D406" s="1128"/>
      <c r="E406" s="313">
        <f t="shared" si="60"/>
        <v>1</v>
      </c>
      <c r="F406" s="1128"/>
      <c r="G406" s="313">
        <f t="shared" si="61"/>
        <v>1</v>
      </c>
      <c r="H406" s="1128"/>
      <c r="I406" s="313">
        <f t="shared" si="62"/>
        <v>1</v>
      </c>
      <c r="J406" s="1128"/>
      <c r="K406" s="313">
        <f t="shared" si="63"/>
        <v>1</v>
      </c>
      <c r="L406" s="1128"/>
      <c r="M406" s="313">
        <f t="shared" si="64"/>
        <v>1</v>
      </c>
      <c r="N406" s="1128"/>
      <c r="O406" s="313">
        <f t="shared" si="65"/>
        <v>1</v>
      </c>
      <c r="P406" s="1128"/>
      <c r="Q406" s="313">
        <f t="shared" si="66"/>
        <v>1</v>
      </c>
      <c r="R406" s="1124">
        <f t="shared" si="67"/>
        <v>0</v>
      </c>
      <c r="S406" s="698">
        <f t="shared" si="68"/>
        <v>0</v>
      </c>
    </row>
    <row r="407" spans="1:19">
      <c r="A407" s="491"/>
      <c r="B407" s="348"/>
      <c r="C407" s="313">
        <f t="shared" si="59"/>
        <v>1</v>
      </c>
      <c r="D407" s="1128"/>
      <c r="E407" s="313">
        <f t="shared" si="60"/>
        <v>1</v>
      </c>
      <c r="F407" s="1128"/>
      <c r="G407" s="313">
        <f t="shared" si="61"/>
        <v>1</v>
      </c>
      <c r="H407" s="1128"/>
      <c r="I407" s="313">
        <f t="shared" si="62"/>
        <v>1</v>
      </c>
      <c r="J407" s="1128"/>
      <c r="K407" s="313">
        <f t="shared" si="63"/>
        <v>1</v>
      </c>
      <c r="L407" s="1128"/>
      <c r="M407" s="313">
        <f t="shared" si="64"/>
        <v>1</v>
      </c>
      <c r="N407" s="1128"/>
      <c r="O407" s="313">
        <f t="shared" si="65"/>
        <v>1</v>
      </c>
      <c r="P407" s="1128"/>
      <c r="Q407" s="313">
        <f t="shared" si="66"/>
        <v>1</v>
      </c>
      <c r="R407" s="1124">
        <f t="shared" si="67"/>
        <v>0</v>
      </c>
      <c r="S407" s="698">
        <f t="shared" si="68"/>
        <v>0</v>
      </c>
    </row>
    <row r="408" spans="1:19">
      <c r="A408" s="491"/>
      <c r="B408" s="348"/>
      <c r="C408" s="313">
        <f t="shared" si="59"/>
        <v>1</v>
      </c>
      <c r="D408" s="1128"/>
      <c r="E408" s="313">
        <f t="shared" si="60"/>
        <v>1</v>
      </c>
      <c r="F408" s="1128"/>
      <c r="G408" s="313">
        <f t="shared" si="61"/>
        <v>1</v>
      </c>
      <c r="H408" s="1128"/>
      <c r="I408" s="313">
        <f t="shared" si="62"/>
        <v>1</v>
      </c>
      <c r="J408" s="1128"/>
      <c r="K408" s="313">
        <f t="shared" si="63"/>
        <v>1</v>
      </c>
      <c r="L408" s="1128"/>
      <c r="M408" s="313">
        <f t="shared" si="64"/>
        <v>1</v>
      </c>
      <c r="N408" s="1128"/>
      <c r="O408" s="313">
        <f t="shared" si="65"/>
        <v>1</v>
      </c>
      <c r="P408" s="1128"/>
      <c r="Q408" s="313">
        <f t="shared" si="66"/>
        <v>1</v>
      </c>
      <c r="R408" s="1124">
        <f t="shared" si="67"/>
        <v>0</v>
      </c>
      <c r="S408" s="698">
        <f t="shared" si="68"/>
        <v>0</v>
      </c>
    </row>
    <row r="409" spans="1:19">
      <c r="A409" s="491"/>
      <c r="B409" s="348"/>
      <c r="C409" s="313">
        <f t="shared" si="59"/>
        <v>1</v>
      </c>
      <c r="D409" s="1128"/>
      <c r="E409" s="313">
        <f t="shared" si="60"/>
        <v>1</v>
      </c>
      <c r="F409" s="1128"/>
      <c r="G409" s="313">
        <f t="shared" si="61"/>
        <v>1</v>
      </c>
      <c r="H409" s="1128"/>
      <c r="I409" s="313">
        <f t="shared" si="62"/>
        <v>1</v>
      </c>
      <c r="J409" s="1128"/>
      <c r="K409" s="313">
        <f t="shared" si="63"/>
        <v>1</v>
      </c>
      <c r="L409" s="1128"/>
      <c r="M409" s="313">
        <f t="shared" si="64"/>
        <v>1</v>
      </c>
      <c r="N409" s="1128"/>
      <c r="O409" s="313">
        <f t="shared" si="65"/>
        <v>1</v>
      </c>
      <c r="P409" s="1128"/>
      <c r="Q409" s="313">
        <f t="shared" si="66"/>
        <v>1</v>
      </c>
      <c r="R409" s="1124">
        <f t="shared" si="67"/>
        <v>0</v>
      </c>
      <c r="S409" s="698">
        <f t="shared" si="68"/>
        <v>0</v>
      </c>
    </row>
    <row r="410" spans="1:19">
      <c r="A410" s="491"/>
      <c r="B410" s="348"/>
      <c r="C410" s="313">
        <f t="shared" ref="C410:C473" si="69">IF(B410="",1,(LOOKUP(B410,$3:$3,$4:$4)-LOOKUP($B$24,$3:$3,$4:$4)+100)/100)</f>
        <v>1</v>
      </c>
      <c r="D410" s="1128"/>
      <c r="E410" s="313">
        <f t="shared" ref="E410:E473" si="70">(SUMIF($5:$5,D410,$6:$6)-SUMIF($5:$5,$D$24,$6:$6)+100)/100</f>
        <v>1</v>
      </c>
      <c r="F410" s="1128"/>
      <c r="G410" s="313">
        <f t="shared" ref="G410:G473" si="71">(SUMIF($7:$7,F410,$8:$8)-SUMIF($7:$7,$F$24,$8:$8)+100)/100</f>
        <v>1</v>
      </c>
      <c r="H410" s="1128"/>
      <c r="I410" s="313">
        <f t="shared" ref="I410:I473" si="72">(SUMIF($9:$9,H410,$10:$10)-SUMIF($9:$9,$H$24,$10:$10)+100)/100</f>
        <v>1</v>
      </c>
      <c r="J410" s="1128"/>
      <c r="K410" s="313">
        <f t="shared" ref="K410:K473" si="73">(SUMIF($11:$11,J410,$12:$12)-SUMIF($11:$11,$J$24,$12:$12)+100)/100</f>
        <v>1</v>
      </c>
      <c r="L410" s="1128"/>
      <c r="M410" s="313">
        <f t="shared" ref="M410:M473" si="74">(SUMIF($13:$13,L410,$14:$14)-SUMIF($13:$13,$L$24,$14:$14)+100)/100</f>
        <v>1</v>
      </c>
      <c r="N410" s="1128"/>
      <c r="O410" s="313">
        <f t="shared" ref="O410:O473" si="75">(SUMIF($15:$15,N410,$16:$16)-SUMIF($15:$15,$N$24,$16:$16)+100)/100</f>
        <v>1</v>
      </c>
      <c r="P410" s="1128"/>
      <c r="Q410" s="313">
        <f t="shared" ref="Q410:Q473" si="76">(SUMIF($17:$17,P410,$18:$18)-SUMIF($17:$17,$P$24,$18:$18)+100)/100</f>
        <v>1</v>
      </c>
      <c r="R410" s="1124">
        <f t="shared" ref="R410:R473" si="77">IF(B410="",0,ROUND($R$24*C410*E410*G410*I410*K410*M410*O410*Q410,0))</f>
        <v>0</v>
      </c>
      <c r="S410" s="698">
        <f t="shared" si="68"/>
        <v>0</v>
      </c>
    </row>
    <row r="411" spans="1:19">
      <c r="A411" s="491"/>
      <c r="B411" s="348"/>
      <c r="C411" s="313">
        <f t="shared" si="69"/>
        <v>1</v>
      </c>
      <c r="D411" s="1128"/>
      <c r="E411" s="313">
        <f t="shared" si="70"/>
        <v>1</v>
      </c>
      <c r="F411" s="1128"/>
      <c r="G411" s="313">
        <f t="shared" si="71"/>
        <v>1</v>
      </c>
      <c r="H411" s="1128"/>
      <c r="I411" s="313">
        <f t="shared" si="72"/>
        <v>1</v>
      </c>
      <c r="J411" s="1128"/>
      <c r="K411" s="313">
        <f t="shared" si="73"/>
        <v>1</v>
      </c>
      <c r="L411" s="1128"/>
      <c r="M411" s="313">
        <f t="shared" si="74"/>
        <v>1</v>
      </c>
      <c r="N411" s="1128"/>
      <c r="O411" s="313">
        <f t="shared" si="75"/>
        <v>1</v>
      </c>
      <c r="P411" s="1128"/>
      <c r="Q411" s="313">
        <f t="shared" si="76"/>
        <v>1</v>
      </c>
      <c r="R411" s="1124">
        <f t="shared" si="77"/>
        <v>0</v>
      </c>
      <c r="S411" s="698">
        <f t="shared" si="68"/>
        <v>0</v>
      </c>
    </row>
    <row r="412" spans="1:19">
      <c r="A412" s="491"/>
      <c r="B412" s="348"/>
      <c r="C412" s="313">
        <f t="shared" si="69"/>
        <v>1</v>
      </c>
      <c r="D412" s="1128"/>
      <c r="E412" s="313">
        <f t="shared" si="70"/>
        <v>1</v>
      </c>
      <c r="F412" s="1128"/>
      <c r="G412" s="313">
        <f t="shared" si="71"/>
        <v>1</v>
      </c>
      <c r="H412" s="1128"/>
      <c r="I412" s="313">
        <f t="shared" si="72"/>
        <v>1</v>
      </c>
      <c r="J412" s="1128"/>
      <c r="K412" s="313">
        <f t="shared" si="73"/>
        <v>1</v>
      </c>
      <c r="L412" s="1128"/>
      <c r="M412" s="313">
        <f t="shared" si="74"/>
        <v>1</v>
      </c>
      <c r="N412" s="1128"/>
      <c r="O412" s="313">
        <f t="shared" si="75"/>
        <v>1</v>
      </c>
      <c r="P412" s="1128"/>
      <c r="Q412" s="313">
        <f t="shared" si="76"/>
        <v>1</v>
      </c>
      <c r="R412" s="1124">
        <f t="shared" si="77"/>
        <v>0</v>
      </c>
      <c r="S412" s="698">
        <f t="shared" si="68"/>
        <v>0</v>
      </c>
    </row>
    <row r="413" spans="1:19">
      <c r="A413" s="491"/>
      <c r="B413" s="348"/>
      <c r="C413" s="313">
        <f t="shared" si="69"/>
        <v>1</v>
      </c>
      <c r="D413" s="1128"/>
      <c r="E413" s="313">
        <f t="shared" si="70"/>
        <v>1</v>
      </c>
      <c r="F413" s="1128"/>
      <c r="G413" s="313">
        <f t="shared" si="71"/>
        <v>1</v>
      </c>
      <c r="H413" s="1128"/>
      <c r="I413" s="313">
        <f t="shared" si="72"/>
        <v>1</v>
      </c>
      <c r="J413" s="1128"/>
      <c r="K413" s="313">
        <f t="shared" si="73"/>
        <v>1</v>
      </c>
      <c r="L413" s="1128"/>
      <c r="M413" s="313">
        <f t="shared" si="74"/>
        <v>1</v>
      </c>
      <c r="N413" s="1128"/>
      <c r="O413" s="313">
        <f t="shared" si="75"/>
        <v>1</v>
      </c>
      <c r="P413" s="1128"/>
      <c r="Q413" s="313">
        <f t="shared" si="76"/>
        <v>1</v>
      </c>
      <c r="R413" s="1124">
        <f t="shared" si="77"/>
        <v>0</v>
      </c>
      <c r="S413" s="698">
        <f t="shared" si="68"/>
        <v>0</v>
      </c>
    </row>
    <row r="414" spans="1:19">
      <c r="A414" s="491"/>
      <c r="B414" s="348"/>
      <c r="C414" s="313">
        <f t="shared" si="69"/>
        <v>1</v>
      </c>
      <c r="D414" s="1128"/>
      <c r="E414" s="313">
        <f t="shared" si="70"/>
        <v>1</v>
      </c>
      <c r="F414" s="1128"/>
      <c r="G414" s="313">
        <f t="shared" si="71"/>
        <v>1</v>
      </c>
      <c r="H414" s="1128"/>
      <c r="I414" s="313">
        <f t="shared" si="72"/>
        <v>1</v>
      </c>
      <c r="J414" s="1128"/>
      <c r="K414" s="313">
        <f t="shared" si="73"/>
        <v>1</v>
      </c>
      <c r="L414" s="1128"/>
      <c r="M414" s="313">
        <f t="shared" si="74"/>
        <v>1</v>
      </c>
      <c r="N414" s="1128"/>
      <c r="O414" s="313">
        <f t="shared" si="75"/>
        <v>1</v>
      </c>
      <c r="P414" s="1128"/>
      <c r="Q414" s="313">
        <f t="shared" si="76"/>
        <v>1</v>
      </c>
      <c r="R414" s="1124">
        <f t="shared" si="77"/>
        <v>0</v>
      </c>
      <c r="S414" s="698">
        <f t="shared" si="68"/>
        <v>0</v>
      </c>
    </row>
    <row r="415" spans="1:19">
      <c r="A415" s="491"/>
      <c r="B415" s="348"/>
      <c r="C415" s="313">
        <f t="shared" si="69"/>
        <v>1</v>
      </c>
      <c r="D415" s="1128"/>
      <c r="E415" s="313">
        <f t="shared" si="70"/>
        <v>1</v>
      </c>
      <c r="F415" s="1128"/>
      <c r="G415" s="313">
        <f t="shared" si="71"/>
        <v>1</v>
      </c>
      <c r="H415" s="1128"/>
      <c r="I415" s="313">
        <f t="shared" si="72"/>
        <v>1</v>
      </c>
      <c r="J415" s="1128"/>
      <c r="K415" s="313">
        <f t="shared" si="73"/>
        <v>1</v>
      </c>
      <c r="L415" s="1128"/>
      <c r="M415" s="313">
        <f t="shared" si="74"/>
        <v>1</v>
      </c>
      <c r="N415" s="1128"/>
      <c r="O415" s="313">
        <f t="shared" si="75"/>
        <v>1</v>
      </c>
      <c r="P415" s="1128"/>
      <c r="Q415" s="313">
        <f t="shared" si="76"/>
        <v>1</v>
      </c>
      <c r="R415" s="1124">
        <f t="shared" si="77"/>
        <v>0</v>
      </c>
      <c r="S415" s="698">
        <f t="shared" si="68"/>
        <v>0</v>
      </c>
    </row>
    <row r="416" spans="1:19">
      <c r="A416" s="491"/>
      <c r="B416" s="348"/>
      <c r="C416" s="313">
        <f t="shared" si="69"/>
        <v>1</v>
      </c>
      <c r="D416" s="1128"/>
      <c r="E416" s="313">
        <f t="shared" si="70"/>
        <v>1</v>
      </c>
      <c r="F416" s="1128"/>
      <c r="G416" s="313">
        <f t="shared" si="71"/>
        <v>1</v>
      </c>
      <c r="H416" s="1128"/>
      <c r="I416" s="313">
        <f t="shared" si="72"/>
        <v>1</v>
      </c>
      <c r="J416" s="1128"/>
      <c r="K416" s="313">
        <f t="shared" si="73"/>
        <v>1</v>
      </c>
      <c r="L416" s="1128"/>
      <c r="M416" s="313">
        <f t="shared" si="74"/>
        <v>1</v>
      </c>
      <c r="N416" s="1128"/>
      <c r="O416" s="313">
        <f t="shared" si="75"/>
        <v>1</v>
      </c>
      <c r="P416" s="1128"/>
      <c r="Q416" s="313">
        <f t="shared" si="76"/>
        <v>1</v>
      </c>
      <c r="R416" s="1124">
        <f t="shared" si="77"/>
        <v>0</v>
      </c>
      <c r="S416" s="698">
        <f t="shared" si="68"/>
        <v>0</v>
      </c>
    </row>
    <row r="417" spans="1:19">
      <c r="A417" s="491"/>
      <c r="B417" s="348"/>
      <c r="C417" s="313">
        <f t="shared" si="69"/>
        <v>1</v>
      </c>
      <c r="D417" s="1128"/>
      <c r="E417" s="313">
        <f t="shared" si="70"/>
        <v>1</v>
      </c>
      <c r="F417" s="1128"/>
      <c r="G417" s="313">
        <f t="shared" si="71"/>
        <v>1</v>
      </c>
      <c r="H417" s="1128"/>
      <c r="I417" s="313">
        <f t="shared" si="72"/>
        <v>1</v>
      </c>
      <c r="J417" s="1128"/>
      <c r="K417" s="313">
        <f t="shared" si="73"/>
        <v>1</v>
      </c>
      <c r="L417" s="1128"/>
      <c r="M417" s="313">
        <f t="shared" si="74"/>
        <v>1</v>
      </c>
      <c r="N417" s="1128"/>
      <c r="O417" s="313">
        <f t="shared" si="75"/>
        <v>1</v>
      </c>
      <c r="P417" s="1128"/>
      <c r="Q417" s="313">
        <f t="shared" si="76"/>
        <v>1</v>
      </c>
      <c r="R417" s="1124">
        <f t="shared" si="77"/>
        <v>0</v>
      </c>
      <c r="S417" s="698">
        <f t="shared" si="68"/>
        <v>0</v>
      </c>
    </row>
    <row r="418" spans="1:19">
      <c r="A418" s="491"/>
      <c r="B418" s="348"/>
      <c r="C418" s="313">
        <f t="shared" si="69"/>
        <v>1</v>
      </c>
      <c r="D418" s="1128"/>
      <c r="E418" s="313">
        <f t="shared" si="70"/>
        <v>1</v>
      </c>
      <c r="F418" s="1128"/>
      <c r="G418" s="313">
        <f t="shared" si="71"/>
        <v>1</v>
      </c>
      <c r="H418" s="1128"/>
      <c r="I418" s="313">
        <f t="shared" si="72"/>
        <v>1</v>
      </c>
      <c r="J418" s="1128"/>
      <c r="K418" s="313">
        <f t="shared" si="73"/>
        <v>1</v>
      </c>
      <c r="L418" s="1128"/>
      <c r="M418" s="313">
        <f t="shared" si="74"/>
        <v>1</v>
      </c>
      <c r="N418" s="1128"/>
      <c r="O418" s="313">
        <f t="shared" si="75"/>
        <v>1</v>
      </c>
      <c r="P418" s="1128"/>
      <c r="Q418" s="313">
        <f t="shared" si="76"/>
        <v>1</v>
      </c>
      <c r="R418" s="1124">
        <f t="shared" si="77"/>
        <v>0</v>
      </c>
      <c r="S418" s="698">
        <f t="shared" si="68"/>
        <v>0</v>
      </c>
    </row>
    <row r="419" spans="1:19">
      <c r="A419" s="491"/>
      <c r="B419" s="348"/>
      <c r="C419" s="313">
        <f t="shared" si="69"/>
        <v>1</v>
      </c>
      <c r="D419" s="1128"/>
      <c r="E419" s="313">
        <f t="shared" si="70"/>
        <v>1</v>
      </c>
      <c r="F419" s="1128"/>
      <c r="G419" s="313">
        <f t="shared" si="71"/>
        <v>1</v>
      </c>
      <c r="H419" s="1128"/>
      <c r="I419" s="313">
        <f t="shared" si="72"/>
        <v>1</v>
      </c>
      <c r="J419" s="1128"/>
      <c r="K419" s="313">
        <f t="shared" si="73"/>
        <v>1</v>
      </c>
      <c r="L419" s="1128"/>
      <c r="M419" s="313">
        <f t="shared" si="74"/>
        <v>1</v>
      </c>
      <c r="N419" s="1128"/>
      <c r="O419" s="313">
        <f t="shared" si="75"/>
        <v>1</v>
      </c>
      <c r="P419" s="1128"/>
      <c r="Q419" s="313">
        <f t="shared" si="76"/>
        <v>1</v>
      </c>
      <c r="R419" s="1124">
        <f t="shared" si="77"/>
        <v>0</v>
      </c>
      <c r="S419" s="698">
        <f t="shared" si="68"/>
        <v>0</v>
      </c>
    </row>
    <row r="420" spans="1:19">
      <c r="A420" s="491"/>
      <c r="B420" s="348"/>
      <c r="C420" s="313">
        <f t="shared" si="69"/>
        <v>1</v>
      </c>
      <c r="D420" s="1128"/>
      <c r="E420" s="313">
        <f t="shared" si="70"/>
        <v>1</v>
      </c>
      <c r="F420" s="1128"/>
      <c r="G420" s="313">
        <f t="shared" si="71"/>
        <v>1</v>
      </c>
      <c r="H420" s="1128"/>
      <c r="I420" s="313">
        <f t="shared" si="72"/>
        <v>1</v>
      </c>
      <c r="J420" s="1128"/>
      <c r="K420" s="313">
        <f t="shared" si="73"/>
        <v>1</v>
      </c>
      <c r="L420" s="1128"/>
      <c r="M420" s="313">
        <f t="shared" si="74"/>
        <v>1</v>
      </c>
      <c r="N420" s="1128"/>
      <c r="O420" s="313">
        <f t="shared" si="75"/>
        <v>1</v>
      </c>
      <c r="P420" s="1128"/>
      <c r="Q420" s="313">
        <f t="shared" si="76"/>
        <v>1</v>
      </c>
      <c r="R420" s="1124">
        <f t="shared" si="77"/>
        <v>0</v>
      </c>
      <c r="S420" s="698">
        <f t="shared" si="68"/>
        <v>0</v>
      </c>
    </row>
    <row r="421" spans="1:19">
      <c r="A421" s="491"/>
      <c r="B421" s="348"/>
      <c r="C421" s="313">
        <f t="shared" si="69"/>
        <v>1</v>
      </c>
      <c r="D421" s="1128"/>
      <c r="E421" s="313">
        <f t="shared" si="70"/>
        <v>1</v>
      </c>
      <c r="F421" s="1128"/>
      <c r="G421" s="313">
        <f t="shared" si="71"/>
        <v>1</v>
      </c>
      <c r="H421" s="1128"/>
      <c r="I421" s="313">
        <f t="shared" si="72"/>
        <v>1</v>
      </c>
      <c r="J421" s="1128"/>
      <c r="K421" s="313">
        <f t="shared" si="73"/>
        <v>1</v>
      </c>
      <c r="L421" s="1128"/>
      <c r="M421" s="313">
        <f t="shared" si="74"/>
        <v>1</v>
      </c>
      <c r="N421" s="1128"/>
      <c r="O421" s="313">
        <f t="shared" si="75"/>
        <v>1</v>
      </c>
      <c r="P421" s="1128"/>
      <c r="Q421" s="313">
        <f t="shared" si="76"/>
        <v>1</v>
      </c>
      <c r="R421" s="1124">
        <f t="shared" si="77"/>
        <v>0</v>
      </c>
      <c r="S421" s="698">
        <f t="shared" si="68"/>
        <v>0</v>
      </c>
    </row>
    <row r="422" spans="1:19">
      <c r="A422" s="491"/>
      <c r="B422" s="348"/>
      <c r="C422" s="313">
        <f t="shared" si="69"/>
        <v>1</v>
      </c>
      <c r="D422" s="1128"/>
      <c r="E422" s="313">
        <f t="shared" si="70"/>
        <v>1</v>
      </c>
      <c r="F422" s="1128"/>
      <c r="G422" s="313">
        <f t="shared" si="71"/>
        <v>1</v>
      </c>
      <c r="H422" s="1128"/>
      <c r="I422" s="313">
        <f t="shared" si="72"/>
        <v>1</v>
      </c>
      <c r="J422" s="1128"/>
      <c r="K422" s="313">
        <f t="shared" si="73"/>
        <v>1</v>
      </c>
      <c r="L422" s="1128"/>
      <c r="M422" s="313">
        <f t="shared" si="74"/>
        <v>1</v>
      </c>
      <c r="N422" s="1128"/>
      <c r="O422" s="313">
        <f t="shared" si="75"/>
        <v>1</v>
      </c>
      <c r="P422" s="1128"/>
      <c r="Q422" s="313">
        <f t="shared" si="76"/>
        <v>1</v>
      </c>
      <c r="R422" s="1124">
        <f t="shared" si="77"/>
        <v>0</v>
      </c>
      <c r="S422" s="698">
        <f t="shared" si="68"/>
        <v>0</v>
      </c>
    </row>
    <row r="423" spans="1:19">
      <c r="A423" s="491"/>
      <c r="B423" s="348"/>
      <c r="C423" s="313">
        <f t="shared" si="69"/>
        <v>1</v>
      </c>
      <c r="D423" s="1128"/>
      <c r="E423" s="313">
        <f t="shared" si="70"/>
        <v>1</v>
      </c>
      <c r="F423" s="1128"/>
      <c r="G423" s="313">
        <f t="shared" si="71"/>
        <v>1</v>
      </c>
      <c r="H423" s="1128"/>
      <c r="I423" s="313">
        <f t="shared" si="72"/>
        <v>1</v>
      </c>
      <c r="J423" s="1128"/>
      <c r="K423" s="313">
        <f t="shared" si="73"/>
        <v>1</v>
      </c>
      <c r="L423" s="1128"/>
      <c r="M423" s="313">
        <f t="shared" si="74"/>
        <v>1</v>
      </c>
      <c r="N423" s="1128"/>
      <c r="O423" s="313">
        <f t="shared" si="75"/>
        <v>1</v>
      </c>
      <c r="P423" s="1128"/>
      <c r="Q423" s="313">
        <f t="shared" si="76"/>
        <v>1</v>
      </c>
      <c r="R423" s="1124">
        <f t="shared" si="77"/>
        <v>0</v>
      </c>
      <c r="S423" s="698">
        <f t="shared" ref="S423:S467" si="78">ROUND(R423*B423/10000,0)</f>
        <v>0</v>
      </c>
    </row>
    <row r="424" spans="1:19">
      <c r="A424" s="491"/>
      <c r="B424" s="348"/>
      <c r="C424" s="313">
        <f t="shared" si="69"/>
        <v>1</v>
      </c>
      <c r="D424" s="1128"/>
      <c r="E424" s="313">
        <f t="shared" si="70"/>
        <v>1</v>
      </c>
      <c r="F424" s="1128"/>
      <c r="G424" s="313">
        <f t="shared" si="71"/>
        <v>1</v>
      </c>
      <c r="H424" s="1128"/>
      <c r="I424" s="313">
        <f t="shared" si="72"/>
        <v>1</v>
      </c>
      <c r="J424" s="1128"/>
      <c r="K424" s="313">
        <f t="shared" si="73"/>
        <v>1</v>
      </c>
      <c r="L424" s="1128"/>
      <c r="M424" s="313">
        <f t="shared" si="74"/>
        <v>1</v>
      </c>
      <c r="N424" s="1128"/>
      <c r="O424" s="313">
        <f t="shared" si="75"/>
        <v>1</v>
      </c>
      <c r="P424" s="1128"/>
      <c r="Q424" s="313">
        <f t="shared" si="76"/>
        <v>1</v>
      </c>
      <c r="R424" s="1124">
        <f t="shared" si="77"/>
        <v>0</v>
      </c>
      <c r="S424" s="698">
        <f t="shared" si="78"/>
        <v>0</v>
      </c>
    </row>
    <row r="425" spans="1:19">
      <c r="A425" s="491"/>
      <c r="B425" s="348"/>
      <c r="C425" s="313">
        <f t="shared" si="69"/>
        <v>1</v>
      </c>
      <c r="D425" s="1128"/>
      <c r="E425" s="313">
        <f t="shared" si="70"/>
        <v>1</v>
      </c>
      <c r="F425" s="1128"/>
      <c r="G425" s="313">
        <f t="shared" si="71"/>
        <v>1</v>
      </c>
      <c r="H425" s="1128"/>
      <c r="I425" s="313">
        <f t="shared" si="72"/>
        <v>1</v>
      </c>
      <c r="J425" s="1128"/>
      <c r="K425" s="313">
        <f t="shared" si="73"/>
        <v>1</v>
      </c>
      <c r="L425" s="1128"/>
      <c r="M425" s="313">
        <f t="shared" si="74"/>
        <v>1</v>
      </c>
      <c r="N425" s="1128"/>
      <c r="O425" s="313">
        <f t="shared" si="75"/>
        <v>1</v>
      </c>
      <c r="P425" s="1128"/>
      <c r="Q425" s="313">
        <f t="shared" si="76"/>
        <v>1</v>
      </c>
      <c r="R425" s="1124">
        <f t="shared" si="77"/>
        <v>0</v>
      </c>
      <c r="S425" s="698">
        <f t="shared" si="78"/>
        <v>0</v>
      </c>
    </row>
    <row r="426" spans="1:19">
      <c r="A426" s="491"/>
      <c r="B426" s="348"/>
      <c r="C426" s="313">
        <f t="shared" si="69"/>
        <v>1</v>
      </c>
      <c r="D426" s="1128"/>
      <c r="E426" s="313">
        <f t="shared" si="70"/>
        <v>1</v>
      </c>
      <c r="F426" s="1128"/>
      <c r="G426" s="313">
        <f t="shared" si="71"/>
        <v>1</v>
      </c>
      <c r="H426" s="1128"/>
      <c r="I426" s="313">
        <f t="shared" si="72"/>
        <v>1</v>
      </c>
      <c r="J426" s="1128"/>
      <c r="K426" s="313">
        <f t="shared" si="73"/>
        <v>1</v>
      </c>
      <c r="L426" s="1128"/>
      <c r="M426" s="313">
        <f t="shared" si="74"/>
        <v>1</v>
      </c>
      <c r="N426" s="1128"/>
      <c r="O426" s="313">
        <f t="shared" si="75"/>
        <v>1</v>
      </c>
      <c r="P426" s="1128"/>
      <c r="Q426" s="313">
        <f t="shared" si="76"/>
        <v>1</v>
      </c>
      <c r="R426" s="1124">
        <f t="shared" si="77"/>
        <v>0</v>
      </c>
      <c r="S426" s="698">
        <f t="shared" si="78"/>
        <v>0</v>
      </c>
    </row>
    <row r="427" spans="1:19">
      <c r="A427" s="491"/>
      <c r="B427" s="348"/>
      <c r="C427" s="313">
        <f t="shared" si="69"/>
        <v>1</v>
      </c>
      <c r="D427" s="1128"/>
      <c r="E427" s="313">
        <f t="shared" si="70"/>
        <v>1</v>
      </c>
      <c r="F427" s="1128"/>
      <c r="G427" s="313">
        <f t="shared" si="71"/>
        <v>1</v>
      </c>
      <c r="H427" s="1128"/>
      <c r="I427" s="313">
        <f t="shared" si="72"/>
        <v>1</v>
      </c>
      <c r="J427" s="1128"/>
      <c r="K427" s="313">
        <f t="shared" si="73"/>
        <v>1</v>
      </c>
      <c r="L427" s="1128"/>
      <c r="M427" s="313">
        <f t="shared" si="74"/>
        <v>1</v>
      </c>
      <c r="N427" s="1128"/>
      <c r="O427" s="313">
        <f t="shared" si="75"/>
        <v>1</v>
      </c>
      <c r="P427" s="1128"/>
      <c r="Q427" s="313">
        <f t="shared" si="76"/>
        <v>1</v>
      </c>
      <c r="R427" s="1124">
        <f t="shared" si="77"/>
        <v>0</v>
      </c>
      <c r="S427" s="698">
        <f t="shared" si="78"/>
        <v>0</v>
      </c>
    </row>
    <row r="428" spans="1:19">
      <c r="A428" s="491"/>
      <c r="B428" s="348"/>
      <c r="C428" s="313">
        <f t="shared" si="69"/>
        <v>1</v>
      </c>
      <c r="D428" s="1128"/>
      <c r="E428" s="313">
        <f t="shared" si="70"/>
        <v>1</v>
      </c>
      <c r="F428" s="1128"/>
      <c r="G428" s="313">
        <f t="shared" si="71"/>
        <v>1</v>
      </c>
      <c r="H428" s="1128"/>
      <c r="I428" s="313">
        <f t="shared" si="72"/>
        <v>1</v>
      </c>
      <c r="J428" s="1128"/>
      <c r="K428" s="313">
        <f t="shared" si="73"/>
        <v>1</v>
      </c>
      <c r="L428" s="1128"/>
      <c r="M428" s="313">
        <f t="shared" si="74"/>
        <v>1</v>
      </c>
      <c r="N428" s="1128"/>
      <c r="O428" s="313">
        <f t="shared" si="75"/>
        <v>1</v>
      </c>
      <c r="P428" s="1128"/>
      <c r="Q428" s="313">
        <f t="shared" si="76"/>
        <v>1</v>
      </c>
      <c r="R428" s="1124">
        <f t="shared" si="77"/>
        <v>0</v>
      </c>
      <c r="S428" s="698">
        <f t="shared" si="78"/>
        <v>0</v>
      </c>
    </row>
    <row r="429" spans="1:19">
      <c r="A429" s="491"/>
      <c r="B429" s="348"/>
      <c r="C429" s="313">
        <f t="shared" si="69"/>
        <v>1</v>
      </c>
      <c r="D429" s="1128"/>
      <c r="E429" s="313">
        <f t="shared" si="70"/>
        <v>1</v>
      </c>
      <c r="F429" s="1128"/>
      <c r="G429" s="313">
        <f t="shared" si="71"/>
        <v>1</v>
      </c>
      <c r="H429" s="1128"/>
      <c r="I429" s="313">
        <f t="shared" si="72"/>
        <v>1</v>
      </c>
      <c r="J429" s="1128"/>
      <c r="K429" s="313">
        <f t="shared" si="73"/>
        <v>1</v>
      </c>
      <c r="L429" s="1128"/>
      <c r="M429" s="313">
        <f t="shared" si="74"/>
        <v>1</v>
      </c>
      <c r="N429" s="1128"/>
      <c r="O429" s="313">
        <f t="shared" si="75"/>
        <v>1</v>
      </c>
      <c r="P429" s="1128"/>
      <c r="Q429" s="313">
        <f t="shared" si="76"/>
        <v>1</v>
      </c>
      <c r="R429" s="1124">
        <f t="shared" si="77"/>
        <v>0</v>
      </c>
      <c r="S429" s="698">
        <f t="shared" si="78"/>
        <v>0</v>
      </c>
    </row>
    <row r="430" spans="1:19">
      <c r="A430" s="491"/>
      <c r="B430" s="348"/>
      <c r="C430" s="313">
        <f t="shared" si="69"/>
        <v>1</v>
      </c>
      <c r="D430" s="1128"/>
      <c r="E430" s="313">
        <f t="shared" si="70"/>
        <v>1</v>
      </c>
      <c r="F430" s="1128"/>
      <c r="G430" s="313">
        <f t="shared" si="71"/>
        <v>1</v>
      </c>
      <c r="H430" s="1128"/>
      <c r="I430" s="313">
        <f t="shared" si="72"/>
        <v>1</v>
      </c>
      <c r="J430" s="1128"/>
      <c r="K430" s="313">
        <f t="shared" si="73"/>
        <v>1</v>
      </c>
      <c r="L430" s="1128"/>
      <c r="M430" s="313">
        <f t="shared" si="74"/>
        <v>1</v>
      </c>
      <c r="N430" s="1128"/>
      <c r="O430" s="313">
        <f t="shared" si="75"/>
        <v>1</v>
      </c>
      <c r="P430" s="1128"/>
      <c r="Q430" s="313">
        <f t="shared" si="76"/>
        <v>1</v>
      </c>
      <c r="R430" s="1124">
        <f t="shared" si="77"/>
        <v>0</v>
      </c>
      <c r="S430" s="698">
        <f t="shared" si="78"/>
        <v>0</v>
      </c>
    </row>
    <row r="431" spans="1:19">
      <c r="A431" s="491"/>
      <c r="B431" s="348"/>
      <c r="C431" s="313">
        <f t="shared" si="69"/>
        <v>1</v>
      </c>
      <c r="D431" s="1128"/>
      <c r="E431" s="313">
        <f t="shared" si="70"/>
        <v>1</v>
      </c>
      <c r="F431" s="1128"/>
      <c r="G431" s="313">
        <f t="shared" si="71"/>
        <v>1</v>
      </c>
      <c r="H431" s="1128"/>
      <c r="I431" s="313">
        <f t="shared" si="72"/>
        <v>1</v>
      </c>
      <c r="J431" s="1128"/>
      <c r="K431" s="313">
        <f t="shared" si="73"/>
        <v>1</v>
      </c>
      <c r="L431" s="1128"/>
      <c r="M431" s="313">
        <f t="shared" si="74"/>
        <v>1</v>
      </c>
      <c r="N431" s="1128"/>
      <c r="O431" s="313">
        <f t="shared" si="75"/>
        <v>1</v>
      </c>
      <c r="P431" s="1128"/>
      <c r="Q431" s="313">
        <f t="shared" si="76"/>
        <v>1</v>
      </c>
      <c r="R431" s="1124">
        <f t="shared" si="77"/>
        <v>0</v>
      </c>
      <c r="S431" s="698">
        <f t="shared" si="78"/>
        <v>0</v>
      </c>
    </row>
    <row r="432" spans="1:19">
      <c r="A432" s="491"/>
      <c r="B432" s="348"/>
      <c r="C432" s="313">
        <f t="shared" si="69"/>
        <v>1</v>
      </c>
      <c r="D432" s="1128"/>
      <c r="E432" s="313">
        <f t="shared" si="70"/>
        <v>1</v>
      </c>
      <c r="F432" s="1128"/>
      <c r="G432" s="313">
        <f t="shared" si="71"/>
        <v>1</v>
      </c>
      <c r="H432" s="1128"/>
      <c r="I432" s="313">
        <f t="shared" si="72"/>
        <v>1</v>
      </c>
      <c r="J432" s="1128"/>
      <c r="K432" s="313">
        <f t="shared" si="73"/>
        <v>1</v>
      </c>
      <c r="L432" s="1128"/>
      <c r="M432" s="313">
        <f t="shared" si="74"/>
        <v>1</v>
      </c>
      <c r="N432" s="1128"/>
      <c r="O432" s="313">
        <f t="shared" si="75"/>
        <v>1</v>
      </c>
      <c r="P432" s="1128"/>
      <c r="Q432" s="313">
        <f t="shared" si="76"/>
        <v>1</v>
      </c>
      <c r="R432" s="1124">
        <f t="shared" si="77"/>
        <v>0</v>
      </c>
      <c r="S432" s="698">
        <f t="shared" si="78"/>
        <v>0</v>
      </c>
    </row>
    <row r="433" spans="1:19">
      <c r="A433" s="491"/>
      <c r="B433" s="348"/>
      <c r="C433" s="313">
        <f t="shared" si="69"/>
        <v>1</v>
      </c>
      <c r="D433" s="1128"/>
      <c r="E433" s="313">
        <f t="shared" si="70"/>
        <v>1</v>
      </c>
      <c r="F433" s="1128"/>
      <c r="G433" s="313">
        <f t="shared" si="71"/>
        <v>1</v>
      </c>
      <c r="H433" s="1128"/>
      <c r="I433" s="313">
        <f t="shared" si="72"/>
        <v>1</v>
      </c>
      <c r="J433" s="1128"/>
      <c r="K433" s="313">
        <f t="shared" si="73"/>
        <v>1</v>
      </c>
      <c r="L433" s="1128"/>
      <c r="M433" s="313">
        <f t="shared" si="74"/>
        <v>1</v>
      </c>
      <c r="N433" s="1128"/>
      <c r="O433" s="313">
        <f t="shared" si="75"/>
        <v>1</v>
      </c>
      <c r="P433" s="1128"/>
      <c r="Q433" s="313">
        <f t="shared" si="76"/>
        <v>1</v>
      </c>
      <c r="R433" s="1124">
        <f t="shared" si="77"/>
        <v>0</v>
      </c>
      <c r="S433" s="698">
        <f t="shared" si="78"/>
        <v>0</v>
      </c>
    </row>
    <row r="434" spans="1:19">
      <c r="A434" s="491"/>
      <c r="B434" s="348"/>
      <c r="C434" s="313">
        <f t="shared" si="69"/>
        <v>1</v>
      </c>
      <c r="D434" s="1128"/>
      <c r="E434" s="313">
        <f t="shared" si="70"/>
        <v>1</v>
      </c>
      <c r="F434" s="1128"/>
      <c r="G434" s="313">
        <f t="shared" si="71"/>
        <v>1</v>
      </c>
      <c r="H434" s="1128"/>
      <c r="I434" s="313">
        <f t="shared" si="72"/>
        <v>1</v>
      </c>
      <c r="J434" s="1128"/>
      <c r="K434" s="313">
        <f t="shared" si="73"/>
        <v>1</v>
      </c>
      <c r="L434" s="1128"/>
      <c r="M434" s="313">
        <f t="shared" si="74"/>
        <v>1</v>
      </c>
      <c r="N434" s="1128"/>
      <c r="O434" s="313">
        <f t="shared" si="75"/>
        <v>1</v>
      </c>
      <c r="P434" s="1128"/>
      <c r="Q434" s="313">
        <f t="shared" si="76"/>
        <v>1</v>
      </c>
      <c r="R434" s="1124">
        <f t="shared" si="77"/>
        <v>0</v>
      </c>
      <c r="S434" s="698">
        <f t="shared" si="78"/>
        <v>0</v>
      </c>
    </row>
    <row r="435" spans="1:19">
      <c r="A435" s="491"/>
      <c r="B435" s="348"/>
      <c r="C435" s="313">
        <f t="shared" si="69"/>
        <v>1</v>
      </c>
      <c r="D435" s="1128"/>
      <c r="E435" s="313">
        <f t="shared" si="70"/>
        <v>1</v>
      </c>
      <c r="F435" s="1128"/>
      <c r="G435" s="313">
        <f t="shared" si="71"/>
        <v>1</v>
      </c>
      <c r="H435" s="1128"/>
      <c r="I435" s="313">
        <f t="shared" si="72"/>
        <v>1</v>
      </c>
      <c r="J435" s="1128"/>
      <c r="K435" s="313">
        <f t="shared" si="73"/>
        <v>1</v>
      </c>
      <c r="L435" s="1128"/>
      <c r="M435" s="313">
        <f t="shared" si="74"/>
        <v>1</v>
      </c>
      <c r="N435" s="1128"/>
      <c r="O435" s="313">
        <f t="shared" si="75"/>
        <v>1</v>
      </c>
      <c r="P435" s="1128"/>
      <c r="Q435" s="313">
        <f t="shared" si="76"/>
        <v>1</v>
      </c>
      <c r="R435" s="1124">
        <f t="shared" si="77"/>
        <v>0</v>
      </c>
      <c r="S435" s="698">
        <f t="shared" si="78"/>
        <v>0</v>
      </c>
    </row>
    <row r="436" spans="1:19">
      <c r="A436" s="491"/>
      <c r="B436" s="348"/>
      <c r="C436" s="313">
        <f t="shared" si="69"/>
        <v>1</v>
      </c>
      <c r="D436" s="1128"/>
      <c r="E436" s="313">
        <f t="shared" si="70"/>
        <v>1</v>
      </c>
      <c r="F436" s="1128"/>
      <c r="G436" s="313">
        <f t="shared" si="71"/>
        <v>1</v>
      </c>
      <c r="H436" s="1128"/>
      <c r="I436" s="313">
        <f t="shared" si="72"/>
        <v>1</v>
      </c>
      <c r="J436" s="1128"/>
      <c r="K436" s="313">
        <f t="shared" si="73"/>
        <v>1</v>
      </c>
      <c r="L436" s="1128"/>
      <c r="M436" s="313">
        <f t="shared" si="74"/>
        <v>1</v>
      </c>
      <c r="N436" s="1128"/>
      <c r="O436" s="313">
        <f t="shared" si="75"/>
        <v>1</v>
      </c>
      <c r="P436" s="1128"/>
      <c r="Q436" s="313">
        <f t="shared" si="76"/>
        <v>1</v>
      </c>
      <c r="R436" s="1124">
        <f t="shared" si="77"/>
        <v>0</v>
      </c>
      <c r="S436" s="698">
        <f t="shared" si="78"/>
        <v>0</v>
      </c>
    </row>
    <row r="437" spans="1:19">
      <c r="A437" s="491"/>
      <c r="B437" s="348"/>
      <c r="C437" s="313">
        <f t="shared" si="69"/>
        <v>1</v>
      </c>
      <c r="D437" s="1128"/>
      <c r="E437" s="313">
        <f t="shared" si="70"/>
        <v>1</v>
      </c>
      <c r="F437" s="1128"/>
      <c r="G437" s="313">
        <f t="shared" si="71"/>
        <v>1</v>
      </c>
      <c r="H437" s="1128"/>
      <c r="I437" s="313">
        <f t="shared" si="72"/>
        <v>1</v>
      </c>
      <c r="J437" s="1128"/>
      <c r="K437" s="313">
        <f t="shared" si="73"/>
        <v>1</v>
      </c>
      <c r="L437" s="1128"/>
      <c r="M437" s="313">
        <f t="shared" si="74"/>
        <v>1</v>
      </c>
      <c r="N437" s="1128"/>
      <c r="O437" s="313">
        <f t="shared" si="75"/>
        <v>1</v>
      </c>
      <c r="P437" s="1128"/>
      <c r="Q437" s="313">
        <f t="shared" si="76"/>
        <v>1</v>
      </c>
      <c r="R437" s="1124">
        <f t="shared" si="77"/>
        <v>0</v>
      </c>
      <c r="S437" s="698">
        <f t="shared" si="78"/>
        <v>0</v>
      </c>
    </row>
    <row r="438" spans="1:19">
      <c r="A438" s="491"/>
      <c r="B438" s="348"/>
      <c r="C438" s="313">
        <f t="shared" si="69"/>
        <v>1</v>
      </c>
      <c r="D438" s="1128"/>
      <c r="E438" s="313">
        <f t="shared" si="70"/>
        <v>1</v>
      </c>
      <c r="F438" s="1128"/>
      <c r="G438" s="313">
        <f t="shared" si="71"/>
        <v>1</v>
      </c>
      <c r="H438" s="1128"/>
      <c r="I438" s="313">
        <f t="shared" si="72"/>
        <v>1</v>
      </c>
      <c r="J438" s="1128"/>
      <c r="K438" s="313">
        <f t="shared" si="73"/>
        <v>1</v>
      </c>
      <c r="L438" s="1128"/>
      <c r="M438" s="313">
        <f t="shared" si="74"/>
        <v>1</v>
      </c>
      <c r="N438" s="1128"/>
      <c r="O438" s="313">
        <f t="shared" si="75"/>
        <v>1</v>
      </c>
      <c r="P438" s="1128"/>
      <c r="Q438" s="313">
        <f t="shared" si="76"/>
        <v>1</v>
      </c>
      <c r="R438" s="1124">
        <f t="shared" si="77"/>
        <v>0</v>
      </c>
      <c r="S438" s="698">
        <f t="shared" si="78"/>
        <v>0</v>
      </c>
    </row>
    <row r="439" spans="1:19">
      <c r="A439" s="491"/>
      <c r="B439" s="348"/>
      <c r="C439" s="313">
        <f t="shared" si="69"/>
        <v>1</v>
      </c>
      <c r="D439" s="1128"/>
      <c r="E439" s="313">
        <f t="shared" si="70"/>
        <v>1</v>
      </c>
      <c r="F439" s="1128"/>
      <c r="G439" s="313">
        <f t="shared" si="71"/>
        <v>1</v>
      </c>
      <c r="H439" s="1128"/>
      <c r="I439" s="313">
        <f t="shared" si="72"/>
        <v>1</v>
      </c>
      <c r="J439" s="1128"/>
      <c r="K439" s="313">
        <f t="shared" si="73"/>
        <v>1</v>
      </c>
      <c r="L439" s="1128"/>
      <c r="M439" s="313">
        <f t="shared" si="74"/>
        <v>1</v>
      </c>
      <c r="N439" s="1128"/>
      <c r="O439" s="313">
        <f t="shared" si="75"/>
        <v>1</v>
      </c>
      <c r="P439" s="1128"/>
      <c r="Q439" s="313">
        <f t="shared" si="76"/>
        <v>1</v>
      </c>
      <c r="R439" s="1124">
        <f t="shared" si="77"/>
        <v>0</v>
      </c>
      <c r="S439" s="698">
        <f t="shared" si="78"/>
        <v>0</v>
      </c>
    </row>
    <row r="440" spans="1:19">
      <c r="A440" s="491"/>
      <c r="B440" s="348"/>
      <c r="C440" s="313">
        <f t="shared" si="69"/>
        <v>1</v>
      </c>
      <c r="D440" s="1128"/>
      <c r="E440" s="313">
        <f t="shared" si="70"/>
        <v>1</v>
      </c>
      <c r="F440" s="1128"/>
      <c r="G440" s="313">
        <f t="shared" si="71"/>
        <v>1</v>
      </c>
      <c r="H440" s="1128"/>
      <c r="I440" s="313">
        <f t="shared" si="72"/>
        <v>1</v>
      </c>
      <c r="J440" s="1128"/>
      <c r="K440" s="313">
        <f t="shared" si="73"/>
        <v>1</v>
      </c>
      <c r="L440" s="1128"/>
      <c r="M440" s="313">
        <f t="shared" si="74"/>
        <v>1</v>
      </c>
      <c r="N440" s="1128"/>
      <c r="O440" s="313">
        <f t="shared" si="75"/>
        <v>1</v>
      </c>
      <c r="P440" s="1128"/>
      <c r="Q440" s="313">
        <f t="shared" si="76"/>
        <v>1</v>
      </c>
      <c r="R440" s="1124">
        <f t="shared" si="77"/>
        <v>0</v>
      </c>
      <c r="S440" s="698">
        <f t="shared" si="78"/>
        <v>0</v>
      </c>
    </row>
    <row r="441" spans="1:19">
      <c r="A441" s="491"/>
      <c r="B441" s="348"/>
      <c r="C441" s="313">
        <f t="shared" si="69"/>
        <v>1</v>
      </c>
      <c r="D441" s="1128"/>
      <c r="E441" s="313">
        <f t="shared" si="70"/>
        <v>1</v>
      </c>
      <c r="F441" s="1128"/>
      <c r="G441" s="313">
        <f t="shared" si="71"/>
        <v>1</v>
      </c>
      <c r="H441" s="1128"/>
      <c r="I441" s="313">
        <f t="shared" si="72"/>
        <v>1</v>
      </c>
      <c r="J441" s="1128"/>
      <c r="K441" s="313">
        <f t="shared" si="73"/>
        <v>1</v>
      </c>
      <c r="L441" s="1128"/>
      <c r="M441" s="313">
        <f t="shared" si="74"/>
        <v>1</v>
      </c>
      <c r="N441" s="1128"/>
      <c r="O441" s="313">
        <f t="shared" si="75"/>
        <v>1</v>
      </c>
      <c r="P441" s="1128"/>
      <c r="Q441" s="313">
        <f t="shared" si="76"/>
        <v>1</v>
      </c>
      <c r="R441" s="1124">
        <f t="shared" si="77"/>
        <v>0</v>
      </c>
      <c r="S441" s="698">
        <f t="shared" si="78"/>
        <v>0</v>
      </c>
    </row>
    <row r="442" spans="1:19">
      <c r="A442" s="491"/>
      <c r="B442" s="348"/>
      <c r="C442" s="313">
        <f t="shared" si="69"/>
        <v>1</v>
      </c>
      <c r="D442" s="1128"/>
      <c r="E442" s="313">
        <f t="shared" si="70"/>
        <v>1</v>
      </c>
      <c r="F442" s="1128"/>
      <c r="G442" s="313">
        <f t="shared" si="71"/>
        <v>1</v>
      </c>
      <c r="H442" s="1128"/>
      <c r="I442" s="313">
        <f t="shared" si="72"/>
        <v>1</v>
      </c>
      <c r="J442" s="1128"/>
      <c r="K442" s="313">
        <f t="shared" si="73"/>
        <v>1</v>
      </c>
      <c r="L442" s="1128"/>
      <c r="M442" s="313">
        <f t="shared" si="74"/>
        <v>1</v>
      </c>
      <c r="N442" s="1128"/>
      <c r="O442" s="313">
        <f t="shared" si="75"/>
        <v>1</v>
      </c>
      <c r="P442" s="1128"/>
      <c r="Q442" s="313">
        <f t="shared" si="76"/>
        <v>1</v>
      </c>
      <c r="R442" s="1124">
        <f t="shared" si="77"/>
        <v>0</v>
      </c>
      <c r="S442" s="698">
        <f t="shared" si="78"/>
        <v>0</v>
      </c>
    </row>
    <row r="443" spans="1:19">
      <c r="A443" s="491"/>
      <c r="B443" s="348"/>
      <c r="C443" s="313">
        <f t="shared" si="69"/>
        <v>1</v>
      </c>
      <c r="D443" s="1128"/>
      <c r="E443" s="313">
        <f t="shared" si="70"/>
        <v>1</v>
      </c>
      <c r="F443" s="1128"/>
      <c r="G443" s="313">
        <f t="shared" si="71"/>
        <v>1</v>
      </c>
      <c r="H443" s="1128"/>
      <c r="I443" s="313">
        <f t="shared" si="72"/>
        <v>1</v>
      </c>
      <c r="J443" s="1128"/>
      <c r="K443" s="313">
        <f t="shared" si="73"/>
        <v>1</v>
      </c>
      <c r="L443" s="1128"/>
      <c r="M443" s="313">
        <f t="shared" si="74"/>
        <v>1</v>
      </c>
      <c r="N443" s="1128"/>
      <c r="O443" s="313">
        <f t="shared" si="75"/>
        <v>1</v>
      </c>
      <c r="P443" s="1128"/>
      <c r="Q443" s="313">
        <f t="shared" si="76"/>
        <v>1</v>
      </c>
      <c r="R443" s="1124">
        <f t="shared" si="77"/>
        <v>0</v>
      </c>
      <c r="S443" s="698">
        <f t="shared" si="78"/>
        <v>0</v>
      </c>
    </row>
    <row r="444" spans="1:19">
      <c r="A444" s="491"/>
      <c r="B444" s="348"/>
      <c r="C444" s="313">
        <f t="shared" si="69"/>
        <v>1</v>
      </c>
      <c r="D444" s="1128"/>
      <c r="E444" s="313">
        <f t="shared" si="70"/>
        <v>1</v>
      </c>
      <c r="F444" s="1128"/>
      <c r="G444" s="313">
        <f t="shared" si="71"/>
        <v>1</v>
      </c>
      <c r="H444" s="1128"/>
      <c r="I444" s="313">
        <f t="shared" si="72"/>
        <v>1</v>
      </c>
      <c r="J444" s="1128"/>
      <c r="K444" s="313">
        <f t="shared" si="73"/>
        <v>1</v>
      </c>
      <c r="L444" s="1128"/>
      <c r="M444" s="313">
        <f t="shared" si="74"/>
        <v>1</v>
      </c>
      <c r="N444" s="1128"/>
      <c r="O444" s="313">
        <f t="shared" si="75"/>
        <v>1</v>
      </c>
      <c r="P444" s="1128"/>
      <c r="Q444" s="313">
        <f t="shared" si="76"/>
        <v>1</v>
      </c>
      <c r="R444" s="1124">
        <f t="shared" si="77"/>
        <v>0</v>
      </c>
      <c r="S444" s="698">
        <f t="shared" si="78"/>
        <v>0</v>
      </c>
    </row>
    <row r="445" spans="1:19">
      <c r="A445" s="491"/>
      <c r="B445" s="348"/>
      <c r="C445" s="313">
        <f t="shared" si="69"/>
        <v>1</v>
      </c>
      <c r="D445" s="1128"/>
      <c r="E445" s="313">
        <f t="shared" si="70"/>
        <v>1</v>
      </c>
      <c r="F445" s="1128"/>
      <c r="G445" s="313">
        <f t="shared" si="71"/>
        <v>1</v>
      </c>
      <c r="H445" s="1128"/>
      <c r="I445" s="313">
        <f t="shared" si="72"/>
        <v>1</v>
      </c>
      <c r="J445" s="1128"/>
      <c r="K445" s="313">
        <f t="shared" si="73"/>
        <v>1</v>
      </c>
      <c r="L445" s="1128"/>
      <c r="M445" s="313">
        <f t="shared" si="74"/>
        <v>1</v>
      </c>
      <c r="N445" s="1128"/>
      <c r="O445" s="313">
        <f t="shared" si="75"/>
        <v>1</v>
      </c>
      <c r="P445" s="1128"/>
      <c r="Q445" s="313">
        <f t="shared" si="76"/>
        <v>1</v>
      </c>
      <c r="R445" s="1124">
        <f t="shared" si="77"/>
        <v>0</v>
      </c>
      <c r="S445" s="698">
        <f t="shared" si="78"/>
        <v>0</v>
      </c>
    </row>
    <row r="446" spans="1:19">
      <c r="A446" s="491"/>
      <c r="B446" s="348"/>
      <c r="C446" s="313">
        <f t="shared" si="69"/>
        <v>1</v>
      </c>
      <c r="D446" s="1128"/>
      <c r="E446" s="313">
        <f t="shared" si="70"/>
        <v>1</v>
      </c>
      <c r="F446" s="1128"/>
      <c r="G446" s="313">
        <f t="shared" si="71"/>
        <v>1</v>
      </c>
      <c r="H446" s="1128"/>
      <c r="I446" s="313">
        <f t="shared" si="72"/>
        <v>1</v>
      </c>
      <c r="J446" s="1128"/>
      <c r="K446" s="313">
        <f t="shared" si="73"/>
        <v>1</v>
      </c>
      <c r="L446" s="1128"/>
      <c r="M446" s="313">
        <f t="shared" si="74"/>
        <v>1</v>
      </c>
      <c r="N446" s="1128"/>
      <c r="O446" s="313">
        <f t="shared" si="75"/>
        <v>1</v>
      </c>
      <c r="P446" s="1128"/>
      <c r="Q446" s="313">
        <f t="shared" si="76"/>
        <v>1</v>
      </c>
      <c r="R446" s="1124">
        <f t="shared" si="77"/>
        <v>0</v>
      </c>
      <c r="S446" s="698">
        <f t="shared" si="78"/>
        <v>0</v>
      </c>
    </row>
    <row r="447" spans="1:19">
      <c r="A447" s="491"/>
      <c r="B447" s="348"/>
      <c r="C447" s="313">
        <f t="shared" si="69"/>
        <v>1</v>
      </c>
      <c r="D447" s="1128"/>
      <c r="E447" s="313">
        <f t="shared" si="70"/>
        <v>1</v>
      </c>
      <c r="F447" s="1128"/>
      <c r="G447" s="313">
        <f t="shared" si="71"/>
        <v>1</v>
      </c>
      <c r="H447" s="1128"/>
      <c r="I447" s="313">
        <f t="shared" si="72"/>
        <v>1</v>
      </c>
      <c r="J447" s="1128"/>
      <c r="K447" s="313">
        <f t="shared" si="73"/>
        <v>1</v>
      </c>
      <c r="L447" s="1128"/>
      <c r="M447" s="313">
        <f t="shared" si="74"/>
        <v>1</v>
      </c>
      <c r="N447" s="1128"/>
      <c r="O447" s="313">
        <f t="shared" si="75"/>
        <v>1</v>
      </c>
      <c r="P447" s="1128"/>
      <c r="Q447" s="313">
        <f t="shared" si="76"/>
        <v>1</v>
      </c>
      <c r="R447" s="1124">
        <f t="shared" si="77"/>
        <v>0</v>
      </c>
      <c r="S447" s="698">
        <f t="shared" si="78"/>
        <v>0</v>
      </c>
    </row>
    <row r="448" spans="1:19">
      <c r="A448" s="491"/>
      <c r="B448" s="348"/>
      <c r="C448" s="313">
        <f t="shared" si="69"/>
        <v>1</v>
      </c>
      <c r="D448" s="1128"/>
      <c r="E448" s="313">
        <f t="shared" si="70"/>
        <v>1</v>
      </c>
      <c r="F448" s="1128"/>
      <c r="G448" s="313">
        <f t="shared" si="71"/>
        <v>1</v>
      </c>
      <c r="H448" s="1128"/>
      <c r="I448" s="313">
        <f t="shared" si="72"/>
        <v>1</v>
      </c>
      <c r="J448" s="1128"/>
      <c r="K448" s="313">
        <f t="shared" si="73"/>
        <v>1</v>
      </c>
      <c r="L448" s="1128"/>
      <c r="M448" s="313">
        <f t="shared" si="74"/>
        <v>1</v>
      </c>
      <c r="N448" s="1128"/>
      <c r="O448" s="313">
        <f t="shared" si="75"/>
        <v>1</v>
      </c>
      <c r="P448" s="1128"/>
      <c r="Q448" s="313">
        <f t="shared" si="76"/>
        <v>1</v>
      </c>
      <c r="R448" s="1124">
        <f t="shared" si="77"/>
        <v>0</v>
      </c>
      <c r="S448" s="698">
        <f t="shared" si="78"/>
        <v>0</v>
      </c>
    </row>
    <row r="449" spans="1:19">
      <c r="A449" s="491"/>
      <c r="B449" s="348"/>
      <c r="C449" s="313">
        <f t="shared" si="69"/>
        <v>1</v>
      </c>
      <c r="D449" s="1128"/>
      <c r="E449" s="313">
        <f t="shared" si="70"/>
        <v>1</v>
      </c>
      <c r="F449" s="1128"/>
      <c r="G449" s="313">
        <f t="shared" si="71"/>
        <v>1</v>
      </c>
      <c r="H449" s="1128"/>
      <c r="I449" s="313">
        <f t="shared" si="72"/>
        <v>1</v>
      </c>
      <c r="J449" s="1128"/>
      <c r="K449" s="313">
        <f t="shared" si="73"/>
        <v>1</v>
      </c>
      <c r="L449" s="1128"/>
      <c r="M449" s="313">
        <f t="shared" si="74"/>
        <v>1</v>
      </c>
      <c r="N449" s="1128"/>
      <c r="O449" s="313">
        <f t="shared" si="75"/>
        <v>1</v>
      </c>
      <c r="P449" s="1128"/>
      <c r="Q449" s="313">
        <f t="shared" si="76"/>
        <v>1</v>
      </c>
      <c r="R449" s="1124">
        <f t="shared" si="77"/>
        <v>0</v>
      </c>
      <c r="S449" s="698">
        <f t="shared" si="78"/>
        <v>0</v>
      </c>
    </row>
    <row r="450" spans="1:19">
      <c r="A450" s="491"/>
      <c r="B450" s="348"/>
      <c r="C450" s="313">
        <f t="shared" si="69"/>
        <v>1</v>
      </c>
      <c r="D450" s="1128"/>
      <c r="E450" s="313">
        <f t="shared" si="70"/>
        <v>1</v>
      </c>
      <c r="F450" s="1128"/>
      <c r="G450" s="313">
        <f t="shared" si="71"/>
        <v>1</v>
      </c>
      <c r="H450" s="1128"/>
      <c r="I450" s="313">
        <f t="shared" si="72"/>
        <v>1</v>
      </c>
      <c r="J450" s="1128"/>
      <c r="K450" s="313">
        <f t="shared" si="73"/>
        <v>1</v>
      </c>
      <c r="L450" s="1128"/>
      <c r="M450" s="313">
        <f t="shared" si="74"/>
        <v>1</v>
      </c>
      <c r="N450" s="1128"/>
      <c r="O450" s="313">
        <f t="shared" si="75"/>
        <v>1</v>
      </c>
      <c r="P450" s="1128"/>
      <c r="Q450" s="313">
        <f t="shared" si="76"/>
        <v>1</v>
      </c>
      <c r="R450" s="1124">
        <f t="shared" si="77"/>
        <v>0</v>
      </c>
      <c r="S450" s="698">
        <f t="shared" si="78"/>
        <v>0</v>
      </c>
    </row>
    <row r="451" spans="1:19">
      <c r="A451" s="491"/>
      <c r="B451" s="348"/>
      <c r="C451" s="313">
        <f t="shared" si="69"/>
        <v>1</v>
      </c>
      <c r="D451" s="1128"/>
      <c r="E451" s="313">
        <f t="shared" si="70"/>
        <v>1</v>
      </c>
      <c r="F451" s="1128"/>
      <c r="G451" s="313">
        <f t="shared" si="71"/>
        <v>1</v>
      </c>
      <c r="H451" s="1128"/>
      <c r="I451" s="313">
        <f t="shared" si="72"/>
        <v>1</v>
      </c>
      <c r="J451" s="1128"/>
      <c r="K451" s="313">
        <f t="shared" si="73"/>
        <v>1</v>
      </c>
      <c r="L451" s="1128"/>
      <c r="M451" s="313">
        <f t="shared" si="74"/>
        <v>1</v>
      </c>
      <c r="N451" s="1128"/>
      <c r="O451" s="313">
        <f t="shared" si="75"/>
        <v>1</v>
      </c>
      <c r="P451" s="1128"/>
      <c r="Q451" s="313">
        <f t="shared" si="76"/>
        <v>1</v>
      </c>
      <c r="R451" s="1124">
        <f t="shared" si="77"/>
        <v>0</v>
      </c>
      <c r="S451" s="698">
        <f t="shared" si="78"/>
        <v>0</v>
      </c>
    </row>
    <row r="452" spans="1:19">
      <c r="A452" s="491"/>
      <c r="B452" s="348"/>
      <c r="C452" s="313">
        <f t="shared" si="69"/>
        <v>1</v>
      </c>
      <c r="D452" s="1128"/>
      <c r="E452" s="313">
        <f t="shared" si="70"/>
        <v>1</v>
      </c>
      <c r="F452" s="1128"/>
      <c r="G452" s="313">
        <f t="shared" si="71"/>
        <v>1</v>
      </c>
      <c r="H452" s="1128"/>
      <c r="I452" s="313">
        <f t="shared" si="72"/>
        <v>1</v>
      </c>
      <c r="J452" s="1128"/>
      <c r="K452" s="313">
        <f t="shared" si="73"/>
        <v>1</v>
      </c>
      <c r="L452" s="1128"/>
      <c r="M452" s="313">
        <f t="shared" si="74"/>
        <v>1</v>
      </c>
      <c r="N452" s="1128"/>
      <c r="O452" s="313">
        <f t="shared" si="75"/>
        <v>1</v>
      </c>
      <c r="P452" s="1128"/>
      <c r="Q452" s="313">
        <f t="shared" si="76"/>
        <v>1</v>
      </c>
      <c r="R452" s="1124">
        <f t="shared" si="77"/>
        <v>0</v>
      </c>
      <c r="S452" s="698">
        <f t="shared" si="78"/>
        <v>0</v>
      </c>
    </row>
    <row r="453" spans="1:19">
      <c r="A453" s="491"/>
      <c r="B453" s="348"/>
      <c r="C453" s="313">
        <f t="shared" si="69"/>
        <v>1</v>
      </c>
      <c r="D453" s="1128"/>
      <c r="E453" s="313">
        <f t="shared" si="70"/>
        <v>1</v>
      </c>
      <c r="F453" s="1128"/>
      <c r="G453" s="313">
        <f t="shared" si="71"/>
        <v>1</v>
      </c>
      <c r="H453" s="1128"/>
      <c r="I453" s="313">
        <f t="shared" si="72"/>
        <v>1</v>
      </c>
      <c r="J453" s="1128"/>
      <c r="K453" s="313">
        <f t="shared" si="73"/>
        <v>1</v>
      </c>
      <c r="L453" s="1128"/>
      <c r="M453" s="313">
        <f t="shared" si="74"/>
        <v>1</v>
      </c>
      <c r="N453" s="1128"/>
      <c r="O453" s="313">
        <f t="shared" si="75"/>
        <v>1</v>
      </c>
      <c r="P453" s="1128"/>
      <c r="Q453" s="313">
        <f t="shared" si="76"/>
        <v>1</v>
      </c>
      <c r="R453" s="1124">
        <f t="shared" si="77"/>
        <v>0</v>
      </c>
      <c r="S453" s="698">
        <f t="shared" si="78"/>
        <v>0</v>
      </c>
    </row>
    <row r="454" spans="1:19">
      <c r="A454" s="491"/>
      <c r="B454" s="348"/>
      <c r="C454" s="313">
        <f t="shared" si="69"/>
        <v>1</v>
      </c>
      <c r="D454" s="1128"/>
      <c r="E454" s="313">
        <f t="shared" si="70"/>
        <v>1</v>
      </c>
      <c r="F454" s="1128"/>
      <c r="G454" s="313">
        <f t="shared" si="71"/>
        <v>1</v>
      </c>
      <c r="H454" s="1128"/>
      <c r="I454" s="313">
        <f t="shared" si="72"/>
        <v>1</v>
      </c>
      <c r="J454" s="1128"/>
      <c r="K454" s="313">
        <f t="shared" si="73"/>
        <v>1</v>
      </c>
      <c r="L454" s="1128"/>
      <c r="M454" s="313">
        <f t="shared" si="74"/>
        <v>1</v>
      </c>
      <c r="N454" s="1128"/>
      <c r="O454" s="313">
        <f t="shared" si="75"/>
        <v>1</v>
      </c>
      <c r="P454" s="1128"/>
      <c r="Q454" s="313">
        <f t="shared" si="76"/>
        <v>1</v>
      </c>
      <c r="R454" s="1124">
        <f t="shared" si="77"/>
        <v>0</v>
      </c>
      <c r="S454" s="698">
        <f t="shared" si="78"/>
        <v>0</v>
      </c>
    </row>
    <row r="455" spans="1:19">
      <c r="A455" s="491"/>
      <c r="B455" s="348"/>
      <c r="C455" s="313">
        <f t="shared" si="69"/>
        <v>1</v>
      </c>
      <c r="D455" s="1128"/>
      <c r="E455" s="313">
        <f t="shared" si="70"/>
        <v>1</v>
      </c>
      <c r="F455" s="1128"/>
      <c r="G455" s="313">
        <f t="shared" si="71"/>
        <v>1</v>
      </c>
      <c r="H455" s="1128"/>
      <c r="I455" s="313">
        <f t="shared" si="72"/>
        <v>1</v>
      </c>
      <c r="J455" s="1128"/>
      <c r="K455" s="313">
        <f t="shared" si="73"/>
        <v>1</v>
      </c>
      <c r="L455" s="1128"/>
      <c r="M455" s="313">
        <f t="shared" si="74"/>
        <v>1</v>
      </c>
      <c r="N455" s="1128"/>
      <c r="O455" s="313">
        <f t="shared" si="75"/>
        <v>1</v>
      </c>
      <c r="P455" s="1128"/>
      <c r="Q455" s="313">
        <f t="shared" si="76"/>
        <v>1</v>
      </c>
      <c r="R455" s="1124">
        <f t="shared" si="77"/>
        <v>0</v>
      </c>
      <c r="S455" s="698">
        <f t="shared" si="78"/>
        <v>0</v>
      </c>
    </row>
    <row r="456" spans="1:19">
      <c r="A456" s="491"/>
      <c r="B456" s="348"/>
      <c r="C456" s="313">
        <f t="shared" si="69"/>
        <v>1</v>
      </c>
      <c r="D456" s="1128"/>
      <c r="E456" s="313">
        <f t="shared" si="70"/>
        <v>1</v>
      </c>
      <c r="F456" s="1128"/>
      <c r="G456" s="313">
        <f t="shared" si="71"/>
        <v>1</v>
      </c>
      <c r="H456" s="1128"/>
      <c r="I456" s="313">
        <f t="shared" si="72"/>
        <v>1</v>
      </c>
      <c r="J456" s="1128"/>
      <c r="K456" s="313">
        <f t="shared" si="73"/>
        <v>1</v>
      </c>
      <c r="L456" s="1128"/>
      <c r="M456" s="313">
        <f t="shared" si="74"/>
        <v>1</v>
      </c>
      <c r="N456" s="1128"/>
      <c r="O456" s="313">
        <f t="shared" si="75"/>
        <v>1</v>
      </c>
      <c r="P456" s="1128"/>
      <c r="Q456" s="313">
        <f t="shared" si="76"/>
        <v>1</v>
      </c>
      <c r="R456" s="1124">
        <f t="shared" si="77"/>
        <v>0</v>
      </c>
      <c r="S456" s="698">
        <f t="shared" si="78"/>
        <v>0</v>
      </c>
    </row>
    <row r="457" spans="1:19">
      <c r="A457" s="491"/>
      <c r="B457" s="348"/>
      <c r="C457" s="313">
        <f t="shared" si="69"/>
        <v>1</v>
      </c>
      <c r="D457" s="1128"/>
      <c r="E457" s="313">
        <f t="shared" si="70"/>
        <v>1</v>
      </c>
      <c r="F457" s="1128"/>
      <c r="G457" s="313">
        <f t="shared" si="71"/>
        <v>1</v>
      </c>
      <c r="H457" s="1128"/>
      <c r="I457" s="313">
        <f t="shared" si="72"/>
        <v>1</v>
      </c>
      <c r="J457" s="1128"/>
      <c r="K457" s="313">
        <f t="shared" si="73"/>
        <v>1</v>
      </c>
      <c r="L457" s="1128"/>
      <c r="M457" s="313">
        <f t="shared" si="74"/>
        <v>1</v>
      </c>
      <c r="N457" s="1128"/>
      <c r="O457" s="313">
        <f t="shared" si="75"/>
        <v>1</v>
      </c>
      <c r="P457" s="1128"/>
      <c r="Q457" s="313">
        <f t="shared" si="76"/>
        <v>1</v>
      </c>
      <c r="R457" s="1124">
        <f t="shared" si="77"/>
        <v>0</v>
      </c>
      <c r="S457" s="698">
        <f t="shared" si="78"/>
        <v>0</v>
      </c>
    </row>
    <row r="458" spans="1:19">
      <c r="A458" s="491"/>
      <c r="B458" s="348"/>
      <c r="C458" s="313">
        <f t="shared" si="69"/>
        <v>1</v>
      </c>
      <c r="D458" s="1128"/>
      <c r="E458" s="313">
        <f t="shared" si="70"/>
        <v>1</v>
      </c>
      <c r="F458" s="1128"/>
      <c r="G458" s="313">
        <f t="shared" si="71"/>
        <v>1</v>
      </c>
      <c r="H458" s="1128"/>
      <c r="I458" s="313">
        <f t="shared" si="72"/>
        <v>1</v>
      </c>
      <c r="J458" s="1128"/>
      <c r="K458" s="313">
        <f t="shared" si="73"/>
        <v>1</v>
      </c>
      <c r="L458" s="1128"/>
      <c r="M458" s="313">
        <f t="shared" si="74"/>
        <v>1</v>
      </c>
      <c r="N458" s="1128"/>
      <c r="O458" s="313">
        <f t="shared" si="75"/>
        <v>1</v>
      </c>
      <c r="P458" s="1128"/>
      <c r="Q458" s="313">
        <f t="shared" si="76"/>
        <v>1</v>
      </c>
      <c r="R458" s="1124">
        <f t="shared" si="77"/>
        <v>0</v>
      </c>
      <c r="S458" s="698">
        <f t="shared" si="78"/>
        <v>0</v>
      </c>
    </row>
    <row r="459" spans="1:19">
      <c r="A459" s="491"/>
      <c r="B459" s="348"/>
      <c r="C459" s="313">
        <f t="shared" si="69"/>
        <v>1</v>
      </c>
      <c r="D459" s="1128"/>
      <c r="E459" s="313">
        <f t="shared" si="70"/>
        <v>1</v>
      </c>
      <c r="F459" s="1128"/>
      <c r="G459" s="313">
        <f t="shared" si="71"/>
        <v>1</v>
      </c>
      <c r="H459" s="1128"/>
      <c r="I459" s="313">
        <f t="shared" si="72"/>
        <v>1</v>
      </c>
      <c r="J459" s="1128"/>
      <c r="K459" s="313">
        <f t="shared" si="73"/>
        <v>1</v>
      </c>
      <c r="L459" s="1128"/>
      <c r="M459" s="313">
        <f t="shared" si="74"/>
        <v>1</v>
      </c>
      <c r="N459" s="1128"/>
      <c r="O459" s="313">
        <f t="shared" si="75"/>
        <v>1</v>
      </c>
      <c r="P459" s="1128"/>
      <c r="Q459" s="313">
        <f t="shared" si="76"/>
        <v>1</v>
      </c>
      <c r="R459" s="1124">
        <f t="shared" si="77"/>
        <v>0</v>
      </c>
      <c r="S459" s="698">
        <f t="shared" si="78"/>
        <v>0</v>
      </c>
    </row>
    <row r="460" spans="1:19">
      <c r="A460" s="491"/>
      <c r="B460" s="348"/>
      <c r="C460" s="313">
        <f t="shared" si="69"/>
        <v>1</v>
      </c>
      <c r="D460" s="1128"/>
      <c r="E460" s="313">
        <f t="shared" si="70"/>
        <v>1</v>
      </c>
      <c r="F460" s="1128"/>
      <c r="G460" s="313">
        <f t="shared" si="71"/>
        <v>1</v>
      </c>
      <c r="H460" s="1128"/>
      <c r="I460" s="313">
        <f t="shared" si="72"/>
        <v>1</v>
      </c>
      <c r="J460" s="1128"/>
      <c r="K460" s="313">
        <f t="shared" si="73"/>
        <v>1</v>
      </c>
      <c r="L460" s="1128"/>
      <c r="M460" s="313">
        <f t="shared" si="74"/>
        <v>1</v>
      </c>
      <c r="N460" s="1128"/>
      <c r="O460" s="313">
        <f t="shared" si="75"/>
        <v>1</v>
      </c>
      <c r="P460" s="1128"/>
      <c r="Q460" s="313">
        <f t="shared" si="76"/>
        <v>1</v>
      </c>
      <c r="R460" s="1124">
        <f t="shared" si="77"/>
        <v>0</v>
      </c>
      <c r="S460" s="698">
        <f t="shared" si="78"/>
        <v>0</v>
      </c>
    </row>
    <row r="461" spans="1:19">
      <c r="A461" s="491"/>
      <c r="B461" s="348"/>
      <c r="C461" s="313">
        <f t="shared" si="69"/>
        <v>1</v>
      </c>
      <c r="D461" s="1128"/>
      <c r="E461" s="313">
        <f t="shared" si="70"/>
        <v>1</v>
      </c>
      <c r="F461" s="1128"/>
      <c r="G461" s="313">
        <f t="shared" si="71"/>
        <v>1</v>
      </c>
      <c r="H461" s="1128"/>
      <c r="I461" s="313">
        <f t="shared" si="72"/>
        <v>1</v>
      </c>
      <c r="J461" s="1128"/>
      <c r="K461" s="313">
        <f t="shared" si="73"/>
        <v>1</v>
      </c>
      <c r="L461" s="1128"/>
      <c r="M461" s="313">
        <f t="shared" si="74"/>
        <v>1</v>
      </c>
      <c r="N461" s="1128"/>
      <c r="O461" s="313">
        <f t="shared" si="75"/>
        <v>1</v>
      </c>
      <c r="P461" s="1128"/>
      <c r="Q461" s="313">
        <f t="shared" si="76"/>
        <v>1</v>
      </c>
      <c r="R461" s="1124">
        <f t="shared" si="77"/>
        <v>0</v>
      </c>
      <c r="S461" s="698">
        <f t="shared" si="78"/>
        <v>0</v>
      </c>
    </row>
    <row r="462" spans="1:19">
      <c r="A462" s="491"/>
      <c r="B462" s="348"/>
      <c r="C462" s="313">
        <f t="shared" si="69"/>
        <v>1</v>
      </c>
      <c r="D462" s="1128"/>
      <c r="E462" s="313">
        <f t="shared" si="70"/>
        <v>1</v>
      </c>
      <c r="F462" s="1128"/>
      <c r="G462" s="313">
        <f t="shared" si="71"/>
        <v>1</v>
      </c>
      <c r="H462" s="1128"/>
      <c r="I462" s="313">
        <f t="shared" si="72"/>
        <v>1</v>
      </c>
      <c r="J462" s="1128"/>
      <c r="K462" s="313">
        <f t="shared" si="73"/>
        <v>1</v>
      </c>
      <c r="L462" s="1128"/>
      <c r="M462" s="313">
        <f t="shared" si="74"/>
        <v>1</v>
      </c>
      <c r="N462" s="1128"/>
      <c r="O462" s="313">
        <f t="shared" si="75"/>
        <v>1</v>
      </c>
      <c r="P462" s="1128"/>
      <c r="Q462" s="313">
        <f t="shared" si="76"/>
        <v>1</v>
      </c>
      <c r="R462" s="1124">
        <f t="shared" si="77"/>
        <v>0</v>
      </c>
      <c r="S462" s="698">
        <f t="shared" si="78"/>
        <v>0</v>
      </c>
    </row>
    <row r="463" spans="1:19">
      <c r="A463" s="491"/>
      <c r="B463" s="348"/>
      <c r="C463" s="313">
        <f t="shared" si="69"/>
        <v>1</v>
      </c>
      <c r="D463" s="1128"/>
      <c r="E463" s="313">
        <f t="shared" si="70"/>
        <v>1</v>
      </c>
      <c r="F463" s="1128"/>
      <c r="G463" s="313">
        <f t="shared" si="71"/>
        <v>1</v>
      </c>
      <c r="H463" s="1128"/>
      <c r="I463" s="313">
        <f t="shared" si="72"/>
        <v>1</v>
      </c>
      <c r="J463" s="1128"/>
      <c r="K463" s="313">
        <f t="shared" si="73"/>
        <v>1</v>
      </c>
      <c r="L463" s="1128"/>
      <c r="M463" s="313">
        <f t="shared" si="74"/>
        <v>1</v>
      </c>
      <c r="N463" s="1128"/>
      <c r="O463" s="313">
        <f t="shared" si="75"/>
        <v>1</v>
      </c>
      <c r="P463" s="1128"/>
      <c r="Q463" s="313">
        <f t="shared" si="76"/>
        <v>1</v>
      </c>
      <c r="R463" s="1124">
        <f t="shared" si="77"/>
        <v>0</v>
      </c>
      <c r="S463" s="698">
        <f t="shared" si="78"/>
        <v>0</v>
      </c>
    </row>
    <row r="464" spans="1:19">
      <c r="A464" s="491"/>
      <c r="B464" s="348"/>
      <c r="C464" s="313">
        <f t="shared" si="69"/>
        <v>1</v>
      </c>
      <c r="D464" s="1128"/>
      <c r="E464" s="313">
        <f t="shared" si="70"/>
        <v>1</v>
      </c>
      <c r="F464" s="1128"/>
      <c r="G464" s="313">
        <f t="shared" si="71"/>
        <v>1</v>
      </c>
      <c r="H464" s="1128"/>
      <c r="I464" s="313">
        <f t="shared" si="72"/>
        <v>1</v>
      </c>
      <c r="J464" s="1128"/>
      <c r="K464" s="313">
        <f t="shared" si="73"/>
        <v>1</v>
      </c>
      <c r="L464" s="1128"/>
      <c r="M464" s="313">
        <f t="shared" si="74"/>
        <v>1</v>
      </c>
      <c r="N464" s="1128"/>
      <c r="O464" s="313">
        <f t="shared" si="75"/>
        <v>1</v>
      </c>
      <c r="P464" s="1128"/>
      <c r="Q464" s="313">
        <f t="shared" si="76"/>
        <v>1</v>
      </c>
      <c r="R464" s="1124">
        <f t="shared" si="77"/>
        <v>0</v>
      </c>
      <c r="S464" s="698">
        <f t="shared" si="78"/>
        <v>0</v>
      </c>
    </row>
    <row r="465" spans="1:19">
      <c r="A465" s="491"/>
      <c r="B465" s="348"/>
      <c r="C465" s="313">
        <f t="shared" si="69"/>
        <v>1</v>
      </c>
      <c r="D465" s="1128"/>
      <c r="E465" s="313">
        <f t="shared" si="70"/>
        <v>1</v>
      </c>
      <c r="F465" s="1128"/>
      <c r="G465" s="313">
        <f t="shared" si="71"/>
        <v>1</v>
      </c>
      <c r="H465" s="1128"/>
      <c r="I465" s="313">
        <f t="shared" si="72"/>
        <v>1</v>
      </c>
      <c r="J465" s="1128"/>
      <c r="K465" s="313">
        <f t="shared" si="73"/>
        <v>1</v>
      </c>
      <c r="L465" s="1128"/>
      <c r="M465" s="313">
        <f t="shared" si="74"/>
        <v>1</v>
      </c>
      <c r="N465" s="1128"/>
      <c r="O465" s="313">
        <f t="shared" si="75"/>
        <v>1</v>
      </c>
      <c r="P465" s="1128"/>
      <c r="Q465" s="313">
        <f t="shared" si="76"/>
        <v>1</v>
      </c>
      <c r="R465" s="1124">
        <f t="shared" si="77"/>
        <v>0</v>
      </c>
      <c r="S465" s="698">
        <f t="shared" si="78"/>
        <v>0</v>
      </c>
    </row>
    <row r="466" spans="1:19">
      <c r="A466" s="491"/>
      <c r="B466" s="348"/>
      <c r="C466" s="313">
        <f t="shared" si="69"/>
        <v>1</v>
      </c>
      <c r="D466" s="1128"/>
      <c r="E466" s="313">
        <f t="shared" si="70"/>
        <v>1</v>
      </c>
      <c r="F466" s="1128"/>
      <c r="G466" s="313">
        <f t="shared" si="71"/>
        <v>1</v>
      </c>
      <c r="H466" s="1128"/>
      <c r="I466" s="313">
        <f t="shared" si="72"/>
        <v>1</v>
      </c>
      <c r="J466" s="1128"/>
      <c r="K466" s="313">
        <f t="shared" si="73"/>
        <v>1</v>
      </c>
      <c r="L466" s="1128"/>
      <c r="M466" s="313">
        <f t="shared" si="74"/>
        <v>1</v>
      </c>
      <c r="N466" s="1128"/>
      <c r="O466" s="313">
        <f t="shared" si="75"/>
        <v>1</v>
      </c>
      <c r="P466" s="1128"/>
      <c r="Q466" s="313">
        <f t="shared" si="76"/>
        <v>1</v>
      </c>
      <c r="R466" s="1124">
        <f t="shared" si="77"/>
        <v>0</v>
      </c>
      <c r="S466" s="698">
        <f t="shared" si="78"/>
        <v>0</v>
      </c>
    </row>
    <row r="467" spans="1:19">
      <c r="A467" s="491"/>
      <c r="B467" s="348"/>
      <c r="C467" s="313">
        <f t="shared" si="69"/>
        <v>1</v>
      </c>
      <c r="D467" s="1128"/>
      <c r="E467" s="313">
        <f t="shared" si="70"/>
        <v>1</v>
      </c>
      <c r="F467" s="1128"/>
      <c r="G467" s="313">
        <f t="shared" si="71"/>
        <v>1</v>
      </c>
      <c r="H467" s="1128"/>
      <c r="I467" s="313">
        <f t="shared" si="72"/>
        <v>1</v>
      </c>
      <c r="J467" s="1128"/>
      <c r="K467" s="313">
        <f t="shared" si="73"/>
        <v>1</v>
      </c>
      <c r="L467" s="1128"/>
      <c r="M467" s="313">
        <f t="shared" si="74"/>
        <v>1</v>
      </c>
      <c r="N467" s="1128"/>
      <c r="O467" s="313">
        <f t="shared" si="75"/>
        <v>1</v>
      </c>
      <c r="P467" s="1128"/>
      <c r="Q467" s="313">
        <f t="shared" si="76"/>
        <v>1</v>
      </c>
      <c r="R467" s="1124">
        <f t="shared" si="77"/>
        <v>0</v>
      </c>
      <c r="S467" s="698">
        <f t="shared" si="78"/>
        <v>0</v>
      </c>
    </row>
    <row r="468" spans="1:19">
      <c r="A468" s="491"/>
      <c r="B468" s="348"/>
      <c r="C468" s="313">
        <f t="shared" si="69"/>
        <v>1</v>
      </c>
      <c r="D468" s="1128"/>
      <c r="E468" s="313">
        <f t="shared" si="70"/>
        <v>1</v>
      </c>
      <c r="F468" s="1128"/>
      <c r="G468" s="313">
        <f t="shared" si="71"/>
        <v>1</v>
      </c>
      <c r="H468" s="1128"/>
      <c r="I468" s="313">
        <f t="shared" si="72"/>
        <v>1</v>
      </c>
      <c r="J468" s="1128"/>
      <c r="K468" s="313">
        <f t="shared" si="73"/>
        <v>1</v>
      </c>
      <c r="L468" s="1128"/>
      <c r="M468" s="313">
        <f t="shared" si="74"/>
        <v>1</v>
      </c>
      <c r="N468" s="1128"/>
      <c r="O468" s="313">
        <f t="shared" si="75"/>
        <v>1</v>
      </c>
      <c r="P468" s="1128"/>
      <c r="Q468" s="313">
        <f t="shared" si="76"/>
        <v>1</v>
      </c>
      <c r="R468" s="1124">
        <f t="shared" si="77"/>
        <v>0</v>
      </c>
      <c r="S468" s="698">
        <f t="shared" ref="S468:S497" si="79">ROUND(R468*B468/10000,0)</f>
        <v>0</v>
      </c>
    </row>
    <row r="469" spans="1:19">
      <c r="A469" s="491"/>
      <c r="B469" s="348"/>
      <c r="C469" s="313">
        <f t="shared" si="69"/>
        <v>1</v>
      </c>
      <c r="D469" s="1128"/>
      <c r="E469" s="313">
        <f t="shared" si="70"/>
        <v>1</v>
      </c>
      <c r="F469" s="1128"/>
      <c r="G469" s="313">
        <f t="shared" si="71"/>
        <v>1</v>
      </c>
      <c r="H469" s="1128"/>
      <c r="I469" s="313">
        <f t="shared" si="72"/>
        <v>1</v>
      </c>
      <c r="J469" s="1128"/>
      <c r="K469" s="313">
        <f t="shared" si="73"/>
        <v>1</v>
      </c>
      <c r="L469" s="1128"/>
      <c r="M469" s="313">
        <f t="shared" si="74"/>
        <v>1</v>
      </c>
      <c r="N469" s="1128"/>
      <c r="O469" s="313">
        <f t="shared" si="75"/>
        <v>1</v>
      </c>
      <c r="P469" s="1128"/>
      <c r="Q469" s="313">
        <f t="shared" si="76"/>
        <v>1</v>
      </c>
      <c r="R469" s="1124">
        <f t="shared" si="77"/>
        <v>0</v>
      </c>
      <c r="S469" s="698">
        <f t="shared" si="79"/>
        <v>0</v>
      </c>
    </row>
    <row r="470" spans="1:19">
      <c r="A470" s="491"/>
      <c r="B470" s="348"/>
      <c r="C470" s="313">
        <f t="shared" si="69"/>
        <v>1</v>
      </c>
      <c r="D470" s="1128"/>
      <c r="E470" s="313">
        <f t="shared" si="70"/>
        <v>1</v>
      </c>
      <c r="F470" s="1128"/>
      <c r="G470" s="313">
        <f t="shared" si="71"/>
        <v>1</v>
      </c>
      <c r="H470" s="1128"/>
      <c r="I470" s="313">
        <f t="shared" si="72"/>
        <v>1</v>
      </c>
      <c r="J470" s="1128"/>
      <c r="K470" s="313">
        <f t="shared" si="73"/>
        <v>1</v>
      </c>
      <c r="L470" s="1128"/>
      <c r="M470" s="313">
        <f t="shared" si="74"/>
        <v>1</v>
      </c>
      <c r="N470" s="1128"/>
      <c r="O470" s="313">
        <f t="shared" si="75"/>
        <v>1</v>
      </c>
      <c r="P470" s="1128"/>
      <c r="Q470" s="313">
        <f t="shared" si="76"/>
        <v>1</v>
      </c>
      <c r="R470" s="1124">
        <f t="shared" si="77"/>
        <v>0</v>
      </c>
      <c r="S470" s="698">
        <f t="shared" si="79"/>
        <v>0</v>
      </c>
    </row>
    <row r="471" spans="1:19">
      <c r="A471" s="491"/>
      <c r="B471" s="348"/>
      <c r="C471" s="313">
        <f t="shared" si="69"/>
        <v>1</v>
      </c>
      <c r="D471" s="1128"/>
      <c r="E471" s="313">
        <f t="shared" si="70"/>
        <v>1</v>
      </c>
      <c r="F471" s="1128"/>
      <c r="G471" s="313">
        <f t="shared" si="71"/>
        <v>1</v>
      </c>
      <c r="H471" s="1128"/>
      <c r="I471" s="313">
        <f t="shared" si="72"/>
        <v>1</v>
      </c>
      <c r="J471" s="1128"/>
      <c r="K471" s="313">
        <f t="shared" si="73"/>
        <v>1</v>
      </c>
      <c r="L471" s="1128"/>
      <c r="M471" s="313">
        <f t="shared" si="74"/>
        <v>1</v>
      </c>
      <c r="N471" s="1128"/>
      <c r="O471" s="313">
        <f t="shared" si="75"/>
        <v>1</v>
      </c>
      <c r="P471" s="1128"/>
      <c r="Q471" s="313">
        <f t="shared" si="76"/>
        <v>1</v>
      </c>
      <c r="R471" s="1124">
        <f t="shared" si="77"/>
        <v>0</v>
      </c>
      <c r="S471" s="698">
        <f t="shared" si="79"/>
        <v>0</v>
      </c>
    </row>
    <row r="472" spans="1:19">
      <c r="A472" s="491"/>
      <c r="B472" s="348"/>
      <c r="C472" s="313">
        <f t="shared" si="69"/>
        <v>1</v>
      </c>
      <c r="D472" s="1128"/>
      <c r="E472" s="313">
        <f t="shared" si="70"/>
        <v>1</v>
      </c>
      <c r="F472" s="1128"/>
      <c r="G472" s="313">
        <f t="shared" si="71"/>
        <v>1</v>
      </c>
      <c r="H472" s="1128"/>
      <c r="I472" s="313">
        <f t="shared" si="72"/>
        <v>1</v>
      </c>
      <c r="J472" s="1128"/>
      <c r="K472" s="313">
        <f t="shared" si="73"/>
        <v>1</v>
      </c>
      <c r="L472" s="1128"/>
      <c r="M472" s="313">
        <f t="shared" si="74"/>
        <v>1</v>
      </c>
      <c r="N472" s="1128"/>
      <c r="O472" s="313">
        <f t="shared" si="75"/>
        <v>1</v>
      </c>
      <c r="P472" s="1128"/>
      <c r="Q472" s="313">
        <f t="shared" si="76"/>
        <v>1</v>
      </c>
      <c r="R472" s="1124">
        <f t="shared" si="77"/>
        <v>0</v>
      </c>
      <c r="S472" s="698">
        <f t="shared" si="79"/>
        <v>0</v>
      </c>
    </row>
    <row r="473" spans="1:19">
      <c r="A473" s="491"/>
      <c r="B473" s="348"/>
      <c r="C473" s="313">
        <f t="shared" si="69"/>
        <v>1</v>
      </c>
      <c r="D473" s="1128"/>
      <c r="E473" s="313">
        <f t="shared" si="70"/>
        <v>1</v>
      </c>
      <c r="F473" s="1128"/>
      <c r="G473" s="313">
        <f t="shared" si="71"/>
        <v>1</v>
      </c>
      <c r="H473" s="1128"/>
      <c r="I473" s="313">
        <f t="shared" si="72"/>
        <v>1</v>
      </c>
      <c r="J473" s="1128"/>
      <c r="K473" s="313">
        <f t="shared" si="73"/>
        <v>1</v>
      </c>
      <c r="L473" s="1128"/>
      <c r="M473" s="313">
        <f t="shared" si="74"/>
        <v>1</v>
      </c>
      <c r="N473" s="1128"/>
      <c r="O473" s="313">
        <f t="shared" si="75"/>
        <v>1</v>
      </c>
      <c r="P473" s="1128"/>
      <c r="Q473" s="313">
        <f t="shared" si="76"/>
        <v>1</v>
      </c>
      <c r="R473" s="1124">
        <f t="shared" si="77"/>
        <v>0</v>
      </c>
      <c r="S473" s="698">
        <f t="shared" si="79"/>
        <v>0</v>
      </c>
    </row>
    <row r="474" spans="1:19">
      <c r="A474" s="491"/>
      <c r="B474" s="348"/>
      <c r="C474" s="313">
        <f t="shared" ref="C474:C524" si="80">IF(B474="",1,(LOOKUP(B474,$3:$3,$4:$4)-LOOKUP($B$24,$3:$3,$4:$4)+100)/100)</f>
        <v>1</v>
      </c>
      <c r="D474" s="1128"/>
      <c r="E474" s="313">
        <f t="shared" ref="E474:E524" si="81">(SUMIF($5:$5,D474,$6:$6)-SUMIF($5:$5,$D$24,$6:$6)+100)/100</f>
        <v>1</v>
      </c>
      <c r="F474" s="1128"/>
      <c r="G474" s="313">
        <f t="shared" ref="G474:G524" si="82">(SUMIF($7:$7,F474,$8:$8)-SUMIF($7:$7,$F$24,$8:$8)+100)/100</f>
        <v>1</v>
      </c>
      <c r="H474" s="1128"/>
      <c r="I474" s="313">
        <f t="shared" ref="I474:I524" si="83">(SUMIF($9:$9,H474,$10:$10)-SUMIF($9:$9,$H$24,$10:$10)+100)/100</f>
        <v>1</v>
      </c>
      <c r="J474" s="1128"/>
      <c r="K474" s="313">
        <f t="shared" ref="K474:K524" si="84">(SUMIF($11:$11,J474,$12:$12)-SUMIF($11:$11,$J$24,$12:$12)+100)/100</f>
        <v>1</v>
      </c>
      <c r="L474" s="1128"/>
      <c r="M474" s="313">
        <f t="shared" ref="M474:M524" si="85">(SUMIF($13:$13,L474,$14:$14)-SUMIF($13:$13,$L$24,$14:$14)+100)/100</f>
        <v>1</v>
      </c>
      <c r="N474" s="1128"/>
      <c r="O474" s="313">
        <f t="shared" ref="O474:O524" si="86">(SUMIF($15:$15,N474,$16:$16)-SUMIF($15:$15,$N$24,$16:$16)+100)/100</f>
        <v>1</v>
      </c>
      <c r="P474" s="1128"/>
      <c r="Q474" s="313">
        <f t="shared" ref="Q474:Q524" si="87">(SUMIF($17:$17,P474,$18:$18)-SUMIF($17:$17,$P$24,$18:$18)+100)/100</f>
        <v>1</v>
      </c>
      <c r="R474" s="1124">
        <f t="shared" ref="R474:R524" si="88">IF(B474="",0,ROUND($R$24*C474*E474*G474*I474*K474*M474*O474*Q474,0))</f>
        <v>0</v>
      </c>
      <c r="S474" s="698">
        <f t="shared" si="79"/>
        <v>0</v>
      </c>
    </row>
    <row r="475" spans="1:19">
      <c r="A475" s="491"/>
      <c r="B475" s="348"/>
      <c r="C475" s="313">
        <f t="shared" si="80"/>
        <v>1</v>
      </c>
      <c r="D475" s="1128"/>
      <c r="E475" s="313">
        <f t="shared" si="81"/>
        <v>1</v>
      </c>
      <c r="F475" s="1128"/>
      <c r="G475" s="313">
        <f t="shared" si="82"/>
        <v>1</v>
      </c>
      <c r="H475" s="1128"/>
      <c r="I475" s="313">
        <f t="shared" si="83"/>
        <v>1</v>
      </c>
      <c r="J475" s="1128"/>
      <c r="K475" s="313">
        <f t="shared" si="84"/>
        <v>1</v>
      </c>
      <c r="L475" s="1128"/>
      <c r="M475" s="313">
        <f t="shared" si="85"/>
        <v>1</v>
      </c>
      <c r="N475" s="1128"/>
      <c r="O475" s="313">
        <f t="shared" si="86"/>
        <v>1</v>
      </c>
      <c r="P475" s="1128"/>
      <c r="Q475" s="313">
        <f t="shared" si="87"/>
        <v>1</v>
      </c>
      <c r="R475" s="1124">
        <f t="shared" si="88"/>
        <v>0</v>
      </c>
      <c r="S475" s="698">
        <f t="shared" si="79"/>
        <v>0</v>
      </c>
    </row>
    <row r="476" spans="1:19">
      <c r="A476" s="491"/>
      <c r="B476" s="348"/>
      <c r="C476" s="313">
        <f t="shared" si="80"/>
        <v>1</v>
      </c>
      <c r="D476" s="1128"/>
      <c r="E476" s="313">
        <f t="shared" si="81"/>
        <v>1</v>
      </c>
      <c r="F476" s="1128"/>
      <c r="G476" s="313">
        <f t="shared" si="82"/>
        <v>1</v>
      </c>
      <c r="H476" s="1128"/>
      <c r="I476" s="313">
        <f t="shared" si="83"/>
        <v>1</v>
      </c>
      <c r="J476" s="1128"/>
      <c r="K476" s="313">
        <f t="shared" si="84"/>
        <v>1</v>
      </c>
      <c r="L476" s="1128"/>
      <c r="M476" s="313">
        <f t="shared" si="85"/>
        <v>1</v>
      </c>
      <c r="N476" s="1128"/>
      <c r="O476" s="313">
        <f t="shared" si="86"/>
        <v>1</v>
      </c>
      <c r="P476" s="1128"/>
      <c r="Q476" s="313">
        <f t="shared" si="87"/>
        <v>1</v>
      </c>
      <c r="R476" s="1124">
        <f t="shared" si="88"/>
        <v>0</v>
      </c>
      <c r="S476" s="698">
        <f t="shared" si="79"/>
        <v>0</v>
      </c>
    </row>
    <row r="477" spans="1:19">
      <c r="A477" s="491"/>
      <c r="B477" s="348"/>
      <c r="C477" s="313">
        <f t="shared" si="80"/>
        <v>1</v>
      </c>
      <c r="D477" s="1128"/>
      <c r="E477" s="313">
        <f t="shared" si="81"/>
        <v>1</v>
      </c>
      <c r="F477" s="1128"/>
      <c r="G477" s="313">
        <f t="shared" si="82"/>
        <v>1</v>
      </c>
      <c r="H477" s="1128"/>
      <c r="I477" s="313">
        <f t="shared" si="83"/>
        <v>1</v>
      </c>
      <c r="J477" s="1128"/>
      <c r="K477" s="313">
        <f t="shared" si="84"/>
        <v>1</v>
      </c>
      <c r="L477" s="1128"/>
      <c r="M477" s="313">
        <f t="shared" si="85"/>
        <v>1</v>
      </c>
      <c r="N477" s="1128"/>
      <c r="O477" s="313">
        <f t="shared" si="86"/>
        <v>1</v>
      </c>
      <c r="P477" s="1128"/>
      <c r="Q477" s="313">
        <f t="shared" si="87"/>
        <v>1</v>
      </c>
      <c r="R477" s="1124">
        <f t="shared" si="88"/>
        <v>0</v>
      </c>
      <c r="S477" s="698">
        <f t="shared" si="79"/>
        <v>0</v>
      </c>
    </row>
    <row r="478" spans="1:19">
      <c r="A478" s="491"/>
      <c r="B478" s="348"/>
      <c r="C478" s="313">
        <f t="shared" si="80"/>
        <v>1</v>
      </c>
      <c r="D478" s="1128"/>
      <c r="E478" s="313">
        <f t="shared" si="81"/>
        <v>1</v>
      </c>
      <c r="F478" s="1128"/>
      <c r="G478" s="313">
        <f t="shared" si="82"/>
        <v>1</v>
      </c>
      <c r="H478" s="1128"/>
      <c r="I478" s="313">
        <f t="shared" si="83"/>
        <v>1</v>
      </c>
      <c r="J478" s="1128"/>
      <c r="K478" s="313">
        <f t="shared" si="84"/>
        <v>1</v>
      </c>
      <c r="L478" s="1128"/>
      <c r="M478" s="313">
        <f t="shared" si="85"/>
        <v>1</v>
      </c>
      <c r="N478" s="1128"/>
      <c r="O478" s="313">
        <f t="shared" si="86"/>
        <v>1</v>
      </c>
      <c r="P478" s="1128"/>
      <c r="Q478" s="313">
        <f t="shared" si="87"/>
        <v>1</v>
      </c>
      <c r="R478" s="1124">
        <f t="shared" si="88"/>
        <v>0</v>
      </c>
      <c r="S478" s="698">
        <f t="shared" si="79"/>
        <v>0</v>
      </c>
    </row>
    <row r="479" spans="1:19">
      <c r="A479" s="491"/>
      <c r="B479" s="348"/>
      <c r="C479" s="313">
        <f t="shared" si="80"/>
        <v>1</v>
      </c>
      <c r="D479" s="1128"/>
      <c r="E479" s="313">
        <f t="shared" si="81"/>
        <v>1</v>
      </c>
      <c r="F479" s="1128"/>
      <c r="G479" s="313">
        <f t="shared" si="82"/>
        <v>1</v>
      </c>
      <c r="H479" s="1128"/>
      <c r="I479" s="313">
        <f t="shared" si="83"/>
        <v>1</v>
      </c>
      <c r="J479" s="1128"/>
      <c r="K479" s="313">
        <f t="shared" si="84"/>
        <v>1</v>
      </c>
      <c r="L479" s="1128"/>
      <c r="M479" s="313">
        <f t="shared" si="85"/>
        <v>1</v>
      </c>
      <c r="N479" s="1128"/>
      <c r="O479" s="313">
        <f t="shared" si="86"/>
        <v>1</v>
      </c>
      <c r="P479" s="1128"/>
      <c r="Q479" s="313">
        <f t="shared" si="87"/>
        <v>1</v>
      </c>
      <c r="R479" s="1124">
        <f t="shared" si="88"/>
        <v>0</v>
      </c>
      <c r="S479" s="698">
        <f t="shared" si="79"/>
        <v>0</v>
      </c>
    </row>
    <row r="480" spans="1:19">
      <c r="A480" s="491"/>
      <c r="B480" s="348"/>
      <c r="C480" s="313">
        <f t="shared" si="80"/>
        <v>1</v>
      </c>
      <c r="D480" s="1128"/>
      <c r="E480" s="313">
        <f t="shared" si="81"/>
        <v>1</v>
      </c>
      <c r="F480" s="1128"/>
      <c r="G480" s="313">
        <f t="shared" si="82"/>
        <v>1</v>
      </c>
      <c r="H480" s="1128"/>
      <c r="I480" s="313">
        <f t="shared" si="83"/>
        <v>1</v>
      </c>
      <c r="J480" s="1128"/>
      <c r="K480" s="313">
        <f t="shared" si="84"/>
        <v>1</v>
      </c>
      <c r="L480" s="1128"/>
      <c r="M480" s="313">
        <f t="shared" si="85"/>
        <v>1</v>
      </c>
      <c r="N480" s="1128"/>
      <c r="O480" s="313">
        <f t="shared" si="86"/>
        <v>1</v>
      </c>
      <c r="P480" s="1128"/>
      <c r="Q480" s="313">
        <f t="shared" si="87"/>
        <v>1</v>
      </c>
      <c r="R480" s="1124">
        <f t="shared" si="88"/>
        <v>0</v>
      </c>
      <c r="S480" s="698">
        <f t="shared" si="79"/>
        <v>0</v>
      </c>
    </row>
    <row r="481" spans="1:19">
      <c r="A481" s="491"/>
      <c r="B481" s="348"/>
      <c r="C481" s="313">
        <f t="shared" si="80"/>
        <v>1</v>
      </c>
      <c r="D481" s="1128"/>
      <c r="E481" s="313">
        <f t="shared" si="81"/>
        <v>1</v>
      </c>
      <c r="F481" s="1128"/>
      <c r="G481" s="313">
        <f t="shared" si="82"/>
        <v>1</v>
      </c>
      <c r="H481" s="1128"/>
      <c r="I481" s="313">
        <f t="shared" si="83"/>
        <v>1</v>
      </c>
      <c r="J481" s="1128"/>
      <c r="K481" s="313">
        <f t="shared" si="84"/>
        <v>1</v>
      </c>
      <c r="L481" s="1128"/>
      <c r="M481" s="313">
        <f t="shared" si="85"/>
        <v>1</v>
      </c>
      <c r="N481" s="1128"/>
      <c r="O481" s="313">
        <f t="shared" si="86"/>
        <v>1</v>
      </c>
      <c r="P481" s="1128"/>
      <c r="Q481" s="313">
        <f t="shared" si="87"/>
        <v>1</v>
      </c>
      <c r="R481" s="1124">
        <f t="shared" si="88"/>
        <v>0</v>
      </c>
      <c r="S481" s="698">
        <f t="shared" si="79"/>
        <v>0</v>
      </c>
    </row>
    <row r="482" spans="1:19">
      <c r="A482" s="491"/>
      <c r="B482" s="348"/>
      <c r="C482" s="313">
        <f t="shared" si="80"/>
        <v>1</v>
      </c>
      <c r="D482" s="1128"/>
      <c r="E482" s="313">
        <f t="shared" si="81"/>
        <v>1</v>
      </c>
      <c r="F482" s="1128"/>
      <c r="G482" s="313">
        <f t="shared" si="82"/>
        <v>1</v>
      </c>
      <c r="H482" s="1128"/>
      <c r="I482" s="313">
        <f t="shared" si="83"/>
        <v>1</v>
      </c>
      <c r="J482" s="1128"/>
      <c r="K482" s="313">
        <f t="shared" si="84"/>
        <v>1</v>
      </c>
      <c r="L482" s="1128"/>
      <c r="M482" s="313">
        <f t="shared" si="85"/>
        <v>1</v>
      </c>
      <c r="N482" s="1128"/>
      <c r="O482" s="313">
        <f t="shared" si="86"/>
        <v>1</v>
      </c>
      <c r="P482" s="1128"/>
      <c r="Q482" s="313">
        <f t="shared" si="87"/>
        <v>1</v>
      </c>
      <c r="R482" s="1124">
        <f t="shared" si="88"/>
        <v>0</v>
      </c>
      <c r="S482" s="698">
        <f t="shared" si="79"/>
        <v>0</v>
      </c>
    </row>
    <row r="483" spans="1:19">
      <c r="A483" s="491"/>
      <c r="B483" s="348"/>
      <c r="C483" s="313">
        <f t="shared" si="80"/>
        <v>1</v>
      </c>
      <c r="D483" s="1128"/>
      <c r="E483" s="313">
        <f t="shared" si="81"/>
        <v>1</v>
      </c>
      <c r="F483" s="1128"/>
      <c r="G483" s="313">
        <f t="shared" si="82"/>
        <v>1</v>
      </c>
      <c r="H483" s="1128"/>
      <c r="I483" s="313">
        <f t="shared" si="83"/>
        <v>1</v>
      </c>
      <c r="J483" s="1128"/>
      <c r="K483" s="313">
        <f t="shared" si="84"/>
        <v>1</v>
      </c>
      <c r="L483" s="1128"/>
      <c r="M483" s="313">
        <f t="shared" si="85"/>
        <v>1</v>
      </c>
      <c r="N483" s="1128"/>
      <c r="O483" s="313">
        <f t="shared" si="86"/>
        <v>1</v>
      </c>
      <c r="P483" s="1128"/>
      <c r="Q483" s="313">
        <f t="shared" si="87"/>
        <v>1</v>
      </c>
      <c r="R483" s="1124">
        <f t="shared" si="88"/>
        <v>0</v>
      </c>
      <c r="S483" s="698">
        <f t="shared" si="79"/>
        <v>0</v>
      </c>
    </row>
    <row r="484" spans="1:19">
      <c r="A484" s="491"/>
      <c r="B484" s="348"/>
      <c r="C484" s="313">
        <f t="shared" si="80"/>
        <v>1</v>
      </c>
      <c r="D484" s="1128"/>
      <c r="E484" s="313">
        <f t="shared" si="81"/>
        <v>1</v>
      </c>
      <c r="F484" s="1128"/>
      <c r="G484" s="313">
        <f t="shared" si="82"/>
        <v>1</v>
      </c>
      <c r="H484" s="1128"/>
      <c r="I484" s="313">
        <f t="shared" si="83"/>
        <v>1</v>
      </c>
      <c r="J484" s="1128"/>
      <c r="K484" s="313">
        <f t="shared" si="84"/>
        <v>1</v>
      </c>
      <c r="L484" s="1128"/>
      <c r="M484" s="313">
        <f t="shared" si="85"/>
        <v>1</v>
      </c>
      <c r="N484" s="1128"/>
      <c r="O484" s="313">
        <f t="shared" si="86"/>
        <v>1</v>
      </c>
      <c r="P484" s="1128"/>
      <c r="Q484" s="313">
        <f t="shared" si="87"/>
        <v>1</v>
      </c>
      <c r="R484" s="1124">
        <f t="shared" si="88"/>
        <v>0</v>
      </c>
      <c r="S484" s="698">
        <f t="shared" si="79"/>
        <v>0</v>
      </c>
    </row>
    <row r="485" spans="1:19">
      <c r="A485" s="491"/>
      <c r="B485" s="348"/>
      <c r="C485" s="313">
        <f t="shared" si="80"/>
        <v>1</v>
      </c>
      <c r="D485" s="1128"/>
      <c r="E485" s="313">
        <f t="shared" si="81"/>
        <v>1</v>
      </c>
      <c r="F485" s="1128"/>
      <c r="G485" s="313">
        <f t="shared" si="82"/>
        <v>1</v>
      </c>
      <c r="H485" s="1128"/>
      <c r="I485" s="313">
        <f t="shared" si="83"/>
        <v>1</v>
      </c>
      <c r="J485" s="1128"/>
      <c r="K485" s="313">
        <f t="shared" si="84"/>
        <v>1</v>
      </c>
      <c r="L485" s="1128"/>
      <c r="M485" s="313">
        <f t="shared" si="85"/>
        <v>1</v>
      </c>
      <c r="N485" s="1128"/>
      <c r="O485" s="313">
        <f t="shared" si="86"/>
        <v>1</v>
      </c>
      <c r="P485" s="1128"/>
      <c r="Q485" s="313">
        <f t="shared" si="87"/>
        <v>1</v>
      </c>
      <c r="R485" s="1124">
        <f t="shared" si="88"/>
        <v>0</v>
      </c>
      <c r="S485" s="698">
        <f t="shared" si="79"/>
        <v>0</v>
      </c>
    </row>
    <row r="486" spans="1:19">
      <c r="A486" s="491"/>
      <c r="B486" s="348"/>
      <c r="C486" s="313">
        <f t="shared" si="80"/>
        <v>1</v>
      </c>
      <c r="D486" s="1128"/>
      <c r="E486" s="313">
        <f t="shared" si="81"/>
        <v>1</v>
      </c>
      <c r="F486" s="1128"/>
      <c r="G486" s="313">
        <f t="shared" si="82"/>
        <v>1</v>
      </c>
      <c r="H486" s="1128"/>
      <c r="I486" s="313">
        <f t="shared" si="83"/>
        <v>1</v>
      </c>
      <c r="J486" s="1128"/>
      <c r="K486" s="313">
        <f t="shared" si="84"/>
        <v>1</v>
      </c>
      <c r="L486" s="1128"/>
      <c r="M486" s="313">
        <f t="shared" si="85"/>
        <v>1</v>
      </c>
      <c r="N486" s="1128"/>
      <c r="O486" s="313">
        <f t="shared" si="86"/>
        <v>1</v>
      </c>
      <c r="P486" s="1128"/>
      <c r="Q486" s="313">
        <f t="shared" si="87"/>
        <v>1</v>
      </c>
      <c r="R486" s="1124">
        <f t="shared" si="88"/>
        <v>0</v>
      </c>
      <c r="S486" s="698">
        <f t="shared" si="79"/>
        <v>0</v>
      </c>
    </row>
    <row r="487" spans="1:19">
      <c r="A487" s="491"/>
      <c r="B487" s="348"/>
      <c r="C487" s="313">
        <f t="shared" si="80"/>
        <v>1</v>
      </c>
      <c r="D487" s="1128"/>
      <c r="E487" s="313">
        <f t="shared" si="81"/>
        <v>1</v>
      </c>
      <c r="F487" s="1128"/>
      <c r="G487" s="313">
        <f t="shared" si="82"/>
        <v>1</v>
      </c>
      <c r="H487" s="1128"/>
      <c r="I487" s="313">
        <f t="shared" si="83"/>
        <v>1</v>
      </c>
      <c r="J487" s="1128"/>
      <c r="K487" s="313">
        <f t="shared" si="84"/>
        <v>1</v>
      </c>
      <c r="L487" s="1128"/>
      <c r="M487" s="313">
        <f t="shared" si="85"/>
        <v>1</v>
      </c>
      <c r="N487" s="1128"/>
      <c r="O487" s="313">
        <f t="shared" si="86"/>
        <v>1</v>
      </c>
      <c r="P487" s="1128"/>
      <c r="Q487" s="313">
        <f t="shared" si="87"/>
        <v>1</v>
      </c>
      <c r="R487" s="1124">
        <f t="shared" si="88"/>
        <v>0</v>
      </c>
      <c r="S487" s="698">
        <f t="shared" si="79"/>
        <v>0</v>
      </c>
    </row>
    <row r="488" spans="1:19">
      <c r="A488" s="491"/>
      <c r="B488" s="348"/>
      <c r="C488" s="313">
        <f t="shared" si="80"/>
        <v>1</v>
      </c>
      <c r="D488" s="1128"/>
      <c r="E488" s="313">
        <f t="shared" si="81"/>
        <v>1</v>
      </c>
      <c r="F488" s="1128"/>
      <c r="G488" s="313">
        <f t="shared" si="82"/>
        <v>1</v>
      </c>
      <c r="H488" s="1128"/>
      <c r="I488" s="313">
        <f t="shared" si="83"/>
        <v>1</v>
      </c>
      <c r="J488" s="1128"/>
      <c r="K488" s="313">
        <f t="shared" si="84"/>
        <v>1</v>
      </c>
      <c r="L488" s="1128"/>
      <c r="M488" s="313">
        <f t="shared" si="85"/>
        <v>1</v>
      </c>
      <c r="N488" s="1128"/>
      <c r="O488" s="313">
        <f t="shared" si="86"/>
        <v>1</v>
      </c>
      <c r="P488" s="1128"/>
      <c r="Q488" s="313">
        <f t="shared" si="87"/>
        <v>1</v>
      </c>
      <c r="R488" s="1124">
        <f t="shared" si="88"/>
        <v>0</v>
      </c>
      <c r="S488" s="698">
        <f t="shared" si="79"/>
        <v>0</v>
      </c>
    </row>
    <row r="489" spans="1:19">
      <c r="A489" s="491"/>
      <c r="B489" s="348"/>
      <c r="C489" s="313">
        <f t="shared" si="80"/>
        <v>1</v>
      </c>
      <c r="D489" s="1128"/>
      <c r="E489" s="313">
        <f t="shared" si="81"/>
        <v>1</v>
      </c>
      <c r="F489" s="1128"/>
      <c r="G489" s="313">
        <f t="shared" si="82"/>
        <v>1</v>
      </c>
      <c r="H489" s="1128"/>
      <c r="I489" s="313">
        <f t="shared" si="83"/>
        <v>1</v>
      </c>
      <c r="J489" s="1128"/>
      <c r="K489" s="313">
        <f t="shared" si="84"/>
        <v>1</v>
      </c>
      <c r="L489" s="1128"/>
      <c r="M489" s="313">
        <f t="shared" si="85"/>
        <v>1</v>
      </c>
      <c r="N489" s="1128"/>
      <c r="O489" s="313">
        <f t="shared" si="86"/>
        <v>1</v>
      </c>
      <c r="P489" s="1128"/>
      <c r="Q489" s="313">
        <f t="shared" si="87"/>
        <v>1</v>
      </c>
      <c r="R489" s="1124">
        <f t="shared" si="88"/>
        <v>0</v>
      </c>
      <c r="S489" s="698">
        <f t="shared" si="79"/>
        <v>0</v>
      </c>
    </row>
    <row r="490" spans="1:19">
      <c r="A490" s="491"/>
      <c r="B490" s="348"/>
      <c r="C490" s="313">
        <f t="shared" si="80"/>
        <v>1</v>
      </c>
      <c r="D490" s="1128"/>
      <c r="E490" s="313">
        <f t="shared" si="81"/>
        <v>1</v>
      </c>
      <c r="F490" s="1128"/>
      <c r="G490" s="313">
        <f t="shared" si="82"/>
        <v>1</v>
      </c>
      <c r="H490" s="1128"/>
      <c r="I490" s="313">
        <f t="shared" si="83"/>
        <v>1</v>
      </c>
      <c r="J490" s="1128"/>
      <c r="K490" s="313">
        <f t="shared" si="84"/>
        <v>1</v>
      </c>
      <c r="L490" s="1128"/>
      <c r="M490" s="313">
        <f t="shared" si="85"/>
        <v>1</v>
      </c>
      <c r="N490" s="1128"/>
      <c r="O490" s="313">
        <f t="shared" si="86"/>
        <v>1</v>
      </c>
      <c r="P490" s="1128"/>
      <c r="Q490" s="313">
        <f t="shared" si="87"/>
        <v>1</v>
      </c>
      <c r="R490" s="1124">
        <f t="shared" si="88"/>
        <v>0</v>
      </c>
      <c r="S490" s="698">
        <f t="shared" si="79"/>
        <v>0</v>
      </c>
    </row>
    <row r="491" spans="1:19">
      <c r="A491" s="491"/>
      <c r="B491" s="348"/>
      <c r="C491" s="313">
        <f t="shared" si="80"/>
        <v>1</v>
      </c>
      <c r="D491" s="1128"/>
      <c r="E491" s="313">
        <f t="shared" si="81"/>
        <v>1</v>
      </c>
      <c r="F491" s="1128"/>
      <c r="G491" s="313">
        <f t="shared" si="82"/>
        <v>1</v>
      </c>
      <c r="H491" s="1128"/>
      <c r="I491" s="313">
        <f t="shared" si="83"/>
        <v>1</v>
      </c>
      <c r="J491" s="1128"/>
      <c r="K491" s="313">
        <f t="shared" si="84"/>
        <v>1</v>
      </c>
      <c r="L491" s="1128"/>
      <c r="M491" s="313">
        <f t="shared" si="85"/>
        <v>1</v>
      </c>
      <c r="N491" s="1128"/>
      <c r="O491" s="313">
        <f t="shared" si="86"/>
        <v>1</v>
      </c>
      <c r="P491" s="1128"/>
      <c r="Q491" s="313">
        <f t="shared" si="87"/>
        <v>1</v>
      </c>
      <c r="R491" s="1124">
        <f t="shared" si="88"/>
        <v>0</v>
      </c>
      <c r="S491" s="698">
        <f t="shared" si="79"/>
        <v>0</v>
      </c>
    </row>
    <row r="492" spans="1:19">
      <c r="A492" s="491"/>
      <c r="B492" s="348"/>
      <c r="C492" s="313">
        <f t="shared" si="80"/>
        <v>1</v>
      </c>
      <c r="D492" s="1128"/>
      <c r="E492" s="313">
        <f t="shared" si="81"/>
        <v>1</v>
      </c>
      <c r="F492" s="1128"/>
      <c r="G492" s="313">
        <f t="shared" si="82"/>
        <v>1</v>
      </c>
      <c r="H492" s="1128"/>
      <c r="I492" s="313">
        <f t="shared" si="83"/>
        <v>1</v>
      </c>
      <c r="J492" s="1128"/>
      <c r="K492" s="313">
        <f t="shared" si="84"/>
        <v>1</v>
      </c>
      <c r="L492" s="1128"/>
      <c r="M492" s="313">
        <f t="shared" si="85"/>
        <v>1</v>
      </c>
      <c r="N492" s="1128"/>
      <c r="O492" s="313">
        <f t="shared" si="86"/>
        <v>1</v>
      </c>
      <c r="P492" s="1128"/>
      <c r="Q492" s="313">
        <f t="shared" si="87"/>
        <v>1</v>
      </c>
      <c r="R492" s="1124">
        <f t="shared" si="88"/>
        <v>0</v>
      </c>
      <c r="S492" s="698">
        <f t="shared" si="79"/>
        <v>0</v>
      </c>
    </row>
    <row r="493" spans="1:19">
      <c r="A493" s="491"/>
      <c r="B493" s="348"/>
      <c r="C493" s="313">
        <f t="shared" si="80"/>
        <v>1</v>
      </c>
      <c r="D493" s="1128"/>
      <c r="E493" s="313">
        <f t="shared" si="81"/>
        <v>1</v>
      </c>
      <c r="F493" s="1128"/>
      <c r="G493" s="313">
        <f t="shared" si="82"/>
        <v>1</v>
      </c>
      <c r="H493" s="1128"/>
      <c r="I493" s="313">
        <f t="shared" si="83"/>
        <v>1</v>
      </c>
      <c r="J493" s="1128"/>
      <c r="K493" s="313">
        <f t="shared" si="84"/>
        <v>1</v>
      </c>
      <c r="L493" s="1128"/>
      <c r="M493" s="313">
        <f t="shared" si="85"/>
        <v>1</v>
      </c>
      <c r="N493" s="1128"/>
      <c r="O493" s="313">
        <f t="shared" si="86"/>
        <v>1</v>
      </c>
      <c r="P493" s="1128"/>
      <c r="Q493" s="313">
        <f t="shared" si="87"/>
        <v>1</v>
      </c>
      <c r="R493" s="1124">
        <f t="shared" si="88"/>
        <v>0</v>
      </c>
      <c r="S493" s="698">
        <f t="shared" si="79"/>
        <v>0</v>
      </c>
    </row>
    <row r="494" spans="1:19">
      <c r="A494" s="491"/>
      <c r="B494" s="348"/>
      <c r="C494" s="313">
        <f t="shared" si="80"/>
        <v>1</v>
      </c>
      <c r="D494" s="1128"/>
      <c r="E494" s="313">
        <f t="shared" si="81"/>
        <v>1</v>
      </c>
      <c r="F494" s="1128"/>
      <c r="G494" s="313">
        <f t="shared" si="82"/>
        <v>1</v>
      </c>
      <c r="H494" s="1128"/>
      <c r="I494" s="313">
        <f t="shared" si="83"/>
        <v>1</v>
      </c>
      <c r="J494" s="1128"/>
      <c r="K494" s="313">
        <f t="shared" si="84"/>
        <v>1</v>
      </c>
      <c r="L494" s="1128"/>
      <c r="M494" s="313">
        <f t="shared" si="85"/>
        <v>1</v>
      </c>
      <c r="N494" s="1128"/>
      <c r="O494" s="313">
        <f t="shared" si="86"/>
        <v>1</v>
      </c>
      <c r="P494" s="1128"/>
      <c r="Q494" s="313">
        <f t="shared" si="87"/>
        <v>1</v>
      </c>
      <c r="R494" s="1124">
        <f t="shared" si="88"/>
        <v>0</v>
      </c>
      <c r="S494" s="698">
        <f t="shared" si="79"/>
        <v>0</v>
      </c>
    </row>
    <row r="495" spans="1:19">
      <c r="A495" s="491"/>
      <c r="B495" s="348"/>
      <c r="C495" s="313">
        <f t="shared" si="80"/>
        <v>1</v>
      </c>
      <c r="D495" s="1128"/>
      <c r="E495" s="313">
        <f t="shared" si="81"/>
        <v>1</v>
      </c>
      <c r="F495" s="1128"/>
      <c r="G495" s="313">
        <f t="shared" si="82"/>
        <v>1</v>
      </c>
      <c r="H495" s="1128"/>
      <c r="I495" s="313">
        <f t="shared" si="83"/>
        <v>1</v>
      </c>
      <c r="J495" s="1128"/>
      <c r="K495" s="313">
        <f t="shared" si="84"/>
        <v>1</v>
      </c>
      <c r="L495" s="1128"/>
      <c r="M495" s="313">
        <f t="shared" si="85"/>
        <v>1</v>
      </c>
      <c r="N495" s="1128"/>
      <c r="O495" s="313">
        <f t="shared" si="86"/>
        <v>1</v>
      </c>
      <c r="P495" s="1128"/>
      <c r="Q495" s="313">
        <f t="shared" si="87"/>
        <v>1</v>
      </c>
      <c r="R495" s="1124">
        <f t="shared" si="88"/>
        <v>0</v>
      </c>
      <c r="S495" s="698">
        <f t="shared" si="79"/>
        <v>0</v>
      </c>
    </row>
    <row r="496" spans="1:19">
      <c r="A496" s="491"/>
      <c r="B496" s="348"/>
      <c r="C496" s="313">
        <f t="shared" si="80"/>
        <v>1</v>
      </c>
      <c r="D496" s="1128"/>
      <c r="E496" s="313">
        <f t="shared" si="81"/>
        <v>1</v>
      </c>
      <c r="F496" s="1128"/>
      <c r="G496" s="313">
        <f t="shared" si="82"/>
        <v>1</v>
      </c>
      <c r="H496" s="1128"/>
      <c r="I496" s="313">
        <f t="shared" si="83"/>
        <v>1</v>
      </c>
      <c r="J496" s="1128"/>
      <c r="K496" s="313">
        <f t="shared" si="84"/>
        <v>1</v>
      </c>
      <c r="L496" s="1128"/>
      <c r="M496" s="313">
        <f t="shared" si="85"/>
        <v>1</v>
      </c>
      <c r="N496" s="1128"/>
      <c r="O496" s="313">
        <f t="shared" si="86"/>
        <v>1</v>
      </c>
      <c r="P496" s="1128"/>
      <c r="Q496" s="313">
        <f t="shared" si="87"/>
        <v>1</v>
      </c>
      <c r="R496" s="1124">
        <f t="shared" si="88"/>
        <v>0</v>
      </c>
      <c r="S496" s="698">
        <f t="shared" si="79"/>
        <v>0</v>
      </c>
    </row>
    <row r="497" spans="1:19">
      <c r="A497" s="491"/>
      <c r="B497" s="348"/>
      <c r="C497" s="313">
        <f t="shared" si="80"/>
        <v>1</v>
      </c>
      <c r="D497" s="1128"/>
      <c r="E497" s="313">
        <f t="shared" si="81"/>
        <v>1</v>
      </c>
      <c r="F497" s="1128"/>
      <c r="G497" s="313">
        <f t="shared" si="82"/>
        <v>1</v>
      </c>
      <c r="H497" s="1128"/>
      <c r="I497" s="313">
        <f t="shared" si="83"/>
        <v>1</v>
      </c>
      <c r="J497" s="1128"/>
      <c r="K497" s="313">
        <f t="shared" si="84"/>
        <v>1</v>
      </c>
      <c r="L497" s="1128"/>
      <c r="M497" s="313">
        <f t="shared" si="85"/>
        <v>1</v>
      </c>
      <c r="N497" s="1128"/>
      <c r="O497" s="313">
        <f t="shared" si="86"/>
        <v>1</v>
      </c>
      <c r="P497" s="1128"/>
      <c r="Q497" s="313">
        <f t="shared" si="87"/>
        <v>1</v>
      </c>
      <c r="R497" s="1124">
        <f t="shared" si="88"/>
        <v>0</v>
      </c>
      <c r="S497" s="698">
        <f t="shared" si="79"/>
        <v>0</v>
      </c>
    </row>
    <row r="498" spans="1:19">
      <c r="A498" s="491"/>
      <c r="B498" s="348"/>
      <c r="C498" s="313">
        <f t="shared" si="80"/>
        <v>1</v>
      </c>
      <c r="D498" s="1128"/>
      <c r="E498" s="313">
        <f t="shared" si="81"/>
        <v>1</v>
      </c>
      <c r="F498" s="1128"/>
      <c r="G498" s="313">
        <f t="shared" si="82"/>
        <v>1</v>
      </c>
      <c r="H498" s="1128"/>
      <c r="I498" s="313">
        <f t="shared" si="83"/>
        <v>1</v>
      </c>
      <c r="J498" s="1128"/>
      <c r="K498" s="313">
        <f t="shared" si="84"/>
        <v>1</v>
      </c>
      <c r="L498" s="1128"/>
      <c r="M498" s="313">
        <f t="shared" si="85"/>
        <v>1</v>
      </c>
      <c r="N498" s="1128"/>
      <c r="O498" s="313">
        <f t="shared" si="86"/>
        <v>1</v>
      </c>
      <c r="P498" s="1128"/>
      <c r="Q498" s="313">
        <f t="shared" si="87"/>
        <v>1</v>
      </c>
      <c r="R498" s="1124">
        <f t="shared" si="88"/>
        <v>0</v>
      </c>
      <c r="S498" s="698">
        <f t="shared" ref="S498:S524" si="89">ROUND(R498*B498/10000,0)</f>
        <v>0</v>
      </c>
    </row>
    <row r="499" spans="1:19">
      <c r="A499" s="491"/>
      <c r="B499" s="348"/>
      <c r="C499" s="313">
        <f t="shared" si="80"/>
        <v>1</v>
      </c>
      <c r="D499" s="1128"/>
      <c r="E499" s="313">
        <f t="shared" si="81"/>
        <v>1</v>
      </c>
      <c r="F499" s="1128"/>
      <c r="G499" s="313">
        <f t="shared" si="82"/>
        <v>1</v>
      </c>
      <c r="H499" s="1128"/>
      <c r="I499" s="313">
        <f t="shared" si="83"/>
        <v>1</v>
      </c>
      <c r="J499" s="1128"/>
      <c r="K499" s="313">
        <f t="shared" si="84"/>
        <v>1</v>
      </c>
      <c r="L499" s="1128"/>
      <c r="M499" s="313">
        <f t="shared" si="85"/>
        <v>1</v>
      </c>
      <c r="N499" s="1128"/>
      <c r="O499" s="313">
        <f t="shared" si="86"/>
        <v>1</v>
      </c>
      <c r="P499" s="1128"/>
      <c r="Q499" s="313">
        <f t="shared" si="87"/>
        <v>1</v>
      </c>
      <c r="R499" s="1124">
        <f t="shared" si="88"/>
        <v>0</v>
      </c>
      <c r="S499" s="698">
        <f t="shared" si="89"/>
        <v>0</v>
      </c>
    </row>
    <row r="500" spans="1:19">
      <c r="A500" s="491"/>
      <c r="B500" s="348"/>
      <c r="C500" s="313">
        <f t="shared" si="80"/>
        <v>1</v>
      </c>
      <c r="D500" s="1128"/>
      <c r="E500" s="313">
        <f t="shared" si="81"/>
        <v>1</v>
      </c>
      <c r="F500" s="1128"/>
      <c r="G500" s="313">
        <f t="shared" si="82"/>
        <v>1</v>
      </c>
      <c r="H500" s="1128"/>
      <c r="I500" s="313">
        <f t="shared" si="83"/>
        <v>1</v>
      </c>
      <c r="J500" s="1128"/>
      <c r="K500" s="313">
        <f t="shared" si="84"/>
        <v>1</v>
      </c>
      <c r="L500" s="1128"/>
      <c r="M500" s="313">
        <f t="shared" si="85"/>
        <v>1</v>
      </c>
      <c r="N500" s="1128"/>
      <c r="O500" s="313">
        <f t="shared" si="86"/>
        <v>1</v>
      </c>
      <c r="P500" s="1128"/>
      <c r="Q500" s="313">
        <f t="shared" si="87"/>
        <v>1</v>
      </c>
      <c r="R500" s="1124">
        <f t="shared" si="88"/>
        <v>0</v>
      </c>
      <c r="S500" s="698">
        <f t="shared" si="89"/>
        <v>0</v>
      </c>
    </row>
    <row r="501" spans="1:19">
      <c r="A501" s="491"/>
      <c r="B501" s="348"/>
      <c r="C501" s="313">
        <f t="shared" si="80"/>
        <v>1</v>
      </c>
      <c r="D501" s="1128"/>
      <c r="E501" s="313">
        <f t="shared" si="81"/>
        <v>1</v>
      </c>
      <c r="F501" s="1128"/>
      <c r="G501" s="313">
        <f t="shared" si="82"/>
        <v>1</v>
      </c>
      <c r="H501" s="1128"/>
      <c r="I501" s="313">
        <f t="shared" si="83"/>
        <v>1</v>
      </c>
      <c r="J501" s="1128"/>
      <c r="K501" s="313">
        <f t="shared" si="84"/>
        <v>1</v>
      </c>
      <c r="L501" s="1128"/>
      <c r="M501" s="313">
        <f t="shared" si="85"/>
        <v>1</v>
      </c>
      <c r="N501" s="1128"/>
      <c r="O501" s="313">
        <f t="shared" si="86"/>
        <v>1</v>
      </c>
      <c r="P501" s="1128"/>
      <c r="Q501" s="313">
        <f t="shared" si="87"/>
        <v>1</v>
      </c>
      <c r="R501" s="1124">
        <f t="shared" si="88"/>
        <v>0</v>
      </c>
      <c r="S501" s="698">
        <f t="shared" si="89"/>
        <v>0</v>
      </c>
    </row>
    <row r="502" spans="1:19">
      <c r="A502" s="491"/>
      <c r="B502" s="348"/>
      <c r="C502" s="313">
        <f t="shared" si="80"/>
        <v>1</v>
      </c>
      <c r="D502" s="1128"/>
      <c r="E502" s="313">
        <f t="shared" si="81"/>
        <v>1</v>
      </c>
      <c r="F502" s="1128"/>
      <c r="G502" s="313">
        <f t="shared" si="82"/>
        <v>1</v>
      </c>
      <c r="H502" s="1128"/>
      <c r="I502" s="313">
        <f t="shared" si="83"/>
        <v>1</v>
      </c>
      <c r="J502" s="1128"/>
      <c r="K502" s="313">
        <f t="shared" si="84"/>
        <v>1</v>
      </c>
      <c r="L502" s="1128"/>
      <c r="M502" s="313">
        <f t="shared" si="85"/>
        <v>1</v>
      </c>
      <c r="N502" s="1128"/>
      <c r="O502" s="313">
        <f t="shared" si="86"/>
        <v>1</v>
      </c>
      <c r="P502" s="1128"/>
      <c r="Q502" s="313">
        <f t="shared" si="87"/>
        <v>1</v>
      </c>
      <c r="R502" s="1124">
        <f t="shared" si="88"/>
        <v>0</v>
      </c>
      <c r="S502" s="698">
        <f t="shared" si="89"/>
        <v>0</v>
      </c>
    </row>
    <row r="503" spans="1:19">
      <c r="A503" s="491"/>
      <c r="B503" s="348"/>
      <c r="C503" s="313">
        <f t="shared" si="80"/>
        <v>1</v>
      </c>
      <c r="D503" s="1128"/>
      <c r="E503" s="313">
        <f t="shared" si="81"/>
        <v>1</v>
      </c>
      <c r="F503" s="1128"/>
      <c r="G503" s="313">
        <f t="shared" si="82"/>
        <v>1</v>
      </c>
      <c r="H503" s="1128"/>
      <c r="I503" s="313">
        <f t="shared" si="83"/>
        <v>1</v>
      </c>
      <c r="J503" s="1128"/>
      <c r="K503" s="313">
        <f t="shared" si="84"/>
        <v>1</v>
      </c>
      <c r="L503" s="1128"/>
      <c r="M503" s="313">
        <f t="shared" si="85"/>
        <v>1</v>
      </c>
      <c r="N503" s="1128"/>
      <c r="O503" s="313">
        <f t="shared" si="86"/>
        <v>1</v>
      </c>
      <c r="P503" s="1128"/>
      <c r="Q503" s="313">
        <f t="shared" si="87"/>
        <v>1</v>
      </c>
      <c r="R503" s="1124">
        <f t="shared" si="88"/>
        <v>0</v>
      </c>
      <c r="S503" s="698">
        <f t="shared" si="89"/>
        <v>0</v>
      </c>
    </row>
    <row r="504" spans="1:19">
      <c r="A504" s="491"/>
      <c r="B504" s="348"/>
      <c r="C504" s="313">
        <f t="shared" si="80"/>
        <v>1</v>
      </c>
      <c r="D504" s="1128"/>
      <c r="E504" s="313">
        <f t="shared" si="81"/>
        <v>1</v>
      </c>
      <c r="F504" s="1128"/>
      <c r="G504" s="313">
        <f t="shared" si="82"/>
        <v>1</v>
      </c>
      <c r="H504" s="1128"/>
      <c r="I504" s="313">
        <f t="shared" si="83"/>
        <v>1</v>
      </c>
      <c r="J504" s="1128"/>
      <c r="K504" s="313">
        <f t="shared" si="84"/>
        <v>1</v>
      </c>
      <c r="L504" s="1128"/>
      <c r="M504" s="313">
        <f t="shared" si="85"/>
        <v>1</v>
      </c>
      <c r="N504" s="1128"/>
      <c r="O504" s="313">
        <f t="shared" si="86"/>
        <v>1</v>
      </c>
      <c r="P504" s="1128"/>
      <c r="Q504" s="313">
        <f t="shared" si="87"/>
        <v>1</v>
      </c>
      <c r="R504" s="1124">
        <f t="shared" si="88"/>
        <v>0</v>
      </c>
      <c r="S504" s="698">
        <f t="shared" si="89"/>
        <v>0</v>
      </c>
    </row>
    <row r="505" spans="1:19">
      <c r="A505" s="491"/>
      <c r="B505" s="348"/>
      <c r="C505" s="313">
        <f t="shared" si="80"/>
        <v>1</v>
      </c>
      <c r="D505" s="1128"/>
      <c r="E505" s="313">
        <f t="shared" si="81"/>
        <v>1</v>
      </c>
      <c r="F505" s="1128"/>
      <c r="G505" s="313">
        <f t="shared" si="82"/>
        <v>1</v>
      </c>
      <c r="H505" s="1128"/>
      <c r="I505" s="313">
        <f t="shared" si="83"/>
        <v>1</v>
      </c>
      <c r="J505" s="1128"/>
      <c r="K505" s="313">
        <f t="shared" si="84"/>
        <v>1</v>
      </c>
      <c r="L505" s="1128"/>
      <c r="M505" s="313">
        <f t="shared" si="85"/>
        <v>1</v>
      </c>
      <c r="N505" s="1128"/>
      <c r="O505" s="313">
        <f t="shared" si="86"/>
        <v>1</v>
      </c>
      <c r="P505" s="1128"/>
      <c r="Q505" s="313">
        <f t="shared" si="87"/>
        <v>1</v>
      </c>
      <c r="R505" s="1124">
        <f t="shared" si="88"/>
        <v>0</v>
      </c>
      <c r="S505" s="698">
        <f t="shared" si="89"/>
        <v>0</v>
      </c>
    </row>
    <row r="506" spans="1:19">
      <c r="A506" s="491"/>
      <c r="B506" s="348"/>
      <c r="C506" s="313">
        <f t="shared" si="80"/>
        <v>1</v>
      </c>
      <c r="D506" s="1128"/>
      <c r="E506" s="313">
        <f t="shared" si="81"/>
        <v>1</v>
      </c>
      <c r="F506" s="1128"/>
      <c r="G506" s="313">
        <f t="shared" si="82"/>
        <v>1</v>
      </c>
      <c r="H506" s="1128"/>
      <c r="I506" s="313">
        <f t="shared" si="83"/>
        <v>1</v>
      </c>
      <c r="J506" s="1128"/>
      <c r="K506" s="313">
        <f t="shared" si="84"/>
        <v>1</v>
      </c>
      <c r="L506" s="1128"/>
      <c r="M506" s="313">
        <f t="shared" si="85"/>
        <v>1</v>
      </c>
      <c r="N506" s="1128"/>
      <c r="O506" s="313">
        <f t="shared" si="86"/>
        <v>1</v>
      </c>
      <c r="P506" s="1128"/>
      <c r="Q506" s="313">
        <f t="shared" si="87"/>
        <v>1</v>
      </c>
      <c r="R506" s="1124">
        <f t="shared" si="88"/>
        <v>0</v>
      </c>
      <c r="S506" s="698">
        <f t="shared" si="89"/>
        <v>0</v>
      </c>
    </row>
    <row r="507" spans="1:19">
      <c r="A507" s="491"/>
      <c r="B507" s="348"/>
      <c r="C507" s="313">
        <f t="shared" si="80"/>
        <v>1</v>
      </c>
      <c r="D507" s="1128"/>
      <c r="E507" s="313">
        <f t="shared" si="81"/>
        <v>1</v>
      </c>
      <c r="F507" s="1128"/>
      <c r="G507" s="313">
        <f t="shared" si="82"/>
        <v>1</v>
      </c>
      <c r="H507" s="1128"/>
      <c r="I507" s="313">
        <f t="shared" si="83"/>
        <v>1</v>
      </c>
      <c r="J507" s="1128"/>
      <c r="K507" s="313">
        <f t="shared" si="84"/>
        <v>1</v>
      </c>
      <c r="L507" s="1128"/>
      <c r="M507" s="313">
        <f t="shared" si="85"/>
        <v>1</v>
      </c>
      <c r="N507" s="1128"/>
      <c r="O507" s="313">
        <f t="shared" si="86"/>
        <v>1</v>
      </c>
      <c r="P507" s="1128"/>
      <c r="Q507" s="313">
        <f t="shared" si="87"/>
        <v>1</v>
      </c>
      <c r="R507" s="1124">
        <f t="shared" si="88"/>
        <v>0</v>
      </c>
      <c r="S507" s="698">
        <f t="shared" si="89"/>
        <v>0</v>
      </c>
    </row>
    <row r="508" spans="1:19">
      <c r="A508" s="491"/>
      <c r="B508" s="348"/>
      <c r="C508" s="313">
        <f t="shared" si="80"/>
        <v>1</v>
      </c>
      <c r="D508" s="1128"/>
      <c r="E508" s="313">
        <f t="shared" si="81"/>
        <v>1</v>
      </c>
      <c r="F508" s="1128"/>
      <c r="G508" s="313">
        <f t="shared" si="82"/>
        <v>1</v>
      </c>
      <c r="H508" s="1128"/>
      <c r="I508" s="313">
        <f t="shared" si="83"/>
        <v>1</v>
      </c>
      <c r="J508" s="1128"/>
      <c r="K508" s="313">
        <f t="shared" si="84"/>
        <v>1</v>
      </c>
      <c r="L508" s="1128"/>
      <c r="M508" s="313">
        <f t="shared" si="85"/>
        <v>1</v>
      </c>
      <c r="N508" s="1128"/>
      <c r="O508" s="313">
        <f t="shared" si="86"/>
        <v>1</v>
      </c>
      <c r="P508" s="1128"/>
      <c r="Q508" s="313">
        <f t="shared" si="87"/>
        <v>1</v>
      </c>
      <c r="R508" s="1124">
        <f t="shared" si="88"/>
        <v>0</v>
      </c>
      <c r="S508" s="698">
        <f t="shared" si="89"/>
        <v>0</v>
      </c>
    </row>
    <row r="509" spans="1:19">
      <c r="A509" s="491"/>
      <c r="B509" s="348"/>
      <c r="C509" s="313">
        <f t="shared" si="80"/>
        <v>1</v>
      </c>
      <c r="D509" s="1128"/>
      <c r="E509" s="313">
        <f t="shared" si="81"/>
        <v>1</v>
      </c>
      <c r="F509" s="1128"/>
      <c r="G509" s="313">
        <f t="shared" si="82"/>
        <v>1</v>
      </c>
      <c r="H509" s="1128"/>
      <c r="I509" s="313">
        <f t="shared" si="83"/>
        <v>1</v>
      </c>
      <c r="J509" s="1128"/>
      <c r="K509" s="313">
        <f t="shared" si="84"/>
        <v>1</v>
      </c>
      <c r="L509" s="1128"/>
      <c r="M509" s="313">
        <f t="shared" si="85"/>
        <v>1</v>
      </c>
      <c r="N509" s="1128"/>
      <c r="O509" s="313">
        <f t="shared" si="86"/>
        <v>1</v>
      </c>
      <c r="P509" s="1128"/>
      <c r="Q509" s="313">
        <f t="shared" si="87"/>
        <v>1</v>
      </c>
      <c r="R509" s="1124">
        <f t="shared" si="88"/>
        <v>0</v>
      </c>
      <c r="S509" s="698">
        <f t="shared" si="89"/>
        <v>0</v>
      </c>
    </row>
    <row r="510" spans="1:19">
      <c r="A510" s="491"/>
      <c r="B510" s="348"/>
      <c r="C510" s="313">
        <f t="shared" si="80"/>
        <v>1</v>
      </c>
      <c r="D510" s="1128"/>
      <c r="E510" s="313">
        <f t="shared" si="81"/>
        <v>1</v>
      </c>
      <c r="F510" s="1128"/>
      <c r="G510" s="313">
        <f t="shared" si="82"/>
        <v>1</v>
      </c>
      <c r="H510" s="1128"/>
      <c r="I510" s="313">
        <f t="shared" si="83"/>
        <v>1</v>
      </c>
      <c r="J510" s="1128"/>
      <c r="K510" s="313">
        <f t="shared" si="84"/>
        <v>1</v>
      </c>
      <c r="L510" s="1128"/>
      <c r="M510" s="313">
        <f t="shared" si="85"/>
        <v>1</v>
      </c>
      <c r="N510" s="1128"/>
      <c r="O510" s="313">
        <f t="shared" si="86"/>
        <v>1</v>
      </c>
      <c r="P510" s="1128"/>
      <c r="Q510" s="313">
        <f t="shared" si="87"/>
        <v>1</v>
      </c>
      <c r="R510" s="1124">
        <f t="shared" si="88"/>
        <v>0</v>
      </c>
      <c r="S510" s="698">
        <f t="shared" si="89"/>
        <v>0</v>
      </c>
    </row>
    <row r="511" spans="1:19">
      <c r="A511" s="491"/>
      <c r="B511" s="348"/>
      <c r="C511" s="313">
        <f t="shared" si="80"/>
        <v>1</v>
      </c>
      <c r="D511" s="1128"/>
      <c r="E511" s="313">
        <f t="shared" si="81"/>
        <v>1</v>
      </c>
      <c r="F511" s="1128"/>
      <c r="G511" s="313">
        <f t="shared" si="82"/>
        <v>1</v>
      </c>
      <c r="H511" s="1128"/>
      <c r="I511" s="313">
        <f t="shared" si="83"/>
        <v>1</v>
      </c>
      <c r="J511" s="1128"/>
      <c r="K511" s="313">
        <f t="shared" si="84"/>
        <v>1</v>
      </c>
      <c r="L511" s="1128"/>
      <c r="M511" s="313">
        <f t="shared" si="85"/>
        <v>1</v>
      </c>
      <c r="N511" s="1128"/>
      <c r="O511" s="313">
        <f t="shared" si="86"/>
        <v>1</v>
      </c>
      <c r="P511" s="1128"/>
      <c r="Q511" s="313">
        <f t="shared" si="87"/>
        <v>1</v>
      </c>
      <c r="R511" s="1124">
        <f t="shared" si="88"/>
        <v>0</v>
      </c>
      <c r="S511" s="698">
        <f t="shared" si="89"/>
        <v>0</v>
      </c>
    </row>
    <row r="512" spans="1:19">
      <c r="A512" s="491"/>
      <c r="B512" s="348"/>
      <c r="C512" s="313">
        <f t="shared" si="80"/>
        <v>1</v>
      </c>
      <c r="D512" s="1128"/>
      <c r="E512" s="313">
        <f t="shared" si="81"/>
        <v>1</v>
      </c>
      <c r="F512" s="1128"/>
      <c r="G512" s="313">
        <f t="shared" si="82"/>
        <v>1</v>
      </c>
      <c r="H512" s="1128"/>
      <c r="I512" s="313">
        <f t="shared" si="83"/>
        <v>1</v>
      </c>
      <c r="J512" s="1128"/>
      <c r="K512" s="313">
        <f t="shared" si="84"/>
        <v>1</v>
      </c>
      <c r="L512" s="1128"/>
      <c r="M512" s="313">
        <f t="shared" si="85"/>
        <v>1</v>
      </c>
      <c r="N512" s="1128"/>
      <c r="O512" s="313">
        <f t="shared" si="86"/>
        <v>1</v>
      </c>
      <c r="P512" s="1128"/>
      <c r="Q512" s="313">
        <f t="shared" si="87"/>
        <v>1</v>
      </c>
      <c r="R512" s="1124">
        <f t="shared" si="88"/>
        <v>0</v>
      </c>
      <c r="S512" s="698">
        <f t="shared" si="89"/>
        <v>0</v>
      </c>
    </row>
    <row r="513" spans="1:19">
      <c r="A513" s="491"/>
      <c r="B513" s="348"/>
      <c r="C513" s="313">
        <f t="shared" si="80"/>
        <v>1</v>
      </c>
      <c r="D513" s="1128"/>
      <c r="E513" s="313">
        <f t="shared" si="81"/>
        <v>1</v>
      </c>
      <c r="F513" s="1128"/>
      <c r="G513" s="313">
        <f t="shared" si="82"/>
        <v>1</v>
      </c>
      <c r="H513" s="1128"/>
      <c r="I513" s="313">
        <f t="shared" si="83"/>
        <v>1</v>
      </c>
      <c r="J513" s="1128"/>
      <c r="K513" s="313">
        <f t="shared" si="84"/>
        <v>1</v>
      </c>
      <c r="L513" s="1128"/>
      <c r="M513" s="313">
        <f t="shared" si="85"/>
        <v>1</v>
      </c>
      <c r="N513" s="1128"/>
      <c r="O513" s="313">
        <f t="shared" si="86"/>
        <v>1</v>
      </c>
      <c r="P513" s="1128"/>
      <c r="Q513" s="313">
        <f t="shared" si="87"/>
        <v>1</v>
      </c>
      <c r="R513" s="1124">
        <f t="shared" si="88"/>
        <v>0</v>
      </c>
      <c r="S513" s="698">
        <f t="shared" si="89"/>
        <v>0</v>
      </c>
    </row>
    <row r="514" spans="1:19">
      <c r="A514" s="491"/>
      <c r="B514" s="348"/>
      <c r="C514" s="313">
        <f t="shared" si="80"/>
        <v>1</v>
      </c>
      <c r="D514" s="1128"/>
      <c r="E514" s="313">
        <f t="shared" si="81"/>
        <v>1</v>
      </c>
      <c r="F514" s="1128"/>
      <c r="G514" s="313">
        <f t="shared" si="82"/>
        <v>1</v>
      </c>
      <c r="H514" s="1128"/>
      <c r="I514" s="313">
        <f t="shared" si="83"/>
        <v>1</v>
      </c>
      <c r="J514" s="1128"/>
      <c r="K514" s="313">
        <f t="shared" si="84"/>
        <v>1</v>
      </c>
      <c r="L514" s="1128"/>
      <c r="M514" s="313">
        <f t="shared" si="85"/>
        <v>1</v>
      </c>
      <c r="N514" s="1128"/>
      <c r="O514" s="313">
        <f t="shared" si="86"/>
        <v>1</v>
      </c>
      <c r="P514" s="1128"/>
      <c r="Q514" s="313">
        <f t="shared" si="87"/>
        <v>1</v>
      </c>
      <c r="R514" s="1124">
        <f t="shared" si="88"/>
        <v>0</v>
      </c>
      <c r="S514" s="698">
        <f t="shared" si="89"/>
        <v>0</v>
      </c>
    </row>
    <row r="515" spans="1:19">
      <c r="A515" s="491"/>
      <c r="B515" s="348"/>
      <c r="C515" s="313">
        <f t="shared" si="80"/>
        <v>1</v>
      </c>
      <c r="D515" s="1128"/>
      <c r="E515" s="313">
        <f t="shared" si="81"/>
        <v>1</v>
      </c>
      <c r="F515" s="1128"/>
      <c r="G515" s="313">
        <f t="shared" si="82"/>
        <v>1</v>
      </c>
      <c r="H515" s="1128"/>
      <c r="I515" s="313">
        <f t="shared" si="83"/>
        <v>1</v>
      </c>
      <c r="J515" s="1128"/>
      <c r="K515" s="313">
        <f t="shared" si="84"/>
        <v>1</v>
      </c>
      <c r="L515" s="1128"/>
      <c r="M515" s="313">
        <f t="shared" si="85"/>
        <v>1</v>
      </c>
      <c r="N515" s="1128"/>
      <c r="O515" s="313">
        <f t="shared" si="86"/>
        <v>1</v>
      </c>
      <c r="P515" s="1128"/>
      <c r="Q515" s="313">
        <f t="shared" si="87"/>
        <v>1</v>
      </c>
      <c r="R515" s="1124">
        <f t="shared" si="88"/>
        <v>0</v>
      </c>
      <c r="S515" s="698">
        <f t="shared" si="89"/>
        <v>0</v>
      </c>
    </row>
    <row r="516" spans="1:19">
      <c r="A516" s="491"/>
      <c r="B516" s="348"/>
      <c r="C516" s="313">
        <f t="shared" si="80"/>
        <v>1</v>
      </c>
      <c r="D516" s="1128"/>
      <c r="E516" s="313">
        <f t="shared" si="81"/>
        <v>1</v>
      </c>
      <c r="F516" s="1128"/>
      <c r="G516" s="313">
        <f t="shared" si="82"/>
        <v>1</v>
      </c>
      <c r="H516" s="1128"/>
      <c r="I516" s="313">
        <f t="shared" si="83"/>
        <v>1</v>
      </c>
      <c r="J516" s="1128"/>
      <c r="K516" s="313">
        <f t="shared" si="84"/>
        <v>1</v>
      </c>
      <c r="L516" s="1128"/>
      <c r="M516" s="313">
        <f t="shared" si="85"/>
        <v>1</v>
      </c>
      <c r="N516" s="1128"/>
      <c r="O516" s="313">
        <f t="shared" si="86"/>
        <v>1</v>
      </c>
      <c r="P516" s="1128"/>
      <c r="Q516" s="313">
        <f t="shared" si="87"/>
        <v>1</v>
      </c>
      <c r="R516" s="1124">
        <f t="shared" si="88"/>
        <v>0</v>
      </c>
      <c r="S516" s="698">
        <f t="shared" si="89"/>
        <v>0</v>
      </c>
    </row>
    <row r="517" spans="1:19">
      <c r="A517" s="491"/>
      <c r="B517" s="348"/>
      <c r="C517" s="313">
        <f t="shared" si="80"/>
        <v>1</v>
      </c>
      <c r="D517" s="1128"/>
      <c r="E517" s="313">
        <f t="shared" si="81"/>
        <v>1</v>
      </c>
      <c r="F517" s="1128"/>
      <c r="G517" s="313">
        <f t="shared" si="82"/>
        <v>1</v>
      </c>
      <c r="H517" s="1128"/>
      <c r="I517" s="313">
        <f t="shared" si="83"/>
        <v>1</v>
      </c>
      <c r="J517" s="1128"/>
      <c r="K517" s="313">
        <f t="shared" si="84"/>
        <v>1</v>
      </c>
      <c r="L517" s="1128"/>
      <c r="M517" s="313">
        <f t="shared" si="85"/>
        <v>1</v>
      </c>
      <c r="N517" s="1128"/>
      <c r="O517" s="313">
        <f t="shared" si="86"/>
        <v>1</v>
      </c>
      <c r="P517" s="1128"/>
      <c r="Q517" s="313">
        <f t="shared" si="87"/>
        <v>1</v>
      </c>
      <c r="R517" s="1124">
        <f t="shared" si="88"/>
        <v>0</v>
      </c>
      <c r="S517" s="698">
        <f t="shared" si="89"/>
        <v>0</v>
      </c>
    </row>
    <row r="518" spans="1:19">
      <c r="A518" s="491"/>
      <c r="B518" s="348"/>
      <c r="C518" s="313">
        <f t="shared" si="80"/>
        <v>1</v>
      </c>
      <c r="D518" s="1128"/>
      <c r="E518" s="313">
        <f t="shared" si="81"/>
        <v>1</v>
      </c>
      <c r="F518" s="1128"/>
      <c r="G518" s="313">
        <f t="shared" si="82"/>
        <v>1</v>
      </c>
      <c r="H518" s="1128"/>
      <c r="I518" s="313">
        <f t="shared" si="83"/>
        <v>1</v>
      </c>
      <c r="J518" s="1128"/>
      <c r="K518" s="313">
        <f t="shared" si="84"/>
        <v>1</v>
      </c>
      <c r="L518" s="1128"/>
      <c r="M518" s="313">
        <f t="shared" si="85"/>
        <v>1</v>
      </c>
      <c r="N518" s="1128"/>
      <c r="O518" s="313">
        <f t="shared" si="86"/>
        <v>1</v>
      </c>
      <c r="P518" s="1128"/>
      <c r="Q518" s="313">
        <f t="shared" si="87"/>
        <v>1</v>
      </c>
      <c r="R518" s="1124">
        <f t="shared" si="88"/>
        <v>0</v>
      </c>
      <c r="S518" s="698">
        <f t="shared" si="89"/>
        <v>0</v>
      </c>
    </row>
    <row r="519" spans="1:19">
      <c r="A519" s="491"/>
      <c r="B519" s="348"/>
      <c r="C519" s="313">
        <f t="shared" si="80"/>
        <v>1</v>
      </c>
      <c r="D519" s="1128"/>
      <c r="E519" s="313">
        <f t="shared" si="81"/>
        <v>1</v>
      </c>
      <c r="F519" s="1128"/>
      <c r="G519" s="313">
        <f t="shared" si="82"/>
        <v>1</v>
      </c>
      <c r="H519" s="1128"/>
      <c r="I519" s="313">
        <f t="shared" si="83"/>
        <v>1</v>
      </c>
      <c r="J519" s="1128"/>
      <c r="K519" s="313">
        <f t="shared" si="84"/>
        <v>1</v>
      </c>
      <c r="L519" s="1128"/>
      <c r="M519" s="313">
        <f t="shared" si="85"/>
        <v>1</v>
      </c>
      <c r="N519" s="1128"/>
      <c r="O519" s="313">
        <f t="shared" si="86"/>
        <v>1</v>
      </c>
      <c r="P519" s="1128"/>
      <c r="Q519" s="313">
        <f t="shared" si="87"/>
        <v>1</v>
      </c>
      <c r="R519" s="1124">
        <f t="shared" si="88"/>
        <v>0</v>
      </c>
      <c r="S519" s="698">
        <f t="shared" si="89"/>
        <v>0</v>
      </c>
    </row>
    <row r="520" spans="1:19">
      <c r="A520" s="491"/>
      <c r="B520" s="348"/>
      <c r="C520" s="313">
        <f t="shared" si="80"/>
        <v>1</v>
      </c>
      <c r="D520" s="1128"/>
      <c r="E520" s="313">
        <f t="shared" si="81"/>
        <v>1</v>
      </c>
      <c r="F520" s="1128"/>
      <c r="G520" s="313">
        <f t="shared" si="82"/>
        <v>1</v>
      </c>
      <c r="H520" s="1128"/>
      <c r="I520" s="313">
        <f t="shared" si="83"/>
        <v>1</v>
      </c>
      <c r="J520" s="1128"/>
      <c r="K520" s="313">
        <f t="shared" si="84"/>
        <v>1</v>
      </c>
      <c r="L520" s="1128"/>
      <c r="M520" s="313">
        <f t="shared" si="85"/>
        <v>1</v>
      </c>
      <c r="N520" s="1128"/>
      <c r="O520" s="313">
        <f t="shared" si="86"/>
        <v>1</v>
      </c>
      <c r="P520" s="1128"/>
      <c r="Q520" s="313">
        <f t="shared" si="87"/>
        <v>1</v>
      </c>
      <c r="R520" s="1124">
        <f t="shared" si="88"/>
        <v>0</v>
      </c>
      <c r="S520" s="698">
        <f t="shared" si="89"/>
        <v>0</v>
      </c>
    </row>
    <row r="521" spans="1:19">
      <c r="A521" s="491"/>
      <c r="B521" s="348"/>
      <c r="C521" s="313">
        <f t="shared" si="80"/>
        <v>1</v>
      </c>
      <c r="D521" s="1128"/>
      <c r="E521" s="313">
        <f t="shared" si="81"/>
        <v>1</v>
      </c>
      <c r="F521" s="1128"/>
      <c r="G521" s="313">
        <f t="shared" si="82"/>
        <v>1</v>
      </c>
      <c r="H521" s="1128"/>
      <c r="I521" s="313">
        <f t="shared" si="83"/>
        <v>1</v>
      </c>
      <c r="J521" s="1128"/>
      <c r="K521" s="313">
        <f t="shared" si="84"/>
        <v>1</v>
      </c>
      <c r="L521" s="1128"/>
      <c r="M521" s="313">
        <f t="shared" si="85"/>
        <v>1</v>
      </c>
      <c r="N521" s="1128"/>
      <c r="O521" s="313">
        <f t="shared" si="86"/>
        <v>1</v>
      </c>
      <c r="P521" s="1128"/>
      <c r="Q521" s="313">
        <f t="shared" si="87"/>
        <v>1</v>
      </c>
      <c r="R521" s="1124">
        <f t="shared" si="88"/>
        <v>0</v>
      </c>
      <c r="S521" s="698">
        <f t="shared" si="89"/>
        <v>0</v>
      </c>
    </row>
    <row r="522" spans="1:19">
      <c r="A522" s="491"/>
      <c r="B522" s="348"/>
      <c r="C522" s="313">
        <f t="shared" si="80"/>
        <v>1</v>
      </c>
      <c r="D522" s="1128"/>
      <c r="E522" s="313">
        <f t="shared" si="81"/>
        <v>1</v>
      </c>
      <c r="F522" s="1128"/>
      <c r="G522" s="313">
        <f t="shared" si="82"/>
        <v>1</v>
      </c>
      <c r="H522" s="1128"/>
      <c r="I522" s="313">
        <f t="shared" si="83"/>
        <v>1</v>
      </c>
      <c r="J522" s="1128"/>
      <c r="K522" s="313">
        <f t="shared" si="84"/>
        <v>1</v>
      </c>
      <c r="L522" s="1128"/>
      <c r="M522" s="313">
        <f t="shared" si="85"/>
        <v>1</v>
      </c>
      <c r="N522" s="1128"/>
      <c r="O522" s="313">
        <f t="shared" si="86"/>
        <v>1</v>
      </c>
      <c r="P522" s="1128"/>
      <c r="Q522" s="313">
        <f t="shared" si="87"/>
        <v>1</v>
      </c>
      <c r="R522" s="1124">
        <f t="shared" si="88"/>
        <v>0</v>
      </c>
      <c r="S522" s="698">
        <f t="shared" si="89"/>
        <v>0</v>
      </c>
    </row>
    <row r="523" spans="1:19">
      <c r="A523" s="491"/>
      <c r="B523" s="348"/>
      <c r="C523" s="313">
        <f t="shared" si="80"/>
        <v>1</v>
      </c>
      <c r="D523" s="1128"/>
      <c r="E523" s="313">
        <f t="shared" si="81"/>
        <v>1</v>
      </c>
      <c r="F523" s="1128"/>
      <c r="G523" s="313">
        <f t="shared" si="82"/>
        <v>1</v>
      </c>
      <c r="H523" s="1128"/>
      <c r="I523" s="313">
        <f t="shared" si="83"/>
        <v>1</v>
      </c>
      <c r="J523" s="1128"/>
      <c r="K523" s="313">
        <f t="shared" si="84"/>
        <v>1</v>
      </c>
      <c r="L523" s="1128"/>
      <c r="M523" s="313">
        <f t="shared" si="85"/>
        <v>1</v>
      </c>
      <c r="N523" s="1128"/>
      <c r="O523" s="313">
        <f t="shared" si="86"/>
        <v>1</v>
      </c>
      <c r="P523" s="1128"/>
      <c r="Q523" s="313">
        <f t="shared" si="87"/>
        <v>1</v>
      </c>
      <c r="R523" s="1124">
        <f t="shared" si="88"/>
        <v>0</v>
      </c>
      <c r="S523" s="698">
        <f t="shared" si="89"/>
        <v>0</v>
      </c>
    </row>
    <row r="524" spans="1:19">
      <c r="A524" s="491"/>
      <c r="B524" s="348"/>
      <c r="C524" s="313">
        <f t="shared" si="80"/>
        <v>1</v>
      </c>
      <c r="D524" s="1128"/>
      <c r="E524" s="313">
        <f t="shared" si="81"/>
        <v>1</v>
      </c>
      <c r="F524" s="1128"/>
      <c r="G524" s="313">
        <f t="shared" si="82"/>
        <v>1</v>
      </c>
      <c r="H524" s="1128"/>
      <c r="I524" s="313">
        <f t="shared" si="83"/>
        <v>1</v>
      </c>
      <c r="J524" s="1128"/>
      <c r="K524" s="313">
        <f t="shared" si="84"/>
        <v>1</v>
      </c>
      <c r="L524" s="1128"/>
      <c r="M524" s="313">
        <f t="shared" si="85"/>
        <v>1</v>
      </c>
      <c r="N524" s="1128"/>
      <c r="O524" s="313">
        <f t="shared" si="86"/>
        <v>1</v>
      </c>
      <c r="P524" s="1128"/>
      <c r="Q524" s="313">
        <f t="shared" si="87"/>
        <v>1</v>
      </c>
      <c r="R524" s="1124">
        <f t="shared" si="88"/>
        <v>0</v>
      </c>
      <c r="S524" s="698">
        <f t="shared" si="89"/>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sheetPr>
    <tabColor rgb="FF92D050"/>
  </sheetPr>
  <dimension ref="A1:AS524"/>
  <sheetViews>
    <sheetView topLeftCell="A16" workbookViewId="0">
      <selection activeCell="S22" sqref="S22"/>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0"/>
    <col min="19" max="19" width="9" style="470"/>
    <col min="20" max="45" width="9" style="1462"/>
    <col min="46" max="16384" width="9" style="470"/>
  </cols>
  <sheetData>
    <row r="1" spans="1:45" ht="14.25" customHeight="1" thickBot="1">
      <c r="A1" s="487"/>
      <c r="B1" s="2437" t="s">
        <v>2389</v>
      </c>
      <c r="C1" s="3727" t="s">
        <v>2390</v>
      </c>
      <c r="D1" s="3728"/>
      <c r="E1" s="3728"/>
      <c r="F1" s="3728"/>
      <c r="G1" s="3728"/>
      <c r="H1" s="3728"/>
      <c r="I1" s="3728"/>
      <c r="J1" s="3728"/>
      <c r="K1" s="3728"/>
      <c r="L1" s="3728"/>
      <c r="M1" s="3728"/>
      <c r="N1" s="3728"/>
      <c r="O1" s="3728"/>
      <c r="P1" s="3728"/>
      <c r="Q1" s="3728"/>
      <c r="R1" s="3728"/>
      <c r="S1" s="3729"/>
      <c r="T1" s="2437" t="s">
        <v>1824</v>
      </c>
    </row>
    <row r="2" spans="1:45" s="1115" customFormat="1" ht="25.5">
      <c r="A2" s="2438"/>
      <c r="B2" s="1111" t="s">
        <v>2392</v>
      </c>
      <c r="C2" s="1112" t="str">
        <f t="shared" ref="C2:R2" si="0">C3&amp;"(含)"&amp;"-"&amp;D3</f>
        <v>0(含)-30</v>
      </c>
      <c r="D2" s="1113" t="str">
        <f t="shared" si="0"/>
        <v>30(含)-50</v>
      </c>
      <c r="E2" s="1113" t="str">
        <f t="shared" si="0"/>
        <v>50(含)-80</v>
      </c>
      <c r="F2" s="1113" t="str">
        <f t="shared" si="0"/>
        <v>80(含)-</v>
      </c>
      <c r="G2" s="1113" t="str">
        <f t="shared" si="0"/>
        <v>(含)-</v>
      </c>
      <c r="H2" s="1113" t="str">
        <f t="shared" si="0"/>
        <v>(含)-</v>
      </c>
      <c r="I2" s="1113" t="str">
        <f t="shared" si="0"/>
        <v>(含)-</v>
      </c>
      <c r="J2" s="1113" t="str">
        <f t="shared" si="0"/>
        <v>(含)-</v>
      </c>
      <c r="K2" s="1113" t="str">
        <f t="shared" si="0"/>
        <v>(含)-</v>
      </c>
      <c r="L2" s="1113" t="str">
        <f t="shared" si="0"/>
        <v>(含)-</v>
      </c>
      <c r="M2" s="1113" t="str">
        <f t="shared" si="0"/>
        <v>(含)-</v>
      </c>
      <c r="N2" s="1113" t="str">
        <f t="shared" si="0"/>
        <v>(含)-</v>
      </c>
      <c r="O2" s="1113" t="str">
        <f t="shared" si="0"/>
        <v>(含)-</v>
      </c>
      <c r="P2" s="1113" t="str">
        <f t="shared" si="0"/>
        <v>(含)-</v>
      </c>
      <c r="Q2" s="1113" t="str">
        <f t="shared" si="0"/>
        <v>(含)-</v>
      </c>
      <c r="R2" s="1113" t="str">
        <f t="shared" si="0"/>
        <v>(含)-</v>
      </c>
      <c r="S2" s="2439" t="str">
        <f>S3&amp;"(含)"&amp;"-"</f>
        <v>(含)-</v>
      </c>
      <c r="T2" s="1114"/>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row>
    <row r="3" spans="1:45" s="1120" customFormat="1">
      <c r="A3" s="2440"/>
      <c r="B3" s="1116"/>
      <c r="C3" s="1117">
        <v>0</v>
      </c>
      <c r="D3" s="1118">
        <v>30</v>
      </c>
      <c r="E3" s="1118">
        <v>50</v>
      </c>
      <c r="F3" s="3204">
        <v>80</v>
      </c>
      <c r="G3" s="3204"/>
      <c r="H3" s="3204"/>
      <c r="I3" s="3204"/>
      <c r="J3" s="3204"/>
      <c r="K3" s="3204"/>
      <c r="L3" s="3205"/>
      <c r="M3" s="3206"/>
      <c r="N3" s="3206"/>
      <c r="O3" s="3204"/>
      <c r="P3" s="3204"/>
      <c r="Q3" s="3204"/>
      <c r="R3" s="3204"/>
      <c r="S3" s="3207"/>
      <c r="T3" s="1119"/>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row>
    <row r="4" spans="1:45" s="1120" customFormat="1" ht="13.5" thickBot="1">
      <c r="A4" s="2441"/>
      <c r="B4" s="2442"/>
      <c r="C4" s="2443">
        <v>100</v>
      </c>
      <c r="D4" s="2444">
        <v>103</v>
      </c>
      <c r="E4" s="2444">
        <v>106</v>
      </c>
      <c r="F4" s="3208">
        <v>109</v>
      </c>
      <c r="G4" s="3208"/>
      <c r="H4" s="3208"/>
      <c r="I4" s="3208"/>
      <c r="J4" s="3208"/>
      <c r="K4" s="3208"/>
      <c r="L4" s="3208"/>
      <c r="M4" s="3209"/>
      <c r="N4" s="3209"/>
      <c r="O4" s="3208"/>
      <c r="P4" s="3208"/>
      <c r="Q4" s="3208"/>
      <c r="R4" s="3208"/>
      <c r="S4" s="3210"/>
      <c r="T4" s="2447"/>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row>
    <row r="5" spans="1:45" s="408" customFormat="1">
      <c r="A5" s="2448"/>
      <c r="B5" s="3302" t="s">
        <v>3030</v>
      </c>
      <c r="C5" s="2449"/>
      <c r="D5" s="2450"/>
      <c r="E5" s="2450"/>
      <c r="F5" s="3211"/>
      <c r="G5" s="3211"/>
      <c r="H5" s="3211"/>
      <c r="I5" s="3211"/>
      <c r="J5" s="3211"/>
      <c r="K5" s="3211"/>
      <c r="L5" s="3212"/>
      <c r="M5" s="3213"/>
      <c r="N5" s="3213"/>
      <c r="O5" s="3211"/>
      <c r="P5" s="3211"/>
      <c r="Q5" s="3211"/>
      <c r="R5" s="3211"/>
      <c r="S5" s="3214"/>
      <c r="T5" s="2452"/>
      <c r="U5" s="1465"/>
      <c r="V5" s="1465"/>
      <c r="W5" s="1465"/>
      <c r="X5" s="1465"/>
      <c r="Y5" s="1465"/>
      <c r="Z5" s="1465"/>
      <c r="AA5" s="1465"/>
      <c r="AB5" s="1465"/>
      <c r="AC5" s="1465"/>
      <c r="AD5" s="1465"/>
      <c r="AE5" s="1465"/>
      <c r="AF5" s="1465"/>
      <c r="AG5" s="1465"/>
      <c r="AH5" s="1465"/>
      <c r="AI5" s="1465"/>
      <c r="AJ5" s="1465"/>
      <c r="AK5" s="1465"/>
      <c r="AL5" s="1465"/>
      <c r="AM5" s="1465"/>
      <c r="AN5" s="1465"/>
      <c r="AO5" s="1465"/>
      <c r="AP5" s="1465"/>
      <c r="AQ5" s="1465"/>
      <c r="AR5" s="1465"/>
      <c r="AS5" s="1465"/>
    </row>
    <row r="6" spans="1:45" s="408" customFormat="1" ht="13.5" thickBot="1">
      <c r="A6" s="2448"/>
      <c r="B6" s="2199"/>
      <c r="C6" s="2205">
        <v>100</v>
      </c>
      <c r="D6" s="2202">
        <f>C6-$T5</f>
        <v>100</v>
      </c>
      <c r="E6" s="2202">
        <f t="shared" ref="E6:S6" si="1">D6-$T5</f>
        <v>100</v>
      </c>
      <c r="F6" s="3215">
        <f t="shared" si="1"/>
        <v>100</v>
      </c>
      <c r="G6" s="3215">
        <f t="shared" si="1"/>
        <v>100</v>
      </c>
      <c r="H6" s="3215">
        <f t="shared" si="1"/>
        <v>100</v>
      </c>
      <c r="I6" s="3215">
        <f t="shared" si="1"/>
        <v>100</v>
      </c>
      <c r="J6" s="3215">
        <f t="shared" si="1"/>
        <v>100</v>
      </c>
      <c r="K6" s="3215">
        <f t="shared" si="1"/>
        <v>100</v>
      </c>
      <c r="L6" s="3215">
        <f t="shared" si="1"/>
        <v>100</v>
      </c>
      <c r="M6" s="3215">
        <f t="shared" si="1"/>
        <v>100</v>
      </c>
      <c r="N6" s="3215">
        <f t="shared" si="1"/>
        <v>100</v>
      </c>
      <c r="O6" s="3215">
        <f t="shared" si="1"/>
        <v>100</v>
      </c>
      <c r="P6" s="3215">
        <f t="shared" si="1"/>
        <v>100</v>
      </c>
      <c r="Q6" s="3215">
        <f t="shared" si="1"/>
        <v>100</v>
      </c>
      <c r="R6" s="3215">
        <f t="shared" si="1"/>
        <v>100</v>
      </c>
      <c r="S6" s="3215">
        <f t="shared" si="1"/>
        <v>100</v>
      </c>
      <c r="T6" s="2201"/>
      <c r="U6" s="1465"/>
      <c r="V6" s="1465"/>
      <c r="W6" s="1465"/>
      <c r="X6" s="1465"/>
      <c r="Y6" s="1465"/>
      <c r="Z6" s="1465"/>
      <c r="AA6" s="1465"/>
      <c r="AB6" s="1465"/>
      <c r="AC6" s="1465"/>
      <c r="AD6" s="1465"/>
      <c r="AE6" s="1465"/>
      <c r="AF6" s="1465"/>
      <c r="AG6" s="1465"/>
      <c r="AH6" s="1465"/>
      <c r="AI6" s="1465"/>
      <c r="AJ6" s="1465"/>
      <c r="AK6" s="1465"/>
      <c r="AL6" s="1465"/>
      <c r="AM6" s="1465"/>
      <c r="AN6" s="1465"/>
      <c r="AO6" s="1465"/>
      <c r="AP6" s="1465"/>
      <c r="AQ6" s="1465"/>
      <c r="AR6" s="1465"/>
      <c r="AS6" s="1465"/>
    </row>
    <row r="7" spans="1:45" s="408" customFormat="1">
      <c r="A7" s="2448"/>
      <c r="B7" s="3303" t="s">
        <v>3029</v>
      </c>
      <c r="C7" s="2204"/>
      <c r="D7" s="2198"/>
      <c r="E7" s="2198"/>
      <c r="F7" s="3216"/>
      <c r="G7" s="3216"/>
      <c r="H7" s="3216"/>
      <c r="I7" s="3216"/>
      <c r="J7" s="3216"/>
      <c r="K7" s="3216"/>
      <c r="L7" s="3216"/>
      <c r="M7" s="3217"/>
      <c r="N7" s="3218"/>
      <c r="O7" s="3219"/>
      <c r="P7" s="3220"/>
      <c r="Q7" s="3221"/>
      <c r="R7" s="3222"/>
      <c r="S7" s="3223"/>
      <c r="T7" s="1121"/>
      <c r="U7" s="1465"/>
      <c r="V7" s="1465"/>
      <c r="W7" s="1465"/>
      <c r="X7" s="1465"/>
      <c r="Y7" s="1465"/>
      <c r="Z7" s="1465"/>
      <c r="AA7" s="1465"/>
      <c r="AB7" s="1465"/>
      <c r="AC7" s="1465"/>
      <c r="AD7" s="1465"/>
      <c r="AE7" s="1465"/>
      <c r="AF7" s="1465"/>
      <c r="AG7" s="1465"/>
      <c r="AH7" s="1465"/>
      <c r="AI7" s="1465"/>
      <c r="AJ7" s="1465"/>
      <c r="AK7" s="1465"/>
      <c r="AL7" s="1465"/>
      <c r="AM7" s="1465"/>
      <c r="AN7" s="1465"/>
      <c r="AO7" s="1465"/>
      <c r="AP7" s="1465"/>
      <c r="AQ7" s="1465"/>
      <c r="AR7" s="1465"/>
      <c r="AS7" s="1465"/>
    </row>
    <row r="8" spans="1:45" s="408" customFormat="1" ht="13.5" thickBot="1">
      <c r="A8" s="2448"/>
      <c r="B8" s="2199"/>
      <c r="C8" s="2205">
        <v>100</v>
      </c>
      <c r="D8" s="2202">
        <f>C8-$T7</f>
        <v>100</v>
      </c>
      <c r="E8" s="2202">
        <f t="shared" ref="E8:S8" si="2">D8-$T7</f>
        <v>100</v>
      </c>
      <c r="F8" s="3215">
        <f t="shared" si="2"/>
        <v>100</v>
      </c>
      <c r="G8" s="3215">
        <f t="shared" si="2"/>
        <v>100</v>
      </c>
      <c r="H8" s="3215">
        <f t="shared" si="2"/>
        <v>100</v>
      </c>
      <c r="I8" s="3215">
        <f t="shared" si="2"/>
        <v>100</v>
      </c>
      <c r="J8" s="3215">
        <f t="shared" si="2"/>
        <v>100</v>
      </c>
      <c r="K8" s="3215">
        <f t="shared" si="2"/>
        <v>100</v>
      </c>
      <c r="L8" s="3215">
        <f t="shared" si="2"/>
        <v>100</v>
      </c>
      <c r="M8" s="3215">
        <f t="shared" si="2"/>
        <v>100</v>
      </c>
      <c r="N8" s="3215">
        <f t="shared" si="2"/>
        <v>100</v>
      </c>
      <c r="O8" s="3215">
        <f t="shared" si="2"/>
        <v>100</v>
      </c>
      <c r="P8" s="3215">
        <f t="shared" si="2"/>
        <v>100</v>
      </c>
      <c r="Q8" s="3215">
        <f t="shared" si="2"/>
        <v>100</v>
      </c>
      <c r="R8" s="3215">
        <f t="shared" si="2"/>
        <v>100</v>
      </c>
      <c r="S8" s="3215">
        <f t="shared" si="2"/>
        <v>100</v>
      </c>
      <c r="T8" s="2201"/>
      <c r="U8" s="1465"/>
      <c r="V8" s="1465"/>
      <c r="W8" s="1465"/>
      <c r="X8" s="1465"/>
      <c r="Y8" s="1465"/>
      <c r="Z8" s="1465"/>
      <c r="AA8" s="1465"/>
      <c r="AB8" s="1465"/>
      <c r="AC8" s="1465"/>
      <c r="AD8" s="1465"/>
      <c r="AE8" s="1465"/>
      <c r="AF8" s="1465"/>
      <c r="AG8" s="1465"/>
      <c r="AH8" s="1465"/>
      <c r="AI8" s="1465"/>
      <c r="AJ8" s="1465"/>
      <c r="AK8" s="1465"/>
      <c r="AL8" s="1465"/>
      <c r="AM8" s="1465"/>
      <c r="AN8" s="1465"/>
      <c r="AO8" s="1465"/>
      <c r="AP8" s="1465"/>
      <c r="AQ8" s="1465"/>
      <c r="AR8" s="1465"/>
      <c r="AS8" s="1465"/>
    </row>
    <row r="9" spans="1:45" s="408" customFormat="1">
      <c r="A9" s="2448"/>
      <c r="B9" s="3303" t="s">
        <v>3028</v>
      </c>
      <c r="C9" s="2204"/>
      <c r="D9" s="2198"/>
      <c r="E9" s="2198"/>
      <c r="F9" s="3216"/>
      <c r="G9" s="3216"/>
      <c r="H9" s="3216"/>
      <c r="I9" s="3216"/>
      <c r="J9" s="3216"/>
      <c r="K9" s="3216"/>
      <c r="L9" s="3224"/>
      <c r="M9" s="3217"/>
      <c r="N9" s="3218"/>
      <c r="O9" s="3219"/>
      <c r="P9" s="3220"/>
      <c r="Q9" s="3221"/>
      <c r="R9" s="3222"/>
      <c r="S9" s="3223"/>
      <c r="T9" s="1121"/>
      <c r="U9" s="1465"/>
      <c r="V9" s="1465"/>
      <c r="W9" s="1465"/>
      <c r="X9" s="1465"/>
      <c r="Y9" s="1465"/>
      <c r="Z9" s="1465"/>
      <c r="AA9" s="1465"/>
      <c r="AB9" s="1465"/>
      <c r="AC9" s="1465"/>
      <c r="AD9" s="1465"/>
      <c r="AE9" s="1465"/>
      <c r="AF9" s="1465"/>
      <c r="AG9" s="1465"/>
      <c r="AH9" s="1465"/>
      <c r="AI9" s="1465"/>
      <c r="AJ9" s="1465"/>
      <c r="AK9" s="1465"/>
      <c r="AL9" s="1465"/>
      <c r="AM9" s="1465"/>
      <c r="AN9" s="1465"/>
      <c r="AO9" s="1465"/>
      <c r="AP9" s="1465"/>
      <c r="AQ9" s="1465"/>
      <c r="AR9" s="1465"/>
      <c r="AS9" s="1465"/>
    </row>
    <row r="10" spans="1:45" s="408" customFormat="1" ht="13.5" thickBot="1">
      <c r="A10" s="2448"/>
      <c r="B10" s="2442"/>
      <c r="C10" s="2453">
        <v>100</v>
      </c>
      <c r="D10" s="2454">
        <f>C10-$T9</f>
        <v>100</v>
      </c>
      <c r="E10" s="2454">
        <f t="shared" ref="E10:S10" si="3">D10-$T9</f>
        <v>100</v>
      </c>
      <c r="F10" s="3225">
        <f t="shared" si="3"/>
        <v>100</v>
      </c>
      <c r="G10" s="3225">
        <f t="shared" si="3"/>
        <v>100</v>
      </c>
      <c r="H10" s="3225">
        <f t="shared" si="3"/>
        <v>100</v>
      </c>
      <c r="I10" s="3225">
        <f t="shared" si="3"/>
        <v>100</v>
      </c>
      <c r="J10" s="3225">
        <f t="shared" si="3"/>
        <v>100</v>
      </c>
      <c r="K10" s="3225">
        <f t="shared" si="3"/>
        <v>100</v>
      </c>
      <c r="L10" s="3225">
        <f t="shared" si="3"/>
        <v>100</v>
      </c>
      <c r="M10" s="3225">
        <f t="shared" si="3"/>
        <v>100</v>
      </c>
      <c r="N10" s="3225">
        <f t="shared" si="3"/>
        <v>100</v>
      </c>
      <c r="O10" s="3225">
        <f t="shared" si="3"/>
        <v>100</v>
      </c>
      <c r="P10" s="3225">
        <f t="shared" si="3"/>
        <v>100</v>
      </c>
      <c r="Q10" s="3225">
        <f t="shared" si="3"/>
        <v>100</v>
      </c>
      <c r="R10" s="3225">
        <f t="shared" si="3"/>
        <v>100</v>
      </c>
      <c r="S10" s="3225">
        <f t="shared" si="3"/>
        <v>100</v>
      </c>
      <c r="T10" s="2447"/>
      <c r="U10" s="1465"/>
      <c r="V10" s="1465"/>
      <c r="W10" s="1465"/>
      <c r="X10" s="1465"/>
      <c r="Y10" s="1465"/>
      <c r="Z10" s="1465"/>
      <c r="AA10" s="1465"/>
      <c r="AB10" s="1465"/>
      <c r="AC10" s="1465"/>
      <c r="AD10" s="1465"/>
      <c r="AE10" s="1465"/>
      <c r="AF10" s="1465"/>
      <c r="AG10" s="1465"/>
      <c r="AH10" s="1465"/>
      <c r="AI10" s="1465"/>
      <c r="AJ10" s="1465"/>
      <c r="AK10" s="1465"/>
      <c r="AL10" s="1465"/>
      <c r="AM10" s="1465"/>
      <c r="AN10" s="1465"/>
      <c r="AO10" s="1465"/>
      <c r="AP10" s="1465"/>
      <c r="AQ10" s="1465"/>
      <c r="AR10" s="1465"/>
      <c r="AS10" s="1465"/>
    </row>
    <row r="11" spans="1:45" s="408" customFormat="1">
      <c r="A11" s="2448"/>
      <c r="B11" s="3302" t="s">
        <v>3027</v>
      </c>
      <c r="C11" s="2449"/>
      <c r="D11" s="2450"/>
      <c r="E11" s="2450"/>
      <c r="F11" s="2450"/>
      <c r="G11" s="2450"/>
      <c r="H11" s="2450"/>
      <c r="I11" s="2450"/>
      <c r="J11" s="2450"/>
      <c r="K11" s="2450"/>
      <c r="L11" s="2450"/>
      <c r="M11" s="2451"/>
      <c r="N11" s="2455"/>
      <c r="O11" s="2456"/>
      <c r="P11" s="2457"/>
      <c r="Q11" s="2458"/>
      <c r="R11" s="2459"/>
      <c r="S11" s="2460"/>
      <c r="T11" s="2452"/>
      <c r="U11" s="1465"/>
      <c r="V11" s="1465"/>
      <c r="W11" s="1465"/>
      <c r="X11" s="1465"/>
      <c r="Y11" s="1465"/>
      <c r="Z11" s="1465"/>
      <c r="AA11" s="1465"/>
      <c r="AB11" s="1465"/>
      <c r="AC11" s="1465"/>
      <c r="AD11" s="1465"/>
      <c r="AE11" s="1465"/>
      <c r="AF11" s="1465"/>
      <c r="AG11" s="1465"/>
      <c r="AH11" s="1465"/>
      <c r="AI11" s="1465"/>
      <c r="AJ11" s="1465"/>
      <c r="AK11" s="1465"/>
      <c r="AL11" s="1465"/>
      <c r="AM11" s="1465"/>
      <c r="AN11" s="1465"/>
      <c r="AO11" s="1465"/>
      <c r="AP11" s="1465"/>
      <c r="AQ11" s="1465"/>
      <c r="AR11" s="1465"/>
      <c r="AS11" s="1465"/>
    </row>
    <row r="12" spans="1:45" s="408" customFormat="1" ht="13.5" thickBot="1">
      <c r="A12" s="2448"/>
      <c r="B12" s="2199"/>
      <c r="C12" s="2205">
        <v>100</v>
      </c>
      <c r="D12" s="2202">
        <f>C12-$T11</f>
        <v>100</v>
      </c>
      <c r="E12" s="2202">
        <f t="shared" ref="E12:S12" si="4">D12-$T11</f>
        <v>100</v>
      </c>
      <c r="F12" s="2202">
        <f t="shared" si="4"/>
        <v>100</v>
      </c>
      <c r="G12" s="2202">
        <f t="shared" si="4"/>
        <v>100</v>
      </c>
      <c r="H12" s="2202">
        <f t="shared" si="4"/>
        <v>100</v>
      </c>
      <c r="I12" s="2202">
        <f t="shared" si="4"/>
        <v>100</v>
      </c>
      <c r="J12" s="2202">
        <f t="shared" si="4"/>
        <v>100</v>
      </c>
      <c r="K12" s="2202">
        <f t="shared" si="4"/>
        <v>100</v>
      </c>
      <c r="L12" s="2202">
        <f t="shared" si="4"/>
        <v>100</v>
      </c>
      <c r="M12" s="2202">
        <f t="shared" si="4"/>
        <v>100</v>
      </c>
      <c r="N12" s="2202">
        <f t="shared" si="4"/>
        <v>100</v>
      </c>
      <c r="O12" s="2202">
        <f t="shared" si="4"/>
        <v>100</v>
      </c>
      <c r="P12" s="2202">
        <f t="shared" si="4"/>
        <v>100</v>
      </c>
      <c r="Q12" s="2202">
        <f t="shared" si="4"/>
        <v>100</v>
      </c>
      <c r="R12" s="2202">
        <f>Q12-$T11</f>
        <v>100</v>
      </c>
      <c r="S12" s="2202">
        <f t="shared" si="4"/>
        <v>100</v>
      </c>
      <c r="T12" s="2201"/>
      <c r="U12" s="1465"/>
      <c r="V12" s="1465"/>
      <c r="W12" s="1465"/>
      <c r="X12" s="1465"/>
      <c r="Y12" s="1465"/>
      <c r="Z12" s="1465"/>
      <c r="AA12" s="1465"/>
      <c r="AB12" s="1465"/>
      <c r="AC12" s="1465"/>
      <c r="AD12" s="1465"/>
      <c r="AE12" s="1465"/>
      <c r="AF12" s="1465"/>
      <c r="AG12" s="1465"/>
      <c r="AH12" s="1465"/>
      <c r="AI12" s="1465"/>
      <c r="AJ12" s="1465"/>
      <c r="AK12" s="1465"/>
      <c r="AL12" s="1465"/>
      <c r="AM12" s="1465"/>
      <c r="AN12" s="1465"/>
      <c r="AO12" s="1465"/>
      <c r="AP12" s="1465"/>
      <c r="AQ12" s="1465"/>
      <c r="AR12" s="1465"/>
      <c r="AS12" s="1465"/>
    </row>
    <row r="13" spans="1:45" s="408" customFormat="1">
      <c r="A13" s="2448"/>
      <c r="B13" s="3302" t="s">
        <v>3026</v>
      </c>
      <c r="C13" s="2449"/>
      <c r="D13" s="2450"/>
      <c r="E13" s="2450"/>
      <c r="F13" s="2450"/>
      <c r="G13" s="2450"/>
      <c r="H13" s="2450"/>
      <c r="I13" s="2450"/>
      <c r="J13" s="2450"/>
      <c r="K13" s="2450"/>
      <c r="L13" s="2450"/>
      <c r="M13" s="2451"/>
      <c r="N13" s="2455"/>
      <c r="O13" s="2456"/>
      <c r="P13" s="2457"/>
      <c r="Q13" s="2458"/>
      <c r="R13" s="2459"/>
      <c r="S13" s="2460"/>
      <c r="T13" s="2461"/>
      <c r="U13" s="1465"/>
      <c r="V13" s="1465"/>
      <c r="W13" s="1465"/>
      <c r="X13" s="1465"/>
      <c r="Y13" s="1465"/>
      <c r="Z13" s="1465"/>
      <c r="AA13" s="1465"/>
      <c r="AB13" s="1465"/>
      <c r="AC13" s="1465"/>
      <c r="AD13" s="1465"/>
      <c r="AE13" s="1465"/>
      <c r="AF13" s="1465"/>
      <c r="AG13" s="1465"/>
      <c r="AH13" s="1465"/>
      <c r="AI13" s="1465"/>
      <c r="AJ13" s="1465"/>
      <c r="AK13" s="1465"/>
      <c r="AL13" s="1465"/>
      <c r="AM13" s="1465"/>
      <c r="AN13" s="1465"/>
      <c r="AO13" s="1465"/>
      <c r="AP13" s="1465"/>
      <c r="AQ13" s="1465"/>
      <c r="AR13" s="1465"/>
      <c r="AS13" s="1465"/>
    </row>
    <row r="14" spans="1:45" s="408" customFormat="1" ht="13.5" thickBot="1">
      <c r="A14" s="2448"/>
      <c r="B14" s="2199"/>
      <c r="C14" s="2203"/>
      <c r="D14" s="2200"/>
      <c r="E14" s="2200"/>
      <c r="F14" s="2200"/>
      <c r="G14" s="2200"/>
      <c r="H14" s="2200"/>
      <c r="I14" s="2200"/>
      <c r="J14" s="2200"/>
      <c r="K14" s="2200"/>
      <c r="L14" s="2200"/>
      <c r="M14" s="2462"/>
      <c r="N14" s="2462"/>
      <c r="O14" s="2200"/>
      <c r="P14" s="2200"/>
      <c r="Q14" s="2200"/>
      <c r="R14" s="2200"/>
      <c r="S14" s="2463"/>
      <c r="T14" s="2201"/>
      <c r="U14" s="1465"/>
      <c r="V14" s="1465"/>
      <c r="W14" s="1465"/>
      <c r="X14" s="1465"/>
      <c r="Y14" s="1465"/>
      <c r="Z14" s="1465"/>
      <c r="AA14" s="1465"/>
      <c r="AB14" s="1465"/>
      <c r="AC14" s="1465"/>
      <c r="AD14" s="1465"/>
      <c r="AE14" s="1465"/>
      <c r="AF14" s="1465"/>
      <c r="AG14" s="1465"/>
      <c r="AH14" s="1465"/>
      <c r="AI14" s="1465"/>
      <c r="AJ14" s="1465"/>
      <c r="AK14" s="1465"/>
      <c r="AL14" s="1465"/>
      <c r="AM14" s="1465"/>
      <c r="AN14" s="1465"/>
      <c r="AO14" s="1465"/>
      <c r="AP14" s="1465"/>
      <c r="AQ14" s="1465"/>
      <c r="AR14" s="1465"/>
      <c r="AS14" s="1465"/>
    </row>
    <row r="15" spans="1:45" s="408" customFormat="1">
      <c r="A15" s="2448"/>
      <c r="B15" s="3302" t="s">
        <v>3025</v>
      </c>
      <c r="C15" s="2449"/>
      <c r="D15" s="2450"/>
      <c r="E15" s="2450"/>
      <c r="F15" s="2450"/>
      <c r="G15" s="2450"/>
      <c r="H15" s="2450"/>
      <c r="I15" s="2450"/>
      <c r="J15" s="2450"/>
      <c r="K15" s="2450"/>
      <c r="L15" s="2450"/>
      <c r="M15" s="2451"/>
      <c r="N15" s="2455"/>
      <c r="O15" s="2456"/>
      <c r="P15" s="2457"/>
      <c r="Q15" s="2458"/>
      <c r="R15" s="2459"/>
      <c r="S15" s="2460"/>
      <c r="T15" s="2461"/>
      <c r="U15" s="1465"/>
      <c r="V15" s="1465"/>
      <c r="W15" s="1465"/>
      <c r="X15" s="1465"/>
      <c r="Y15" s="1465"/>
      <c r="Z15" s="1465"/>
      <c r="AA15" s="1465"/>
      <c r="AB15" s="1465"/>
      <c r="AC15" s="1465"/>
      <c r="AD15" s="1465"/>
      <c r="AE15" s="1465"/>
      <c r="AF15" s="1465"/>
      <c r="AG15" s="1465"/>
      <c r="AH15" s="1465"/>
      <c r="AI15" s="1465"/>
      <c r="AJ15" s="1465"/>
      <c r="AK15" s="1465"/>
      <c r="AL15" s="1465"/>
      <c r="AM15" s="1465"/>
      <c r="AN15" s="1465"/>
      <c r="AO15" s="1465"/>
      <c r="AP15" s="1465"/>
      <c r="AQ15" s="1465"/>
      <c r="AR15" s="1465"/>
      <c r="AS15" s="1465"/>
    </row>
    <row r="16" spans="1:45" s="408" customFormat="1" ht="13.5" thickBot="1">
      <c r="A16" s="2448"/>
      <c r="B16" s="2442"/>
      <c r="C16" s="2443"/>
      <c r="D16" s="2444"/>
      <c r="E16" s="2444"/>
      <c r="F16" s="2444"/>
      <c r="G16" s="2444"/>
      <c r="H16" s="2444"/>
      <c r="I16" s="2444"/>
      <c r="J16" s="2444"/>
      <c r="K16" s="2444"/>
      <c r="L16" s="2444"/>
      <c r="M16" s="2445"/>
      <c r="N16" s="2445"/>
      <c r="O16" s="2444"/>
      <c r="P16" s="2444"/>
      <c r="Q16" s="2444"/>
      <c r="R16" s="2444"/>
      <c r="S16" s="2446"/>
      <c r="T16" s="2447"/>
      <c r="U16" s="1465"/>
      <c r="V16" s="1465"/>
      <c r="W16" s="1465"/>
      <c r="X16" s="1465"/>
      <c r="Y16" s="1465"/>
      <c r="Z16" s="1465"/>
      <c r="AA16" s="1465"/>
      <c r="AB16" s="1465"/>
      <c r="AC16" s="1465"/>
      <c r="AD16" s="1465"/>
      <c r="AE16" s="1465"/>
      <c r="AF16" s="1465"/>
      <c r="AG16" s="1465"/>
      <c r="AH16" s="1465"/>
      <c r="AI16" s="1465"/>
      <c r="AJ16" s="1465"/>
      <c r="AK16" s="1465"/>
      <c r="AL16" s="1465"/>
      <c r="AM16" s="1465"/>
      <c r="AN16" s="1465"/>
      <c r="AO16" s="1465"/>
      <c r="AP16" s="1465"/>
      <c r="AQ16" s="1465"/>
      <c r="AR16" s="1465"/>
      <c r="AS16" s="1465"/>
    </row>
    <row r="17" spans="1:45" s="1115" customFormat="1">
      <c r="A17" s="2480" t="s">
        <v>2393</v>
      </c>
      <c r="B17" s="2481" t="s">
        <v>1145</v>
      </c>
      <c r="C17" s="2464"/>
      <c r="D17" s="2465"/>
      <c r="E17" s="2465"/>
      <c r="F17" s="2465"/>
      <c r="G17" s="2465"/>
      <c r="H17" s="2465"/>
      <c r="I17" s="2465"/>
      <c r="J17" s="2465"/>
      <c r="K17" s="2465"/>
      <c r="L17" s="2466"/>
      <c r="M17" s="2467"/>
      <c r="N17" s="2468"/>
      <c r="O17" s="2469"/>
      <c r="P17" s="2470"/>
      <c r="Q17" s="2471"/>
      <c r="R17" s="2472"/>
      <c r="S17" s="2473"/>
      <c r="T17" s="2473"/>
      <c r="U17" s="2473"/>
      <c r="V17" s="2473"/>
      <c r="W17" s="2473"/>
      <c r="X17" s="2473"/>
      <c r="Y17" s="2473"/>
      <c r="Z17" s="2473"/>
      <c r="AA17" s="2473"/>
      <c r="AB17" s="2473"/>
      <c r="AC17" s="2473"/>
      <c r="AD17" s="2473"/>
      <c r="AE17" s="2473"/>
      <c r="AF17" s="2473"/>
      <c r="AG17" s="2473"/>
      <c r="AH17" s="2473"/>
      <c r="AI17" s="2473"/>
      <c r="AJ17" s="2473"/>
      <c r="AK17" s="2473"/>
      <c r="AL17" s="2473"/>
      <c r="AM17" s="2473"/>
      <c r="AN17" s="2473"/>
      <c r="AO17" s="2473"/>
      <c r="AP17" s="2473"/>
      <c r="AQ17" s="2473"/>
      <c r="AR17" s="1463"/>
      <c r="AS17" s="1463"/>
    </row>
    <row r="18" spans="1:45" s="1115" customFormat="1" ht="13.5" thickBot="1">
      <c r="A18" s="2474"/>
      <c r="B18" s="2475"/>
      <c r="C18" s="2476"/>
      <c r="D18" s="2477"/>
      <c r="E18" s="2477"/>
      <c r="F18" s="2477"/>
      <c r="G18" s="2477"/>
      <c r="H18" s="2477"/>
      <c r="I18" s="2477"/>
      <c r="J18" s="2477"/>
      <c r="K18" s="2477"/>
      <c r="L18" s="2477"/>
      <c r="M18" s="2478"/>
      <c r="N18" s="2478"/>
      <c r="O18" s="2477"/>
      <c r="P18" s="2477"/>
      <c r="Q18" s="2477"/>
      <c r="R18" s="2477"/>
      <c r="S18" s="2479"/>
      <c r="T18" s="2479"/>
      <c r="U18" s="2479"/>
      <c r="V18" s="2479"/>
      <c r="W18" s="2479"/>
      <c r="X18" s="2479"/>
      <c r="Y18" s="2479"/>
      <c r="Z18" s="2479"/>
      <c r="AA18" s="2479"/>
      <c r="AB18" s="2479"/>
      <c r="AC18" s="2479"/>
      <c r="AD18" s="2479"/>
      <c r="AE18" s="2479"/>
      <c r="AF18" s="2479"/>
      <c r="AG18" s="2479"/>
      <c r="AH18" s="2479"/>
      <c r="AI18" s="2479"/>
      <c r="AJ18" s="2479"/>
      <c r="AK18" s="2479"/>
      <c r="AL18" s="2479"/>
      <c r="AM18" s="2479"/>
      <c r="AN18" s="2479"/>
      <c r="AO18" s="2479"/>
      <c r="AP18" s="2479"/>
      <c r="AQ18" s="2479"/>
      <c r="AR18" s="1463"/>
      <c r="AS18" s="1463"/>
    </row>
    <row r="19" spans="1:45">
      <c r="A19" s="469"/>
      <c r="B19" s="500"/>
      <c r="C19" s="500"/>
      <c r="D19" s="3353" t="s">
        <v>3063</v>
      </c>
      <c r="E19" s="3348"/>
      <c r="F19" s="3348"/>
      <c r="G19" s="3348"/>
      <c r="H19" s="2534"/>
      <c r="I19" s="500"/>
      <c r="J19" s="500"/>
      <c r="K19" s="500"/>
      <c r="L19" s="500"/>
      <c r="M19" s="500"/>
      <c r="N19" s="500"/>
      <c r="O19" s="500"/>
      <c r="P19" s="500"/>
      <c r="Q19" s="500"/>
      <c r="R19" s="1415"/>
      <c r="S19" s="469"/>
    </row>
    <row r="20" spans="1:45" ht="16.5" thickBot="1">
      <c r="A20" s="1123" t="s">
        <v>521</v>
      </c>
      <c r="B20" s="673">
        <f ca="1">IF(D20="——",S22,S22-F20)</f>
        <v>775</v>
      </c>
      <c r="C20" s="500"/>
      <c r="D20" s="3349" t="s">
        <v>530</v>
      </c>
      <c r="E20" s="3350"/>
      <c r="F20" s="2437" t="e">
        <f ca="1">SUMIF(INDIRECT("'"&amp;H20&amp;"'"&amp;"!A:A"),"承租人权益价值",INDIRECT("'"&amp;H20&amp;"'"&amp;"!c:c"))</f>
        <v>#REF!</v>
      </c>
      <c r="G20" s="3351" t="s">
        <v>3051</v>
      </c>
      <c r="H20" s="3352"/>
      <c r="I20" s="500"/>
      <c r="J20" s="500"/>
      <c r="K20" s="500"/>
      <c r="L20" s="500"/>
      <c r="M20" s="500"/>
      <c r="N20" s="500"/>
      <c r="O20" s="500"/>
      <c r="P20" s="500"/>
      <c r="Q20" s="500"/>
      <c r="R20" s="1415"/>
      <c r="S20" s="469"/>
    </row>
    <row r="21" spans="1:45" ht="15.75">
      <c r="A21" s="1123" t="s">
        <v>522</v>
      </c>
      <c r="B21" s="673">
        <f ca="1">R22</f>
        <v>4687</v>
      </c>
      <c r="C21" s="500"/>
      <c r="D21" s="500"/>
      <c r="E21" s="500"/>
      <c r="F21" s="500"/>
      <c r="G21" s="500"/>
      <c r="H21" s="500"/>
      <c r="I21" s="500"/>
      <c r="J21" s="500"/>
      <c r="K21" s="500"/>
      <c r="L21" s="500"/>
      <c r="M21" s="500"/>
      <c r="N21" s="500"/>
      <c r="O21" s="500"/>
      <c r="P21" s="500"/>
      <c r="Q21" s="500"/>
      <c r="R21" s="1415"/>
      <c r="S21" s="469"/>
    </row>
    <row r="22" spans="1:45">
      <c r="A22" s="698" t="s">
        <v>523</v>
      </c>
      <c r="B22" s="313">
        <f>SUM(B24:B10000)</f>
        <v>1653.4</v>
      </c>
      <c r="C22" s="3724" t="s">
        <v>169</v>
      </c>
      <c r="D22" s="3725"/>
      <c r="E22" s="3725"/>
      <c r="F22" s="3725"/>
      <c r="G22" s="3725"/>
      <c r="H22" s="3725"/>
      <c r="I22" s="3725"/>
      <c r="J22" s="3725"/>
      <c r="K22" s="3725"/>
      <c r="L22" s="3725"/>
      <c r="M22" s="3725"/>
      <c r="N22" s="3725"/>
      <c r="O22" s="3725"/>
      <c r="P22" s="3725"/>
      <c r="Q22" s="3726"/>
      <c r="R22" s="1124">
        <f ca="1">ROUND(S22*10000/B22,0)</f>
        <v>4687</v>
      </c>
      <c r="S22" s="313">
        <f ca="1">SUM(S24:S10000)</f>
        <v>775</v>
      </c>
    </row>
    <row r="23" spans="1:45" s="300" customFormat="1" ht="24">
      <c r="A23" s="299" t="s">
        <v>524</v>
      </c>
      <c r="B23" s="299" t="s">
        <v>525</v>
      </c>
      <c r="C23" s="299" t="s">
        <v>526</v>
      </c>
      <c r="D23" s="299" t="str">
        <f>B5</f>
        <v>修正项2</v>
      </c>
      <c r="E23" s="299" t="s">
        <v>526</v>
      </c>
      <c r="F23" s="299" t="str">
        <f>B7</f>
        <v>修正项3</v>
      </c>
      <c r="G23" s="299" t="s">
        <v>526</v>
      </c>
      <c r="H23" s="299" t="str">
        <f>B9</f>
        <v>修正项4</v>
      </c>
      <c r="I23" s="299" t="s">
        <v>526</v>
      </c>
      <c r="J23" s="299" t="str">
        <f>B11</f>
        <v>修正项5</v>
      </c>
      <c r="K23" s="299" t="s">
        <v>526</v>
      </c>
      <c r="L23" s="299" t="str">
        <f>B13</f>
        <v>修正项6</v>
      </c>
      <c r="M23" s="299" t="s">
        <v>526</v>
      </c>
      <c r="N23" s="299" t="str">
        <f>B15</f>
        <v>修正项7</v>
      </c>
      <c r="O23" s="299" t="s">
        <v>526</v>
      </c>
      <c r="P23" s="299" t="str">
        <f>B17</f>
        <v>楼层</v>
      </c>
      <c r="Q23" s="299" t="s">
        <v>526</v>
      </c>
      <c r="R23" s="1125" t="s">
        <v>527</v>
      </c>
      <c r="S23" s="299" t="s">
        <v>528</v>
      </c>
      <c r="T23" s="1466"/>
      <c r="U23" s="1466"/>
      <c r="V23" s="1466"/>
      <c r="W23" s="1466"/>
      <c r="X23" s="1466"/>
      <c r="Y23" s="1466"/>
      <c r="Z23" s="1466"/>
      <c r="AA23" s="1466"/>
      <c r="AB23" s="1466"/>
      <c r="AC23" s="1466"/>
      <c r="AD23" s="1466"/>
      <c r="AE23" s="1466"/>
      <c r="AF23" s="1466"/>
      <c r="AG23" s="1466"/>
      <c r="AH23" s="1466"/>
      <c r="AI23" s="1466"/>
      <c r="AJ23" s="1466"/>
      <c r="AK23" s="1466"/>
      <c r="AL23" s="1466"/>
      <c r="AM23" s="1466"/>
      <c r="AN23" s="1466"/>
      <c r="AO23" s="1466"/>
      <c r="AP23" s="1466"/>
      <c r="AQ23" s="1466"/>
      <c r="AR23" s="1466"/>
      <c r="AS23" s="1466"/>
    </row>
    <row r="24" spans="1:45" s="1130" customFormat="1">
      <c r="A24" s="1126" t="str">
        <f>面积及价值汇总!E4</f>
        <v>DK1-1-10703</v>
      </c>
      <c r="B24" s="1126">
        <f>面积及价值汇总!F4</f>
        <v>91.1</v>
      </c>
      <c r="C24" s="1127">
        <v>1</v>
      </c>
      <c r="D24" s="1128"/>
      <c r="E24" s="1127">
        <v>1</v>
      </c>
      <c r="F24" s="1128"/>
      <c r="G24" s="1127">
        <v>1</v>
      </c>
      <c r="H24" s="1128"/>
      <c r="I24" s="1127">
        <v>1</v>
      </c>
      <c r="J24" s="1128"/>
      <c r="K24" s="1127">
        <v>1</v>
      </c>
      <c r="L24" s="1128"/>
      <c r="M24" s="1127">
        <v>1</v>
      </c>
      <c r="N24" s="1128"/>
      <c r="O24" s="1127">
        <v>1</v>
      </c>
      <c r="P24" s="1128"/>
      <c r="Q24" s="1127">
        <v>1</v>
      </c>
      <c r="R24" s="3422">
        <f ca="1">ROUND('比较法-住宅'!B3*0.5+'收益法-住宅'!B3*0.5,0)</f>
        <v>4704</v>
      </c>
      <c r="S24" s="1127">
        <f t="shared" ref="S24:S87" ca="1" si="5">ROUND(R24*B24/10000,0)</f>
        <v>43</v>
      </c>
      <c r="T24" s="1467"/>
      <c r="U24" s="1467"/>
      <c r="V24" s="1467"/>
      <c r="W24" s="1467"/>
      <c r="X24" s="1467"/>
      <c r="Y24" s="1467"/>
      <c r="Z24" s="1467"/>
      <c r="AA24" s="1467"/>
      <c r="AB24" s="1467"/>
      <c r="AC24" s="1467"/>
      <c r="AD24" s="1467"/>
      <c r="AE24" s="1467"/>
      <c r="AF24" s="1467"/>
      <c r="AG24" s="1467"/>
      <c r="AH24" s="1467"/>
      <c r="AI24" s="1467"/>
      <c r="AJ24" s="1467"/>
      <c r="AK24" s="1467"/>
      <c r="AL24" s="1467"/>
      <c r="AM24" s="1467"/>
      <c r="AN24" s="1467"/>
      <c r="AO24" s="1467"/>
      <c r="AP24" s="1467"/>
      <c r="AQ24" s="1467"/>
      <c r="AR24" s="1467"/>
      <c r="AS24" s="1467"/>
    </row>
    <row r="25" spans="1:45">
      <c r="A25" s="1126" t="str">
        <f>面积及价值汇总!E5</f>
        <v>DK1-1-10906</v>
      </c>
      <c r="B25" s="1126">
        <f>面积及价值汇总!F5</f>
        <v>94.27</v>
      </c>
      <c r="C25" s="313">
        <f>IF(B25="",1,(LOOKUP(B25,$3:$3,$4:$4)-LOOKUP($B$24,$3:$3,$4:$4)+100)/100)</f>
        <v>1</v>
      </c>
      <c r="D25" s="1128"/>
      <c r="E25" s="313">
        <f>(SUMIF($5:$5,D25,$6:$6)-SUMIF($5:$5,$D$24,$6:$6)+100)/100</f>
        <v>1</v>
      </c>
      <c r="F25" s="1128"/>
      <c r="G25" s="313">
        <f>(SUMIF($7:$7,F25,$8:$8)-SUMIF($7:$7,$F$24,$8:$8)+100)/100</f>
        <v>1</v>
      </c>
      <c r="H25" s="1128"/>
      <c r="I25" s="313">
        <f>(SUMIF($9:$9,H25,$10:$10)-SUMIF($9:$9,$H$24,$10:$10)+100)/100</f>
        <v>1</v>
      </c>
      <c r="J25" s="1128"/>
      <c r="K25" s="313">
        <f>(SUMIF($11:$11,J25,$12:$12)-SUMIF($11:$11,$J$24,$12:$12)+100)/100</f>
        <v>1</v>
      </c>
      <c r="L25" s="1128"/>
      <c r="M25" s="313">
        <f>(SUMIF($13:$13,L25,$14:$14)-SUMIF($13:$13,$L$24,$14:$14)+100)/100</f>
        <v>1</v>
      </c>
      <c r="N25" s="1128"/>
      <c r="O25" s="313">
        <f>(SUMIF($15:$15,N25,$16:$16)-SUMIF($15:$15,$N$24,$16:$16)+100)/100</f>
        <v>1</v>
      </c>
      <c r="P25" s="1128"/>
      <c r="Q25" s="313">
        <f>(SUMIF($17:$17,P25,$18:$18)-SUMIF($17:$17,$P$24,$18:$18)+100)/100</f>
        <v>1</v>
      </c>
      <c r="R25" s="1124">
        <f ca="1">IF(B25="",0,ROUND($R$24*C25*E25*G25*I25*K25*M25*O25*Q25,0))</f>
        <v>4704</v>
      </c>
      <c r="S25" s="698">
        <f t="shared" ca="1" si="5"/>
        <v>44</v>
      </c>
    </row>
    <row r="26" spans="1:45">
      <c r="A26" s="1126" t="str">
        <f>面积及价值汇总!E6</f>
        <v>DK1-1-11005</v>
      </c>
      <c r="B26" s="1126">
        <f>面积及价值汇总!F6</f>
        <v>89.53</v>
      </c>
      <c r="C26" s="313">
        <f t="shared" ref="C26:C89" si="6">IF(B26="",1,(LOOKUP(B26,$3:$3,$4:$4)-LOOKUP($B$24,$3:$3,$4:$4)+100)/100)</f>
        <v>1</v>
      </c>
      <c r="D26" s="1128"/>
      <c r="E26" s="313">
        <f t="shared" ref="E26:E89" si="7">(SUMIF($5:$5,D26,$6:$6)-SUMIF($5:$5,$D$24,$6:$6)+100)/100</f>
        <v>1</v>
      </c>
      <c r="F26" s="1128"/>
      <c r="G26" s="313">
        <f t="shared" ref="G26:G89" si="8">(SUMIF($7:$7,F26,$8:$8)-SUMIF($7:$7,$F$24,$8:$8)+100)/100</f>
        <v>1</v>
      </c>
      <c r="H26" s="1128"/>
      <c r="I26" s="313">
        <f t="shared" ref="I26:I89" si="9">(SUMIF($9:$9,H26,$10:$10)-SUMIF($9:$9,$H$24,$10:$10)+100)/100</f>
        <v>1</v>
      </c>
      <c r="J26" s="1128"/>
      <c r="K26" s="313">
        <f t="shared" ref="K26:K89" si="10">(SUMIF($11:$11,J26,$12:$12)-SUMIF($11:$11,$J$24,$12:$12)+100)/100</f>
        <v>1</v>
      </c>
      <c r="L26" s="1128"/>
      <c r="M26" s="313">
        <f t="shared" ref="M26:M89" si="11">(SUMIF($13:$13,L26,$14:$14)-SUMIF($13:$13,$L$24,$14:$14)+100)/100</f>
        <v>1</v>
      </c>
      <c r="N26" s="1128"/>
      <c r="O26" s="313">
        <f t="shared" ref="O26:O89" si="12">(SUMIF($15:$15,N26,$16:$16)-SUMIF($15:$15,$N$24,$16:$16)+100)/100</f>
        <v>1</v>
      </c>
      <c r="P26" s="1128"/>
      <c r="Q26" s="313">
        <f t="shared" ref="Q26:Q89" si="13">(SUMIF($17:$17,P26,$18:$18)-SUMIF($17:$17,$P$24,$18:$18)+100)/100</f>
        <v>1</v>
      </c>
      <c r="R26" s="1124">
        <f t="shared" ref="R26:R89" ca="1" si="14">IF(B26="",0,ROUND($R$24*C26*E26*G26*I26*K26*M26*O26*Q26,0))</f>
        <v>4704</v>
      </c>
      <c r="S26" s="698">
        <f t="shared" ca="1" si="5"/>
        <v>42</v>
      </c>
    </row>
    <row r="27" spans="1:45">
      <c r="A27" s="1126" t="str">
        <f>面积及价值汇总!E7</f>
        <v>DK1-1-11503</v>
      </c>
      <c r="B27" s="1126">
        <f>面积及价值汇总!F7</f>
        <v>91.62</v>
      </c>
      <c r="C27" s="313">
        <f t="shared" si="6"/>
        <v>1</v>
      </c>
      <c r="D27" s="1128"/>
      <c r="E27" s="313">
        <f t="shared" si="7"/>
        <v>1</v>
      </c>
      <c r="F27" s="1128"/>
      <c r="G27" s="313">
        <f t="shared" si="8"/>
        <v>1</v>
      </c>
      <c r="H27" s="1128"/>
      <c r="I27" s="313">
        <f t="shared" si="9"/>
        <v>1</v>
      </c>
      <c r="J27" s="1128"/>
      <c r="K27" s="313">
        <f t="shared" si="10"/>
        <v>1</v>
      </c>
      <c r="L27" s="1128"/>
      <c r="M27" s="313">
        <f t="shared" si="11"/>
        <v>1</v>
      </c>
      <c r="N27" s="1128"/>
      <c r="O27" s="313">
        <f t="shared" si="12"/>
        <v>1</v>
      </c>
      <c r="P27" s="1128"/>
      <c r="Q27" s="313">
        <f t="shared" si="13"/>
        <v>1</v>
      </c>
      <c r="R27" s="1124">
        <f t="shared" ca="1" si="14"/>
        <v>4704</v>
      </c>
      <c r="S27" s="698">
        <f t="shared" ca="1" si="5"/>
        <v>43</v>
      </c>
    </row>
    <row r="28" spans="1:45">
      <c r="A28" s="1126" t="str">
        <f>面积及价值汇总!E8</f>
        <v>DK1-1-11702</v>
      </c>
      <c r="B28" s="1126">
        <f>面积及价值汇总!F8</f>
        <v>89.98</v>
      </c>
      <c r="C28" s="313">
        <f t="shared" si="6"/>
        <v>1</v>
      </c>
      <c r="D28" s="1128"/>
      <c r="E28" s="313">
        <f t="shared" si="7"/>
        <v>1</v>
      </c>
      <c r="F28" s="1128"/>
      <c r="G28" s="313">
        <f t="shared" si="8"/>
        <v>1</v>
      </c>
      <c r="H28" s="1128"/>
      <c r="I28" s="313">
        <f t="shared" si="9"/>
        <v>1</v>
      </c>
      <c r="J28" s="1128"/>
      <c r="K28" s="313">
        <f t="shared" si="10"/>
        <v>1</v>
      </c>
      <c r="L28" s="1128"/>
      <c r="M28" s="313">
        <f t="shared" si="11"/>
        <v>1</v>
      </c>
      <c r="N28" s="1128"/>
      <c r="O28" s="313">
        <f t="shared" si="12"/>
        <v>1</v>
      </c>
      <c r="P28" s="1128"/>
      <c r="Q28" s="313">
        <f t="shared" si="13"/>
        <v>1</v>
      </c>
      <c r="R28" s="1124">
        <f t="shared" ca="1" si="14"/>
        <v>4704</v>
      </c>
      <c r="S28" s="698">
        <f t="shared" ca="1" si="5"/>
        <v>42</v>
      </c>
    </row>
    <row r="29" spans="1:45">
      <c r="A29" s="1126" t="str">
        <f>面积及价值汇总!E9</f>
        <v>DK1-1-11902</v>
      </c>
      <c r="B29" s="1126">
        <f>面积及价值汇总!F9</f>
        <v>89.98</v>
      </c>
      <c r="C29" s="313">
        <f t="shared" si="6"/>
        <v>1</v>
      </c>
      <c r="D29" s="1128"/>
      <c r="E29" s="313">
        <f t="shared" si="7"/>
        <v>1</v>
      </c>
      <c r="F29" s="1128"/>
      <c r="G29" s="313">
        <f t="shared" si="8"/>
        <v>1</v>
      </c>
      <c r="H29" s="1128"/>
      <c r="I29" s="313">
        <f t="shared" si="9"/>
        <v>1</v>
      </c>
      <c r="J29" s="1128"/>
      <c r="K29" s="313">
        <f t="shared" si="10"/>
        <v>1</v>
      </c>
      <c r="L29" s="1128"/>
      <c r="M29" s="313">
        <f t="shared" si="11"/>
        <v>1</v>
      </c>
      <c r="N29" s="1128"/>
      <c r="O29" s="313">
        <f t="shared" si="12"/>
        <v>1</v>
      </c>
      <c r="P29" s="1128"/>
      <c r="Q29" s="313">
        <f t="shared" si="13"/>
        <v>1</v>
      </c>
      <c r="R29" s="1124">
        <f t="shared" ca="1" si="14"/>
        <v>4704</v>
      </c>
      <c r="S29" s="698">
        <f t="shared" ca="1" si="5"/>
        <v>42</v>
      </c>
    </row>
    <row r="30" spans="1:45">
      <c r="A30" s="1126" t="str">
        <f>面积及价值汇总!E10</f>
        <v>DK1-1-11906</v>
      </c>
      <c r="B30" s="1126">
        <f>面积及价值汇总!F10</f>
        <v>95.43</v>
      </c>
      <c r="C30" s="313">
        <f t="shared" si="6"/>
        <v>1</v>
      </c>
      <c r="D30" s="1128"/>
      <c r="E30" s="313">
        <f t="shared" si="7"/>
        <v>1</v>
      </c>
      <c r="F30" s="1128"/>
      <c r="G30" s="313">
        <f t="shared" si="8"/>
        <v>1</v>
      </c>
      <c r="H30" s="1128"/>
      <c r="I30" s="313">
        <f t="shared" si="9"/>
        <v>1</v>
      </c>
      <c r="J30" s="1128"/>
      <c r="K30" s="313">
        <f t="shared" si="10"/>
        <v>1</v>
      </c>
      <c r="L30" s="1128"/>
      <c r="M30" s="313">
        <f t="shared" si="11"/>
        <v>1</v>
      </c>
      <c r="N30" s="1128"/>
      <c r="O30" s="313">
        <f t="shared" si="12"/>
        <v>1</v>
      </c>
      <c r="P30" s="1128"/>
      <c r="Q30" s="313">
        <f t="shared" si="13"/>
        <v>1</v>
      </c>
      <c r="R30" s="1124">
        <f t="shared" ca="1" si="14"/>
        <v>4704</v>
      </c>
      <c r="S30" s="698">
        <f t="shared" ca="1" si="5"/>
        <v>45</v>
      </c>
    </row>
    <row r="31" spans="1:45">
      <c r="A31" s="1126" t="str">
        <f>面积及价值汇总!E11</f>
        <v>DK1-1-12101</v>
      </c>
      <c r="B31" s="1126">
        <f>面积及价值汇总!F11</f>
        <v>95.43</v>
      </c>
      <c r="C31" s="313">
        <f t="shared" si="6"/>
        <v>1</v>
      </c>
      <c r="D31" s="1128"/>
      <c r="E31" s="313">
        <f t="shared" si="7"/>
        <v>1</v>
      </c>
      <c r="F31" s="1128"/>
      <c r="G31" s="313">
        <f t="shared" si="8"/>
        <v>1</v>
      </c>
      <c r="H31" s="1128"/>
      <c r="I31" s="313">
        <f t="shared" si="9"/>
        <v>1</v>
      </c>
      <c r="J31" s="1128"/>
      <c r="K31" s="313">
        <f t="shared" si="10"/>
        <v>1</v>
      </c>
      <c r="L31" s="1128"/>
      <c r="M31" s="313">
        <f t="shared" si="11"/>
        <v>1</v>
      </c>
      <c r="N31" s="1128"/>
      <c r="O31" s="313">
        <f t="shared" si="12"/>
        <v>1</v>
      </c>
      <c r="P31" s="1128"/>
      <c r="Q31" s="313">
        <f t="shared" si="13"/>
        <v>1</v>
      </c>
      <c r="R31" s="1124">
        <f t="shared" ca="1" si="14"/>
        <v>4704</v>
      </c>
      <c r="S31" s="698">
        <f t="shared" ca="1" si="5"/>
        <v>45</v>
      </c>
    </row>
    <row r="32" spans="1:45">
      <c r="A32" s="1126" t="str">
        <f>面积及价值汇总!E12</f>
        <v>DK1-1-12305</v>
      </c>
      <c r="B32" s="1126">
        <f>面积及价值汇总!F12</f>
        <v>89.98</v>
      </c>
      <c r="C32" s="313">
        <f t="shared" si="6"/>
        <v>1</v>
      </c>
      <c r="D32" s="1128"/>
      <c r="E32" s="313">
        <f t="shared" si="7"/>
        <v>1</v>
      </c>
      <c r="F32" s="1128"/>
      <c r="G32" s="313">
        <f t="shared" si="8"/>
        <v>1</v>
      </c>
      <c r="H32" s="1128"/>
      <c r="I32" s="313">
        <f t="shared" si="9"/>
        <v>1</v>
      </c>
      <c r="J32" s="1128"/>
      <c r="K32" s="313">
        <f t="shared" si="10"/>
        <v>1</v>
      </c>
      <c r="L32" s="1128"/>
      <c r="M32" s="313">
        <f t="shared" si="11"/>
        <v>1</v>
      </c>
      <c r="N32" s="1128"/>
      <c r="O32" s="313">
        <f t="shared" si="12"/>
        <v>1</v>
      </c>
      <c r="P32" s="1128"/>
      <c r="Q32" s="313">
        <f t="shared" si="13"/>
        <v>1</v>
      </c>
      <c r="R32" s="1124">
        <f t="shared" ca="1" si="14"/>
        <v>4704</v>
      </c>
      <c r="S32" s="698">
        <f t="shared" ca="1" si="5"/>
        <v>42</v>
      </c>
    </row>
    <row r="33" spans="1:19">
      <c r="A33" s="1126" t="str">
        <f>面积及价值汇总!E13</f>
        <v>DK1-1-12405</v>
      </c>
      <c r="B33" s="1126">
        <f>面积及价值汇总!F13</f>
        <v>89.98</v>
      </c>
      <c r="C33" s="313">
        <f t="shared" si="6"/>
        <v>1</v>
      </c>
      <c r="D33" s="1128"/>
      <c r="E33" s="313">
        <f t="shared" si="7"/>
        <v>1</v>
      </c>
      <c r="F33" s="1128"/>
      <c r="G33" s="313">
        <f t="shared" si="8"/>
        <v>1</v>
      </c>
      <c r="H33" s="1128"/>
      <c r="I33" s="313">
        <f t="shared" si="9"/>
        <v>1</v>
      </c>
      <c r="J33" s="1128"/>
      <c r="K33" s="313">
        <f t="shared" si="10"/>
        <v>1</v>
      </c>
      <c r="L33" s="1128"/>
      <c r="M33" s="313">
        <f t="shared" si="11"/>
        <v>1</v>
      </c>
      <c r="N33" s="1128"/>
      <c r="O33" s="313">
        <f t="shared" si="12"/>
        <v>1</v>
      </c>
      <c r="P33" s="1128"/>
      <c r="Q33" s="313">
        <f t="shared" si="13"/>
        <v>1</v>
      </c>
      <c r="R33" s="1124">
        <f t="shared" ca="1" si="14"/>
        <v>4704</v>
      </c>
      <c r="S33" s="698">
        <f t="shared" ca="1" si="5"/>
        <v>42</v>
      </c>
    </row>
    <row r="34" spans="1:19">
      <c r="A34" s="1126" t="str">
        <f>面积及价值汇总!E14</f>
        <v>DK1-1-12605</v>
      </c>
      <c r="B34" s="1126">
        <f>面积及价值汇总!F14</f>
        <v>89.98</v>
      </c>
      <c r="C34" s="313">
        <f t="shared" si="6"/>
        <v>1</v>
      </c>
      <c r="D34" s="1128"/>
      <c r="E34" s="313">
        <f t="shared" si="7"/>
        <v>1</v>
      </c>
      <c r="F34" s="1128"/>
      <c r="G34" s="313">
        <f t="shared" si="8"/>
        <v>1</v>
      </c>
      <c r="H34" s="1128"/>
      <c r="I34" s="313">
        <f t="shared" si="9"/>
        <v>1</v>
      </c>
      <c r="J34" s="1128"/>
      <c r="K34" s="313">
        <f t="shared" si="10"/>
        <v>1</v>
      </c>
      <c r="L34" s="1128"/>
      <c r="M34" s="313">
        <f t="shared" si="11"/>
        <v>1</v>
      </c>
      <c r="N34" s="1128"/>
      <c r="O34" s="313">
        <f t="shared" si="12"/>
        <v>1</v>
      </c>
      <c r="P34" s="1128"/>
      <c r="Q34" s="313">
        <f t="shared" si="13"/>
        <v>1</v>
      </c>
      <c r="R34" s="1124">
        <f t="shared" ca="1" si="14"/>
        <v>4704</v>
      </c>
      <c r="S34" s="698">
        <f t="shared" ca="1" si="5"/>
        <v>42</v>
      </c>
    </row>
    <row r="35" spans="1:19">
      <c r="A35" s="1126" t="str">
        <f>面积及价值汇总!E15</f>
        <v>DK1-1-12704</v>
      </c>
      <c r="B35" s="1126">
        <f>面积及价值汇总!F15</f>
        <v>91.85</v>
      </c>
      <c r="C35" s="313">
        <f t="shared" si="6"/>
        <v>1</v>
      </c>
      <c r="D35" s="1128"/>
      <c r="E35" s="313">
        <f t="shared" si="7"/>
        <v>1</v>
      </c>
      <c r="F35" s="1128"/>
      <c r="G35" s="313">
        <f t="shared" si="8"/>
        <v>1</v>
      </c>
      <c r="H35" s="1128"/>
      <c r="I35" s="313">
        <f t="shared" si="9"/>
        <v>1</v>
      </c>
      <c r="J35" s="1128"/>
      <c r="K35" s="313">
        <f t="shared" si="10"/>
        <v>1</v>
      </c>
      <c r="L35" s="1128"/>
      <c r="M35" s="313">
        <f t="shared" si="11"/>
        <v>1</v>
      </c>
      <c r="N35" s="1128"/>
      <c r="O35" s="313">
        <f t="shared" si="12"/>
        <v>1</v>
      </c>
      <c r="P35" s="1128"/>
      <c r="Q35" s="313">
        <f t="shared" si="13"/>
        <v>1</v>
      </c>
      <c r="R35" s="1124">
        <f t="shared" ca="1" si="14"/>
        <v>4704</v>
      </c>
      <c r="S35" s="698">
        <f t="shared" ca="1" si="5"/>
        <v>43</v>
      </c>
    </row>
    <row r="36" spans="1:19">
      <c r="A36" s="1126" t="str">
        <f>面积及价值汇总!E16</f>
        <v>DK1-1-12806</v>
      </c>
      <c r="B36" s="1126">
        <f>面积及价值汇总!F16</f>
        <v>95.73</v>
      </c>
      <c r="C36" s="313">
        <f t="shared" si="6"/>
        <v>1</v>
      </c>
      <c r="D36" s="1128"/>
      <c r="E36" s="313">
        <f t="shared" si="7"/>
        <v>1</v>
      </c>
      <c r="F36" s="1128"/>
      <c r="G36" s="313">
        <f t="shared" si="8"/>
        <v>1</v>
      </c>
      <c r="H36" s="1128"/>
      <c r="I36" s="313">
        <f t="shared" si="9"/>
        <v>1</v>
      </c>
      <c r="J36" s="1128"/>
      <c r="K36" s="313">
        <f t="shared" si="10"/>
        <v>1</v>
      </c>
      <c r="L36" s="1128"/>
      <c r="M36" s="313">
        <f t="shared" si="11"/>
        <v>1</v>
      </c>
      <c r="N36" s="1128"/>
      <c r="O36" s="313">
        <f t="shared" si="12"/>
        <v>1</v>
      </c>
      <c r="P36" s="1128"/>
      <c r="Q36" s="313">
        <f t="shared" si="13"/>
        <v>1</v>
      </c>
      <c r="R36" s="1124">
        <f t="shared" ca="1" si="14"/>
        <v>4704</v>
      </c>
      <c r="S36" s="698">
        <f t="shared" ca="1" si="5"/>
        <v>45</v>
      </c>
    </row>
    <row r="37" spans="1:19">
      <c r="A37" s="1126" t="str">
        <f>面积及价值汇总!E17</f>
        <v>DK1-1-13206</v>
      </c>
      <c r="B37" s="1126">
        <f>面积及价值汇总!F17</f>
        <v>95.73</v>
      </c>
      <c r="C37" s="313">
        <f t="shared" si="6"/>
        <v>1</v>
      </c>
      <c r="D37" s="1128"/>
      <c r="E37" s="313">
        <f t="shared" si="7"/>
        <v>1</v>
      </c>
      <c r="F37" s="1128"/>
      <c r="G37" s="313">
        <f t="shared" si="8"/>
        <v>1</v>
      </c>
      <c r="H37" s="1128"/>
      <c r="I37" s="313">
        <f t="shared" si="9"/>
        <v>1</v>
      </c>
      <c r="J37" s="1128"/>
      <c r="K37" s="313">
        <f t="shared" si="10"/>
        <v>1</v>
      </c>
      <c r="L37" s="1128"/>
      <c r="M37" s="313">
        <f t="shared" si="11"/>
        <v>1</v>
      </c>
      <c r="N37" s="1128"/>
      <c r="O37" s="313">
        <f t="shared" si="12"/>
        <v>1</v>
      </c>
      <c r="P37" s="1128"/>
      <c r="Q37" s="313">
        <f t="shared" si="13"/>
        <v>1</v>
      </c>
      <c r="R37" s="1124">
        <f t="shared" ca="1" si="14"/>
        <v>4704</v>
      </c>
      <c r="S37" s="698">
        <f t="shared" ca="1" si="5"/>
        <v>45</v>
      </c>
    </row>
    <row r="38" spans="1:19">
      <c r="A38" s="1126" t="str">
        <f>面积及价值汇总!E18</f>
        <v>DK1-1-13302</v>
      </c>
      <c r="B38" s="1126">
        <f>面积及价值汇总!F18</f>
        <v>89.98</v>
      </c>
      <c r="C38" s="313">
        <f t="shared" si="6"/>
        <v>1</v>
      </c>
      <c r="D38" s="1128"/>
      <c r="E38" s="313">
        <f t="shared" si="7"/>
        <v>1</v>
      </c>
      <c r="F38" s="1128"/>
      <c r="G38" s="313">
        <f t="shared" si="8"/>
        <v>1</v>
      </c>
      <c r="H38" s="1128"/>
      <c r="I38" s="313">
        <f t="shared" si="9"/>
        <v>1</v>
      </c>
      <c r="J38" s="1128"/>
      <c r="K38" s="313">
        <f t="shared" si="10"/>
        <v>1</v>
      </c>
      <c r="L38" s="1128"/>
      <c r="M38" s="313">
        <f t="shared" si="11"/>
        <v>1</v>
      </c>
      <c r="N38" s="1128"/>
      <c r="O38" s="313">
        <f t="shared" si="12"/>
        <v>1</v>
      </c>
      <c r="P38" s="1128"/>
      <c r="Q38" s="313">
        <f t="shared" si="13"/>
        <v>1</v>
      </c>
      <c r="R38" s="1124">
        <f t="shared" ca="1" si="14"/>
        <v>4704</v>
      </c>
      <c r="S38" s="698">
        <f t="shared" ca="1" si="5"/>
        <v>42</v>
      </c>
    </row>
    <row r="39" spans="1:19">
      <c r="A39" s="1126" t="str">
        <f>面积及价值汇总!E19</f>
        <v>DK1-1-13303</v>
      </c>
      <c r="B39" s="1126">
        <f>面积及价值汇总!F19</f>
        <v>91.85</v>
      </c>
      <c r="C39" s="313">
        <f t="shared" si="6"/>
        <v>1</v>
      </c>
      <c r="D39" s="1128"/>
      <c r="E39" s="313">
        <f t="shared" si="7"/>
        <v>1</v>
      </c>
      <c r="F39" s="1128"/>
      <c r="G39" s="313">
        <f t="shared" si="8"/>
        <v>1</v>
      </c>
      <c r="H39" s="1128"/>
      <c r="I39" s="313">
        <f t="shared" si="9"/>
        <v>1</v>
      </c>
      <c r="J39" s="1128"/>
      <c r="K39" s="313">
        <f t="shared" si="10"/>
        <v>1</v>
      </c>
      <c r="L39" s="1128"/>
      <c r="M39" s="313">
        <f t="shared" si="11"/>
        <v>1</v>
      </c>
      <c r="N39" s="1128"/>
      <c r="O39" s="313">
        <f t="shared" si="12"/>
        <v>1</v>
      </c>
      <c r="P39" s="1128"/>
      <c r="Q39" s="313">
        <f t="shared" si="13"/>
        <v>1</v>
      </c>
      <c r="R39" s="1124">
        <f t="shared" ca="1" si="14"/>
        <v>4704</v>
      </c>
      <c r="S39" s="698">
        <f t="shared" ca="1" si="5"/>
        <v>43</v>
      </c>
    </row>
    <row r="40" spans="1:19">
      <c r="A40" s="1126" t="str">
        <f>面积及价值汇总!E20</f>
        <v>DK1-2-10304</v>
      </c>
      <c r="B40" s="1126">
        <f>面积及价值汇总!F20</f>
        <v>91.05</v>
      </c>
      <c r="C40" s="313">
        <f t="shared" si="6"/>
        <v>1</v>
      </c>
      <c r="D40" s="1128"/>
      <c r="E40" s="313">
        <f t="shared" si="7"/>
        <v>1</v>
      </c>
      <c r="F40" s="1128"/>
      <c r="G40" s="313">
        <f t="shared" si="8"/>
        <v>1</v>
      </c>
      <c r="H40" s="1128"/>
      <c r="I40" s="313">
        <f t="shared" si="9"/>
        <v>1</v>
      </c>
      <c r="J40" s="1128"/>
      <c r="K40" s="313">
        <f t="shared" si="10"/>
        <v>1</v>
      </c>
      <c r="L40" s="1128"/>
      <c r="M40" s="313">
        <f t="shared" si="11"/>
        <v>1</v>
      </c>
      <c r="N40" s="1128"/>
      <c r="O40" s="313">
        <f t="shared" si="12"/>
        <v>1</v>
      </c>
      <c r="P40" s="1128"/>
      <c r="Q40" s="313">
        <f t="shared" si="13"/>
        <v>1</v>
      </c>
      <c r="R40" s="1124">
        <f t="shared" ca="1" si="14"/>
        <v>4704</v>
      </c>
      <c r="S40" s="698">
        <f t="shared" ca="1" si="5"/>
        <v>43</v>
      </c>
    </row>
    <row r="41" spans="1:19">
      <c r="A41" s="1126" t="str">
        <f>面积及价值汇总!E21</f>
        <v>DK1-2-11805</v>
      </c>
      <c r="B41" s="1126">
        <f>面积及价值汇总!F21</f>
        <v>89.93</v>
      </c>
      <c r="C41" s="313">
        <f t="shared" si="6"/>
        <v>1</v>
      </c>
      <c r="D41" s="1128"/>
      <c r="E41" s="313">
        <f t="shared" si="7"/>
        <v>1</v>
      </c>
      <c r="F41" s="1128"/>
      <c r="G41" s="313">
        <f t="shared" si="8"/>
        <v>1</v>
      </c>
      <c r="H41" s="1128"/>
      <c r="I41" s="313">
        <f t="shared" si="9"/>
        <v>1</v>
      </c>
      <c r="J41" s="1128"/>
      <c r="K41" s="313">
        <f t="shared" si="10"/>
        <v>1</v>
      </c>
      <c r="L41" s="1128"/>
      <c r="M41" s="313">
        <f t="shared" si="11"/>
        <v>1</v>
      </c>
      <c r="N41" s="1128"/>
      <c r="O41" s="313">
        <f t="shared" si="12"/>
        <v>1</v>
      </c>
      <c r="P41" s="1128"/>
      <c r="Q41" s="313">
        <f t="shared" si="13"/>
        <v>1</v>
      </c>
      <c r="R41" s="1124">
        <f t="shared" ca="1" si="14"/>
        <v>4704</v>
      </c>
      <c r="S41" s="698">
        <f t="shared" ca="1" si="5"/>
        <v>42</v>
      </c>
    </row>
    <row r="42" spans="1:19">
      <c r="A42" s="1126"/>
      <c r="B42" s="1126"/>
      <c r="C42" s="313">
        <f t="shared" si="6"/>
        <v>1</v>
      </c>
      <c r="D42" s="1128"/>
      <c r="E42" s="313">
        <f t="shared" si="7"/>
        <v>1</v>
      </c>
      <c r="F42" s="1128"/>
      <c r="G42" s="313">
        <f t="shared" si="8"/>
        <v>1</v>
      </c>
      <c r="H42" s="1128"/>
      <c r="I42" s="313">
        <f t="shared" si="9"/>
        <v>1</v>
      </c>
      <c r="J42" s="1128"/>
      <c r="K42" s="313">
        <f t="shared" si="10"/>
        <v>1</v>
      </c>
      <c r="L42" s="1128"/>
      <c r="M42" s="313">
        <f t="shared" si="11"/>
        <v>1</v>
      </c>
      <c r="N42" s="1128"/>
      <c r="O42" s="313">
        <f t="shared" si="12"/>
        <v>1</v>
      </c>
      <c r="P42" s="1128"/>
      <c r="Q42" s="313">
        <f t="shared" si="13"/>
        <v>1</v>
      </c>
      <c r="R42" s="1124">
        <f t="shared" si="14"/>
        <v>0</v>
      </c>
      <c r="S42" s="698">
        <f t="shared" si="5"/>
        <v>0</v>
      </c>
    </row>
    <row r="43" spans="1:19">
      <c r="A43" s="1126"/>
      <c r="B43" s="1126"/>
      <c r="C43" s="313">
        <f t="shared" si="6"/>
        <v>1</v>
      </c>
      <c r="D43" s="1128"/>
      <c r="E43" s="313">
        <f t="shared" si="7"/>
        <v>1</v>
      </c>
      <c r="F43" s="1128"/>
      <c r="G43" s="313">
        <f t="shared" si="8"/>
        <v>1</v>
      </c>
      <c r="H43" s="1128"/>
      <c r="I43" s="313">
        <f t="shared" si="9"/>
        <v>1</v>
      </c>
      <c r="J43" s="1128"/>
      <c r="K43" s="313">
        <f t="shared" si="10"/>
        <v>1</v>
      </c>
      <c r="L43" s="1128"/>
      <c r="M43" s="313">
        <f t="shared" si="11"/>
        <v>1</v>
      </c>
      <c r="N43" s="1128"/>
      <c r="O43" s="313">
        <f t="shared" si="12"/>
        <v>1</v>
      </c>
      <c r="P43" s="1128"/>
      <c r="Q43" s="313">
        <f t="shared" si="13"/>
        <v>1</v>
      </c>
      <c r="R43" s="1124">
        <f t="shared" si="14"/>
        <v>0</v>
      </c>
      <c r="S43" s="698">
        <f t="shared" si="5"/>
        <v>0</v>
      </c>
    </row>
    <row r="44" spans="1:19">
      <c r="A44" s="1126"/>
      <c r="B44" s="1126"/>
      <c r="C44" s="313">
        <f t="shared" si="6"/>
        <v>1</v>
      </c>
      <c r="D44" s="1128"/>
      <c r="E44" s="313">
        <f t="shared" si="7"/>
        <v>1</v>
      </c>
      <c r="F44" s="1128"/>
      <c r="G44" s="313">
        <f t="shared" si="8"/>
        <v>1</v>
      </c>
      <c r="H44" s="1128"/>
      <c r="I44" s="313">
        <f t="shared" si="9"/>
        <v>1</v>
      </c>
      <c r="J44" s="1128"/>
      <c r="K44" s="313">
        <f t="shared" si="10"/>
        <v>1</v>
      </c>
      <c r="L44" s="1128"/>
      <c r="M44" s="313">
        <f t="shared" si="11"/>
        <v>1</v>
      </c>
      <c r="N44" s="1128"/>
      <c r="O44" s="313">
        <f t="shared" si="12"/>
        <v>1</v>
      </c>
      <c r="P44" s="1128"/>
      <c r="Q44" s="313">
        <f t="shared" si="13"/>
        <v>1</v>
      </c>
      <c r="R44" s="1124">
        <f t="shared" si="14"/>
        <v>0</v>
      </c>
      <c r="S44" s="698">
        <f t="shared" si="5"/>
        <v>0</v>
      </c>
    </row>
    <row r="45" spans="1:19">
      <c r="A45" s="1126"/>
      <c r="B45" s="1126"/>
      <c r="C45" s="313">
        <f t="shared" si="6"/>
        <v>1</v>
      </c>
      <c r="D45" s="1128"/>
      <c r="E45" s="313">
        <f t="shared" si="7"/>
        <v>1</v>
      </c>
      <c r="F45" s="1128"/>
      <c r="G45" s="313">
        <f t="shared" si="8"/>
        <v>1</v>
      </c>
      <c r="H45" s="1128"/>
      <c r="I45" s="313">
        <f t="shared" si="9"/>
        <v>1</v>
      </c>
      <c r="J45" s="1128"/>
      <c r="K45" s="313">
        <f t="shared" si="10"/>
        <v>1</v>
      </c>
      <c r="L45" s="1128"/>
      <c r="M45" s="313">
        <f t="shared" si="11"/>
        <v>1</v>
      </c>
      <c r="N45" s="1128"/>
      <c r="O45" s="313">
        <f t="shared" si="12"/>
        <v>1</v>
      </c>
      <c r="P45" s="1128"/>
      <c r="Q45" s="313">
        <f t="shared" si="13"/>
        <v>1</v>
      </c>
      <c r="R45" s="1124">
        <f t="shared" si="14"/>
        <v>0</v>
      </c>
      <c r="S45" s="698">
        <f t="shared" si="5"/>
        <v>0</v>
      </c>
    </row>
    <row r="46" spans="1:19">
      <c r="A46" s="1126"/>
      <c r="B46" s="1126"/>
      <c r="C46" s="313">
        <f t="shared" si="6"/>
        <v>1</v>
      </c>
      <c r="D46" s="1128"/>
      <c r="E46" s="313">
        <f t="shared" si="7"/>
        <v>1</v>
      </c>
      <c r="F46" s="1128"/>
      <c r="G46" s="313">
        <f t="shared" si="8"/>
        <v>1</v>
      </c>
      <c r="H46" s="1128"/>
      <c r="I46" s="313">
        <f t="shared" si="9"/>
        <v>1</v>
      </c>
      <c r="J46" s="1128"/>
      <c r="K46" s="313">
        <f t="shared" si="10"/>
        <v>1</v>
      </c>
      <c r="L46" s="1128"/>
      <c r="M46" s="313">
        <f t="shared" si="11"/>
        <v>1</v>
      </c>
      <c r="N46" s="1128"/>
      <c r="O46" s="313">
        <f t="shared" si="12"/>
        <v>1</v>
      </c>
      <c r="P46" s="1128"/>
      <c r="Q46" s="313">
        <f t="shared" si="13"/>
        <v>1</v>
      </c>
      <c r="R46" s="1124">
        <f t="shared" si="14"/>
        <v>0</v>
      </c>
      <c r="S46" s="698">
        <f t="shared" si="5"/>
        <v>0</v>
      </c>
    </row>
    <row r="47" spans="1:19">
      <c r="A47" s="1126"/>
      <c r="B47" s="1126"/>
      <c r="C47" s="313">
        <f t="shared" si="6"/>
        <v>1</v>
      </c>
      <c r="D47" s="1128"/>
      <c r="E47" s="313">
        <f t="shared" si="7"/>
        <v>1</v>
      </c>
      <c r="F47" s="1128"/>
      <c r="G47" s="313">
        <f t="shared" si="8"/>
        <v>1</v>
      </c>
      <c r="H47" s="1128"/>
      <c r="I47" s="313">
        <f t="shared" si="9"/>
        <v>1</v>
      </c>
      <c r="J47" s="1128"/>
      <c r="K47" s="313">
        <f t="shared" si="10"/>
        <v>1</v>
      </c>
      <c r="L47" s="1128"/>
      <c r="M47" s="313">
        <f t="shared" si="11"/>
        <v>1</v>
      </c>
      <c r="N47" s="1128"/>
      <c r="O47" s="313">
        <f t="shared" si="12"/>
        <v>1</v>
      </c>
      <c r="P47" s="1128"/>
      <c r="Q47" s="313">
        <f t="shared" si="13"/>
        <v>1</v>
      </c>
      <c r="R47" s="1124">
        <f t="shared" si="14"/>
        <v>0</v>
      </c>
      <c r="S47" s="698">
        <f t="shared" si="5"/>
        <v>0</v>
      </c>
    </row>
    <row r="48" spans="1:19">
      <c r="A48" s="1126"/>
      <c r="B48" s="1126"/>
      <c r="C48" s="313">
        <f t="shared" si="6"/>
        <v>1</v>
      </c>
      <c r="D48" s="1128"/>
      <c r="E48" s="313">
        <f t="shared" si="7"/>
        <v>1</v>
      </c>
      <c r="F48" s="1128"/>
      <c r="G48" s="313">
        <f t="shared" si="8"/>
        <v>1</v>
      </c>
      <c r="H48" s="1128"/>
      <c r="I48" s="313">
        <f t="shared" si="9"/>
        <v>1</v>
      </c>
      <c r="J48" s="1128"/>
      <c r="K48" s="313">
        <f t="shared" si="10"/>
        <v>1</v>
      </c>
      <c r="L48" s="1128"/>
      <c r="M48" s="313">
        <f t="shared" si="11"/>
        <v>1</v>
      </c>
      <c r="N48" s="1128"/>
      <c r="O48" s="313">
        <f t="shared" si="12"/>
        <v>1</v>
      </c>
      <c r="P48" s="1128"/>
      <c r="Q48" s="313">
        <f t="shared" si="13"/>
        <v>1</v>
      </c>
      <c r="R48" s="1124">
        <f t="shared" si="14"/>
        <v>0</v>
      </c>
      <c r="S48" s="698">
        <f t="shared" si="5"/>
        <v>0</v>
      </c>
    </row>
    <row r="49" spans="1:19">
      <c r="A49" s="1126"/>
      <c r="B49" s="1126"/>
      <c r="C49" s="313">
        <f t="shared" si="6"/>
        <v>1</v>
      </c>
      <c r="D49" s="1128"/>
      <c r="E49" s="313">
        <f t="shared" si="7"/>
        <v>1</v>
      </c>
      <c r="F49" s="1128"/>
      <c r="G49" s="313">
        <f t="shared" si="8"/>
        <v>1</v>
      </c>
      <c r="H49" s="1128"/>
      <c r="I49" s="313">
        <f t="shared" si="9"/>
        <v>1</v>
      </c>
      <c r="J49" s="1128"/>
      <c r="K49" s="313">
        <f t="shared" si="10"/>
        <v>1</v>
      </c>
      <c r="L49" s="1128"/>
      <c r="M49" s="313">
        <f t="shared" si="11"/>
        <v>1</v>
      </c>
      <c r="N49" s="1128"/>
      <c r="O49" s="313">
        <f t="shared" si="12"/>
        <v>1</v>
      </c>
      <c r="P49" s="1128"/>
      <c r="Q49" s="313">
        <f t="shared" si="13"/>
        <v>1</v>
      </c>
      <c r="R49" s="1124">
        <f t="shared" si="14"/>
        <v>0</v>
      </c>
      <c r="S49" s="698">
        <f t="shared" si="5"/>
        <v>0</v>
      </c>
    </row>
    <row r="50" spans="1:19">
      <c r="A50" s="1126"/>
      <c r="B50" s="1126"/>
      <c r="C50" s="313">
        <f t="shared" si="6"/>
        <v>1</v>
      </c>
      <c r="D50" s="1128"/>
      <c r="E50" s="313">
        <f t="shared" si="7"/>
        <v>1</v>
      </c>
      <c r="F50" s="1128"/>
      <c r="G50" s="313">
        <f t="shared" si="8"/>
        <v>1</v>
      </c>
      <c r="H50" s="1128"/>
      <c r="I50" s="313">
        <f t="shared" si="9"/>
        <v>1</v>
      </c>
      <c r="J50" s="1128"/>
      <c r="K50" s="313">
        <f t="shared" si="10"/>
        <v>1</v>
      </c>
      <c r="L50" s="1128"/>
      <c r="M50" s="313">
        <f t="shared" si="11"/>
        <v>1</v>
      </c>
      <c r="N50" s="1128"/>
      <c r="O50" s="313">
        <f t="shared" si="12"/>
        <v>1</v>
      </c>
      <c r="P50" s="1128"/>
      <c r="Q50" s="313">
        <f t="shared" si="13"/>
        <v>1</v>
      </c>
      <c r="R50" s="1124">
        <f t="shared" si="14"/>
        <v>0</v>
      </c>
      <c r="S50" s="698">
        <f t="shared" si="5"/>
        <v>0</v>
      </c>
    </row>
    <row r="51" spans="1:19">
      <c r="A51" s="1126"/>
      <c r="B51" s="1126"/>
      <c r="C51" s="313">
        <f t="shared" si="6"/>
        <v>1</v>
      </c>
      <c r="D51" s="1128"/>
      <c r="E51" s="313">
        <f t="shared" si="7"/>
        <v>1</v>
      </c>
      <c r="F51" s="1128"/>
      <c r="G51" s="313">
        <f t="shared" si="8"/>
        <v>1</v>
      </c>
      <c r="H51" s="1128"/>
      <c r="I51" s="313">
        <f t="shared" si="9"/>
        <v>1</v>
      </c>
      <c r="J51" s="1128"/>
      <c r="K51" s="313">
        <f t="shared" si="10"/>
        <v>1</v>
      </c>
      <c r="L51" s="1128"/>
      <c r="M51" s="313">
        <f t="shared" si="11"/>
        <v>1</v>
      </c>
      <c r="N51" s="1128"/>
      <c r="O51" s="313">
        <f t="shared" si="12"/>
        <v>1</v>
      </c>
      <c r="P51" s="1128"/>
      <c r="Q51" s="313">
        <f t="shared" si="13"/>
        <v>1</v>
      </c>
      <c r="R51" s="1124">
        <f t="shared" si="14"/>
        <v>0</v>
      </c>
      <c r="S51" s="698">
        <f t="shared" si="5"/>
        <v>0</v>
      </c>
    </row>
    <row r="52" spans="1:19">
      <c r="A52" s="1126"/>
      <c r="B52" s="1126"/>
      <c r="C52" s="313">
        <f t="shared" si="6"/>
        <v>1</v>
      </c>
      <c r="D52" s="1128"/>
      <c r="E52" s="313">
        <f t="shared" si="7"/>
        <v>1</v>
      </c>
      <c r="F52" s="1128"/>
      <c r="G52" s="313">
        <f t="shared" si="8"/>
        <v>1</v>
      </c>
      <c r="H52" s="1128"/>
      <c r="I52" s="313">
        <f t="shared" si="9"/>
        <v>1</v>
      </c>
      <c r="J52" s="1128"/>
      <c r="K52" s="313">
        <f t="shared" si="10"/>
        <v>1</v>
      </c>
      <c r="L52" s="1128"/>
      <c r="M52" s="313">
        <f t="shared" si="11"/>
        <v>1</v>
      </c>
      <c r="N52" s="1128"/>
      <c r="O52" s="313">
        <f t="shared" si="12"/>
        <v>1</v>
      </c>
      <c r="P52" s="1128"/>
      <c r="Q52" s="313">
        <f t="shared" si="13"/>
        <v>1</v>
      </c>
      <c r="R52" s="1124">
        <f t="shared" si="14"/>
        <v>0</v>
      </c>
      <c r="S52" s="698">
        <f t="shared" si="5"/>
        <v>0</v>
      </c>
    </row>
    <row r="53" spans="1:19">
      <c r="A53" s="1126"/>
      <c r="B53" s="1126"/>
      <c r="C53" s="313">
        <f t="shared" si="6"/>
        <v>1</v>
      </c>
      <c r="D53" s="1128"/>
      <c r="E53" s="313">
        <f t="shared" si="7"/>
        <v>1</v>
      </c>
      <c r="F53" s="1128"/>
      <c r="G53" s="313">
        <f t="shared" si="8"/>
        <v>1</v>
      </c>
      <c r="H53" s="1128"/>
      <c r="I53" s="313">
        <f t="shared" si="9"/>
        <v>1</v>
      </c>
      <c r="J53" s="1128"/>
      <c r="K53" s="313">
        <f t="shared" si="10"/>
        <v>1</v>
      </c>
      <c r="L53" s="1128"/>
      <c r="M53" s="313">
        <f t="shared" si="11"/>
        <v>1</v>
      </c>
      <c r="N53" s="1128"/>
      <c r="O53" s="313">
        <f t="shared" si="12"/>
        <v>1</v>
      </c>
      <c r="P53" s="1128"/>
      <c r="Q53" s="313">
        <f t="shared" si="13"/>
        <v>1</v>
      </c>
      <c r="R53" s="1124">
        <f t="shared" si="14"/>
        <v>0</v>
      </c>
      <c r="S53" s="698">
        <f t="shared" si="5"/>
        <v>0</v>
      </c>
    </row>
    <row r="54" spans="1:19">
      <c r="A54" s="1126"/>
      <c r="B54" s="1126"/>
      <c r="C54" s="313">
        <f t="shared" si="6"/>
        <v>1</v>
      </c>
      <c r="D54" s="1128"/>
      <c r="E54" s="313">
        <f t="shared" si="7"/>
        <v>1</v>
      </c>
      <c r="F54" s="1128"/>
      <c r="G54" s="313">
        <f t="shared" si="8"/>
        <v>1</v>
      </c>
      <c r="H54" s="1128"/>
      <c r="I54" s="313">
        <f t="shared" si="9"/>
        <v>1</v>
      </c>
      <c r="J54" s="1128"/>
      <c r="K54" s="313">
        <f t="shared" si="10"/>
        <v>1</v>
      </c>
      <c r="L54" s="1128"/>
      <c r="M54" s="313">
        <f t="shared" si="11"/>
        <v>1</v>
      </c>
      <c r="N54" s="1128"/>
      <c r="O54" s="313">
        <f t="shared" si="12"/>
        <v>1</v>
      </c>
      <c r="P54" s="1128"/>
      <c r="Q54" s="313">
        <f t="shared" si="13"/>
        <v>1</v>
      </c>
      <c r="R54" s="1124">
        <f t="shared" si="14"/>
        <v>0</v>
      </c>
      <c r="S54" s="698">
        <f t="shared" si="5"/>
        <v>0</v>
      </c>
    </row>
    <row r="55" spans="1:19">
      <c r="A55" s="1126"/>
      <c r="B55" s="1126"/>
      <c r="C55" s="313">
        <f t="shared" si="6"/>
        <v>1</v>
      </c>
      <c r="D55" s="1128"/>
      <c r="E55" s="313">
        <f t="shared" si="7"/>
        <v>1</v>
      </c>
      <c r="F55" s="1128"/>
      <c r="G55" s="313">
        <f t="shared" si="8"/>
        <v>1</v>
      </c>
      <c r="H55" s="1128"/>
      <c r="I55" s="313">
        <f t="shared" si="9"/>
        <v>1</v>
      </c>
      <c r="J55" s="1128"/>
      <c r="K55" s="313">
        <f t="shared" si="10"/>
        <v>1</v>
      </c>
      <c r="L55" s="1128"/>
      <c r="M55" s="313">
        <f t="shared" si="11"/>
        <v>1</v>
      </c>
      <c r="N55" s="1128"/>
      <c r="O55" s="313">
        <f t="shared" si="12"/>
        <v>1</v>
      </c>
      <c r="P55" s="1128"/>
      <c r="Q55" s="313">
        <f t="shared" si="13"/>
        <v>1</v>
      </c>
      <c r="R55" s="1124">
        <f t="shared" si="14"/>
        <v>0</v>
      </c>
      <c r="S55" s="698">
        <f t="shared" si="5"/>
        <v>0</v>
      </c>
    </row>
    <row r="56" spans="1:19">
      <c r="A56" s="1126"/>
      <c r="B56" s="1126"/>
      <c r="C56" s="313">
        <f t="shared" si="6"/>
        <v>1</v>
      </c>
      <c r="D56" s="1128"/>
      <c r="E56" s="313">
        <f t="shared" si="7"/>
        <v>1</v>
      </c>
      <c r="F56" s="1128"/>
      <c r="G56" s="313">
        <f t="shared" si="8"/>
        <v>1</v>
      </c>
      <c r="H56" s="1128"/>
      <c r="I56" s="313">
        <f t="shared" si="9"/>
        <v>1</v>
      </c>
      <c r="J56" s="1128"/>
      <c r="K56" s="313">
        <f t="shared" si="10"/>
        <v>1</v>
      </c>
      <c r="L56" s="1128"/>
      <c r="M56" s="313">
        <f t="shared" si="11"/>
        <v>1</v>
      </c>
      <c r="N56" s="1128"/>
      <c r="O56" s="313">
        <f t="shared" si="12"/>
        <v>1</v>
      </c>
      <c r="P56" s="1128"/>
      <c r="Q56" s="313">
        <f t="shared" si="13"/>
        <v>1</v>
      </c>
      <c r="R56" s="1124">
        <f t="shared" si="14"/>
        <v>0</v>
      </c>
      <c r="S56" s="698">
        <f t="shared" si="5"/>
        <v>0</v>
      </c>
    </row>
    <row r="57" spans="1:19">
      <c r="A57" s="1126"/>
      <c r="B57" s="1126"/>
      <c r="C57" s="313">
        <f t="shared" si="6"/>
        <v>1</v>
      </c>
      <c r="D57" s="1128"/>
      <c r="E57" s="313">
        <f t="shared" si="7"/>
        <v>1</v>
      </c>
      <c r="F57" s="1128"/>
      <c r="G57" s="313">
        <f t="shared" si="8"/>
        <v>1</v>
      </c>
      <c r="H57" s="1128"/>
      <c r="I57" s="313">
        <f t="shared" si="9"/>
        <v>1</v>
      </c>
      <c r="J57" s="1128"/>
      <c r="K57" s="313">
        <f t="shared" si="10"/>
        <v>1</v>
      </c>
      <c r="L57" s="1128"/>
      <c r="M57" s="313">
        <f t="shared" si="11"/>
        <v>1</v>
      </c>
      <c r="N57" s="1128"/>
      <c r="O57" s="313">
        <f t="shared" si="12"/>
        <v>1</v>
      </c>
      <c r="P57" s="1128"/>
      <c r="Q57" s="313">
        <f t="shared" si="13"/>
        <v>1</v>
      </c>
      <c r="R57" s="1124">
        <f t="shared" si="14"/>
        <v>0</v>
      </c>
      <c r="S57" s="698">
        <f t="shared" si="5"/>
        <v>0</v>
      </c>
    </row>
    <row r="58" spans="1:19">
      <c r="A58" s="1126"/>
      <c r="B58" s="1126"/>
      <c r="C58" s="313">
        <f t="shared" si="6"/>
        <v>1</v>
      </c>
      <c r="D58" s="1128"/>
      <c r="E58" s="313">
        <f t="shared" si="7"/>
        <v>1</v>
      </c>
      <c r="F58" s="1128"/>
      <c r="G58" s="313">
        <f t="shared" si="8"/>
        <v>1</v>
      </c>
      <c r="H58" s="1128"/>
      <c r="I58" s="313">
        <f t="shared" si="9"/>
        <v>1</v>
      </c>
      <c r="J58" s="1128"/>
      <c r="K58" s="313">
        <f t="shared" si="10"/>
        <v>1</v>
      </c>
      <c r="L58" s="1128"/>
      <c r="M58" s="313">
        <f t="shared" si="11"/>
        <v>1</v>
      </c>
      <c r="N58" s="1128"/>
      <c r="O58" s="313">
        <f t="shared" si="12"/>
        <v>1</v>
      </c>
      <c r="P58" s="1128"/>
      <c r="Q58" s="313">
        <f t="shared" si="13"/>
        <v>1</v>
      </c>
      <c r="R58" s="1124">
        <f t="shared" si="14"/>
        <v>0</v>
      </c>
      <c r="S58" s="698">
        <f t="shared" si="5"/>
        <v>0</v>
      </c>
    </row>
    <row r="59" spans="1:19">
      <c r="A59" s="1126"/>
      <c r="B59" s="1126"/>
      <c r="C59" s="313">
        <f t="shared" si="6"/>
        <v>1</v>
      </c>
      <c r="D59" s="1128"/>
      <c r="E59" s="313">
        <f t="shared" si="7"/>
        <v>1</v>
      </c>
      <c r="F59" s="1128"/>
      <c r="G59" s="313">
        <f t="shared" si="8"/>
        <v>1</v>
      </c>
      <c r="H59" s="1128"/>
      <c r="I59" s="313">
        <f t="shared" si="9"/>
        <v>1</v>
      </c>
      <c r="J59" s="1128"/>
      <c r="K59" s="313">
        <f t="shared" si="10"/>
        <v>1</v>
      </c>
      <c r="L59" s="1128"/>
      <c r="M59" s="313">
        <f t="shared" si="11"/>
        <v>1</v>
      </c>
      <c r="N59" s="1128"/>
      <c r="O59" s="313">
        <f t="shared" si="12"/>
        <v>1</v>
      </c>
      <c r="P59" s="1128"/>
      <c r="Q59" s="313">
        <f t="shared" si="13"/>
        <v>1</v>
      </c>
      <c r="R59" s="1124">
        <f t="shared" si="14"/>
        <v>0</v>
      </c>
      <c r="S59" s="698">
        <f t="shared" si="5"/>
        <v>0</v>
      </c>
    </row>
    <row r="60" spans="1:19">
      <c r="A60" s="1126"/>
      <c r="B60" s="1126"/>
      <c r="C60" s="313">
        <f t="shared" si="6"/>
        <v>1</v>
      </c>
      <c r="D60" s="1128"/>
      <c r="E60" s="313">
        <f t="shared" si="7"/>
        <v>1</v>
      </c>
      <c r="F60" s="1128"/>
      <c r="G60" s="313">
        <f t="shared" si="8"/>
        <v>1</v>
      </c>
      <c r="H60" s="1128"/>
      <c r="I60" s="313">
        <f t="shared" si="9"/>
        <v>1</v>
      </c>
      <c r="J60" s="1128"/>
      <c r="K60" s="313">
        <f t="shared" si="10"/>
        <v>1</v>
      </c>
      <c r="L60" s="1128"/>
      <c r="M60" s="313">
        <f t="shared" si="11"/>
        <v>1</v>
      </c>
      <c r="N60" s="1128"/>
      <c r="O60" s="313">
        <f t="shared" si="12"/>
        <v>1</v>
      </c>
      <c r="P60" s="1128"/>
      <c r="Q60" s="313">
        <f t="shared" si="13"/>
        <v>1</v>
      </c>
      <c r="R60" s="1124">
        <f t="shared" si="14"/>
        <v>0</v>
      </c>
      <c r="S60" s="698">
        <f t="shared" si="5"/>
        <v>0</v>
      </c>
    </row>
    <row r="61" spans="1:19">
      <c r="A61" s="1126"/>
      <c r="B61" s="1126"/>
      <c r="C61" s="313">
        <f t="shared" si="6"/>
        <v>1</v>
      </c>
      <c r="D61" s="1128"/>
      <c r="E61" s="313">
        <f t="shared" si="7"/>
        <v>1</v>
      </c>
      <c r="F61" s="1128"/>
      <c r="G61" s="313">
        <f t="shared" si="8"/>
        <v>1</v>
      </c>
      <c r="H61" s="1128"/>
      <c r="I61" s="313">
        <f t="shared" si="9"/>
        <v>1</v>
      </c>
      <c r="J61" s="1128"/>
      <c r="K61" s="313">
        <f t="shared" si="10"/>
        <v>1</v>
      </c>
      <c r="L61" s="1128"/>
      <c r="M61" s="313">
        <f t="shared" si="11"/>
        <v>1</v>
      </c>
      <c r="N61" s="1128"/>
      <c r="O61" s="313">
        <f t="shared" si="12"/>
        <v>1</v>
      </c>
      <c r="P61" s="1128"/>
      <c r="Q61" s="313">
        <f t="shared" si="13"/>
        <v>1</v>
      </c>
      <c r="R61" s="1124">
        <f t="shared" si="14"/>
        <v>0</v>
      </c>
      <c r="S61" s="698">
        <f t="shared" si="5"/>
        <v>0</v>
      </c>
    </row>
    <row r="62" spans="1:19">
      <c r="A62" s="1126"/>
      <c r="B62" s="1126"/>
      <c r="C62" s="313">
        <f t="shared" si="6"/>
        <v>1</v>
      </c>
      <c r="D62" s="1128"/>
      <c r="E62" s="313">
        <f t="shared" si="7"/>
        <v>1</v>
      </c>
      <c r="F62" s="1128"/>
      <c r="G62" s="313">
        <f t="shared" si="8"/>
        <v>1</v>
      </c>
      <c r="H62" s="1128"/>
      <c r="I62" s="313">
        <f t="shared" si="9"/>
        <v>1</v>
      </c>
      <c r="J62" s="1128"/>
      <c r="K62" s="313">
        <f t="shared" si="10"/>
        <v>1</v>
      </c>
      <c r="L62" s="1128"/>
      <c r="M62" s="313">
        <f t="shared" si="11"/>
        <v>1</v>
      </c>
      <c r="N62" s="1128"/>
      <c r="O62" s="313">
        <f t="shared" si="12"/>
        <v>1</v>
      </c>
      <c r="P62" s="1128"/>
      <c r="Q62" s="313">
        <f t="shared" si="13"/>
        <v>1</v>
      </c>
      <c r="R62" s="1124">
        <f t="shared" si="14"/>
        <v>0</v>
      </c>
      <c r="S62" s="698">
        <f t="shared" si="5"/>
        <v>0</v>
      </c>
    </row>
    <row r="63" spans="1:19">
      <c r="A63" s="1126"/>
      <c r="B63" s="1126"/>
      <c r="C63" s="313">
        <f t="shared" si="6"/>
        <v>1</v>
      </c>
      <c r="D63" s="1128"/>
      <c r="E63" s="313">
        <f t="shared" si="7"/>
        <v>1</v>
      </c>
      <c r="F63" s="1128"/>
      <c r="G63" s="313">
        <f t="shared" si="8"/>
        <v>1</v>
      </c>
      <c r="H63" s="1128"/>
      <c r="I63" s="313">
        <f t="shared" si="9"/>
        <v>1</v>
      </c>
      <c r="J63" s="1128"/>
      <c r="K63" s="313">
        <f t="shared" si="10"/>
        <v>1</v>
      </c>
      <c r="L63" s="1128"/>
      <c r="M63" s="313">
        <f t="shared" si="11"/>
        <v>1</v>
      </c>
      <c r="N63" s="1128"/>
      <c r="O63" s="313">
        <f t="shared" si="12"/>
        <v>1</v>
      </c>
      <c r="P63" s="1128"/>
      <c r="Q63" s="313">
        <f t="shared" si="13"/>
        <v>1</v>
      </c>
      <c r="R63" s="1124">
        <f t="shared" si="14"/>
        <v>0</v>
      </c>
      <c r="S63" s="698">
        <f t="shared" si="5"/>
        <v>0</v>
      </c>
    </row>
    <row r="64" spans="1:19">
      <c r="A64" s="1126"/>
      <c r="B64" s="1126"/>
      <c r="C64" s="313">
        <f t="shared" si="6"/>
        <v>1</v>
      </c>
      <c r="D64" s="1128"/>
      <c r="E64" s="313">
        <f t="shared" si="7"/>
        <v>1</v>
      </c>
      <c r="F64" s="1128"/>
      <c r="G64" s="313">
        <f t="shared" si="8"/>
        <v>1</v>
      </c>
      <c r="H64" s="1128"/>
      <c r="I64" s="313">
        <f t="shared" si="9"/>
        <v>1</v>
      </c>
      <c r="J64" s="1128"/>
      <c r="K64" s="313">
        <f t="shared" si="10"/>
        <v>1</v>
      </c>
      <c r="L64" s="1128"/>
      <c r="M64" s="313">
        <f t="shared" si="11"/>
        <v>1</v>
      </c>
      <c r="N64" s="1128"/>
      <c r="O64" s="313">
        <f t="shared" si="12"/>
        <v>1</v>
      </c>
      <c r="P64" s="1128"/>
      <c r="Q64" s="313">
        <f t="shared" si="13"/>
        <v>1</v>
      </c>
      <c r="R64" s="1124">
        <f t="shared" si="14"/>
        <v>0</v>
      </c>
      <c r="S64" s="698">
        <f t="shared" si="5"/>
        <v>0</v>
      </c>
    </row>
    <row r="65" spans="1:19">
      <c r="A65" s="1126"/>
      <c r="B65" s="1126"/>
      <c r="C65" s="313">
        <f t="shared" si="6"/>
        <v>1</v>
      </c>
      <c r="D65" s="1128"/>
      <c r="E65" s="313">
        <f t="shared" si="7"/>
        <v>1</v>
      </c>
      <c r="F65" s="1128"/>
      <c r="G65" s="313">
        <f t="shared" si="8"/>
        <v>1</v>
      </c>
      <c r="H65" s="1128"/>
      <c r="I65" s="313">
        <f t="shared" si="9"/>
        <v>1</v>
      </c>
      <c r="J65" s="1128"/>
      <c r="K65" s="313">
        <f t="shared" si="10"/>
        <v>1</v>
      </c>
      <c r="L65" s="1128"/>
      <c r="M65" s="313">
        <f t="shared" si="11"/>
        <v>1</v>
      </c>
      <c r="N65" s="1128"/>
      <c r="O65" s="313">
        <f t="shared" si="12"/>
        <v>1</v>
      </c>
      <c r="P65" s="1128"/>
      <c r="Q65" s="313">
        <f t="shared" si="13"/>
        <v>1</v>
      </c>
      <c r="R65" s="1124">
        <f t="shared" si="14"/>
        <v>0</v>
      </c>
      <c r="S65" s="698">
        <f t="shared" si="5"/>
        <v>0</v>
      </c>
    </row>
    <row r="66" spans="1:19">
      <c r="A66" s="1126"/>
      <c r="B66" s="1126"/>
      <c r="C66" s="313">
        <f t="shared" si="6"/>
        <v>1</v>
      </c>
      <c r="D66" s="1128"/>
      <c r="E66" s="313">
        <f t="shared" si="7"/>
        <v>1</v>
      </c>
      <c r="F66" s="1128"/>
      <c r="G66" s="313">
        <f t="shared" si="8"/>
        <v>1</v>
      </c>
      <c r="H66" s="1128"/>
      <c r="I66" s="313">
        <f t="shared" si="9"/>
        <v>1</v>
      </c>
      <c r="J66" s="1128"/>
      <c r="K66" s="313">
        <f t="shared" si="10"/>
        <v>1</v>
      </c>
      <c r="L66" s="1128"/>
      <c r="M66" s="313">
        <f t="shared" si="11"/>
        <v>1</v>
      </c>
      <c r="N66" s="1128"/>
      <c r="O66" s="313">
        <f t="shared" si="12"/>
        <v>1</v>
      </c>
      <c r="P66" s="1128"/>
      <c r="Q66" s="313">
        <f t="shared" si="13"/>
        <v>1</v>
      </c>
      <c r="R66" s="1124">
        <f t="shared" si="14"/>
        <v>0</v>
      </c>
      <c r="S66" s="698">
        <f t="shared" si="5"/>
        <v>0</v>
      </c>
    </row>
    <row r="67" spans="1:19">
      <c r="A67" s="1126"/>
      <c r="B67" s="1126"/>
      <c r="C67" s="313">
        <f t="shared" si="6"/>
        <v>1</v>
      </c>
      <c r="D67" s="1128"/>
      <c r="E67" s="313">
        <f t="shared" si="7"/>
        <v>1</v>
      </c>
      <c r="F67" s="1128"/>
      <c r="G67" s="313">
        <f t="shared" si="8"/>
        <v>1</v>
      </c>
      <c r="H67" s="1128"/>
      <c r="I67" s="313">
        <f t="shared" si="9"/>
        <v>1</v>
      </c>
      <c r="J67" s="1128"/>
      <c r="K67" s="313">
        <f t="shared" si="10"/>
        <v>1</v>
      </c>
      <c r="L67" s="1128"/>
      <c r="M67" s="313">
        <f t="shared" si="11"/>
        <v>1</v>
      </c>
      <c r="N67" s="1128"/>
      <c r="O67" s="313">
        <f t="shared" si="12"/>
        <v>1</v>
      </c>
      <c r="P67" s="1128"/>
      <c r="Q67" s="313">
        <f t="shared" si="13"/>
        <v>1</v>
      </c>
      <c r="R67" s="1124">
        <f t="shared" si="14"/>
        <v>0</v>
      </c>
      <c r="S67" s="698">
        <f t="shared" si="5"/>
        <v>0</v>
      </c>
    </row>
    <row r="68" spans="1:19">
      <c r="A68" s="1126"/>
      <c r="B68" s="1126"/>
      <c r="C68" s="313">
        <f t="shared" si="6"/>
        <v>1</v>
      </c>
      <c r="D68" s="1128"/>
      <c r="E68" s="313">
        <f t="shared" si="7"/>
        <v>1</v>
      </c>
      <c r="F68" s="1128"/>
      <c r="G68" s="313">
        <f t="shared" si="8"/>
        <v>1</v>
      </c>
      <c r="H68" s="1128"/>
      <c r="I68" s="313">
        <f t="shared" si="9"/>
        <v>1</v>
      </c>
      <c r="J68" s="1128"/>
      <c r="K68" s="313">
        <f t="shared" si="10"/>
        <v>1</v>
      </c>
      <c r="L68" s="1128"/>
      <c r="M68" s="313">
        <f t="shared" si="11"/>
        <v>1</v>
      </c>
      <c r="N68" s="1128"/>
      <c r="O68" s="313">
        <f t="shared" si="12"/>
        <v>1</v>
      </c>
      <c r="P68" s="1128"/>
      <c r="Q68" s="313">
        <f t="shared" si="13"/>
        <v>1</v>
      </c>
      <c r="R68" s="1124">
        <f t="shared" si="14"/>
        <v>0</v>
      </c>
      <c r="S68" s="698">
        <f t="shared" si="5"/>
        <v>0</v>
      </c>
    </row>
    <row r="69" spans="1:19">
      <c r="A69" s="1126"/>
      <c r="B69" s="1126"/>
      <c r="C69" s="313">
        <f t="shared" si="6"/>
        <v>1</v>
      </c>
      <c r="D69" s="1128"/>
      <c r="E69" s="313">
        <f t="shared" si="7"/>
        <v>1</v>
      </c>
      <c r="F69" s="1128"/>
      <c r="G69" s="313">
        <f t="shared" si="8"/>
        <v>1</v>
      </c>
      <c r="H69" s="1128"/>
      <c r="I69" s="313">
        <f t="shared" si="9"/>
        <v>1</v>
      </c>
      <c r="J69" s="1128"/>
      <c r="K69" s="313">
        <f t="shared" si="10"/>
        <v>1</v>
      </c>
      <c r="L69" s="1128"/>
      <c r="M69" s="313">
        <f t="shared" si="11"/>
        <v>1</v>
      </c>
      <c r="N69" s="1128"/>
      <c r="O69" s="313">
        <f t="shared" si="12"/>
        <v>1</v>
      </c>
      <c r="P69" s="1128"/>
      <c r="Q69" s="313">
        <f t="shared" si="13"/>
        <v>1</v>
      </c>
      <c r="R69" s="1124">
        <f t="shared" si="14"/>
        <v>0</v>
      </c>
      <c r="S69" s="698">
        <f t="shared" si="5"/>
        <v>0</v>
      </c>
    </row>
    <row r="70" spans="1:19">
      <c r="A70" s="1126"/>
      <c r="B70" s="1126"/>
      <c r="C70" s="313">
        <f t="shared" si="6"/>
        <v>1</v>
      </c>
      <c r="D70" s="1128"/>
      <c r="E70" s="313">
        <f t="shared" si="7"/>
        <v>1</v>
      </c>
      <c r="F70" s="1128"/>
      <c r="G70" s="313">
        <f t="shared" si="8"/>
        <v>1</v>
      </c>
      <c r="H70" s="1128"/>
      <c r="I70" s="313">
        <f t="shared" si="9"/>
        <v>1</v>
      </c>
      <c r="J70" s="1128"/>
      <c r="K70" s="313">
        <f t="shared" si="10"/>
        <v>1</v>
      </c>
      <c r="L70" s="1128"/>
      <c r="M70" s="313">
        <f t="shared" si="11"/>
        <v>1</v>
      </c>
      <c r="N70" s="1128"/>
      <c r="O70" s="313">
        <f t="shared" si="12"/>
        <v>1</v>
      </c>
      <c r="P70" s="1128"/>
      <c r="Q70" s="313">
        <f t="shared" si="13"/>
        <v>1</v>
      </c>
      <c r="R70" s="1124">
        <f t="shared" si="14"/>
        <v>0</v>
      </c>
      <c r="S70" s="698">
        <f t="shared" si="5"/>
        <v>0</v>
      </c>
    </row>
    <row r="71" spans="1:19">
      <c r="A71" s="1126"/>
      <c r="B71" s="1126"/>
      <c r="C71" s="313">
        <f t="shared" si="6"/>
        <v>1</v>
      </c>
      <c r="D71" s="1128"/>
      <c r="E71" s="313">
        <f t="shared" si="7"/>
        <v>1</v>
      </c>
      <c r="F71" s="1128"/>
      <c r="G71" s="313">
        <f t="shared" si="8"/>
        <v>1</v>
      </c>
      <c r="H71" s="1128"/>
      <c r="I71" s="313">
        <f t="shared" si="9"/>
        <v>1</v>
      </c>
      <c r="J71" s="1128"/>
      <c r="K71" s="313">
        <f t="shared" si="10"/>
        <v>1</v>
      </c>
      <c r="L71" s="1128"/>
      <c r="M71" s="313">
        <f t="shared" si="11"/>
        <v>1</v>
      </c>
      <c r="N71" s="1128"/>
      <c r="O71" s="313">
        <f t="shared" si="12"/>
        <v>1</v>
      </c>
      <c r="P71" s="1128"/>
      <c r="Q71" s="313">
        <f t="shared" si="13"/>
        <v>1</v>
      </c>
      <c r="R71" s="1124">
        <f t="shared" si="14"/>
        <v>0</v>
      </c>
      <c r="S71" s="698">
        <f t="shared" si="5"/>
        <v>0</v>
      </c>
    </row>
    <row r="72" spans="1:19">
      <c r="A72" s="1126"/>
      <c r="B72" s="1126"/>
      <c r="C72" s="313">
        <f t="shared" si="6"/>
        <v>1</v>
      </c>
      <c r="D72" s="1128"/>
      <c r="E72" s="313">
        <f t="shared" si="7"/>
        <v>1</v>
      </c>
      <c r="F72" s="1128"/>
      <c r="G72" s="313">
        <f t="shared" si="8"/>
        <v>1</v>
      </c>
      <c r="H72" s="1128"/>
      <c r="I72" s="313">
        <f t="shared" si="9"/>
        <v>1</v>
      </c>
      <c r="J72" s="1128"/>
      <c r="K72" s="313">
        <f t="shared" si="10"/>
        <v>1</v>
      </c>
      <c r="L72" s="1128"/>
      <c r="M72" s="313">
        <f t="shared" si="11"/>
        <v>1</v>
      </c>
      <c r="N72" s="1128"/>
      <c r="O72" s="313">
        <f t="shared" si="12"/>
        <v>1</v>
      </c>
      <c r="P72" s="1128"/>
      <c r="Q72" s="313">
        <f t="shared" si="13"/>
        <v>1</v>
      </c>
      <c r="R72" s="1124">
        <f t="shared" si="14"/>
        <v>0</v>
      </c>
      <c r="S72" s="698">
        <f t="shared" si="5"/>
        <v>0</v>
      </c>
    </row>
    <row r="73" spans="1:19">
      <c r="A73" s="1126"/>
      <c r="B73" s="1126"/>
      <c r="C73" s="313">
        <f t="shared" si="6"/>
        <v>1</v>
      </c>
      <c r="D73" s="1128"/>
      <c r="E73" s="313">
        <f t="shared" si="7"/>
        <v>1</v>
      </c>
      <c r="F73" s="1128"/>
      <c r="G73" s="313">
        <f t="shared" si="8"/>
        <v>1</v>
      </c>
      <c r="H73" s="1128"/>
      <c r="I73" s="313">
        <f t="shared" si="9"/>
        <v>1</v>
      </c>
      <c r="J73" s="1128"/>
      <c r="K73" s="313">
        <f t="shared" si="10"/>
        <v>1</v>
      </c>
      <c r="L73" s="1128"/>
      <c r="M73" s="313">
        <f t="shared" si="11"/>
        <v>1</v>
      </c>
      <c r="N73" s="1128"/>
      <c r="O73" s="313">
        <f t="shared" si="12"/>
        <v>1</v>
      </c>
      <c r="P73" s="1128"/>
      <c r="Q73" s="313">
        <f t="shared" si="13"/>
        <v>1</v>
      </c>
      <c r="R73" s="1124">
        <f t="shared" si="14"/>
        <v>0</v>
      </c>
      <c r="S73" s="698">
        <f t="shared" si="5"/>
        <v>0</v>
      </c>
    </row>
    <row r="74" spans="1:19">
      <c r="A74" s="1126"/>
      <c r="B74" s="1126"/>
      <c r="C74" s="313">
        <f t="shared" si="6"/>
        <v>1</v>
      </c>
      <c r="D74" s="1128"/>
      <c r="E74" s="313">
        <f t="shared" si="7"/>
        <v>1</v>
      </c>
      <c r="F74" s="1128"/>
      <c r="G74" s="313">
        <f t="shared" si="8"/>
        <v>1</v>
      </c>
      <c r="H74" s="1128"/>
      <c r="I74" s="313">
        <f t="shared" si="9"/>
        <v>1</v>
      </c>
      <c r="J74" s="1128"/>
      <c r="K74" s="313">
        <f t="shared" si="10"/>
        <v>1</v>
      </c>
      <c r="L74" s="1128"/>
      <c r="M74" s="313">
        <f t="shared" si="11"/>
        <v>1</v>
      </c>
      <c r="N74" s="1128"/>
      <c r="O74" s="313">
        <f t="shared" si="12"/>
        <v>1</v>
      </c>
      <c r="P74" s="1128"/>
      <c r="Q74" s="313">
        <f t="shared" si="13"/>
        <v>1</v>
      </c>
      <c r="R74" s="1124">
        <f t="shared" si="14"/>
        <v>0</v>
      </c>
      <c r="S74" s="698">
        <f t="shared" si="5"/>
        <v>0</v>
      </c>
    </row>
    <row r="75" spans="1:19">
      <c r="A75" s="1126"/>
      <c r="B75" s="1126"/>
      <c r="C75" s="313">
        <f t="shared" si="6"/>
        <v>1</v>
      </c>
      <c r="D75" s="1128"/>
      <c r="E75" s="313">
        <f t="shared" si="7"/>
        <v>1</v>
      </c>
      <c r="F75" s="1128"/>
      <c r="G75" s="313">
        <f t="shared" si="8"/>
        <v>1</v>
      </c>
      <c r="H75" s="1128"/>
      <c r="I75" s="313">
        <f t="shared" si="9"/>
        <v>1</v>
      </c>
      <c r="J75" s="1128"/>
      <c r="K75" s="313">
        <f t="shared" si="10"/>
        <v>1</v>
      </c>
      <c r="L75" s="1128"/>
      <c r="M75" s="313">
        <f t="shared" si="11"/>
        <v>1</v>
      </c>
      <c r="N75" s="1128"/>
      <c r="O75" s="313">
        <f t="shared" si="12"/>
        <v>1</v>
      </c>
      <c r="P75" s="1128"/>
      <c r="Q75" s="313">
        <f t="shared" si="13"/>
        <v>1</v>
      </c>
      <c r="R75" s="1124">
        <f t="shared" si="14"/>
        <v>0</v>
      </c>
      <c r="S75" s="698">
        <f t="shared" si="5"/>
        <v>0</v>
      </c>
    </row>
    <row r="76" spans="1:19">
      <c r="A76" s="1126"/>
      <c r="B76" s="1126"/>
      <c r="C76" s="313">
        <f t="shared" si="6"/>
        <v>1</v>
      </c>
      <c r="D76" s="1128"/>
      <c r="E76" s="313">
        <f t="shared" si="7"/>
        <v>1</v>
      </c>
      <c r="F76" s="1128"/>
      <c r="G76" s="313">
        <f t="shared" si="8"/>
        <v>1</v>
      </c>
      <c r="H76" s="1128"/>
      <c r="I76" s="313">
        <f t="shared" si="9"/>
        <v>1</v>
      </c>
      <c r="J76" s="1128"/>
      <c r="K76" s="313">
        <f t="shared" si="10"/>
        <v>1</v>
      </c>
      <c r="L76" s="1128"/>
      <c r="M76" s="313">
        <f t="shared" si="11"/>
        <v>1</v>
      </c>
      <c r="N76" s="1128"/>
      <c r="O76" s="313">
        <f t="shared" si="12"/>
        <v>1</v>
      </c>
      <c r="P76" s="1128"/>
      <c r="Q76" s="313">
        <f t="shared" si="13"/>
        <v>1</v>
      </c>
      <c r="R76" s="1124">
        <f t="shared" si="14"/>
        <v>0</v>
      </c>
      <c r="S76" s="698">
        <f t="shared" si="5"/>
        <v>0</v>
      </c>
    </row>
    <row r="77" spans="1:19">
      <c r="A77" s="1126"/>
      <c r="B77" s="1126"/>
      <c r="C77" s="313">
        <f t="shared" si="6"/>
        <v>1</v>
      </c>
      <c r="D77" s="1128"/>
      <c r="E77" s="313">
        <f t="shared" si="7"/>
        <v>1</v>
      </c>
      <c r="F77" s="1128"/>
      <c r="G77" s="313">
        <f t="shared" si="8"/>
        <v>1</v>
      </c>
      <c r="H77" s="1128"/>
      <c r="I77" s="313">
        <f t="shared" si="9"/>
        <v>1</v>
      </c>
      <c r="J77" s="1128"/>
      <c r="K77" s="313">
        <f t="shared" si="10"/>
        <v>1</v>
      </c>
      <c r="L77" s="1128"/>
      <c r="M77" s="313">
        <f t="shared" si="11"/>
        <v>1</v>
      </c>
      <c r="N77" s="1128"/>
      <c r="O77" s="313">
        <f t="shared" si="12"/>
        <v>1</v>
      </c>
      <c r="P77" s="1128"/>
      <c r="Q77" s="313">
        <f t="shared" si="13"/>
        <v>1</v>
      </c>
      <c r="R77" s="1124">
        <f t="shared" si="14"/>
        <v>0</v>
      </c>
      <c r="S77" s="698">
        <f t="shared" si="5"/>
        <v>0</v>
      </c>
    </row>
    <row r="78" spans="1:19">
      <c r="A78" s="1126"/>
      <c r="B78" s="1126"/>
      <c r="C78" s="313">
        <f t="shared" si="6"/>
        <v>1</v>
      </c>
      <c r="D78" s="1128"/>
      <c r="E78" s="313">
        <f t="shared" si="7"/>
        <v>1</v>
      </c>
      <c r="F78" s="1128"/>
      <c r="G78" s="313">
        <f t="shared" si="8"/>
        <v>1</v>
      </c>
      <c r="H78" s="1128"/>
      <c r="I78" s="313">
        <f t="shared" si="9"/>
        <v>1</v>
      </c>
      <c r="J78" s="1128"/>
      <c r="K78" s="313">
        <f t="shared" si="10"/>
        <v>1</v>
      </c>
      <c r="L78" s="1128"/>
      <c r="M78" s="313">
        <f t="shared" si="11"/>
        <v>1</v>
      </c>
      <c r="N78" s="1128"/>
      <c r="O78" s="313">
        <f t="shared" si="12"/>
        <v>1</v>
      </c>
      <c r="P78" s="1128"/>
      <c r="Q78" s="313">
        <f t="shared" si="13"/>
        <v>1</v>
      </c>
      <c r="R78" s="1124">
        <f t="shared" si="14"/>
        <v>0</v>
      </c>
      <c r="S78" s="698">
        <f t="shared" si="5"/>
        <v>0</v>
      </c>
    </row>
    <row r="79" spans="1:19">
      <c r="A79" s="1126"/>
      <c r="B79" s="1126"/>
      <c r="C79" s="313">
        <f t="shared" si="6"/>
        <v>1</v>
      </c>
      <c r="D79" s="1128"/>
      <c r="E79" s="313">
        <f t="shared" si="7"/>
        <v>1</v>
      </c>
      <c r="F79" s="1128"/>
      <c r="G79" s="313">
        <f t="shared" si="8"/>
        <v>1</v>
      </c>
      <c r="H79" s="1128"/>
      <c r="I79" s="313">
        <f t="shared" si="9"/>
        <v>1</v>
      </c>
      <c r="J79" s="1128"/>
      <c r="K79" s="313">
        <f t="shared" si="10"/>
        <v>1</v>
      </c>
      <c r="L79" s="1128"/>
      <c r="M79" s="313">
        <f t="shared" si="11"/>
        <v>1</v>
      </c>
      <c r="N79" s="1128"/>
      <c r="O79" s="313">
        <f t="shared" si="12"/>
        <v>1</v>
      </c>
      <c r="P79" s="1128"/>
      <c r="Q79" s="313">
        <f t="shared" si="13"/>
        <v>1</v>
      </c>
      <c r="R79" s="1124">
        <f t="shared" si="14"/>
        <v>0</v>
      </c>
      <c r="S79" s="698">
        <f t="shared" si="5"/>
        <v>0</v>
      </c>
    </row>
    <row r="80" spans="1:19">
      <c r="A80" s="1126"/>
      <c r="B80" s="1126"/>
      <c r="C80" s="313">
        <f t="shared" si="6"/>
        <v>1</v>
      </c>
      <c r="D80" s="1128"/>
      <c r="E80" s="313">
        <f t="shared" si="7"/>
        <v>1</v>
      </c>
      <c r="F80" s="1128"/>
      <c r="G80" s="313">
        <f t="shared" si="8"/>
        <v>1</v>
      </c>
      <c r="H80" s="1128"/>
      <c r="I80" s="313">
        <f t="shared" si="9"/>
        <v>1</v>
      </c>
      <c r="J80" s="1128"/>
      <c r="K80" s="313">
        <f t="shared" si="10"/>
        <v>1</v>
      </c>
      <c r="L80" s="1128"/>
      <c r="M80" s="313">
        <f t="shared" si="11"/>
        <v>1</v>
      </c>
      <c r="N80" s="1128"/>
      <c r="O80" s="313">
        <f t="shared" si="12"/>
        <v>1</v>
      </c>
      <c r="P80" s="1128"/>
      <c r="Q80" s="313">
        <f t="shared" si="13"/>
        <v>1</v>
      </c>
      <c r="R80" s="1124">
        <f t="shared" si="14"/>
        <v>0</v>
      </c>
      <c r="S80" s="698">
        <f t="shared" si="5"/>
        <v>0</v>
      </c>
    </row>
    <row r="81" spans="1:19">
      <c r="A81" s="1126"/>
      <c r="B81" s="1126"/>
      <c r="C81" s="313">
        <f t="shared" si="6"/>
        <v>1</v>
      </c>
      <c r="D81" s="1128"/>
      <c r="E81" s="313">
        <f t="shared" si="7"/>
        <v>1</v>
      </c>
      <c r="F81" s="1128"/>
      <c r="G81" s="313">
        <f t="shared" si="8"/>
        <v>1</v>
      </c>
      <c r="H81" s="1128"/>
      <c r="I81" s="313">
        <f t="shared" si="9"/>
        <v>1</v>
      </c>
      <c r="J81" s="1128"/>
      <c r="K81" s="313">
        <f t="shared" si="10"/>
        <v>1</v>
      </c>
      <c r="L81" s="1128"/>
      <c r="M81" s="313">
        <f t="shared" si="11"/>
        <v>1</v>
      </c>
      <c r="N81" s="1128"/>
      <c r="O81" s="313">
        <f t="shared" si="12"/>
        <v>1</v>
      </c>
      <c r="P81" s="1128"/>
      <c r="Q81" s="313">
        <f t="shared" si="13"/>
        <v>1</v>
      </c>
      <c r="R81" s="1124">
        <f t="shared" si="14"/>
        <v>0</v>
      </c>
      <c r="S81" s="698">
        <f t="shared" si="5"/>
        <v>0</v>
      </c>
    </row>
    <row r="82" spans="1:19">
      <c r="A82" s="1126"/>
      <c r="B82" s="1126"/>
      <c r="C82" s="313">
        <f t="shared" si="6"/>
        <v>1</v>
      </c>
      <c r="D82" s="1128"/>
      <c r="E82" s="313">
        <f t="shared" si="7"/>
        <v>1</v>
      </c>
      <c r="F82" s="1128"/>
      <c r="G82" s="313">
        <f t="shared" si="8"/>
        <v>1</v>
      </c>
      <c r="H82" s="1128"/>
      <c r="I82" s="313">
        <f t="shared" si="9"/>
        <v>1</v>
      </c>
      <c r="J82" s="1128"/>
      <c r="K82" s="313">
        <f t="shared" si="10"/>
        <v>1</v>
      </c>
      <c r="L82" s="1128"/>
      <c r="M82" s="313">
        <f t="shared" si="11"/>
        <v>1</v>
      </c>
      <c r="N82" s="1128"/>
      <c r="O82" s="313">
        <f t="shared" si="12"/>
        <v>1</v>
      </c>
      <c r="P82" s="1128"/>
      <c r="Q82" s="313">
        <f t="shared" si="13"/>
        <v>1</v>
      </c>
      <c r="R82" s="1124">
        <f t="shared" si="14"/>
        <v>0</v>
      </c>
      <c r="S82" s="698">
        <f t="shared" si="5"/>
        <v>0</v>
      </c>
    </row>
    <row r="83" spans="1:19">
      <c r="A83" s="1126"/>
      <c r="B83" s="1126"/>
      <c r="C83" s="313">
        <f t="shared" si="6"/>
        <v>1</v>
      </c>
      <c r="D83" s="1128"/>
      <c r="E83" s="313">
        <f t="shared" si="7"/>
        <v>1</v>
      </c>
      <c r="F83" s="1128"/>
      <c r="G83" s="313">
        <f t="shared" si="8"/>
        <v>1</v>
      </c>
      <c r="H83" s="1128"/>
      <c r="I83" s="313">
        <f t="shared" si="9"/>
        <v>1</v>
      </c>
      <c r="J83" s="1128"/>
      <c r="K83" s="313">
        <f t="shared" si="10"/>
        <v>1</v>
      </c>
      <c r="L83" s="1128"/>
      <c r="M83" s="313">
        <f t="shared" si="11"/>
        <v>1</v>
      </c>
      <c r="N83" s="1128"/>
      <c r="O83" s="313">
        <f t="shared" si="12"/>
        <v>1</v>
      </c>
      <c r="P83" s="1128"/>
      <c r="Q83" s="313">
        <f t="shared" si="13"/>
        <v>1</v>
      </c>
      <c r="R83" s="1124">
        <f t="shared" si="14"/>
        <v>0</v>
      </c>
      <c r="S83" s="698">
        <f t="shared" si="5"/>
        <v>0</v>
      </c>
    </row>
    <row r="84" spans="1:19">
      <c r="A84" s="1126"/>
      <c r="B84" s="1126"/>
      <c r="C84" s="313">
        <f t="shared" si="6"/>
        <v>1</v>
      </c>
      <c r="D84" s="1128"/>
      <c r="E84" s="313">
        <f t="shared" si="7"/>
        <v>1</v>
      </c>
      <c r="F84" s="1128"/>
      <c r="G84" s="313">
        <f t="shared" si="8"/>
        <v>1</v>
      </c>
      <c r="H84" s="1128"/>
      <c r="I84" s="313">
        <f t="shared" si="9"/>
        <v>1</v>
      </c>
      <c r="J84" s="1128"/>
      <c r="K84" s="313">
        <f t="shared" si="10"/>
        <v>1</v>
      </c>
      <c r="L84" s="1128"/>
      <c r="M84" s="313">
        <f t="shared" si="11"/>
        <v>1</v>
      </c>
      <c r="N84" s="1128"/>
      <c r="O84" s="313">
        <f t="shared" si="12"/>
        <v>1</v>
      </c>
      <c r="P84" s="1128"/>
      <c r="Q84" s="313">
        <f t="shared" si="13"/>
        <v>1</v>
      </c>
      <c r="R84" s="1124">
        <f t="shared" si="14"/>
        <v>0</v>
      </c>
      <c r="S84" s="698">
        <f t="shared" si="5"/>
        <v>0</v>
      </c>
    </row>
    <row r="85" spans="1:19">
      <c r="A85" s="1126"/>
      <c r="B85" s="1126"/>
      <c r="C85" s="313">
        <f t="shared" si="6"/>
        <v>1</v>
      </c>
      <c r="D85" s="1128"/>
      <c r="E85" s="313">
        <f t="shared" si="7"/>
        <v>1</v>
      </c>
      <c r="F85" s="1128"/>
      <c r="G85" s="313">
        <f t="shared" si="8"/>
        <v>1</v>
      </c>
      <c r="H85" s="1128"/>
      <c r="I85" s="313">
        <f t="shared" si="9"/>
        <v>1</v>
      </c>
      <c r="J85" s="1128"/>
      <c r="K85" s="313">
        <f t="shared" si="10"/>
        <v>1</v>
      </c>
      <c r="L85" s="1128"/>
      <c r="M85" s="313">
        <f t="shared" si="11"/>
        <v>1</v>
      </c>
      <c r="N85" s="1128"/>
      <c r="O85" s="313">
        <f t="shared" si="12"/>
        <v>1</v>
      </c>
      <c r="P85" s="1128"/>
      <c r="Q85" s="313">
        <f t="shared" si="13"/>
        <v>1</v>
      </c>
      <c r="R85" s="1124">
        <f t="shared" si="14"/>
        <v>0</v>
      </c>
      <c r="S85" s="698">
        <f t="shared" si="5"/>
        <v>0</v>
      </c>
    </row>
    <row r="86" spans="1:19">
      <c r="A86" s="1126"/>
      <c r="B86" s="1126"/>
      <c r="C86" s="313">
        <f t="shared" si="6"/>
        <v>1</v>
      </c>
      <c r="D86" s="1128"/>
      <c r="E86" s="313">
        <f t="shared" si="7"/>
        <v>1</v>
      </c>
      <c r="F86" s="1128"/>
      <c r="G86" s="313">
        <f t="shared" si="8"/>
        <v>1</v>
      </c>
      <c r="H86" s="1128"/>
      <c r="I86" s="313">
        <f t="shared" si="9"/>
        <v>1</v>
      </c>
      <c r="J86" s="1128"/>
      <c r="K86" s="313">
        <f t="shared" si="10"/>
        <v>1</v>
      </c>
      <c r="L86" s="1128"/>
      <c r="M86" s="313">
        <f t="shared" si="11"/>
        <v>1</v>
      </c>
      <c r="N86" s="1128"/>
      <c r="O86" s="313">
        <f t="shared" si="12"/>
        <v>1</v>
      </c>
      <c r="P86" s="1128"/>
      <c r="Q86" s="313">
        <f t="shared" si="13"/>
        <v>1</v>
      </c>
      <c r="R86" s="1124">
        <f t="shared" si="14"/>
        <v>0</v>
      </c>
      <c r="S86" s="698">
        <f t="shared" si="5"/>
        <v>0</v>
      </c>
    </row>
    <row r="87" spans="1:19">
      <c r="A87" s="1126"/>
      <c r="B87" s="1126"/>
      <c r="C87" s="313">
        <f t="shared" si="6"/>
        <v>1</v>
      </c>
      <c r="D87" s="1128"/>
      <c r="E87" s="313">
        <f t="shared" si="7"/>
        <v>1</v>
      </c>
      <c r="F87" s="1128"/>
      <c r="G87" s="313">
        <f t="shared" si="8"/>
        <v>1</v>
      </c>
      <c r="H87" s="1128"/>
      <c r="I87" s="313">
        <f t="shared" si="9"/>
        <v>1</v>
      </c>
      <c r="J87" s="1128"/>
      <c r="K87" s="313">
        <f t="shared" si="10"/>
        <v>1</v>
      </c>
      <c r="L87" s="1128"/>
      <c r="M87" s="313">
        <f t="shared" si="11"/>
        <v>1</v>
      </c>
      <c r="N87" s="1128"/>
      <c r="O87" s="313">
        <f t="shared" si="12"/>
        <v>1</v>
      </c>
      <c r="P87" s="1128"/>
      <c r="Q87" s="313">
        <f t="shared" si="13"/>
        <v>1</v>
      </c>
      <c r="R87" s="1124">
        <f t="shared" si="14"/>
        <v>0</v>
      </c>
      <c r="S87" s="698">
        <f t="shared" si="5"/>
        <v>0</v>
      </c>
    </row>
    <row r="88" spans="1:19">
      <c r="A88" s="1126"/>
      <c r="B88" s="1126"/>
      <c r="C88" s="313">
        <f t="shared" si="6"/>
        <v>1</v>
      </c>
      <c r="D88" s="1128"/>
      <c r="E88" s="313">
        <f t="shared" si="7"/>
        <v>1</v>
      </c>
      <c r="F88" s="1128"/>
      <c r="G88" s="313">
        <f t="shared" si="8"/>
        <v>1</v>
      </c>
      <c r="H88" s="1128"/>
      <c r="I88" s="313">
        <f t="shared" si="9"/>
        <v>1</v>
      </c>
      <c r="J88" s="1128"/>
      <c r="K88" s="313">
        <f t="shared" si="10"/>
        <v>1</v>
      </c>
      <c r="L88" s="1128"/>
      <c r="M88" s="313">
        <f t="shared" si="11"/>
        <v>1</v>
      </c>
      <c r="N88" s="1128"/>
      <c r="O88" s="313">
        <f t="shared" si="12"/>
        <v>1</v>
      </c>
      <c r="P88" s="1128"/>
      <c r="Q88" s="313">
        <f t="shared" si="13"/>
        <v>1</v>
      </c>
      <c r="R88" s="1124">
        <f t="shared" si="14"/>
        <v>0</v>
      </c>
      <c r="S88" s="698">
        <f t="shared" ref="S88:S151" si="15">ROUND(R88*B88/10000,0)</f>
        <v>0</v>
      </c>
    </row>
    <row r="89" spans="1:19">
      <c r="A89" s="1126"/>
      <c r="B89" s="1126"/>
      <c r="C89" s="313">
        <f t="shared" si="6"/>
        <v>1</v>
      </c>
      <c r="D89" s="1128"/>
      <c r="E89" s="313">
        <f t="shared" si="7"/>
        <v>1</v>
      </c>
      <c r="F89" s="1128"/>
      <c r="G89" s="313">
        <f t="shared" si="8"/>
        <v>1</v>
      </c>
      <c r="H89" s="1128"/>
      <c r="I89" s="313">
        <f t="shared" si="9"/>
        <v>1</v>
      </c>
      <c r="J89" s="1128"/>
      <c r="K89" s="313">
        <f t="shared" si="10"/>
        <v>1</v>
      </c>
      <c r="L89" s="1128"/>
      <c r="M89" s="313">
        <f t="shared" si="11"/>
        <v>1</v>
      </c>
      <c r="N89" s="1128"/>
      <c r="O89" s="313">
        <f t="shared" si="12"/>
        <v>1</v>
      </c>
      <c r="P89" s="1128"/>
      <c r="Q89" s="313">
        <f t="shared" si="13"/>
        <v>1</v>
      </c>
      <c r="R89" s="1124">
        <f t="shared" si="14"/>
        <v>0</v>
      </c>
      <c r="S89" s="698">
        <f t="shared" si="15"/>
        <v>0</v>
      </c>
    </row>
    <row r="90" spans="1:19">
      <c r="A90" s="1126"/>
      <c r="B90" s="1126"/>
      <c r="C90" s="313">
        <f t="shared" ref="C90:C153" si="16">IF(B90="",1,(LOOKUP(B90,$3:$3,$4:$4)-LOOKUP($B$24,$3:$3,$4:$4)+100)/100)</f>
        <v>1</v>
      </c>
      <c r="D90" s="1128"/>
      <c r="E90" s="313">
        <f t="shared" ref="E90:E153" si="17">(SUMIF($5:$5,D90,$6:$6)-SUMIF($5:$5,$D$24,$6:$6)+100)/100</f>
        <v>1</v>
      </c>
      <c r="F90" s="1128"/>
      <c r="G90" s="313">
        <f t="shared" ref="G90:G153" si="18">(SUMIF($7:$7,F90,$8:$8)-SUMIF($7:$7,$F$24,$8:$8)+100)/100</f>
        <v>1</v>
      </c>
      <c r="H90" s="1128"/>
      <c r="I90" s="313">
        <f t="shared" ref="I90:I153" si="19">(SUMIF($9:$9,H90,$10:$10)-SUMIF($9:$9,$H$24,$10:$10)+100)/100</f>
        <v>1</v>
      </c>
      <c r="J90" s="1128"/>
      <c r="K90" s="313">
        <f t="shared" ref="K90:K153" si="20">(SUMIF($11:$11,J90,$12:$12)-SUMIF($11:$11,$J$24,$12:$12)+100)/100</f>
        <v>1</v>
      </c>
      <c r="L90" s="1128"/>
      <c r="M90" s="313">
        <f t="shared" ref="M90:M153" si="21">(SUMIF($13:$13,L90,$14:$14)-SUMIF($13:$13,$L$24,$14:$14)+100)/100</f>
        <v>1</v>
      </c>
      <c r="N90" s="1128"/>
      <c r="O90" s="313">
        <f t="shared" ref="O90:O153" si="22">(SUMIF($15:$15,N90,$16:$16)-SUMIF($15:$15,$N$24,$16:$16)+100)/100</f>
        <v>1</v>
      </c>
      <c r="P90" s="1128"/>
      <c r="Q90" s="313">
        <f t="shared" ref="Q90:Q153" si="23">(SUMIF($17:$17,P90,$18:$18)-SUMIF($17:$17,$P$24,$18:$18)+100)/100</f>
        <v>1</v>
      </c>
      <c r="R90" s="1124">
        <f t="shared" ref="R90:R153" si="24">IF(B90="",0,ROUND($R$24*C90*E90*G90*I90*K90*M90*O90*Q90,0))</f>
        <v>0</v>
      </c>
      <c r="S90" s="698">
        <f t="shared" si="15"/>
        <v>0</v>
      </c>
    </row>
    <row r="91" spans="1:19">
      <c r="A91" s="1126"/>
      <c r="B91" s="1126"/>
      <c r="C91" s="313">
        <f t="shared" si="16"/>
        <v>1</v>
      </c>
      <c r="D91" s="1128"/>
      <c r="E91" s="313">
        <f t="shared" si="17"/>
        <v>1</v>
      </c>
      <c r="F91" s="1128"/>
      <c r="G91" s="313">
        <f t="shared" si="18"/>
        <v>1</v>
      </c>
      <c r="H91" s="1128"/>
      <c r="I91" s="313">
        <f t="shared" si="19"/>
        <v>1</v>
      </c>
      <c r="J91" s="1128"/>
      <c r="K91" s="313">
        <f t="shared" si="20"/>
        <v>1</v>
      </c>
      <c r="L91" s="1128"/>
      <c r="M91" s="313">
        <f t="shared" si="21"/>
        <v>1</v>
      </c>
      <c r="N91" s="1128"/>
      <c r="O91" s="313">
        <f t="shared" si="22"/>
        <v>1</v>
      </c>
      <c r="P91" s="1128"/>
      <c r="Q91" s="313">
        <f t="shared" si="23"/>
        <v>1</v>
      </c>
      <c r="R91" s="1124">
        <f t="shared" si="24"/>
        <v>0</v>
      </c>
      <c r="S91" s="698">
        <f t="shared" si="15"/>
        <v>0</v>
      </c>
    </row>
    <row r="92" spans="1:19">
      <c r="A92" s="1126"/>
      <c r="B92" s="1126"/>
      <c r="C92" s="313">
        <f t="shared" si="16"/>
        <v>1</v>
      </c>
      <c r="D92" s="1128"/>
      <c r="E92" s="313">
        <f t="shared" si="17"/>
        <v>1</v>
      </c>
      <c r="F92" s="1128"/>
      <c r="G92" s="313">
        <f t="shared" si="18"/>
        <v>1</v>
      </c>
      <c r="H92" s="1128"/>
      <c r="I92" s="313">
        <f t="shared" si="19"/>
        <v>1</v>
      </c>
      <c r="J92" s="1128"/>
      <c r="K92" s="313">
        <f t="shared" si="20"/>
        <v>1</v>
      </c>
      <c r="L92" s="1128"/>
      <c r="M92" s="313">
        <f t="shared" si="21"/>
        <v>1</v>
      </c>
      <c r="N92" s="1128"/>
      <c r="O92" s="313">
        <f t="shared" si="22"/>
        <v>1</v>
      </c>
      <c r="P92" s="1128"/>
      <c r="Q92" s="313">
        <f t="shared" si="23"/>
        <v>1</v>
      </c>
      <c r="R92" s="1124">
        <f t="shared" si="24"/>
        <v>0</v>
      </c>
      <c r="S92" s="698">
        <f t="shared" si="15"/>
        <v>0</v>
      </c>
    </row>
    <row r="93" spans="1:19">
      <c r="A93" s="1126"/>
      <c r="B93" s="1126"/>
      <c r="C93" s="313">
        <f t="shared" si="16"/>
        <v>1</v>
      </c>
      <c r="D93" s="1128"/>
      <c r="E93" s="313">
        <f t="shared" si="17"/>
        <v>1</v>
      </c>
      <c r="F93" s="1128"/>
      <c r="G93" s="313">
        <f t="shared" si="18"/>
        <v>1</v>
      </c>
      <c r="H93" s="1128"/>
      <c r="I93" s="313">
        <f t="shared" si="19"/>
        <v>1</v>
      </c>
      <c r="J93" s="1128"/>
      <c r="K93" s="313">
        <f t="shared" si="20"/>
        <v>1</v>
      </c>
      <c r="L93" s="1128"/>
      <c r="M93" s="313">
        <f t="shared" si="21"/>
        <v>1</v>
      </c>
      <c r="N93" s="1128"/>
      <c r="O93" s="313">
        <f t="shared" si="22"/>
        <v>1</v>
      </c>
      <c r="P93" s="1128"/>
      <c r="Q93" s="313">
        <f t="shared" si="23"/>
        <v>1</v>
      </c>
      <c r="R93" s="1124">
        <f t="shared" si="24"/>
        <v>0</v>
      </c>
      <c r="S93" s="698">
        <f t="shared" si="15"/>
        <v>0</v>
      </c>
    </row>
    <row r="94" spans="1:19">
      <c r="A94" s="1126"/>
      <c r="B94" s="1126"/>
      <c r="C94" s="313">
        <f t="shared" si="16"/>
        <v>1</v>
      </c>
      <c r="D94" s="1128"/>
      <c r="E94" s="313">
        <f t="shared" si="17"/>
        <v>1</v>
      </c>
      <c r="F94" s="1128"/>
      <c r="G94" s="313">
        <f t="shared" si="18"/>
        <v>1</v>
      </c>
      <c r="H94" s="1128"/>
      <c r="I94" s="313">
        <f t="shared" si="19"/>
        <v>1</v>
      </c>
      <c r="J94" s="1128"/>
      <c r="K94" s="313">
        <f t="shared" si="20"/>
        <v>1</v>
      </c>
      <c r="L94" s="1128"/>
      <c r="M94" s="313">
        <f t="shared" si="21"/>
        <v>1</v>
      </c>
      <c r="N94" s="1128"/>
      <c r="O94" s="313">
        <f t="shared" si="22"/>
        <v>1</v>
      </c>
      <c r="P94" s="1128"/>
      <c r="Q94" s="313">
        <f t="shared" si="23"/>
        <v>1</v>
      </c>
      <c r="R94" s="1124">
        <f t="shared" si="24"/>
        <v>0</v>
      </c>
      <c r="S94" s="698">
        <f t="shared" si="15"/>
        <v>0</v>
      </c>
    </row>
    <row r="95" spans="1:19">
      <c r="A95" s="1126"/>
      <c r="B95" s="1126"/>
      <c r="C95" s="313">
        <f t="shared" si="16"/>
        <v>1</v>
      </c>
      <c r="D95" s="1128"/>
      <c r="E95" s="313">
        <f t="shared" si="17"/>
        <v>1</v>
      </c>
      <c r="F95" s="1128"/>
      <c r="G95" s="313">
        <f t="shared" si="18"/>
        <v>1</v>
      </c>
      <c r="H95" s="1128"/>
      <c r="I95" s="313">
        <f t="shared" si="19"/>
        <v>1</v>
      </c>
      <c r="J95" s="1128"/>
      <c r="K95" s="313">
        <f t="shared" si="20"/>
        <v>1</v>
      </c>
      <c r="L95" s="1128"/>
      <c r="M95" s="313">
        <f t="shared" si="21"/>
        <v>1</v>
      </c>
      <c r="N95" s="1128"/>
      <c r="O95" s="313">
        <f t="shared" si="22"/>
        <v>1</v>
      </c>
      <c r="P95" s="1128"/>
      <c r="Q95" s="313">
        <f t="shared" si="23"/>
        <v>1</v>
      </c>
      <c r="R95" s="1124">
        <f t="shared" si="24"/>
        <v>0</v>
      </c>
      <c r="S95" s="698">
        <f t="shared" si="15"/>
        <v>0</v>
      </c>
    </row>
    <row r="96" spans="1:19">
      <c r="A96" s="1126"/>
      <c r="B96" s="1126"/>
      <c r="C96" s="313">
        <f t="shared" si="16"/>
        <v>1</v>
      </c>
      <c r="D96" s="1128"/>
      <c r="E96" s="313">
        <f t="shared" si="17"/>
        <v>1</v>
      </c>
      <c r="F96" s="1128"/>
      <c r="G96" s="313">
        <f t="shared" si="18"/>
        <v>1</v>
      </c>
      <c r="H96" s="1128"/>
      <c r="I96" s="313">
        <f t="shared" si="19"/>
        <v>1</v>
      </c>
      <c r="J96" s="1128"/>
      <c r="K96" s="313">
        <f t="shared" si="20"/>
        <v>1</v>
      </c>
      <c r="L96" s="1128"/>
      <c r="M96" s="313">
        <f t="shared" si="21"/>
        <v>1</v>
      </c>
      <c r="N96" s="1128"/>
      <c r="O96" s="313">
        <f t="shared" si="22"/>
        <v>1</v>
      </c>
      <c r="P96" s="1128"/>
      <c r="Q96" s="313">
        <f t="shared" si="23"/>
        <v>1</v>
      </c>
      <c r="R96" s="1124">
        <f t="shared" si="24"/>
        <v>0</v>
      </c>
      <c r="S96" s="698">
        <f t="shared" si="15"/>
        <v>0</v>
      </c>
    </row>
    <row r="97" spans="1:19">
      <c r="A97" s="1126"/>
      <c r="B97" s="1126"/>
      <c r="C97" s="313">
        <f t="shared" si="16"/>
        <v>1</v>
      </c>
      <c r="D97" s="1128"/>
      <c r="E97" s="313">
        <f t="shared" si="17"/>
        <v>1</v>
      </c>
      <c r="F97" s="1128"/>
      <c r="G97" s="313">
        <f t="shared" si="18"/>
        <v>1</v>
      </c>
      <c r="H97" s="1128"/>
      <c r="I97" s="313">
        <f t="shared" si="19"/>
        <v>1</v>
      </c>
      <c r="J97" s="1128"/>
      <c r="K97" s="313">
        <f t="shared" si="20"/>
        <v>1</v>
      </c>
      <c r="L97" s="1128"/>
      <c r="M97" s="313">
        <f t="shared" si="21"/>
        <v>1</v>
      </c>
      <c r="N97" s="1128"/>
      <c r="O97" s="313">
        <f t="shared" si="22"/>
        <v>1</v>
      </c>
      <c r="P97" s="1128"/>
      <c r="Q97" s="313">
        <f t="shared" si="23"/>
        <v>1</v>
      </c>
      <c r="R97" s="1124">
        <f t="shared" si="24"/>
        <v>0</v>
      </c>
      <c r="S97" s="698">
        <f t="shared" si="15"/>
        <v>0</v>
      </c>
    </row>
    <row r="98" spans="1:19">
      <c r="A98" s="1126"/>
      <c r="B98" s="1126"/>
      <c r="C98" s="313">
        <f t="shared" si="16"/>
        <v>1</v>
      </c>
      <c r="D98" s="1128"/>
      <c r="E98" s="313">
        <f t="shared" si="17"/>
        <v>1</v>
      </c>
      <c r="F98" s="1128"/>
      <c r="G98" s="313">
        <f t="shared" si="18"/>
        <v>1</v>
      </c>
      <c r="H98" s="1128"/>
      <c r="I98" s="313">
        <f t="shared" si="19"/>
        <v>1</v>
      </c>
      <c r="J98" s="1128"/>
      <c r="K98" s="313">
        <f t="shared" si="20"/>
        <v>1</v>
      </c>
      <c r="L98" s="1128"/>
      <c r="M98" s="313">
        <f t="shared" si="21"/>
        <v>1</v>
      </c>
      <c r="N98" s="1128"/>
      <c r="O98" s="313">
        <f t="shared" si="22"/>
        <v>1</v>
      </c>
      <c r="P98" s="1128"/>
      <c r="Q98" s="313">
        <f t="shared" si="23"/>
        <v>1</v>
      </c>
      <c r="R98" s="1124">
        <f t="shared" si="24"/>
        <v>0</v>
      </c>
      <c r="S98" s="698">
        <f t="shared" si="15"/>
        <v>0</v>
      </c>
    </row>
    <row r="99" spans="1:19">
      <c r="A99" s="1126"/>
      <c r="B99" s="1126"/>
      <c r="C99" s="313">
        <f t="shared" si="16"/>
        <v>1</v>
      </c>
      <c r="D99" s="1128"/>
      <c r="E99" s="313">
        <f t="shared" si="17"/>
        <v>1</v>
      </c>
      <c r="F99" s="1128"/>
      <c r="G99" s="313">
        <f t="shared" si="18"/>
        <v>1</v>
      </c>
      <c r="H99" s="1128"/>
      <c r="I99" s="313">
        <f t="shared" si="19"/>
        <v>1</v>
      </c>
      <c r="J99" s="1128"/>
      <c r="K99" s="313">
        <f t="shared" si="20"/>
        <v>1</v>
      </c>
      <c r="L99" s="1128"/>
      <c r="M99" s="313">
        <f t="shared" si="21"/>
        <v>1</v>
      </c>
      <c r="N99" s="1128"/>
      <c r="O99" s="313">
        <f t="shared" si="22"/>
        <v>1</v>
      </c>
      <c r="P99" s="1128"/>
      <c r="Q99" s="313">
        <f t="shared" si="23"/>
        <v>1</v>
      </c>
      <c r="R99" s="1124">
        <f t="shared" si="24"/>
        <v>0</v>
      </c>
      <c r="S99" s="698">
        <f t="shared" si="15"/>
        <v>0</v>
      </c>
    </row>
    <row r="100" spans="1:19">
      <c r="A100" s="1126"/>
      <c r="B100" s="1126"/>
      <c r="C100" s="313">
        <f t="shared" si="16"/>
        <v>1</v>
      </c>
      <c r="D100" s="1128"/>
      <c r="E100" s="313">
        <f t="shared" si="17"/>
        <v>1</v>
      </c>
      <c r="F100" s="1128"/>
      <c r="G100" s="313">
        <f t="shared" si="18"/>
        <v>1</v>
      </c>
      <c r="H100" s="1128"/>
      <c r="I100" s="313">
        <f t="shared" si="19"/>
        <v>1</v>
      </c>
      <c r="J100" s="1128"/>
      <c r="K100" s="313">
        <f t="shared" si="20"/>
        <v>1</v>
      </c>
      <c r="L100" s="1128"/>
      <c r="M100" s="313">
        <f t="shared" si="21"/>
        <v>1</v>
      </c>
      <c r="N100" s="1128"/>
      <c r="O100" s="313">
        <f t="shared" si="22"/>
        <v>1</v>
      </c>
      <c r="P100" s="1128"/>
      <c r="Q100" s="313">
        <f t="shared" si="23"/>
        <v>1</v>
      </c>
      <c r="R100" s="1124">
        <f t="shared" si="24"/>
        <v>0</v>
      </c>
      <c r="S100" s="698">
        <f t="shared" si="15"/>
        <v>0</v>
      </c>
    </row>
    <row r="101" spans="1:19">
      <c r="A101" s="1126"/>
      <c r="B101" s="1126"/>
      <c r="C101" s="313">
        <f t="shared" si="16"/>
        <v>1</v>
      </c>
      <c r="D101" s="1128"/>
      <c r="E101" s="313">
        <f t="shared" si="17"/>
        <v>1</v>
      </c>
      <c r="F101" s="1128"/>
      <c r="G101" s="313">
        <f t="shared" si="18"/>
        <v>1</v>
      </c>
      <c r="H101" s="1128"/>
      <c r="I101" s="313">
        <f t="shared" si="19"/>
        <v>1</v>
      </c>
      <c r="J101" s="1128"/>
      <c r="K101" s="313">
        <f t="shared" si="20"/>
        <v>1</v>
      </c>
      <c r="L101" s="1128"/>
      <c r="M101" s="313">
        <f t="shared" si="21"/>
        <v>1</v>
      </c>
      <c r="N101" s="1128"/>
      <c r="O101" s="313">
        <f t="shared" si="22"/>
        <v>1</v>
      </c>
      <c r="P101" s="1128"/>
      <c r="Q101" s="313">
        <f t="shared" si="23"/>
        <v>1</v>
      </c>
      <c r="R101" s="1124">
        <f t="shared" si="24"/>
        <v>0</v>
      </c>
      <c r="S101" s="698">
        <f t="shared" si="15"/>
        <v>0</v>
      </c>
    </row>
    <row r="102" spans="1:19">
      <c r="A102" s="1126"/>
      <c r="B102" s="1126"/>
      <c r="C102" s="313">
        <f t="shared" si="16"/>
        <v>1</v>
      </c>
      <c r="D102" s="1128"/>
      <c r="E102" s="313">
        <f t="shared" si="17"/>
        <v>1</v>
      </c>
      <c r="F102" s="1128"/>
      <c r="G102" s="313">
        <f t="shared" si="18"/>
        <v>1</v>
      </c>
      <c r="H102" s="1128"/>
      <c r="I102" s="313">
        <f t="shared" si="19"/>
        <v>1</v>
      </c>
      <c r="J102" s="1128"/>
      <c r="K102" s="313">
        <f t="shared" si="20"/>
        <v>1</v>
      </c>
      <c r="L102" s="1128"/>
      <c r="M102" s="313">
        <f t="shared" si="21"/>
        <v>1</v>
      </c>
      <c r="N102" s="1128"/>
      <c r="O102" s="313">
        <f t="shared" si="22"/>
        <v>1</v>
      </c>
      <c r="P102" s="1128"/>
      <c r="Q102" s="313">
        <f t="shared" si="23"/>
        <v>1</v>
      </c>
      <c r="R102" s="1124">
        <f t="shared" si="24"/>
        <v>0</v>
      </c>
      <c r="S102" s="698">
        <f t="shared" si="15"/>
        <v>0</v>
      </c>
    </row>
    <row r="103" spans="1:19">
      <c r="A103" s="1126"/>
      <c r="B103" s="1126"/>
      <c r="C103" s="313">
        <f t="shared" si="16"/>
        <v>1</v>
      </c>
      <c r="D103" s="1128"/>
      <c r="E103" s="313">
        <f t="shared" si="17"/>
        <v>1</v>
      </c>
      <c r="F103" s="1128"/>
      <c r="G103" s="313">
        <f t="shared" si="18"/>
        <v>1</v>
      </c>
      <c r="H103" s="1128"/>
      <c r="I103" s="313">
        <f t="shared" si="19"/>
        <v>1</v>
      </c>
      <c r="J103" s="1128"/>
      <c r="K103" s="313">
        <f t="shared" si="20"/>
        <v>1</v>
      </c>
      <c r="L103" s="1128"/>
      <c r="M103" s="313">
        <f t="shared" si="21"/>
        <v>1</v>
      </c>
      <c r="N103" s="1128"/>
      <c r="O103" s="313">
        <f t="shared" si="22"/>
        <v>1</v>
      </c>
      <c r="P103" s="1128"/>
      <c r="Q103" s="313">
        <f t="shared" si="23"/>
        <v>1</v>
      </c>
      <c r="R103" s="1124">
        <f t="shared" si="24"/>
        <v>0</v>
      </c>
      <c r="S103" s="698">
        <f t="shared" si="15"/>
        <v>0</v>
      </c>
    </row>
    <row r="104" spans="1:19">
      <c r="A104" s="1126"/>
      <c r="B104" s="1126"/>
      <c r="C104" s="313">
        <f t="shared" si="16"/>
        <v>1</v>
      </c>
      <c r="D104" s="1128"/>
      <c r="E104" s="313">
        <f t="shared" si="17"/>
        <v>1</v>
      </c>
      <c r="F104" s="1128"/>
      <c r="G104" s="313">
        <f t="shared" si="18"/>
        <v>1</v>
      </c>
      <c r="H104" s="1128"/>
      <c r="I104" s="313">
        <f t="shared" si="19"/>
        <v>1</v>
      </c>
      <c r="J104" s="1128"/>
      <c r="K104" s="313">
        <f t="shared" si="20"/>
        <v>1</v>
      </c>
      <c r="L104" s="1128"/>
      <c r="M104" s="313">
        <f t="shared" si="21"/>
        <v>1</v>
      </c>
      <c r="N104" s="1128"/>
      <c r="O104" s="313">
        <f t="shared" si="22"/>
        <v>1</v>
      </c>
      <c r="P104" s="1128"/>
      <c r="Q104" s="313">
        <f t="shared" si="23"/>
        <v>1</v>
      </c>
      <c r="R104" s="1124">
        <f t="shared" si="24"/>
        <v>0</v>
      </c>
      <c r="S104" s="698">
        <f t="shared" si="15"/>
        <v>0</v>
      </c>
    </row>
    <row r="105" spans="1:19">
      <c r="A105" s="1126"/>
      <c r="B105" s="1126"/>
      <c r="C105" s="313">
        <f t="shared" si="16"/>
        <v>1</v>
      </c>
      <c r="D105" s="1128"/>
      <c r="E105" s="313">
        <f t="shared" si="17"/>
        <v>1</v>
      </c>
      <c r="F105" s="1128"/>
      <c r="G105" s="313">
        <f t="shared" si="18"/>
        <v>1</v>
      </c>
      <c r="H105" s="1128"/>
      <c r="I105" s="313">
        <f t="shared" si="19"/>
        <v>1</v>
      </c>
      <c r="J105" s="1128"/>
      <c r="K105" s="313">
        <f t="shared" si="20"/>
        <v>1</v>
      </c>
      <c r="L105" s="1128"/>
      <c r="M105" s="313">
        <f t="shared" si="21"/>
        <v>1</v>
      </c>
      <c r="N105" s="1128"/>
      <c r="O105" s="313">
        <f t="shared" si="22"/>
        <v>1</v>
      </c>
      <c r="P105" s="1128"/>
      <c r="Q105" s="313">
        <f t="shared" si="23"/>
        <v>1</v>
      </c>
      <c r="R105" s="1124">
        <f t="shared" si="24"/>
        <v>0</v>
      </c>
      <c r="S105" s="698">
        <f t="shared" si="15"/>
        <v>0</v>
      </c>
    </row>
    <row r="106" spans="1:19">
      <c r="A106" s="1126"/>
      <c r="B106" s="1126"/>
      <c r="C106" s="313">
        <f t="shared" si="16"/>
        <v>1</v>
      </c>
      <c r="D106" s="1128"/>
      <c r="E106" s="313">
        <f t="shared" si="17"/>
        <v>1</v>
      </c>
      <c r="F106" s="1128"/>
      <c r="G106" s="313">
        <f t="shared" si="18"/>
        <v>1</v>
      </c>
      <c r="H106" s="1128"/>
      <c r="I106" s="313">
        <f t="shared" si="19"/>
        <v>1</v>
      </c>
      <c r="J106" s="1128"/>
      <c r="K106" s="313">
        <f t="shared" si="20"/>
        <v>1</v>
      </c>
      <c r="L106" s="1128"/>
      <c r="M106" s="313">
        <f t="shared" si="21"/>
        <v>1</v>
      </c>
      <c r="N106" s="1128"/>
      <c r="O106" s="313">
        <f t="shared" si="22"/>
        <v>1</v>
      </c>
      <c r="P106" s="1128"/>
      <c r="Q106" s="313">
        <f t="shared" si="23"/>
        <v>1</v>
      </c>
      <c r="R106" s="1124">
        <f t="shared" si="24"/>
        <v>0</v>
      </c>
      <c r="S106" s="698">
        <f t="shared" si="15"/>
        <v>0</v>
      </c>
    </row>
    <row r="107" spans="1:19">
      <c r="A107" s="1126"/>
      <c r="B107" s="1126"/>
      <c r="C107" s="313">
        <f t="shared" si="16"/>
        <v>1</v>
      </c>
      <c r="D107" s="1128"/>
      <c r="E107" s="313">
        <f t="shared" si="17"/>
        <v>1</v>
      </c>
      <c r="F107" s="1128"/>
      <c r="G107" s="313">
        <f t="shared" si="18"/>
        <v>1</v>
      </c>
      <c r="H107" s="1128"/>
      <c r="I107" s="313">
        <f t="shared" si="19"/>
        <v>1</v>
      </c>
      <c r="J107" s="1128"/>
      <c r="K107" s="313">
        <f t="shared" si="20"/>
        <v>1</v>
      </c>
      <c r="L107" s="1128"/>
      <c r="M107" s="313">
        <f t="shared" si="21"/>
        <v>1</v>
      </c>
      <c r="N107" s="1128"/>
      <c r="O107" s="313">
        <f t="shared" si="22"/>
        <v>1</v>
      </c>
      <c r="P107" s="1128"/>
      <c r="Q107" s="313">
        <f t="shared" si="23"/>
        <v>1</v>
      </c>
      <c r="R107" s="1124">
        <f t="shared" si="24"/>
        <v>0</v>
      </c>
      <c r="S107" s="698">
        <f t="shared" si="15"/>
        <v>0</v>
      </c>
    </row>
    <row r="108" spans="1:19">
      <c r="A108" s="1126"/>
      <c r="B108" s="1126"/>
      <c r="C108" s="313">
        <f t="shared" si="16"/>
        <v>1</v>
      </c>
      <c r="D108" s="1128"/>
      <c r="E108" s="313">
        <f t="shared" si="17"/>
        <v>1</v>
      </c>
      <c r="F108" s="1128"/>
      <c r="G108" s="313">
        <f t="shared" si="18"/>
        <v>1</v>
      </c>
      <c r="H108" s="1128"/>
      <c r="I108" s="313">
        <f t="shared" si="19"/>
        <v>1</v>
      </c>
      <c r="J108" s="1128"/>
      <c r="K108" s="313">
        <f t="shared" si="20"/>
        <v>1</v>
      </c>
      <c r="L108" s="1128"/>
      <c r="M108" s="313">
        <f t="shared" si="21"/>
        <v>1</v>
      </c>
      <c r="N108" s="1128"/>
      <c r="O108" s="313">
        <f t="shared" si="22"/>
        <v>1</v>
      </c>
      <c r="P108" s="1128"/>
      <c r="Q108" s="313">
        <f t="shared" si="23"/>
        <v>1</v>
      </c>
      <c r="R108" s="1124">
        <f t="shared" si="24"/>
        <v>0</v>
      </c>
      <c r="S108" s="698">
        <f t="shared" si="15"/>
        <v>0</v>
      </c>
    </row>
    <row r="109" spans="1:19">
      <c r="A109" s="1126"/>
      <c r="B109" s="1126"/>
      <c r="C109" s="313">
        <f t="shared" si="16"/>
        <v>1</v>
      </c>
      <c r="D109" s="1128"/>
      <c r="E109" s="313">
        <f t="shared" si="17"/>
        <v>1</v>
      </c>
      <c r="F109" s="1128"/>
      <c r="G109" s="313">
        <f t="shared" si="18"/>
        <v>1</v>
      </c>
      <c r="H109" s="1128"/>
      <c r="I109" s="313">
        <f t="shared" si="19"/>
        <v>1</v>
      </c>
      <c r="J109" s="1128"/>
      <c r="K109" s="313">
        <f t="shared" si="20"/>
        <v>1</v>
      </c>
      <c r="L109" s="1128"/>
      <c r="M109" s="313">
        <f t="shared" si="21"/>
        <v>1</v>
      </c>
      <c r="N109" s="1128"/>
      <c r="O109" s="313">
        <f t="shared" si="22"/>
        <v>1</v>
      </c>
      <c r="P109" s="1128"/>
      <c r="Q109" s="313">
        <f t="shared" si="23"/>
        <v>1</v>
      </c>
      <c r="R109" s="1124">
        <f t="shared" si="24"/>
        <v>0</v>
      </c>
      <c r="S109" s="698">
        <f t="shared" si="15"/>
        <v>0</v>
      </c>
    </row>
    <row r="110" spans="1:19">
      <c r="A110" s="1126"/>
      <c r="B110" s="1126"/>
      <c r="C110" s="313">
        <f t="shared" si="16"/>
        <v>1</v>
      </c>
      <c r="D110" s="1128"/>
      <c r="E110" s="313">
        <f t="shared" si="17"/>
        <v>1</v>
      </c>
      <c r="F110" s="1128"/>
      <c r="G110" s="313">
        <f t="shared" si="18"/>
        <v>1</v>
      </c>
      <c r="H110" s="1128"/>
      <c r="I110" s="313">
        <f t="shared" si="19"/>
        <v>1</v>
      </c>
      <c r="J110" s="1128"/>
      <c r="K110" s="313">
        <f t="shared" si="20"/>
        <v>1</v>
      </c>
      <c r="L110" s="1128"/>
      <c r="M110" s="313">
        <f t="shared" si="21"/>
        <v>1</v>
      </c>
      <c r="N110" s="1128"/>
      <c r="O110" s="313">
        <f t="shared" si="22"/>
        <v>1</v>
      </c>
      <c r="P110" s="1128"/>
      <c r="Q110" s="313">
        <f t="shared" si="23"/>
        <v>1</v>
      </c>
      <c r="R110" s="1124">
        <f t="shared" si="24"/>
        <v>0</v>
      </c>
      <c r="S110" s="698">
        <f t="shared" si="15"/>
        <v>0</v>
      </c>
    </row>
    <row r="111" spans="1:19">
      <c r="A111" s="1126"/>
      <c r="B111" s="1126"/>
      <c r="C111" s="313">
        <f t="shared" si="16"/>
        <v>1</v>
      </c>
      <c r="D111" s="1128"/>
      <c r="E111" s="313">
        <f t="shared" si="17"/>
        <v>1</v>
      </c>
      <c r="F111" s="1128"/>
      <c r="G111" s="313">
        <f t="shared" si="18"/>
        <v>1</v>
      </c>
      <c r="H111" s="1128"/>
      <c r="I111" s="313">
        <f t="shared" si="19"/>
        <v>1</v>
      </c>
      <c r="J111" s="1128"/>
      <c r="K111" s="313">
        <f t="shared" si="20"/>
        <v>1</v>
      </c>
      <c r="L111" s="1128"/>
      <c r="M111" s="313">
        <f t="shared" si="21"/>
        <v>1</v>
      </c>
      <c r="N111" s="1128"/>
      <c r="O111" s="313">
        <f t="shared" si="22"/>
        <v>1</v>
      </c>
      <c r="P111" s="1128"/>
      <c r="Q111" s="313">
        <f t="shared" si="23"/>
        <v>1</v>
      </c>
      <c r="R111" s="1124">
        <f t="shared" si="24"/>
        <v>0</v>
      </c>
      <c r="S111" s="698">
        <f t="shared" si="15"/>
        <v>0</v>
      </c>
    </row>
    <row r="112" spans="1:19">
      <c r="A112" s="1126"/>
      <c r="B112" s="1126"/>
      <c r="C112" s="313">
        <f t="shared" si="16"/>
        <v>1</v>
      </c>
      <c r="D112" s="1128"/>
      <c r="E112" s="313">
        <f t="shared" si="17"/>
        <v>1</v>
      </c>
      <c r="F112" s="1128"/>
      <c r="G112" s="313">
        <f t="shared" si="18"/>
        <v>1</v>
      </c>
      <c r="H112" s="1128"/>
      <c r="I112" s="313">
        <f t="shared" si="19"/>
        <v>1</v>
      </c>
      <c r="J112" s="1128"/>
      <c r="K112" s="313">
        <f t="shared" si="20"/>
        <v>1</v>
      </c>
      <c r="L112" s="1128"/>
      <c r="M112" s="313">
        <f t="shared" si="21"/>
        <v>1</v>
      </c>
      <c r="N112" s="1128"/>
      <c r="O112" s="313">
        <f t="shared" si="22"/>
        <v>1</v>
      </c>
      <c r="P112" s="1128"/>
      <c r="Q112" s="313">
        <f t="shared" si="23"/>
        <v>1</v>
      </c>
      <c r="R112" s="1124">
        <f t="shared" si="24"/>
        <v>0</v>
      </c>
      <c r="S112" s="698">
        <f t="shared" si="15"/>
        <v>0</v>
      </c>
    </row>
    <row r="113" spans="1:19">
      <c r="A113" s="1126"/>
      <c r="B113" s="1126"/>
      <c r="C113" s="313">
        <f t="shared" si="16"/>
        <v>1</v>
      </c>
      <c r="D113" s="1128"/>
      <c r="E113" s="313">
        <f t="shared" si="17"/>
        <v>1</v>
      </c>
      <c r="F113" s="1128"/>
      <c r="G113" s="313">
        <f t="shared" si="18"/>
        <v>1</v>
      </c>
      <c r="H113" s="1128"/>
      <c r="I113" s="313">
        <f t="shared" si="19"/>
        <v>1</v>
      </c>
      <c r="J113" s="1128"/>
      <c r="K113" s="313">
        <f t="shared" si="20"/>
        <v>1</v>
      </c>
      <c r="L113" s="1128"/>
      <c r="M113" s="313">
        <f t="shared" si="21"/>
        <v>1</v>
      </c>
      <c r="N113" s="1128"/>
      <c r="O113" s="313">
        <f t="shared" si="22"/>
        <v>1</v>
      </c>
      <c r="P113" s="1128"/>
      <c r="Q113" s="313">
        <f t="shared" si="23"/>
        <v>1</v>
      </c>
      <c r="R113" s="1124">
        <f t="shared" si="24"/>
        <v>0</v>
      </c>
      <c r="S113" s="698">
        <f t="shared" si="15"/>
        <v>0</v>
      </c>
    </row>
    <row r="114" spans="1:19">
      <c r="A114" s="1126"/>
      <c r="B114" s="1126"/>
      <c r="C114" s="313">
        <f t="shared" si="16"/>
        <v>1</v>
      </c>
      <c r="D114" s="1128"/>
      <c r="E114" s="313">
        <f t="shared" si="17"/>
        <v>1</v>
      </c>
      <c r="F114" s="1128"/>
      <c r="G114" s="313">
        <f t="shared" si="18"/>
        <v>1</v>
      </c>
      <c r="H114" s="1128"/>
      <c r="I114" s="313">
        <f t="shared" si="19"/>
        <v>1</v>
      </c>
      <c r="J114" s="1128"/>
      <c r="K114" s="313">
        <f t="shared" si="20"/>
        <v>1</v>
      </c>
      <c r="L114" s="1128"/>
      <c r="M114" s="313">
        <f t="shared" si="21"/>
        <v>1</v>
      </c>
      <c r="N114" s="1128"/>
      <c r="O114" s="313">
        <f t="shared" si="22"/>
        <v>1</v>
      </c>
      <c r="P114" s="1128"/>
      <c r="Q114" s="313">
        <f t="shared" si="23"/>
        <v>1</v>
      </c>
      <c r="R114" s="1124">
        <f t="shared" si="24"/>
        <v>0</v>
      </c>
      <c r="S114" s="698">
        <f t="shared" si="15"/>
        <v>0</v>
      </c>
    </row>
    <row r="115" spans="1:19">
      <c r="A115" s="1126"/>
      <c r="B115" s="1126"/>
      <c r="C115" s="313">
        <f t="shared" si="16"/>
        <v>1</v>
      </c>
      <c r="D115" s="1128"/>
      <c r="E115" s="313">
        <f t="shared" si="17"/>
        <v>1</v>
      </c>
      <c r="F115" s="1128"/>
      <c r="G115" s="313">
        <f t="shared" si="18"/>
        <v>1</v>
      </c>
      <c r="H115" s="1128"/>
      <c r="I115" s="313">
        <f t="shared" si="19"/>
        <v>1</v>
      </c>
      <c r="J115" s="1128"/>
      <c r="K115" s="313">
        <f t="shared" si="20"/>
        <v>1</v>
      </c>
      <c r="L115" s="1128"/>
      <c r="M115" s="313">
        <f t="shared" si="21"/>
        <v>1</v>
      </c>
      <c r="N115" s="1128"/>
      <c r="O115" s="313">
        <f t="shared" si="22"/>
        <v>1</v>
      </c>
      <c r="P115" s="1128"/>
      <c r="Q115" s="313">
        <f t="shared" si="23"/>
        <v>1</v>
      </c>
      <c r="R115" s="1124">
        <f t="shared" si="24"/>
        <v>0</v>
      </c>
      <c r="S115" s="698">
        <f t="shared" si="15"/>
        <v>0</v>
      </c>
    </row>
    <row r="116" spans="1:19">
      <c r="A116" s="1126"/>
      <c r="B116" s="1126"/>
      <c r="C116" s="313">
        <f t="shared" si="16"/>
        <v>1</v>
      </c>
      <c r="D116" s="1128"/>
      <c r="E116" s="313">
        <f t="shared" si="17"/>
        <v>1</v>
      </c>
      <c r="F116" s="1128"/>
      <c r="G116" s="313">
        <f t="shared" si="18"/>
        <v>1</v>
      </c>
      <c r="H116" s="1128"/>
      <c r="I116" s="313">
        <f t="shared" si="19"/>
        <v>1</v>
      </c>
      <c r="J116" s="1128"/>
      <c r="K116" s="313">
        <f t="shared" si="20"/>
        <v>1</v>
      </c>
      <c r="L116" s="1128"/>
      <c r="M116" s="313">
        <f t="shared" si="21"/>
        <v>1</v>
      </c>
      <c r="N116" s="1128"/>
      <c r="O116" s="313">
        <f t="shared" si="22"/>
        <v>1</v>
      </c>
      <c r="P116" s="1128"/>
      <c r="Q116" s="313">
        <f t="shared" si="23"/>
        <v>1</v>
      </c>
      <c r="R116" s="1124">
        <f t="shared" si="24"/>
        <v>0</v>
      </c>
      <c r="S116" s="698">
        <f t="shared" si="15"/>
        <v>0</v>
      </c>
    </row>
    <row r="117" spans="1:19">
      <c r="A117" s="1126"/>
      <c r="B117" s="1126"/>
      <c r="C117" s="313">
        <f t="shared" si="16"/>
        <v>1</v>
      </c>
      <c r="D117" s="1128"/>
      <c r="E117" s="313">
        <f t="shared" si="17"/>
        <v>1</v>
      </c>
      <c r="F117" s="1128"/>
      <c r="G117" s="313">
        <f t="shared" si="18"/>
        <v>1</v>
      </c>
      <c r="H117" s="1128"/>
      <c r="I117" s="313">
        <f t="shared" si="19"/>
        <v>1</v>
      </c>
      <c r="J117" s="1128"/>
      <c r="K117" s="313">
        <f t="shared" si="20"/>
        <v>1</v>
      </c>
      <c r="L117" s="1128"/>
      <c r="M117" s="313">
        <f t="shared" si="21"/>
        <v>1</v>
      </c>
      <c r="N117" s="1128"/>
      <c r="O117" s="313">
        <f t="shared" si="22"/>
        <v>1</v>
      </c>
      <c r="P117" s="1128"/>
      <c r="Q117" s="313">
        <f t="shared" si="23"/>
        <v>1</v>
      </c>
      <c r="R117" s="1124">
        <f t="shared" si="24"/>
        <v>0</v>
      </c>
      <c r="S117" s="698">
        <f t="shared" si="15"/>
        <v>0</v>
      </c>
    </row>
    <row r="118" spans="1:19">
      <c r="A118" s="1126"/>
      <c r="B118" s="1126"/>
      <c r="C118" s="313">
        <f t="shared" si="16"/>
        <v>1</v>
      </c>
      <c r="D118" s="1128"/>
      <c r="E118" s="313">
        <f t="shared" si="17"/>
        <v>1</v>
      </c>
      <c r="F118" s="1128"/>
      <c r="G118" s="313">
        <f t="shared" si="18"/>
        <v>1</v>
      </c>
      <c r="H118" s="1128"/>
      <c r="I118" s="313">
        <f t="shared" si="19"/>
        <v>1</v>
      </c>
      <c r="J118" s="1128"/>
      <c r="K118" s="313">
        <f t="shared" si="20"/>
        <v>1</v>
      </c>
      <c r="L118" s="1128"/>
      <c r="M118" s="313">
        <f t="shared" si="21"/>
        <v>1</v>
      </c>
      <c r="N118" s="1128"/>
      <c r="O118" s="313">
        <f t="shared" si="22"/>
        <v>1</v>
      </c>
      <c r="P118" s="1128"/>
      <c r="Q118" s="313">
        <f t="shared" si="23"/>
        <v>1</v>
      </c>
      <c r="R118" s="1124">
        <f t="shared" si="24"/>
        <v>0</v>
      </c>
      <c r="S118" s="698">
        <f t="shared" si="15"/>
        <v>0</v>
      </c>
    </row>
    <row r="119" spans="1:19">
      <c r="A119" s="1126"/>
      <c r="B119" s="1126"/>
      <c r="C119" s="313">
        <f t="shared" si="16"/>
        <v>1</v>
      </c>
      <c r="D119" s="1128"/>
      <c r="E119" s="313">
        <f t="shared" si="17"/>
        <v>1</v>
      </c>
      <c r="F119" s="1128"/>
      <c r="G119" s="313">
        <f t="shared" si="18"/>
        <v>1</v>
      </c>
      <c r="H119" s="1128"/>
      <c r="I119" s="313">
        <f t="shared" si="19"/>
        <v>1</v>
      </c>
      <c r="J119" s="1128"/>
      <c r="K119" s="313">
        <f t="shared" si="20"/>
        <v>1</v>
      </c>
      <c r="L119" s="1128"/>
      <c r="M119" s="313">
        <f t="shared" si="21"/>
        <v>1</v>
      </c>
      <c r="N119" s="1128"/>
      <c r="O119" s="313">
        <f t="shared" si="22"/>
        <v>1</v>
      </c>
      <c r="P119" s="1128"/>
      <c r="Q119" s="313">
        <f t="shared" si="23"/>
        <v>1</v>
      </c>
      <c r="R119" s="1124">
        <f t="shared" si="24"/>
        <v>0</v>
      </c>
      <c r="S119" s="698">
        <f t="shared" si="15"/>
        <v>0</v>
      </c>
    </row>
    <row r="120" spans="1:19">
      <c r="A120" s="1126"/>
      <c r="B120" s="1126"/>
      <c r="C120" s="313">
        <f t="shared" si="16"/>
        <v>1</v>
      </c>
      <c r="D120" s="1128"/>
      <c r="E120" s="313">
        <f t="shared" si="17"/>
        <v>1</v>
      </c>
      <c r="F120" s="1128"/>
      <c r="G120" s="313">
        <f t="shared" si="18"/>
        <v>1</v>
      </c>
      <c r="H120" s="1128"/>
      <c r="I120" s="313">
        <f t="shared" si="19"/>
        <v>1</v>
      </c>
      <c r="J120" s="1128"/>
      <c r="K120" s="313">
        <f t="shared" si="20"/>
        <v>1</v>
      </c>
      <c r="L120" s="1128"/>
      <c r="M120" s="313">
        <f t="shared" si="21"/>
        <v>1</v>
      </c>
      <c r="N120" s="1128"/>
      <c r="O120" s="313">
        <f t="shared" si="22"/>
        <v>1</v>
      </c>
      <c r="P120" s="1128"/>
      <c r="Q120" s="313">
        <f t="shared" si="23"/>
        <v>1</v>
      </c>
      <c r="R120" s="1124">
        <f t="shared" si="24"/>
        <v>0</v>
      </c>
      <c r="S120" s="698">
        <f t="shared" si="15"/>
        <v>0</v>
      </c>
    </row>
    <row r="121" spans="1:19">
      <c r="A121" s="1126"/>
      <c r="B121" s="1126"/>
      <c r="C121" s="313">
        <f t="shared" si="16"/>
        <v>1</v>
      </c>
      <c r="D121" s="1128"/>
      <c r="E121" s="313">
        <f t="shared" si="17"/>
        <v>1</v>
      </c>
      <c r="F121" s="1128"/>
      <c r="G121" s="313">
        <f t="shared" si="18"/>
        <v>1</v>
      </c>
      <c r="H121" s="1128"/>
      <c r="I121" s="313">
        <f t="shared" si="19"/>
        <v>1</v>
      </c>
      <c r="J121" s="1128"/>
      <c r="K121" s="313">
        <f t="shared" si="20"/>
        <v>1</v>
      </c>
      <c r="L121" s="1128"/>
      <c r="M121" s="313">
        <f t="shared" si="21"/>
        <v>1</v>
      </c>
      <c r="N121" s="1128"/>
      <c r="O121" s="313">
        <f t="shared" si="22"/>
        <v>1</v>
      </c>
      <c r="P121" s="1128"/>
      <c r="Q121" s="313">
        <f t="shared" si="23"/>
        <v>1</v>
      </c>
      <c r="R121" s="1124">
        <f t="shared" si="24"/>
        <v>0</v>
      </c>
      <c r="S121" s="698">
        <f t="shared" si="15"/>
        <v>0</v>
      </c>
    </row>
    <row r="122" spans="1:19">
      <c r="A122" s="1126"/>
      <c r="B122" s="1126"/>
      <c r="C122" s="313">
        <f t="shared" si="16"/>
        <v>1</v>
      </c>
      <c r="D122" s="1128"/>
      <c r="E122" s="313">
        <f t="shared" si="17"/>
        <v>1</v>
      </c>
      <c r="F122" s="1128"/>
      <c r="G122" s="313">
        <f t="shared" si="18"/>
        <v>1</v>
      </c>
      <c r="H122" s="1128"/>
      <c r="I122" s="313">
        <f t="shared" si="19"/>
        <v>1</v>
      </c>
      <c r="J122" s="1128"/>
      <c r="K122" s="313">
        <f t="shared" si="20"/>
        <v>1</v>
      </c>
      <c r="L122" s="1128"/>
      <c r="M122" s="313">
        <f t="shared" si="21"/>
        <v>1</v>
      </c>
      <c r="N122" s="1128"/>
      <c r="O122" s="313">
        <f t="shared" si="22"/>
        <v>1</v>
      </c>
      <c r="P122" s="1128"/>
      <c r="Q122" s="313">
        <f t="shared" si="23"/>
        <v>1</v>
      </c>
      <c r="R122" s="1124">
        <f t="shared" si="24"/>
        <v>0</v>
      </c>
      <c r="S122" s="698">
        <f t="shared" si="15"/>
        <v>0</v>
      </c>
    </row>
    <row r="123" spans="1:19">
      <c r="A123" s="1126"/>
      <c r="B123" s="1126"/>
      <c r="C123" s="313">
        <f t="shared" si="16"/>
        <v>1</v>
      </c>
      <c r="D123" s="1128"/>
      <c r="E123" s="313">
        <f t="shared" si="17"/>
        <v>1</v>
      </c>
      <c r="F123" s="1128"/>
      <c r="G123" s="313">
        <f t="shared" si="18"/>
        <v>1</v>
      </c>
      <c r="H123" s="1128"/>
      <c r="I123" s="313">
        <f t="shared" si="19"/>
        <v>1</v>
      </c>
      <c r="J123" s="1128"/>
      <c r="K123" s="313">
        <f t="shared" si="20"/>
        <v>1</v>
      </c>
      <c r="L123" s="1128"/>
      <c r="M123" s="313">
        <f t="shared" si="21"/>
        <v>1</v>
      </c>
      <c r="N123" s="1128"/>
      <c r="O123" s="313">
        <f t="shared" si="22"/>
        <v>1</v>
      </c>
      <c r="P123" s="1128"/>
      <c r="Q123" s="313">
        <f t="shared" si="23"/>
        <v>1</v>
      </c>
      <c r="R123" s="1124">
        <f t="shared" si="24"/>
        <v>0</v>
      </c>
      <c r="S123" s="698">
        <f t="shared" si="15"/>
        <v>0</v>
      </c>
    </row>
    <row r="124" spans="1:19">
      <c r="A124" s="1126"/>
      <c r="B124" s="1126"/>
      <c r="C124" s="313">
        <f t="shared" si="16"/>
        <v>1</v>
      </c>
      <c r="D124" s="1128"/>
      <c r="E124" s="313">
        <f t="shared" si="17"/>
        <v>1</v>
      </c>
      <c r="F124" s="1128"/>
      <c r="G124" s="313">
        <f t="shared" si="18"/>
        <v>1</v>
      </c>
      <c r="H124" s="1128"/>
      <c r="I124" s="313">
        <f t="shared" si="19"/>
        <v>1</v>
      </c>
      <c r="J124" s="1128"/>
      <c r="K124" s="313">
        <f t="shared" si="20"/>
        <v>1</v>
      </c>
      <c r="L124" s="1128"/>
      <c r="M124" s="313">
        <f t="shared" si="21"/>
        <v>1</v>
      </c>
      <c r="N124" s="1128"/>
      <c r="O124" s="313">
        <f t="shared" si="22"/>
        <v>1</v>
      </c>
      <c r="P124" s="1128"/>
      <c r="Q124" s="313">
        <f t="shared" si="23"/>
        <v>1</v>
      </c>
      <c r="R124" s="1124">
        <f t="shared" si="24"/>
        <v>0</v>
      </c>
      <c r="S124" s="698">
        <f t="shared" si="15"/>
        <v>0</v>
      </c>
    </row>
    <row r="125" spans="1:19">
      <c r="A125" s="1126"/>
      <c r="B125" s="1126"/>
      <c r="C125" s="313">
        <f t="shared" si="16"/>
        <v>1</v>
      </c>
      <c r="D125" s="1128"/>
      <c r="E125" s="313">
        <f t="shared" si="17"/>
        <v>1</v>
      </c>
      <c r="F125" s="1128"/>
      <c r="G125" s="313">
        <f t="shared" si="18"/>
        <v>1</v>
      </c>
      <c r="H125" s="1128"/>
      <c r="I125" s="313">
        <f t="shared" si="19"/>
        <v>1</v>
      </c>
      <c r="J125" s="1128"/>
      <c r="K125" s="313">
        <f t="shared" si="20"/>
        <v>1</v>
      </c>
      <c r="L125" s="1128"/>
      <c r="M125" s="313">
        <f t="shared" si="21"/>
        <v>1</v>
      </c>
      <c r="N125" s="1128"/>
      <c r="O125" s="313">
        <f t="shared" si="22"/>
        <v>1</v>
      </c>
      <c r="P125" s="1128"/>
      <c r="Q125" s="313">
        <f t="shared" si="23"/>
        <v>1</v>
      </c>
      <c r="R125" s="1124">
        <f t="shared" si="24"/>
        <v>0</v>
      </c>
      <c r="S125" s="698">
        <f t="shared" si="15"/>
        <v>0</v>
      </c>
    </row>
    <row r="126" spans="1:19">
      <c r="A126" s="1126"/>
      <c r="B126" s="1126"/>
      <c r="C126" s="313">
        <f t="shared" si="16"/>
        <v>1</v>
      </c>
      <c r="D126" s="1128"/>
      <c r="E126" s="313">
        <f t="shared" si="17"/>
        <v>1</v>
      </c>
      <c r="F126" s="1128"/>
      <c r="G126" s="313">
        <f t="shared" si="18"/>
        <v>1</v>
      </c>
      <c r="H126" s="1128"/>
      <c r="I126" s="313">
        <f t="shared" si="19"/>
        <v>1</v>
      </c>
      <c r="J126" s="1128"/>
      <c r="K126" s="313">
        <f t="shared" si="20"/>
        <v>1</v>
      </c>
      <c r="L126" s="1128"/>
      <c r="M126" s="313">
        <f t="shared" si="21"/>
        <v>1</v>
      </c>
      <c r="N126" s="1128"/>
      <c r="O126" s="313">
        <f t="shared" si="22"/>
        <v>1</v>
      </c>
      <c r="P126" s="1128"/>
      <c r="Q126" s="313">
        <f t="shared" si="23"/>
        <v>1</v>
      </c>
      <c r="R126" s="1124">
        <f t="shared" si="24"/>
        <v>0</v>
      </c>
      <c r="S126" s="698">
        <f t="shared" si="15"/>
        <v>0</v>
      </c>
    </row>
    <row r="127" spans="1:19">
      <c r="A127" s="1126"/>
      <c r="B127" s="1126"/>
      <c r="C127" s="313">
        <f t="shared" si="16"/>
        <v>1</v>
      </c>
      <c r="D127" s="1128"/>
      <c r="E127" s="313">
        <f t="shared" si="17"/>
        <v>1</v>
      </c>
      <c r="F127" s="1128"/>
      <c r="G127" s="313">
        <f t="shared" si="18"/>
        <v>1</v>
      </c>
      <c r="H127" s="1128"/>
      <c r="I127" s="313">
        <f t="shared" si="19"/>
        <v>1</v>
      </c>
      <c r="J127" s="1128"/>
      <c r="K127" s="313">
        <f t="shared" si="20"/>
        <v>1</v>
      </c>
      <c r="L127" s="1128"/>
      <c r="M127" s="313">
        <f t="shared" si="21"/>
        <v>1</v>
      </c>
      <c r="N127" s="1128"/>
      <c r="O127" s="313">
        <f t="shared" si="22"/>
        <v>1</v>
      </c>
      <c r="P127" s="1128"/>
      <c r="Q127" s="313">
        <f t="shared" si="23"/>
        <v>1</v>
      </c>
      <c r="R127" s="1124">
        <f t="shared" si="24"/>
        <v>0</v>
      </c>
      <c r="S127" s="698">
        <f t="shared" si="15"/>
        <v>0</v>
      </c>
    </row>
    <row r="128" spans="1:19">
      <c r="A128" s="1126"/>
      <c r="B128" s="1126"/>
      <c r="C128" s="313">
        <f t="shared" si="16"/>
        <v>1</v>
      </c>
      <c r="D128" s="1128"/>
      <c r="E128" s="313">
        <f t="shared" si="17"/>
        <v>1</v>
      </c>
      <c r="F128" s="1128"/>
      <c r="G128" s="313">
        <f t="shared" si="18"/>
        <v>1</v>
      </c>
      <c r="H128" s="1128"/>
      <c r="I128" s="313">
        <f t="shared" si="19"/>
        <v>1</v>
      </c>
      <c r="J128" s="1128"/>
      <c r="K128" s="313">
        <f t="shared" si="20"/>
        <v>1</v>
      </c>
      <c r="L128" s="1128"/>
      <c r="M128" s="313">
        <f t="shared" si="21"/>
        <v>1</v>
      </c>
      <c r="N128" s="1128"/>
      <c r="O128" s="313">
        <f t="shared" si="22"/>
        <v>1</v>
      </c>
      <c r="P128" s="1128"/>
      <c r="Q128" s="313">
        <f t="shared" si="23"/>
        <v>1</v>
      </c>
      <c r="R128" s="1124">
        <f t="shared" si="24"/>
        <v>0</v>
      </c>
      <c r="S128" s="698">
        <f t="shared" si="15"/>
        <v>0</v>
      </c>
    </row>
    <row r="129" spans="1:19">
      <c r="A129" s="1126"/>
      <c r="B129" s="1126"/>
      <c r="C129" s="313">
        <f t="shared" si="16"/>
        <v>1</v>
      </c>
      <c r="D129" s="1128"/>
      <c r="E129" s="313">
        <f t="shared" si="17"/>
        <v>1</v>
      </c>
      <c r="F129" s="1128"/>
      <c r="G129" s="313">
        <f t="shared" si="18"/>
        <v>1</v>
      </c>
      <c r="H129" s="1128"/>
      <c r="I129" s="313">
        <f t="shared" si="19"/>
        <v>1</v>
      </c>
      <c r="J129" s="1128"/>
      <c r="K129" s="313">
        <f t="shared" si="20"/>
        <v>1</v>
      </c>
      <c r="L129" s="1128"/>
      <c r="M129" s="313">
        <f t="shared" si="21"/>
        <v>1</v>
      </c>
      <c r="N129" s="1128"/>
      <c r="O129" s="313">
        <f t="shared" si="22"/>
        <v>1</v>
      </c>
      <c r="P129" s="1128"/>
      <c r="Q129" s="313">
        <f t="shared" si="23"/>
        <v>1</v>
      </c>
      <c r="R129" s="1124">
        <f t="shared" si="24"/>
        <v>0</v>
      </c>
      <c r="S129" s="698">
        <f t="shared" si="15"/>
        <v>0</v>
      </c>
    </row>
    <row r="130" spans="1:19">
      <c r="A130" s="1126"/>
      <c r="B130" s="1126"/>
      <c r="C130" s="313">
        <f t="shared" si="16"/>
        <v>1</v>
      </c>
      <c r="D130" s="1128"/>
      <c r="E130" s="313">
        <f t="shared" si="17"/>
        <v>1</v>
      </c>
      <c r="F130" s="1128"/>
      <c r="G130" s="313">
        <f t="shared" si="18"/>
        <v>1</v>
      </c>
      <c r="H130" s="1128"/>
      <c r="I130" s="313">
        <f t="shared" si="19"/>
        <v>1</v>
      </c>
      <c r="J130" s="1128"/>
      <c r="K130" s="313">
        <f t="shared" si="20"/>
        <v>1</v>
      </c>
      <c r="L130" s="1128"/>
      <c r="M130" s="313">
        <f t="shared" si="21"/>
        <v>1</v>
      </c>
      <c r="N130" s="1128"/>
      <c r="O130" s="313">
        <f t="shared" si="22"/>
        <v>1</v>
      </c>
      <c r="P130" s="1128"/>
      <c r="Q130" s="313">
        <f t="shared" si="23"/>
        <v>1</v>
      </c>
      <c r="R130" s="1124">
        <f t="shared" si="24"/>
        <v>0</v>
      </c>
      <c r="S130" s="698">
        <f t="shared" si="15"/>
        <v>0</v>
      </c>
    </row>
    <row r="131" spans="1:19">
      <c r="A131" s="1126"/>
      <c r="B131" s="1126"/>
      <c r="C131" s="313">
        <f t="shared" si="16"/>
        <v>1</v>
      </c>
      <c r="D131" s="1128"/>
      <c r="E131" s="313">
        <f t="shared" si="17"/>
        <v>1</v>
      </c>
      <c r="F131" s="1128"/>
      <c r="G131" s="313">
        <f t="shared" si="18"/>
        <v>1</v>
      </c>
      <c r="H131" s="1128"/>
      <c r="I131" s="313">
        <f t="shared" si="19"/>
        <v>1</v>
      </c>
      <c r="J131" s="1128"/>
      <c r="K131" s="313">
        <f t="shared" si="20"/>
        <v>1</v>
      </c>
      <c r="L131" s="1128"/>
      <c r="M131" s="313">
        <f t="shared" si="21"/>
        <v>1</v>
      </c>
      <c r="N131" s="1128"/>
      <c r="O131" s="313">
        <f t="shared" si="22"/>
        <v>1</v>
      </c>
      <c r="P131" s="1128"/>
      <c r="Q131" s="313">
        <f t="shared" si="23"/>
        <v>1</v>
      </c>
      <c r="R131" s="1124">
        <f t="shared" si="24"/>
        <v>0</v>
      </c>
      <c r="S131" s="698">
        <f t="shared" si="15"/>
        <v>0</v>
      </c>
    </row>
    <row r="132" spans="1:19">
      <c r="A132" s="1126"/>
      <c r="B132" s="1126"/>
      <c r="C132" s="313">
        <f t="shared" si="16"/>
        <v>1</v>
      </c>
      <c r="D132" s="1128"/>
      <c r="E132" s="313">
        <f t="shared" si="17"/>
        <v>1</v>
      </c>
      <c r="F132" s="1128"/>
      <c r="G132" s="313">
        <f t="shared" si="18"/>
        <v>1</v>
      </c>
      <c r="H132" s="1128"/>
      <c r="I132" s="313">
        <f t="shared" si="19"/>
        <v>1</v>
      </c>
      <c r="J132" s="1128"/>
      <c r="K132" s="313">
        <f t="shared" si="20"/>
        <v>1</v>
      </c>
      <c r="L132" s="1128"/>
      <c r="M132" s="313">
        <f t="shared" si="21"/>
        <v>1</v>
      </c>
      <c r="N132" s="1128"/>
      <c r="O132" s="313">
        <f t="shared" si="22"/>
        <v>1</v>
      </c>
      <c r="P132" s="1128"/>
      <c r="Q132" s="313">
        <f t="shared" si="23"/>
        <v>1</v>
      </c>
      <c r="R132" s="1124">
        <f t="shared" si="24"/>
        <v>0</v>
      </c>
      <c r="S132" s="698">
        <f t="shared" si="15"/>
        <v>0</v>
      </c>
    </row>
    <row r="133" spans="1:19">
      <c r="A133" s="1126"/>
      <c r="B133" s="1126"/>
      <c r="C133" s="313">
        <f t="shared" si="16"/>
        <v>1</v>
      </c>
      <c r="D133" s="1128"/>
      <c r="E133" s="313">
        <f t="shared" si="17"/>
        <v>1</v>
      </c>
      <c r="F133" s="1128"/>
      <c r="G133" s="313">
        <f t="shared" si="18"/>
        <v>1</v>
      </c>
      <c r="H133" s="1128"/>
      <c r="I133" s="313">
        <f t="shared" si="19"/>
        <v>1</v>
      </c>
      <c r="J133" s="1128"/>
      <c r="K133" s="313">
        <f t="shared" si="20"/>
        <v>1</v>
      </c>
      <c r="L133" s="1128"/>
      <c r="M133" s="313">
        <f t="shared" si="21"/>
        <v>1</v>
      </c>
      <c r="N133" s="1128"/>
      <c r="O133" s="313">
        <f t="shared" si="22"/>
        <v>1</v>
      </c>
      <c r="P133" s="1128"/>
      <c r="Q133" s="313">
        <f t="shared" si="23"/>
        <v>1</v>
      </c>
      <c r="R133" s="1124">
        <f t="shared" si="24"/>
        <v>0</v>
      </c>
      <c r="S133" s="698">
        <f t="shared" si="15"/>
        <v>0</v>
      </c>
    </row>
    <row r="134" spans="1:19">
      <c r="A134" s="1126"/>
      <c r="B134" s="1126"/>
      <c r="C134" s="313">
        <f t="shared" si="16"/>
        <v>1</v>
      </c>
      <c r="D134" s="1128"/>
      <c r="E134" s="313">
        <f t="shared" si="17"/>
        <v>1</v>
      </c>
      <c r="F134" s="1128"/>
      <c r="G134" s="313">
        <f t="shared" si="18"/>
        <v>1</v>
      </c>
      <c r="H134" s="1128"/>
      <c r="I134" s="313">
        <f t="shared" si="19"/>
        <v>1</v>
      </c>
      <c r="J134" s="1128"/>
      <c r="K134" s="313">
        <f t="shared" si="20"/>
        <v>1</v>
      </c>
      <c r="L134" s="1128"/>
      <c r="M134" s="313">
        <f t="shared" si="21"/>
        <v>1</v>
      </c>
      <c r="N134" s="1128"/>
      <c r="O134" s="313">
        <f t="shared" si="22"/>
        <v>1</v>
      </c>
      <c r="P134" s="1128"/>
      <c r="Q134" s="313">
        <f t="shared" si="23"/>
        <v>1</v>
      </c>
      <c r="R134" s="1124">
        <f t="shared" si="24"/>
        <v>0</v>
      </c>
      <c r="S134" s="698">
        <f t="shared" si="15"/>
        <v>0</v>
      </c>
    </row>
    <row r="135" spans="1:19">
      <c r="A135" s="1126"/>
      <c r="B135" s="1126"/>
      <c r="C135" s="313">
        <f t="shared" si="16"/>
        <v>1</v>
      </c>
      <c r="D135" s="1128"/>
      <c r="E135" s="313">
        <f t="shared" si="17"/>
        <v>1</v>
      </c>
      <c r="F135" s="1128"/>
      <c r="G135" s="313">
        <f t="shared" si="18"/>
        <v>1</v>
      </c>
      <c r="H135" s="1128"/>
      <c r="I135" s="313">
        <f t="shared" si="19"/>
        <v>1</v>
      </c>
      <c r="J135" s="1128"/>
      <c r="K135" s="313">
        <f t="shared" si="20"/>
        <v>1</v>
      </c>
      <c r="L135" s="1128"/>
      <c r="M135" s="313">
        <f t="shared" si="21"/>
        <v>1</v>
      </c>
      <c r="N135" s="1128"/>
      <c r="O135" s="313">
        <f t="shared" si="22"/>
        <v>1</v>
      </c>
      <c r="P135" s="1128"/>
      <c r="Q135" s="313">
        <f t="shared" si="23"/>
        <v>1</v>
      </c>
      <c r="R135" s="1124">
        <f t="shared" si="24"/>
        <v>0</v>
      </c>
      <c r="S135" s="698">
        <f t="shared" si="15"/>
        <v>0</v>
      </c>
    </row>
    <row r="136" spans="1:19">
      <c r="A136" s="1126"/>
      <c r="B136" s="1126"/>
      <c r="C136" s="313">
        <f t="shared" si="16"/>
        <v>1</v>
      </c>
      <c r="D136" s="1128"/>
      <c r="E136" s="313">
        <f t="shared" si="17"/>
        <v>1</v>
      </c>
      <c r="F136" s="1128"/>
      <c r="G136" s="313">
        <f t="shared" si="18"/>
        <v>1</v>
      </c>
      <c r="H136" s="1128"/>
      <c r="I136" s="313">
        <f t="shared" si="19"/>
        <v>1</v>
      </c>
      <c r="J136" s="1128"/>
      <c r="K136" s="313">
        <f t="shared" si="20"/>
        <v>1</v>
      </c>
      <c r="L136" s="1128"/>
      <c r="M136" s="313">
        <f t="shared" si="21"/>
        <v>1</v>
      </c>
      <c r="N136" s="1128"/>
      <c r="O136" s="313">
        <f t="shared" si="22"/>
        <v>1</v>
      </c>
      <c r="P136" s="1128"/>
      <c r="Q136" s="313">
        <f t="shared" si="23"/>
        <v>1</v>
      </c>
      <c r="R136" s="1124">
        <f t="shared" si="24"/>
        <v>0</v>
      </c>
      <c r="S136" s="698">
        <f t="shared" si="15"/>
        <v>0</v>
      </c>
    </row>
    <row r="137" spans="1:19">
      <c r="A137" s="1126"/>
      <c r="B137" s="1126"/>
      <c r="C137" s="313">
        <f t="shared" si="16"/>
        <v>1</v>
      </c>
      <c r="D137" s="1128"/>
      <c r="E137" s="313">
        <f t="shared" si="17"/>
        <v>1</v>
      </c>
      <c r="F137" s="1128"/>
      <c r="G137" s="313">
        <f t="shared" si="18"/>
        <v>1</v>
      </c>
      <c r="H137" s="1128"/>
      <c r="I137" s="313">
        <f t="shared" si="19"/>
        <v>1</v>
      </c>
      <c r="J137" s="1128"/>
      <c r="K137" s="313">
        <f t="shared" si="20"/>
        <v>1</v>
      </c>
      <c r="L137" s="1128"/>
      <c r="M137" s="313">
        <f t="shared" si="21"/>
        <v>1</v>
      </c>
      <c r="N137" s="1128"/>
      <c r="O137" s="313">
        <f t="shared" si="22"/>
        <v>1</v>
      </c>
      <c r="P137" s="1128"/>
      <c r="Q137" s="313">
        <f t="shared" si="23"/>
        <v>1</v>
      </c>
      <c r="R137" s="1124">
        <f t="shared" si="24"/>
        <v>0</v>
      </c>
      <c r="S137" s="698">
        <f t="shared" si="15"/>
        <v>0</v>
      </c>
    </row>
    <row r="138" spans="1:19">
      <c r="A138" s="1126"/>
      <c r="B138" s="1126"/>
      <c r="C138" s="313">
        <f t="shared" si="16"/>
        <v>1</v>
      </c>
      <c r="D138" s="1128"/>
      <c r="E138" s="313">
        <f t="shared" si="17"/>
        <v>1</v>
      </c>
      <c r="F138" s="1128"/>
      <c r="G138" s="313">
        <f t="shared" si="18"/>
        <v>1</v>
      </c>
      <c r="H138" s="1128"/>
      <c r="I138" s="313">
        <f t="shared" si="19"/>
        <v>1</v>
      </c>
      <c r="J138" s="1128"/>
      <c r="K138" s="313">
        <f t="shared" si="20"/>
        <v>1</v>
      </c>
      <c r="L138" s="1128"/>
      <c r="M138" s="313">
        <f t="shared" si="21"/>
        <v>1</v>
      </c>
      <c r="N138" s="1128"/>
      <c r="O138" s="313">
        <f t="shared" si="22"/>
        <v>1</v>
      </c>
      <c r="P138" s="1128"/>
      <c r="Q138" s="313">
        <f t="shared" si="23"/>
        <v>1</v>
      </c>
      <c r="R138" s="1124">
        <f t="shared" si="24"/>
        <v>0</v>
      </c>
      <c r="S138" s="698">
        <f t="shared" si="15"/>
        <v>0</v>
      </c>
    </row>
    <row r="139" spans="1:19">
      <c r="A139" s="1126"/>
      <c r="B139" s="1126"/>
      <c r="C139" s="313">
        <f t="shared" si="16"/>
        <v>1</v>
      </c>
      <c r="D139" s="1128"/>
      <c r="E139" s="313">
        <f t="shared" si="17"/>
        <v>1</v>
      </c>
      <c r="F139" s="1128"/>
      <c r="G139" s="313">
        <f t="shared" si="18"/>
        <v>1</v>
      </c>
      <c r="H139" s="1128"/>
      <c r="I139" s="313">
        <f t="shared" si="19"/>
        <v>1</v>
      </c>
      <c r="J139" s="1128"/>
      <c r="K139" s="313">
        <f t="shared" si="20"/>
        <v>1</v>
      </c>
      <c r="L139" s="1128"/>
      <c r="M139" s="313">
        <f t="shared" si="21"/>
        <v>1</v>
      </c>
      <c r="N139" s="1128"/>
      <c r="O139" s="313">
        <f t="shared" si="22"/>
        <v>1</v>
      </c>
      <c r="P139" s="1128"/>
      <c r="Q139" s="313">
        <f t="shared" si="23"/>
        <v>1</v>
      </c>
      <c r="R139" s="1124">
        <f t="shared" si="24"/>
        <v>0</v>
      </c>
      <c r="S139" s="698">
        <f t="shared" si="15"/>
        <v>0</v>
      </c>
    </row>
    <row r="140" spans="1:19">
      <c r="A140" s="1126"/>
      <c r="B140" s="1126"/>
      <c r="C140" s="313">
        <f t="shared" si="16"/>
        <v>1</v>
      </c>
      <c r="D140" s="1128"/>
      <c r="E140" s="313">
        <f t="shared" si="17"/>
        <v>1</v>
      </c>
      <c r="F140" s="1128"/>
      <c r="G140" s="313">
        <f t="shared" si="18"/>
        <v>1</v>
      </c>
      <c r="H140" s="1128"/>
      <c r="I140" s="313">
        <f t="shared" si="19"/>
        <v>1</v>
      </c>
      <c r="J140" s="1128"/>
      <c r="K140" s="313">
        <f t="shared" si="20"/>
        <v>1</v>
      </c>
      <c r="L140" s="1128"/>
      <c r="M140" s="313">
        <f t="shared" si="21"/>
        <v>1</v>
      </c>
      <c r="N140" s="1128"/>
      <c r="O140" s="313">
        <f t="shared" si="22"/>
        <v>1</v>
      </c>
      <c r="P140" s="1128"/>
      <c r="Q140" s="313">
        <f t="shared" si="23"/>
        <v>1</v>
      </c>
      <c r="R140" s="1124">
        <f t="shared" si="24"/>
        <v>0</v>
      </c>
      <c r="S140" s="698">
        <f t="shared" si="15"/>
        <v>0</v>
      </c>
    </row>
    <row r="141" spans="1:19">
      <c r="A141" s="1126"/>
      <c r="B141" s="1126"/>
      <c r="C141" s="313">
        <f t="shared" si="16"/>
        <v>1</v>
      </c>
      <c r="D141" s="1128"/>
      <c r="E141" s="313">
        <f t="shared" si="17"/>
        <v>1</v>
      </c>
      <c r="F141" s="1128"/>
      <c r="G141" s="313">
        <f t="shared" si="18"/>
        <v>1</v>
      </c>
      <c r="H141" s="1128"/>
      <c r="I141" s="313">
        <f t="shared" si="19"/>
        <v>1</v>
      </c>
      <c r="J141" s="1128"/>
      <c r="K141" s="313">
        <f t="shared" si="20"/>
        <v>1</v>
      </c>
      <c r="L141" s="1128"/>
      <c r="M141" s="313">
        <f t="shared" si="21"/>
        <v>1</v>
      </c>
      <c r="N141" s="1128"/>
      <c r="O141" s="313">
        <f t="shared" si="22"/>
        <v>1</v>
      </c>
      <c r="P141" s="1128"/>
      <c r="Q141" s="313">
        <f t="shared" si="23"/>
        <v>1</v>
      </c>
      <c r="R141" s="1124">
        <f t="shared" si="24"/>
        <v>0</v>
      </c>
      <c r="S141" s="698">
        <f t="shared" si="15"/>
        <v>0</v>
      </c>
    </row>
    <row r="142" spans="1:19">
      <c r="A142" s="1126"/>
      <c r="B142" s="1126"/>
      <c r="C142" s="313">
        <f t="shared" si="16"/>
        <v>1</v>
      </c>
      <c r="D142" s="1128"/>
      <c r="E142" s="313">
        <f t="shared" si="17"/>
        <v>1</v>
      </c>
      <c r="F142" s="1128"/>
      <c r="G142" s="313">
        <f t="shared" si="18"/>
        <v>1</v>
      </c>
      <c r="H142" s="1128"/>
      <c r="I142" s="313">
        <f t="shared" si="19"/>
        <v>1</v>
      </c>
      <c r="J142" s="1128"/>
      <c r="K142" s="313">
        <f t="shared" si="20"/>
        <v>1</v>
      </c>
      <c r="L142" s="1128"/>
      <c r="M142" s="313">
        <f t="shared" si="21"/>
        <v>1</v>
      </c>
      <c r="N142" s="1128"/>
      <c r="O142" s="313">
        <f t="shared" si="22"/>
        <v>1</v>
      </c>
      <c r="P142" s="1128"/>
      <c r="Q142" s="313">
        <f t="shared" si="23"/>
        <v>1</v>
      </c>
      <c r="R142" s="1124">
        <f t="shared" si="24"/>
        <v>0</v>
      </c>
      <c r="S142" s="698">
        <f t="shared" si="15"/>
        <v>0</v>
      </c>
    </row>
    <row r="143" spans="1:19">
      <c r="A143" s="1126"/>
      <c r="B143" s="1126"/>
      <c r="C143" s="313">
        <f t="shared" si="16"/>
        <v>1</v>
      </c>
      <c r="D143" s="1128"/>
      <c r="E143" s="313">
        <f t="shared" si="17"/>
        <v>1</v>
      </c>
      <c r="F143" s="1128"/>
      <c r="G143" s="313">
        <f t="shared" si="18"/>
        <v>1</v>
      </c>
      <c r="H143" s="1128"/>
      <c r="I143" s="313">
        <f t="shared" si="19"/>
        <v>1</v>
      </c>
      <c r="J143" s="1128"/>
      <c r="K143" s="313">
        <f t="shared" si="20"/>
        <v>1</v>
      </c>
      <c r="L143" s="1128"/>
      <c r="M143" s="313">
        <f t="shared" si="21"/>
        <v>1</v>
      </c>
      <c r="N143" s="1128"/>
      <c r="O143" s="313">
        <f t="shared" si="22"/>
        <v>1</v>
      </c>
      <c r="P143" s="1128"/>
      <c r="Q143" s="313">
        <f t="shared" si="23"/>
        <v>1</v>
      </c>
      <c r="R143" s="1124">
        <f t="shared" si="24"/>
        <v>0</v>
      </c>
      <c r="S143" s="698">
        <f t="shared" si="15"/>
        <v>0</v>
      </c>
    </row>
    <row r="144" spans="1:19">
      <c r="A144" s="1126"/>
      <c r="B144" s="1126"/>
      <c r="C144" s="313">
        <f t="shared" si="16"/>
        <v>1</v>
      </c>
      <c r="D144" s="1128"/>
      <c r="E144" s="313">
        <f t="shared" si="17"/>
        <v>1</v>
      </c>
      <c r="F144" s="1128"/>
      <c r="G144" s="313">
        <f t="shared" si="18"/>
        <v>1</v>
      </c>
      <c r="H144" s="1128"/>
      <c r="I144" s="313">
        <f t="shared" si="19"/>
        <v>1</v>
      </c>
      <c r="J144" s="1128"/>
      <c r="K144" s="313">
        <f t="shared" si="20"/>
        <v>1</v>
      </c>
      <c r="L144" s="1128"/>
      <c r="M144" s="313">
        <f t="shared" si="21"/>
        <v>1</v>
      </c>
      <c r="N144" s="1128"/>
      <c r="O144" s="313">
        <f t="shared" si="22"/>
        <v>1</v>
      </c>
      <c r="P144" s="1128"/>
      <c r="Q144" s="313">
        <f t="shared" si="23"/>
        <v>1</v>
      </c>
      <c r="R144" s="1124">
        <f t="shared" si="24"/>
        <v>0</v>
      </c>
      <c r="S144" s="698">
        <f t="shared" si="15"/>
        <v>0</v>
      </c>
    </row>
    <row r="145" spans="1:19">
      <c r="A145" s="1126"/>
      <c r="B145" s="1126"/>
      <c r="C145" s="313">
        <f t="shared" si="16"/>
        <v>1</v>
      </c>
      <c r="D145" s="1128"/>
      <c r="E145" s="313">
        <f t="shared" si="17"/>
        <v>1</v>
      </c>
      <c r="F145" s="1128"/>
      <c r="G145" s="313">
        <f t="shared" si="18"/>
        <v>1</v>
      </c>
      <c r="H145" s="1128"/>
      <c r="I145" s="313">
        <f t="shared" si="19"/>
        <v>1</v>
      </c>
      <c r="J145" s="1128"/>
      <c r="K145" s="313">
        <f t="shared" si="20"/>
        <v>1</v>
      </c>
      <c r="L145" s="1128"/>
      <c r="M145" s="313">
        <f t="shared" si="21"/>
        <v>1</v>
      </c>
      <c r="N145" s="1128"/>
      <c r="O145" s="313">
        <f t="shared" si="22"/>
        <v>1</v>
      </c>
      <c r="P145" s="1128"/>
      <c r="Q145" s="313">
        <f t="shared" si="23"/>
        <v>1</v>
      </c>
      <c r="R145" s="1124">
        <f t="shared" si="24"/>
        <v>0</v>
      </c>
      <c r="S145" s="698">
        <f t="shared" si="15"/>
        <v>0</v>
      </c>
    </row>
    <row r="146" spans="1:19">
      <c r="A146" s="1126"/>
      <c r="B146" s="1126"/>
      <c r="C146" s="313">
        <f t="shared" si="16"/>
        <v>1</v>
      </c>
      <c r="D146" s="1128"/>
      <c r="E146" s="313">
        <f t="shared" si="17"/>
        <v>1</v>
      </c>
      <c r="F146" s="1128"/>
      <c r="G146" s="313">
        <f t="shared" si="18"/>
        <v>1</v>
      </c>
      <c r="H146" s="1128"/>
      <c r="I146" s="313">
        <f t="shared" si="19"/>
        <v>1</v>
      </c>
      <c r="J146" s="1128"/>
      <c r="K146" s="313">
        <f t="shared" si="20"/>
        <v>1</v>
      </c>
      <c r="L146" s="1128"/>
      <c r="M146" s="313">
        <f t="shared" si="21"/>
        <v>1</v>
      </c>
      <c r="N146" s="1128"/>
      <c r="O146" s="313">
        <f t="shared" si="22"/>
        <v>1</v>
      </c>
      <c r="P146" s="1128"/>
      <c r="Q146" s="313">
        <f t="shared" si="23"/>
        <v>1</v>
      </c>
      <c r="R146" s="1124">
        <f t="shared" si="24"/>
        <v>0</v>
      </c>
      <c r="S146" s="698">
        <f t="shared" si="15"/>
        <v>0</v>
      </c>
    </row>
    <row r="147" spans="1:19">
      <c r="A147" s="1126"/>
      <c r="B147" s="1126"/>
      <c r="C147" s="313">
        <f t="shared" si="16"/>
        <v>1</v>
      </c>
      <c r="D147" s="1128"/>
      <c r="E147" s="313">
        <f t="shared" si="17"/>
        <v>1</v>
      </c>
      <c r="F147" s="1128"/>
      <c r="G147" s="313">
        <f t="shared" si="18"/>
        <v>1</v>
      </c>
      <c r="H147" s="1128"/>
      <c r="I147" s="313">
        <f t="shared" si="19"/>
        <v>1</v>
      </c>
      <c r="J147" s="1128"/>
      <c r="K147" s="313">
        <f t="shared" si="20"/>
        <v>1</v>
      </c>
      <c r="L147" s="1128"/>
      <c r="M147" s="313">
        <f t="shared" si="21"/>
        <v>1</v>
      </c>
      <c r="N147" s="1128"/>
      <c r="O147" s="313">
        <f t="shared" si="22"/>
        <v>1</v>
      </c>
      <c r="P147" s="1128"/>
      <c r="Q147" s="313">
        <f t="shared" si="23"/>
        <v>1</v>
      </c>
      <c r="R147" s="1124">
        <f t="shared" si="24"/>
        <v>0</v>
      </c>
      <c r="S147" s="698">
        <f t="shared" si="15"/>
        <v>0</v>
      </c>
    </row>
    <row r="148" spans="1:19">
      <c r="A148" s="1126"/>
      <c r="B148" s="1126"/>
      <c r="C148" s="313">
        <f t="shared" si="16"/>
        <v>1</v>
      </c>
      <c r="D148" s="1128"/>
      <c r="E148" s="313">
        <f t="shared" si="17"/>
        <v>1</v>
      </c>
      <c r="F148" s="1128"/>
      <c r="G148" s="313">
        <f t="shared" si="18"/>
        <v>1</v>
      </c>
      <c r="H148" s="1128"/>
      <c r="I148" s="313">
        <f t="shared" si="19"/>
        <v>1</v>
      </c>
      <c r="J148" s="1128"/>
      <c r="K148" s="313">
        <f t="shared" si="20"/>
        <v>1</v>
      </c>
      <c r="L148" s="1128"/>
      <c r="M148" s="313">
        <f t="shared" si="21"/>
        <v>1</v>
      </c>
      <c r="N148" s="1128"/>
      <c r="O148" s="313">
        <f t="shared" si="22"/>
        <v>1</v>
      </c>
      <c r="P148" s="1128"/>
      <c r="Q148" s="313">
        <f t="shared" si="23"/>
        <v>1</v>
      </c>
      <c r="R148" s="1124">
        <f t="shared" si="24"/>
        <v>0</v>
      </c>
      <c r="S148" s="698">
        <f t="shared" si="15"/>
        <v>0</v>
      </c>
    </row>
    <row r="149" spans="1:19">
      <c r="A149" s="1126"/>
      <c r="B149" s="1126"/>
      <c r="C149" s="313">
        <f t="shared" si="16"/>
        <v>1</v>
      </c>
      <c r="D149" s="1128"/>
      <c r="E149" s="313">
        <f t="shared" si="17"/>
        <v>1</v>
      </c>
      <c r="F149" s="1128"/>
      <c r="G149" s="313">
        <f t="shared" si="18"/>
        <v>1</v>
      </c>
      <c r="H149" s="1128"/>
      <c r="I149" s="313">
        <f t="shared" si="19"/>
        <v>1</v>
      </c>
      <c r="J149" s="1128"/>
      <c r="K149" s="313">
        <f t="shared" si="20"/>
        <v>1</v>
      </c>
      <c r="L149" s="1128"/>
      <c r="M149" s="313">
        <f t="shared" si="21"/>
        <v>1</v>
      </c>
      <c r="N149" s="1128"/>
      <c r="O149" s="313">
        <f t="shared" si="22"/>
        <v>1</v>
      </c>
      <c r="P149" s="1128"/>
      <c r="Q149" s="313">
        <f t="shared" si="23"/>
        <v>1</v>
      </c>
      <c r="R149" s="1124">
        <f t="shared" si="24"/>
        <v>0</v>
      </c>
      <c r="S149" s="698">
        <f t="shared" si="15"/>
        <v>0</v>
      </c>
    </row>
    <row r="150" spans="1:19">
      <c r="A150" s="1126"/>
      <c r="B150" s="1126"/>
      <c r="C150" s="313">
        <f t="shared" si="16"/>
        <v>1</v>
      </c>
      <c r="D150" s="1128"/>
      <c r="E150" s="313">
        <f t="shared" si="17"/>
        <v>1</v>
      </c>
      <c r="F150" s="1128"/>
      <c r="G150" s="313">
        <f t="shared" si="18"/>
        <v>1</v>
      </c>
      <c r="H150" s="1128"/>
      <c r="I150" s="313">
        <f t="shared" si="19"/>
        <v>1</v>
      </c>
      <c r="J150" s="1128"/>
      <c r="K150" s="313">
        <f t="shared" si="20"/>
        <v>1</v>
      </c>
      <c r="L150" s="1128"/>
      <c r="M150" s="313">
        <f t="shared" si="21"/>
        <v>1</v>
      </c>
      <c r="N150" s="1128"/>
      <c r="O150" s="313">
        <f t="shared" si="22"/>
        <v>1</v>
      </c>
      <c r="P150" s="1128"/>
      <c r="Q150" s="313">
        <f t="shared" si="23"/>
        <v>1</v>
      </c>
      <c r="R150" s="1124">
        <f t="shared" si="24"/>
        <v>0</v>
      </c>
      <c r="S150" s="698">
        <f t="shared" si="15"/>
        <v>0</v>
      </c>
    </row>
    <row r="151" spans="1:19">
      <c r="A151" s="1126"/>
      <c r="B151" s="1126"/>
      <c r="C151" s="313">
        <f t="shared" si="16"/>
        <v>1</v>
      </c>
      <c r="D151" s="1128"/>
      <c r="E151" s="313">
        <f t="shared" si="17"/>
        <v>1</v>
      </c>
      <c r="F151" s="1128"/>
      <c r="G151" s="313">
        <f t="shared" si="18"/>
        <v>1</v>
      </c>
      <c r="H151" s="1128"/>
      <c r="I151" s="313">
        <f t="shared" si="19"/>
        <v>1</v>
      </c>
      <c r="J151" s="1128"/>
      <c r="K151" s="313">
        <f t="shared" si="20"/>
        <v>1</v>
      </c>
      <c r="L151" s="1128"/>
      <c r="M151" s="313">
        <f t="shared" si="21"/>
        <v>1</v>
      </c>
      <c r="N151" s="1128"/>
      <c r="O151" s="313">
        <f t="shared" si="22"/>
        <v>1</v>
      </c>
      <c r="P151" s="1128"/>
      <c r="Q151" s="313">
        <f t="shared" si="23"/>
        <v>1</v>
      </c>
      <c r="R151" s="1124">
        <f t="shared" si="24"/>
        <v>0</v>
      </c>
      <c r="S151" s="698">
        <f t="shared" si="15"/>
        <v>0</v>
      </c>
    </row>
    <row r="152" spans="1:19">
      <c r="A152" s="1126"/>
      <c r="B152" s="1126"/>
      <c r="C152" s="313">
        <f t="shared" si="16"/>
        <v>1</v>
      </c>
      <c r="D152" s="1128"/>
      <c r="E152" s="313">
        <f t="shared" si="17"/>
        <v>1</v>
      </c>
      <c r="F152" s="1128"/>
      <c r="G152" s="313">
        <f t="shared" si="18"/>
        <v>1</v>
      </c>
      <c r="H152" s="1128"/>
      <c r="I152" s="313">
        <f t="shared" si="19"/>
        <v>1</v>
      </c>
      <c r="J152" s="1128"/>
      <c r="K152" s="313">
        <f t="shared" si="20"/>
        <v>1</v>
      </c>
      <c r="L152" s="1128"/>
      <c r="M152" s="313">
        <f t="shared" si="21"/>
        <v>1</v>
      </c>
      <c r="N152" s="1128"/>
      <c r="O152" s="313">
        <f t="shared" si="22"/>
        <v>1</v>
      </c>
      <c r="P152" s="1128"/>
      <c r="Q152" s="313">
        <f t="shared" si="23"/>
        <v>1</v>
      </c>
      <c r="R152" s="1124">
        <f t="shared" si="24"/>
        <v>0</v>
      </c>
      <c r="S152" s="698">
        <f t="shared" ref="S152:S215" si="25">ROUND(R152*B152/10000,0)</f>
        <v>0</v>
      </c>
    </row>
    <row r="153" spans="1:19">
      <c r="A153" s="1126"/>
      <c r="B153" s="1126"/>
      <c r="C153" s="313">
        <f t="shared" si="16"/>
        <v>1</v>
      </c>
      <c r="D153" s="1128"/>
      <c r="E153" s="313">
        <f t="shared" si="17"/>
        <v>1</v>
      </c>
      <c r="F153" s="1128"/>
      <c r="G153" s="313">
        <f t="shared" si="18"/>
        <v>1</v>
      </c>
      <c r="H153" s="1128"/>
      <c r="I153" s="313">
        <f t="shared" si="19"/>
        <v>1</v>
      </c>
      <c r="J153" s="1128"/>
      <c r="K153" s="313">
        <f t="shared" si="20"/>
        <v>1</v>
      </c>
      <c r="L153" s="1128"/>
      <c r="M153" s="313">
        <f t="shared" si="21"/>
        <v>1</v>
      </c>
      <c r="N153" s="1128"/>
      <c r="O153" s="313">
        <f t="shared" si="22"/>
        <v>1</v>
      </c>
      <c r="P153" s="1128"/>
      <c r="Q153" s="313">
        <f t="shared" si="23"/>
        <v>1</v>
      </c>
      <c r="R153" s="1124">
        <f t="shared" si="24"/>
        <v>0</v>
      </c>
      <c r="S153" s="698">
        <f t="shared" si="25"/>
        <v>0</v>
      </c>
    </row>
    <row r="154" spans="1:19">
      <c r="A154" s="1126"/>
      <c r="B154" s="1126"/>
      <c r="C154" s="313">
        <f t="shared" ref="C154:C217" si="26">IF(B154="",1,(LOOKUP(B154,$3:$3,$4:$4)-LOOKUP($B$24,$3:$3,$4:$4)+100)/100)</f>
        <v>1</v>
      </c>
      <c r="D154" s="1128"/>
      <c r="E154" s="313">
        <f t="shared" ref="E154:E217" si="27">(SUMIF($5:$5,D154,$6:$6)-SUMIF($5:$5,$D$24,$6:$6)+100)/100</f>
        <v>1</v>
      </c>
      <c r="F154" s="1128"/>
      <c r="G154" s="313">
        <f t="shared" ref="G154:G217" si="28">(SUMIF($7:$7,F154,$8:$8)-SUMIF($7:$7,$F$24,$8:$8)+100)/100</f>
        <v>1</v>
      </c>
      <c r="H154" s="1128"/>
      <c r="I154" s="313">
        <f t="shared" ref="I154:I217" si="29">(SUMIF($9:$9,H154,$10:$10)-SUMIF($9:$9,$H$24,$10:$10)+100)/100</f>
        <v>1</v>
      </c>
      <c r="J154" s="1128"/>
      <c r="K154" s="313">
        <f t="shared" ref="K154:K217" si="30">(SUMIF($11:$11,J154,$12:$12)-SUMIF($11:$11,$J$24,$12:$12)+100)/100</f>
        <v>1</v>
      </c>
      <c r="L154" s="1128"/>
      <c r="M154" s="313">
        <f t="shared" ref="M154:M217" si="31">(SUMIF($13:$13,L154,$14:$14)-SUMIF($13:$13,$L$24,$14:$14)+100)/100</f>
        <v>1</v>
      </c>
      <c r="N154" s="1128"/>
      <c r="O154" s="313">
        <f t="shared" ref="O154:O217" si="32">(SUMIF($15:$15,N154,$16:$16)-SUMIF($15:$15,$N$24,$16:$16)+100)/100</f>
        <v>1</v>
      </c>
      <c r="P154" s="1128"/>
      <c r="Q154" s="313">
        <f t="shared" ref="Q154:Q217" si="33">(SUMIF($17:$17,P154,$18:$18)-SUMIF($17:$17,$P$24,$18:$18)+100)/100</f>
        <v>1</v>
      </c>
      <c r="R154" s="1124">
        <f t="shared" ref="R154:R217" si="34">IF(B154="",0,ROUND($R$24*C154*E154*G154*I154*K154*M154*O154*Q154,0))</f>
        <v>0</v>
      </c>
      <c r="S154" s="698">
        <f t="shared" si="25"/>
        <v>0</v>
      </c>
    </row>
    <row r="155" spans="1:19">
      <c r="A155" s="1126"/>
      <c r="B155" s="1126"/>
      <c r="C155" s="313">
        <f t="shared" si="26"/>
        <v>1</v>
      </c>
      <c r="D155" s="1128"/>
      <c r="E155" s="313">
        <f t="shared" si="27"/>
        <v>1</v>
      </c>
      <c r="F155" s="1128"/>
      <c r="G155" s="313">
        <f t="shared" si="28"/>
        <v>1</v>
      </c>
      <c r="H155" s="1128"/>
      <c r="I155" s="313">
        <f t="shared" si="29"/>
        <v>1</v>
      </c>
      <c r="J155" s="1128"/>
      <c r="K155" s="313">
        <f t="shared" si="30"/>
        <v>1</v>
      </c>
      <c r="L155" s="1128"/>
      <c r="M155" s="313">
        <f t="shared" si="31"/>
        <v>1</v>
      </c>
      <c r="N155" s="1128"/>
      <c r="O155" s="313">
        <f t="shared" si="32"/>
        <v>1</v>
      </c>
      <c r="P155" s="1128"/>
      <c r="Q155" s="313">
        <f t="shared" si="33"/>
        <v>1</v>
      </c>
      <c r="R155" s="1124">
        <f t="shared" si="34"/>
        <v>0</v>
      </c>
      <c r="S155" s="698">
        <f t="shared" si="25"/>
        <v>0</v>
      </c>
    </row>
    <row r="156" spans="1:19">
      <c r="A156" s="1126"/>
      <c r="B156" s="1126"/>
      <c r="C156" s="313">
        <f t="shared" si="26"/>
        <v>1</v>
      </c>
      <c r="D156" s="1128"/>
      <c r="E156" s="313">
        <f t="shared" si="27"/>
        <v>1</v>
      </c>
      <c r="F156" s="1128"/>
      <c r="G156" s="313">
        <f t="shared" si="28"/>
        <v>1</v>
      </c>
      <c r="H156" s="1128"/>
      <c r="I156" s="313">
        <f t="shared" si="29"/>
        <v>1</v>
      </c>
      <c r="J156" s="1128"/>
      <c r="K156" s="313">
        <f t="shared" si="30"/>
        <v>1</v>
      </c>
      <c r="L156" s="1128"/>
      <c r="M156" s="313">
        <f t="shared" si="31"/>
        <v>1</v>
      </c>
      <c r="N156" s="1128"/>
      <c r="O156" s="313">
        <f t="shared" si="32"/>
        <v>1</v>
      </c>
      <c r="P156" s="1128"/>
      <c r="Q156" s="313">
        <f t="shared" si="33"/>
        <v>1</v>
      </c>
      <c r="R156" s="1124">
        <f t="shared" si="34"/>
        <v>0</v>
      </c>
      <c r="S156" s="698">
        <f t="shared" si="25"/>
        <v>0</v>
      </c>
    </row>
    <row r="157" spans="1:19">
      <c r="A157" s="1126"/>
      <c r="B157" s="1126"/>
      <c r="C157" s="313">
        <f t="shared" si="26"/>
        <v>1</v>
      </c>
      <c r="D157" s="1128"/>
      <c r="E157" s="313">
        <f t="shared" si="27"/>
        <v>1</v>
      </c>
      <c r="F157" s="1128"/>
      <c r="G157" s="313">
        <f t="shared" si="28"/>
        <v>1</v>
      </c>
      <c r="H157" s="1128"/>
      <c r="I157" s="313">
        <f t="shared" si="29"/>
        <v>1</v>
      </c>
      <c r="J157" s="1128"/>
      <c r="K157" s="313">
        <f t="shared" si="30"/>
        <v>1</v>
      </c>
      <c r="L157" s="1128"/>
      <c r="M157" s="313">
        <f t="shared" si="31"/>
        <v>1</v>
      </c>
      <c r="N157" s="1128"/>
      <c r="O157" s="313">
        <f t="shared" si="32"/>
        <v>1</v>
      </c>
      <c r="P157" s="1128"/>
      <c r="Q157" s="313">
        <f t="shared" si="33"/>
        <v>1</v>
      </c>
      <c r="R157" s="1124">
        <f t="shared" si="34"/>
        <v>0</v>
      </c>
      <c r="S157" s="698">
        <f t="shared" si="25"/>
        <v>0</v>
      </c>
    </row>
    <row r="158" spans="1:19">
      <c r="A158" s="1126"/>
      <c r="B158" s="1126"/>
      <c r="C158" s="313">
        <f t="shared" si="26"/>
        <v>1</v>
      </c>
      <c r="D158" s="1128"/>
      <c r="E158" s="313">
        <f t="shared" si="27"/>
        <v>1</v>
      </c>
      <c r="F158" s="1128"/>
      <c r="G158" s="313">
        <f t="shared" si="28"/>
        <v>1</v>
      </c>
      <c r="H158" s="1128"/>
      <c r="I158" s="313">
        <f t="shared" si="29"/>
        <v>1</v>
      </c>
      <c r="J158" s="1128"/>
      <c r="K158" s="313">
        <f t="shared" si="30"/>
        <v>1</v>
      </c>
      <c r="L158" s="1128"/>
      <c r="M158" s="313">
        <f t="shared" si="31"/>
        <v>1</v>
      </c>
      <c r="N158" s="1128"/>
      <c r="O158" s="313">
        <f t="shared" si="32"/>
        <v>1</v>
      </c>
      <c r="P158" s="1128"/>
      <c r="Q158" s="313">
        <f t="shared" si="33"/>
        <v>1</v>
      </c>
      <c r="R158" s="1124">
        <f t="shared" si="34"/>
        <v>0</v>
      </c>
      <c r="S158" s="698">
        <f t="shared" si="25"/>
        <v>0</v>
      </c>
    </row>
    <row r="159" spans="1:19">
      <c r="A159" s="1126"/>
      <c r="B159" s="1126"/>
      <c r="C159" s="313">
        <f t="shared" si="26"/>
        <v>1</v>
      </c>
      <c r="D159" s="1128"/>
      <c r="E159" s="313">
        <f t="shared" si="27"/>
        <v>1</v>
      </c>
      <c r="F159" s="1128"/>
      <c r="G159" s="313">
        <f t="shared" si="28"/>
        <v>1</v>
      </c>
      <c r="H159" s="1128"/>
      <c r="I159" s="313">
        <f t="shared" si="29"/>
        <v>1</v>
      </c>
      <c r="J159" s="1128"/>
      <c r="K159" s="313">
        <f t="shared" si="30"/>
        <v>1</v>
      </c>
      <c r="L159" s="1128"/>
      <c r="M159" s="313">
        <f t="shared" si="31"/>
        <v>1</v>
      </c>
      <c r="N159" s="1128"/>
      <c r="O159" s="313">
        <f t="shared" si="32"/>
        <v>1</v>
      </c>
      <c r="P159" s="1128"/>
      <c r="Q159" s="313">
        <f t="shared" si="33"/>
        <v>1</v>
      </c>
      <c r="R159" s="1124">
        <f t="shared" si="34"/>
        <v>0</v>
      </c>
      <c r="S159" s="698">
        <f t="shared" si="25"/>
        <v>0</v>
      </c>
    </row>
    <row r="160" spans="1:19">
      <c r="A160" s="1126"/>
      <c r="B160" s="1126"/>
      <c r="C160" s="313">
        <f t="shared" si="26"/>
        <v>1</v>
      </c>
      <c r="D160" s="1128"/>
      <c r="E160" s="313">
        <f t="shared" si="27"/>
        <v>1</v>
      </c>
      <c r="F160" s="1128"/>
      <c r="G160" s="313">
        <f t="shared" si="28"/>
        <v>1</v>
      </c>
      <c r="H160" s="1128"/>
      <c r="I160" s="313">
        <f t="shared" si="29"/>
        <v>1</v>
      </c>
      <c r="J160" s="1128"/>
      <c r="K160" s="313">
        <f t="shared" si="30"/>
        <v>1</v>
      </c>
      <c r="L160" s="1128"/>
      <c r="M160" s="313">
        <f t="shared" si="31"/>
        <v>1</v>
      </c>
      <c r="N160" s="1128"/>
      <c r="O160" s="313">
        <f t="shared" si="32"/>
        <v>1</v>
      </c>
      <c r="P160" s="1128"/>
      <c r="Q160" s="313">
        <f t="shared" si="33"/>
        <v>1</v>
      </c>
      <c r="R160" s="1124">
        <f t="shared" si="34"/>
        <v>0</v>
      </c>
      <c r="S160" s="698">
        <f t="shared" si="25"/>
        <v>0</v>
      </c>
    </row>
    <row r="161" spans="1:19">
      <c r="A161" s="1126"/>
      <c r="B161" s="1126"/>
      <c r="C161" s="313">
        <f t="shared" si="26"/>
        <v>1</v>
      </c>
      <c r="D161" s="1128"/>
      <c r="E161" s="313">
        <f t="shared" si="27"/>
        <v>1</v>
      </c>
      <c r="F161" s="1128"/>
      <c r="G161" s="313">
        <f t="shared" si="28"/>
        <v>1</v>
      </c>
      <c r="H161" s="1128"/>
      <c r="I161" s="313">
        <f t="shared" si="29"/>
        <v>1</v>
      </c>
      <c r="J161" s="1128"/>
      <c r="K161" s="313">
        <f t="shared" si="30"/>
        <v>1</v>
      </c>
      <c r="L161" s="1128"/>
      <c r="M161" s="313">
        <f t="shared" si="31"/>
        <v>1</v>
      </c>
      <c r="N161" s="1128"/>
      <c r="O161" s="313">
        <f t="shared" si="32"/>
        <v>1</v>
      </c>
      <c r="P161" s="1128"/>
      <c r="Q161" s="313">
        <f t="shared" si="33"/>
        <v>1</v>
      </c>
      <c r="R161" s="1124">
        <f t="shared" si="34"/>
        <v>0</v>
      </c>
      <c r="S161" s="698">
        <f t="shared" si="25"/>
        <v>0</v>
      </c>
    </row>
    <row r="162" spans="1:19">
      <c r="A162" s="1126"/>
      <c r="B162" s="1126"/>
      <c r="C162" s="313">
        <f t="shared" si="26"/>
        <v>1</v>
      </c>
      <c r="D162" s="1128"/>
      <c r="E162" s="313">
        <f t="shared" si="27"/>
        <v>1</v>
      </c>
      <c r="F162" s="1128"/>
      <c r="G162" s="313">
        <f t="shared" si="28"/>
        <v>1</v>
      </c>
      <c r="H162" s="1128"/>
      <c r="I162" s="313">
        <f t="shared" si="29"/>
        <v>1</v>
      </c>
      <c r="J162" s="1128"/>
      <c r="K162" s="313">
        <f t="shared" si="30"/>
        <v>1</v>
      </c>
      <c r="L162" s="1128"/>
      <c r="M162" s="313">
        <f t="shared" si="31"/>
        <v>1</v>
      </c>
      <c r="N162" s="1128"/>
      <c r="O162" s="313">
        <f t="shared" si="32"/>
        <v>1</v>
      </c>
      <c r="P162" s="1128"/>
      <c r="Q162" s="313">
        <f t="shared" si="33"/>
        <v>1</v>
      </c>
      <c r="R162" s="1124">
        <f t="shared" si="34"/>
        <v>0</v>
      </c>
      <c r="S162" s="698">
        <f t="shared" si="25"/>
        <v>0</v>
      </c>
    </row>
    <row r="163" spans="1:19">
      <c r="A163" s="1126"/>
      <c r="B163" s="1126"/>
      <c r="C163" s="313">
        <f t="shared" si="26"/>
        <v>1</v>
      </c>
      <c r="D163" s="1128"/>
      <c r="E163" s="313">
        <f t="shared" si="27"/>
        <v>1</v>
      </c>
      <c r="F163" s="1128"/>
      <c r="G163" s="313">
        <f t="shared" si="28"/>
        <v>1</v>
      </c>
      <c r="H163" s="1128"/>
      <c r="I163" s="313">
        <f t="shared" si="29"/>
        <v>1</v>
      </c>
      <c r="J163" s="1128"/>
      <c r="K163" s="313">
        <f t="shared" si="30"/>
        <v>1</v>
      </c>
      <c r="L163" s="1128"/>
      <c r="M163" s="313">
        <f t="shared" si="31"/>
        <v>1</v>
      </c>
      <c r="N163" s="1128"/>
      <c r="O163" s="313">
        <f t="shared" si="32"/>
        <v>1</v>
      </c>
      <c r="P163" s="1128"/>
      <c r="Q163" s="313">
        <f t="shared" si="33"/>
        <v>1</v>
      </c>
      <c r="R163" s="1124">
        <f t="shared" si="34"/>
        <v>0</v>
      </c>
      <c r="S163" s="698">
        <f t="shared" si="25"/>
        <v>0</v>
      </c>
    </row>
    <row r="164" spans="1:19">
      <c r="A164" s="1126"/>
      <c r="B164" s="1126"/>
      <c r="C164" s="313">
        <f t="shared" si="26"/>
        <v>1</v>
      </c>
      <c r="D164" s="1128"/>
      <c r="E164" s="313">
        <f t="shared" si="27"/>
        <v>1</v>
      </c>
      <c r="F164" s="1128"/>
      <c r="G164" s="313">
        <f t="shared" si="28"/>
        <v>1</v>
      </c>
      <c r="H164" s="1128"/>
      <c r="I164" s="313">
        <f t="shared" si="29"/>
        <v>1</v>
      </c>
      <c r="J164" s="1128"/>
      <c r="K164" s="313">
        <f t="shared" si="30"/>
        <v>1</v>
      </c>
      <c r="L164" s="1128"/>
      <c r="M164" s="313">
        <f t="shared" si="31"/>
        <v>1</v>
      </c>
      <c r="N164" s="1128"/>
      <c r="O164" s="313">
        <f t="shared" si="32"/>
        <v>1</v>
      </c>
      <c r="P164" s="1128"/>
      <c r="Q164" s="313">
        <f t="shared" si="33"/>
        <v>1</v>
      </c>
      <c r="R164" s="1124">
        <f t="shared" si="34"/>
        <v>0</v>
      </c>
      <c r="S164" s="698">
        <f t="shared" si="25"/>
        <v>0</v>
      </c>
    </row>
    <row r="165" spans="1:19">
      <c r="A165" s="491"/>
      <c r="B165" s="348"/>
      <c r="C165" s="313">
        <f t="shared" si="26"/>
        <v>1</v>
      </c>
      <c r="D165" s="1128"/>
      <c r="E165" s="313">
        <f t="shared" si="27"/>
        <v>1</v>
      </c>
      <c r="F165" s="1128"/>
      <c r="G165" s="313">
        <f t="shared" si="28"/>
        <v>1</v>
      </c>
      <c r="H165" s="1128"/>
      <c r="I165" s="313">
        <f t="shared" si="29"/>
        <v>1</v>
      </c>
      <c r="J165" s="1128"/>
      <c r="K165" s="313">
        <f t="shared" si="30"/>
        <v>1</v>
      </c>
      <c r="L165" s="1128"/>
      <c r="M165" s="313">
        <f t="shared" si="31"/>
        <v>1</v>
      </c>
      <c r="N165" s="1128"/>
      <c r="O165" s="313">
        <f t="shared" si="32"/>
        <v>1</v>
      </c>
      <c r="P165" s="1128"/>
      <c r="Q165" s="313">
        <f t="shared" si="33"/>
        <v>1</v>
      </c>
      <c r="R165" s="1124">
        <f t="shared" si="34"/>
        <v>0</v>
      </c>
      <c r="S165" s="698">
        <f t="shared" si="25"/>
        <v>0</v>
      </c>
    </row>
    <row r="166" spans="1:19">
      <c r="A166" s="491"/>
      <c r="B166" s="348"/>
      <c r="C166" s="313">
        <f t="shared" si="26"/>
        <v>1</v>
      </c>
      <c r="D166" s="1128"/>
      <c r="E166" s="313">
        <f t="shared" si="27"/>
        <v>1</v>
      </c>
      <c r="F166" s="1128"/>
      <c r="G166" s="313">
        <f t="shared" si="28"/>
        <v>1</v>
      </c>
      <c r="H166" s="1128"/>
      <c r="I166" s="313">
        <f t="shared" si="29"/>
        <v>1</v>
      </c>
      <c r="J166" s="1128"/>
      <c r="K166" s="313">
        <f t="shared" si="30"/>
        <v>1</v>
      </c>
      <c r="L166" s="1128"/>
      <c r="M166" s="313">
        <f t="shared" si="31"/>
        <v>1</v>
      </c>
      <c r="N166" s="1128"/>
      <c r="O166" s="313">
        <f t="shared" si="32"/>
        <v>1</v>
      </c>
      <c r="P166" s="1128"/>
      <c r="Q166" s="313">
        <f t="shared" si="33"/>
        <v>1</v>
      </c>
      <c r="R166" s="1124">
        <f t="shared" si="34"/>
        <v>0</v>
      </c>
      <c r="S166" s="698">
        <f t="shared" si="25"/>
        <v>0</v>
      </c>
    </row>
    <row r="167" spans="1:19">
      <c r="A167" s="491"/>
      <c r="B167" s="348"/>
      <c r="C167" s="313">
        <f t="shared" si="26"/>
        <v>1</v>
      </c>
      <c r="D167" s="1128"/>
      <c r="E167" s="313">
        <f t="shared" si="27"/>
        <v>1</v>
      </c>
      <c r="F167" s="1128"/>
      <c r="G167" s="313">
        <f t="shared" si="28"/>
        <v>1</v>
      </c>
      <c r="H167" s="1128"/>
      <c r="I167" s="313">
        <f t="shared" si="29"/>
        <v>1</v>
      </c>
      <c r="J167" s="1128"/>
      <c r="K167" s="313">
        <f t="shared" si="30"/>
        <v>1</v>
      </c>
      <c r="L167" s="1128"/>
      <c r="M167" s="313">
        <f t="shared" si="31"/>
        <v>1</v>
      </c>
      <c r="N167" s="1128"/>
      <c r="O167" s="313">
        <f t="shared" si="32"/>
        <v>1</v>
      </c>
      <c r="P167" s="1128"/>
      <c r="Q167" s="313">
        <f t="shared" si="33"/>
        <v>1</v>
      </c>
      <c r="R167" s="1124">
        <f t="shared" si="34"/>
        <v>0</v>
      </c>
      <c r="S167" s="698">
        <f t="shared" si="25"/>
        <v>0</v>
      </c>
    </row>
    <row r="168" spans="1:19">
      <c r="A168" s="491"/>
      <c r="B168" s="348"/>
      <c r="C168" s="313">
        <f t="shared" si="26"/>
        <v>1</v>
      </c>
      <c r="D168" s="1128"/>
      <c r="E168" s="313">
        <f t="shared" si="27"/>
        <v>1</v>
      </c>
      <c r="F168" s="1128"/>
      <c r="G168" s="313">
        <f t="shared" si="28"/>
        <v>1</v>
      </c>
      <c r="H168" s="1128"/>
      <c r="I168" s="313">
        <f t="shared" si="29"/>
        <v>1</v>
      </c>
      <c r="J168" s="1128"/>
      <c r="K168" s="313">
        <f t="shared" si="30"/>
        <v>1</v>
      </c>
      <c r="L168" s="1128"/>
      <c r="M168" s="313">
        <f t="shared" si="31"/>
        <v>1</v>
      </c>
      <c r="N168" s="1128"/>
      <c r="O168" s="313">
        <f t="shared" si="32"/>
        <v>1</v>
      </c>
      <c r="P168" s="1128"/>
      <c r="Q168" s="313">
        <f t="shared" si="33"/>
        <v>1</v>
      </c>
      <c r="R168" s="1124">
        <f t="shared" si="34"/>
        <v>0</v>
      </c>
      <c r="S168" s="698">
        <f t="shared" si="25"/>
        <v>0</v>
      </c>
    </row>
    <row r="169" spans="1:19">
      <c r="A169" s="491"/>
      <c r="B169" s="348"/>
      <c r="C169" s="313">
        <f t="shared" si="26"/>
        <v>1</v>
      </c>
      <c r="D169" s="1128"/>
      <c r="E169" s="313">
        <f t="shared" si="27"/>
        <v>1</v>
      </c>
      <c r="F169" s="1128"/>
      <c r="G169" s="313">
        <f t="shared" si="28"/>
        <v>1</v>
      </c>
      <c r="H169" s="1128"/>
      <c r="I169" s="313">
        <f t="shared" si="29"/>
        <v>1</v>
      </c>
      <c r="J169" s="1128"/>
      <c r="K169" s="313">
        <f t="shared" si="30"/>
        <v>1</v>
      </c>
      <c r="L169" s="1128"/>
      <c r="M169" s="313">
        <f t="shared" si="31"/>
        <v>1</v>
      </c>
      <c r="N169" s="1128"/>
      <c r="O169" s="313">
        <f t="shared" si="32"/>
        <v>1</v>
      </c>
      <c r="P169" s="1128"/>
      <c r="Q169" s="313">
        <f t="shared" si="33"/>
        <v>1</v>
      </c>
      <c r="R169" s="1124">
        <f t="shared" si="34"/>
        <v>0</v>
      </c>
      <c r="S169" s="698">
        <f t="shared" si="25"/>
        <v>0</v>
      </c>
    </row>
    <row r="170" spans="1:19">
      <c r="A170" s="491"/>
      <c r="B170" s="348"/>
      <c r="C170" s="313">
        <f t="shared" si="26"/>
        <v>1</v>
      </c>
      <c r="D170" s="1128"/>
      <c r="E170" s="313">
        <f t="shared" si="27"/>
        <v>1</v>
      </c>
      <c r="F170" s="1128"/>
      <c r="G170" s="313">
        <f t="shared" si="28"/>
        <v>1</v>
      </c>
      <c r="H170" s="1128"/>
      <c r="I170" s="313">
        <f t="shared" si="29"/>
        <v>1</v>
      </c>
      <c r="J170" s="1128"/>
      <c r="K170" s="313">
        <f t="shared" si="30"/>
        <v>1</v>
      </c>
      <c r="L170" s="1128"/>
      <c r="M170" s="313">
        <f t="shared" si="31"/>
        <v>1</v>
      </c>
      <c r="N170" s="1128"/>
      <c r="O170" s="313">
        <f t="shared" si="32"/>
        <v>1</v>
      </c>
      <c r="P170" s="1128"/>
      <c r="Q170" s="313">
        <f t="shared" si="33"/>
        <v>1</v>
      </c>
      <c r="R170" s="1124">
        <f t="shared" si="34"/>
        <v>0</v>
      </c>
      <c r="S170" s="698">
        <f t="shared" si="25"/>
        <v>0</v>
      </c>
    </row>
    <row r="171" spans="1:19">
      <c r="A171" s="491"/>
      <c r="B171" s="348"/>
      <c r="C171" s="313">
        <f t="shared" si="26"/>
        <v>1</v>
      </c>
      <c r="D171" s="1128"/>
      <c r="E171" s="313">
        <f t="shared" si="27"/>
        <v>1</v>
      </c>
      <c r="F171" s="1128"/>
      <c r="G171" s="313">
        <f t="shared" si="28"/>
        <v>1</v>
      </c>
      <c r="H171" s="1128"/>
      <c r="I171" s="313">
        <f t="shared" si="29"/>
        <v>1</v>
      </c>
      <c r="J171" s="1128"/>
      <c r="K171" s="313">
        <f t="shared" si="30"/>
        <v>1</v>
      </c>
      <c r="L171" s="1128"/>
      <c r="M171" s="313">
        <f t="shared" si="31"/>
        <v>1</v>
      </c>
      <c r="N171" s="1128"/>
      <c r="O171" s="313">
        <f t="shared" si="32"/>
        <v>1</v>
      </c>
      <c r="P171" s="1128"/>
      <c r="Q171" s="313">
        <f t="shared" si="33"/>
        <v>1</v>
      </c>
      <c r="R171" s="1124">
        <f t="shared" si="34"/>
        <v>0</v>
      </c>
      <c r="S171" s="698">
        <f t="shared" si="25"/>
        <v>0</v>
      </c>
    </row>
    <row r="172" spans="1:19">
      <c r="A172" s="491"/>
      <c r="B172" s="348"/>
      <c r="C172" s="313">
        <f t="shared" si="26"/>
        <v>1</v>
      </c>
      <c r="D172" s="1128"/>
      <c r="E172" s="313">
        <f t="shared" si="27"/>
        <v>1</v>
      </c>
      <c r="F172" s="1128"/>
      <c r="G172" s="313">
        <f t="shared" si="28"/>
        <v>1</v>
      </c>
      <c r="H172" s="1128"/>
      <c r="I172" s="313">
        <f t="shared" si="29"/>
        <v>1</v>
      </c>
      <c r="J172" s="1128"/>
      <c r="K172" s="313">
        <f t="shared" si="30"/>
        <v>1</v>
      </c>
      <c r="L172" s="1128"/>
      <c r="M172" s="313">
        <f t="shared" si="31"/>
        <v>1</v>
      </c>
      <c r="N172" s="1128"/>
      <c r="O172" s="313">
        <f t="shared" si="32"/>
        <v>1</v>
      </c>
      <c r="P172" s="1128"/>
      <c r="Q172" s="313">
        <f t="shared" si="33"/>
        <v>1</v>
      </c>
      <c r="R172" s="1124">
        <f t="shared" si="34"/>
        <v>0</v>
      </c>
      <c r="S172" s="698">
        <f t="shared" si="25"/>
        <v>0</v>
      </c>
    </row>
    <row r="173" spans="1:19">
      <c r="A173" s="491"/>
      <c r="B173" s="348"/>
      <c r="C173" s="313">
        <f t="shared" si="26"/>
        <v>1</v>
      </c>
      <c r="D173" s="1128"/>
      <c r="E173" s="313">
        <f t="shared" si="27"/>
        <v>1</v>
      </c>
      <c r="F173" s="1128"/>
      <c r="G173" s="313">
        <f t="shared" si="28"/>
        <v>1</v>
      </c>
      <c r="H173" s="1128"/>
      <c r="I173" s="313">
        <f t="shared" si="29"/>
        <v>1</v>
      </c>
      <c r="J173" s="1128"/>
      <c r="K173" s="313">
        <f t="shared" si="30"/>
        <v>1</v>
      </c>
      <c r="L173" s="1128"/>
      <c r="M173" s="313">
        <f t="shared" si="31"/>
        <v>1</v>
      </c>
      <c r="N173" s="1128"/>
      <c r="O173" s="313">
        <f t="shared" si="32"/>
        <v>1</v>
      </c>
      <c r="P173" s="1128"/>
      <c r="Q173" s="313">
        <f t="shared" si="33"/>
        <v>1</v>
      </c>
      <c r="R173" s="1124">
        <f t="shared" si="34"/>
        <v>0</v>
      </c>
      <c r="S173" s="698">
        <f t="shared" si="25"/>
        <v>0</v>
      </c>
    </row>
    <row r="174" spans="1:19">
      <c r="A174" s="491"/>
      <c r="B174" s="348"/>
      <c r="C174" s="313">
        <f t="shared" si="26"/>
        <v>1</v>
      </c>
      <c r="D174" s="1128"/>
      <c r="E174" s="313">
        <f t="shared" si="27"/>
        <v>1</v>
      </c>
      <c r="F174" s="1128"/>
      <c r="G174" s="313">
        <f t="shared" si="28"/>
        <v>1</v>
      </c>
      <c r="H174" s="1128"/>
      <c r="I174" s="313">
        <f t="shared" si="29"/>
        <v>1</v>
      </c>
      <c r="J174" s="1128"/>
      <c r="K174" s="313">
        <f t="shared" si="30"/>
        <v>1</v>
      </c>
      <c r="L174" s="1128"/>
      <c r="M174" s="313">
        <f t="shared" si="31"/>
        <v>1</v>
      </c>
      <c r="N174" s="1128"/>
      <c r="O174" s="313">
        <f t="shared" si="32"/>
        <v>1</v>
      </c>
      <c r="P174" s="1128"/>
      <c r="Q174" s="313">
        <f t="shared" si="33"/>
        <v>1</v>
      </c>
      <c r="R174" s="1124">
        <f t="shared" si="34"/>
        <v>0</v>
      </c>
      <c r="S174" s="698">
        <f t="shared" si="25"/>
        <v>0</v>
      </c>
    </row>
    <row r="175" spans="1:19">
      <c r="A175" s="491"/>
      <c r="B175" s="348"/>
      <c r="C175" s="313">
        <f t="shared" si="26"/>
        <v>1</v>
      </c>
      <c r="D175" s="1128"/>
      <c r="E175" s="313">
        <f t="shared" si="27"/>
        <v>1</v>
      </c>
      <c r="F175" s="1128"/>
      <c r="G175" s="313">
        <f t="shared" si="28"/>
        <v>1</v>
      </c>
      <c r="H175" s="1128"/>
      <c r="I175" s="313">
        <f t="shared" si="29"/>
        <v>1</v>
      </c>
      <c r="J175" s="1128"/>
      <c r="K175" s="313">
        <f t="shared" si="30"/>
        <v>1</v>
      </c>
      <c r="L175" s="1128"/>
      <c r="M175" s="313">
        <f t="shared" si="31"/>
        <v>1</v>
      </c>
      <c r="N175" s="1128"/>
      <c r="O175" s="313">
        <f t="shared" si="32"/>
        <v>1</v>
      </c>
      <c r="P175" s="1128"/>
      <c r="Q175" s="313">
        <f t="shared" si="33"/>
        <v>1</v>
      </c>
      <c r="R175" s="1124">
        <f t="shared" si="34"/>
        <v>0</v>
      </c>
      <c r="S175" s="698">
        <f t="shared" si="25"/>
        <v>0</v>
      </c>
    </row>
    <row r="176" spans="1:19">
      <c r="A176" s="491"/>
      <c r="B176" s="348"/>
      <c r="C176" s="313">
        <f t="shared" si="26"/>
        <v>1</v>
      </c>
      <c r="D176" s="1128"/>
      <c r="E176" s="313">
        <f t="shared" si="27"/>
        <v>1</v>
      </c>
      <c r="F176" s="1128"/>
      <c r="G176" s="313">
        <f t="shared" si="28"/>
        <v>1</v>
      </c>
      <c r="H176" s="1128"/>
      <c r="I176" s="313">
        <f t="shared" si="29"/>
        <v>1</v>
      </c>
      <c r="J176" s="1128"/>
      <c r="K176" s="313">
        <f t="shared" si="30"/>
        <v>1</v>
      </c>
      <c r="L176" s="1128"/>
      <c r="M176" s="313">
        <f t="shared" si="31"/>
        <v>1</v>
      </c>
      <c r="N176" s="1128"/>
      <c r="O176" s="313">
        <f t="shared" si="32"/>
        <v>1</v>
      </c>
      <c r="P176" s="1128"/>
      <c r="Q176" s="313">
        <f t="shared" si="33"/>
        <v>1</v>
      </c>
      <c r="R176" s="1124">
        <f t="shared" si="34"/>
        <v>0</v>
      </c>
      <c r="S176" s="698">
        <f t="shared" si="25"/>
        <v>0</v>
      </c>
    </row>
    <row r="177" spans="1:19">
      <c r="A177" s="491"/>
      <c r="B177" s="348"/>
      <c r="C177" s="313">
        <f t="shared" si="26"/>
        <v>1</v>
      </c>
      <c r="D177" s="1128"/>
      <c r="E177" s="313">
        <f t="shared" si="27"/>
        <v>1</v>
      </c>
      <c r="F177" s="1128"/>
      <c r="G177" s="313">
        <f t="shared" si="28"/>
        <v>1</v>
      </c>
      <c r="H177" s="1128"/>
      <c r="I177" s="313">
        <f t="shared" si="29"/>
        <v>1</v>
      </c>
      <c r="J177" s="1128"/>
      <c r="K177" s="313">
        <f t="shared" si="30"/>
        <v>1</v>
      </c>
      <c r="L177" s="1128"/>
      <c r="M177" s="313">
        <f t="shared" si="31"/>
        <v>1</v>
      </c>
      <c r="N177" s="1128"/>
      <c r="O177" s="313">
        <f t="shared" si="32"/>
        <v>1</v>
      </c>
      <c r="P177" s="1128"/>
      <c r="Q177" s="313">
        <f t="shared" si="33"/>
        <v>1</v>
      </c>
      <c r="R177" s="1124">
        <f t="shared" si="34"/>
        <v>0</v>
      </c>
      <c r="S177" s="698">
        <f t="shared" si="25"/>
        <v>0</v>
      </c>
    </row>
    <row r="178" spans="1:19">
      <c r="A178" s="491"/>
      <c r="B178" s="348"/>
      <c r="C178" s="313">
        <f t="shared" si="26"/>
        <v>1</v>
      </c>
      <c r="D178" s="1128"/>
      <c r="E178" s="313">
        <f t="shared" si="27"/>
        <v>1</v>
      </c>
      <c r="F178" s="1128"/>
      <c r="G178" s="313">
        <f t="shared" si="28"/>
        <v>1</v>
      </c>
      <c r="H178" s="1128"/>
      <c r="I178" s="313">
        <f t="shared" si="29"/>
        <v>1</v>
      </c>
      <c r="J178" s="1128"/>
      <c r="K178" s="313">
        <f t="shared" si="30"/>
        <v>1</v>
      </c>
      <c r="L178" s="1128"/>
      <c r="M178" s="313">
        <f t="shared" si="31"/>
        <v>1</v>
      </c>
      <c r="N178" s="1128"/>
      <c r="O178" s="313">
        <f t="shared" si="32"/>
        <v>1</v>
      </c>
      <c r="P178" s="1128"/>
      <c r="Q178" s="313">
        <f t="shared" si="33"/>
        <v>1</v>
      </c>
      <c r="R178" s="1124">
        <f t="shared" si="34"/>
        <v>0</v>
      </c>
      <c r="S178" s="698">
        <f t="shared" si="25"/>
        <v>0</v>
      </c>
    </row>
    <row r="179" spans="1:19">
      <c r="A179" s="491"/>
      <c r="B179" s="348"/>
      <c r="C179" s="313">
        <f t="shared" si="26"/>
        <v>1</v>
      </c>
      <c r="D179" s="1128"/>
      <c r="E179" s="313">
        <f t="shared" si="27"/>
        <v>1</v>
      </c>
      <c r="F179" s="1128"/>
      <c r="G179" s="313">
        <f t="shared" si="28"/>
        <v>1</v>
      </c>
      <c r="H179" s="1128"/>
      <c r="I179" s="313">
        <f t="shared" si="29"/>
        <v>1</v>
      </c>
      <c r="J179" s="1128"/>
      <c r="K179" s="313">
        <f t="shared" si="30"/>
        <v>1</v>
      </c>
      <c r="L179" s="1128"/>
      <c r="M179" s="313">
        <f t="shared" si="31"/>
        <v>1</v>
      </c>
      <c r="N179" s="1128"/>
      <c r="O179" s="313">
        <f t="shared" si="32"/>
        <v>1</v>
      </c>
      <c r="P179" s="1128"/>
      <c r="Q179" s="313">
        <f t="shared" si="33"/>
        <v>1</v>
      </c>
      <c r="R179" s="1124">
        <f t="shared" si="34"/>
        <v>0</v>
      </c>
      <c r="S179" s="698">
        <f t="shared" si="25"/>
        <v>0</v>
      </c>
    </row>
    <row r="180" spans="1:19">
      <c r="A180" s="491"/>
      <c r="B180" s="348"/>
      <c r="C180" s="313">
        <f t="shared" si="26"/>
        <v>1</v>
      </c>
      <c r="D180" s="1128"/>
      <c r="E180" s="313">
        <f t="shared" si="27"/>
        <v>1</v>
      </c>
      <c r="F180" s="1128"/>
      <c r="G180" s="313">
        <f t="shared" si="28"/>
        <v>1</v>
      </c>
      <c r="H180" s="1128"/>
      <c r="I180" s="313">
        <f t="shared" si="29"/>
        <v>1</v>
      </c>
      <c r="J180" s="1128"/>
      <c r="K180" s="313">
        <f t="shared" si="30"/>
        <v>1</v>
      </c>
      <c r="L180" s="1128"/>
      <c r="M180" s="313">
        <f t="shared" si="31"/>
        <v>1</v>
      </c>
      <c r="N180" s="1128"/>
      <c r="O180" s="313">
        <f t="shared" si="32"/>
        <v>1</v>
      </c>
      <c r="P180" s="1128"/>
      <c r="Q180" s="313">
        <f t="shared" si="33"/>
        <v>1</v>
      </c>
      <c r="R180" s="1124">
        <f t="shared" si="34"/>
        <v>0</v>
      </c>
      <c r="S180" s="698">
        <f t="shared" si="25"/>
        <v>0</v>
      </c>
    </row>
    <row r="181" spans="1:19">
      <c r="A181" s="491"/>
      <c r="B181" s="348"/>
      <c r="C181" s="313">
        <f t="shared" si="26"/>
        <v>1</v>
      </c>
      <c r="D181" s="1128"/>
      <c r="E181" s="313">
        <f t="shared" si="27"/>
        <v>1</v>
      </c>
      <c r="F181" s="1128"/>
      <c r="G181" s="313">
        <f t="shared" si="28"/>
        <v>1</v>
      </c>
      <c r="H181" s="1128"/>
      <c r="I181" s="313">
        <f t="shared" si="29"/>
        <v>1</v>
      </c>
      <c r="J181" s="1128"/>
      <c r="K181" s="313">
        <f t="shared" si="30"/>
        <v>1</v>
      </c>
      <c r="L181" s="1128"/>
      <c r="M181" s="313">
        <f t="shared" si="31"/>
        <v>1</v>
      </c>
      <c r="N181" s="1128"/>
      <c r="O181" s="313">
        <f t="shared" si="32"/>
        <v>1</v>
      </c>
      <c r="P181" s="1128"/>
      <c r="Q181" s="313">
        <f t="shared" si="33"/>
        <v>1</v>
      </c>
      <c r="R181" s="1124">
        <f t="shared" si="34"/>
        <v>0</v>
      </c>
      <c r="S181" s="698">
        <f t="shared" si="25"/>
        <v>0</v>
      </c>
    </row>
    <row r="182" spans="1:19">
      <c r="A182" s="491"/>
      <c r="B182" s="348"/>
      <c r="C182" s="313">
        <f t="shared" si="26"/>
        <v>1</v>
      </c>
      <c r="D182" s="1128"/>
      <c r="E182" s="313">
        <f t="shared" si="27"/>
        <v>1</v>
      </c>
      <c r="F182" s="1128"/>
      <c r="G182" s="313">
        <f t="shared" si="28"/>
        <v>1</v>
      </c>
      <c r="H182" s="1128"/>
      <c r="I182" s="313">
        <f t="shared" si="29"/>
        <v>1</v>
      </c>
      <c r="J182" s="1128"/>
      <c r="K182" s="313">
        <f t="shared" si="30"/>
        <v>1</v>
      </c>
      <c r="L182" s="1128"/>
      <c r="M182" s="313">
        <f t="shared" si="31"/>
        <v>1</v>
      </c>
      <c r="N182" s="1128"/>
      <c r="O182" s="313">
        <f t="shared" si="32"/>
        <v>1</v>
      </c>
      <c r="P182" s="1128"/>
      <c r="Q182" s="313">
        <f t="shared" si="33"/>
        <v>1</v>
      </c>
      <c r="R182" s="1124">
        <f t="shared" si="34"/>
        <v>0</v>
      </c>
      <c r="S182" s="698">
        <f t="shared" si="25"/>
        <v>0</v>
      </c>
    </row>
    <row r="183" spans="1:19">
      <c r="A183" s="491"/>
      <c r="B183" s="348"/>
      <c r="C183" s="313">
        <f t="shared" si="26"/>
        <v>1</v>
      </c>
      <c r="D183" s="1128"/>
      <c r="E183" s="313">
        <f t="shared" si="27"/>
        <v>1</v>
      </c>
      <c r="F183" s="1128"/>
      <c r="G183" s="313">
        <f t="shared" si="28"/>
        <v>1</v>
      </c>
      <c r="H183" s="1128"/>
      <c r="I183" s="313">
        <f t="shared" si="29"/>
        <v>1</v>
      </c>
      <c r="J183" s="1128"/>
      <c r="K183" s="313">
        <f t="shared" si="30"/>
        <v>1</v>
      </c>
      <c r="L183" s="1128"/>
      <c r="M183" s="313">
        <f t="shared" si="31"/>
        <v>1</v>
      </c>
      <c r="N183" s="1128"/>
      <c r="O183" s="313">
        <f t="shared" si="32"/>
        <v>1</v>
      </c>
      <c r="P183" s="1128"/>
      <c r="Q183" s="313">
        <f t="shared" si="33"/>
        <v>1</v>
      </c>
      <c r="R183" s="1124">
        <f t="shared" si="34"/>
        <v>0</v>
      </c>
      <c r="S183" s="698">
        <f t="shared" si="25"/>
        <v>0</v>
      </c>
    </row>
    <row r="184" spans="1:19">
      <c r="A184" s="491"/>
      <c r="B184" s="348"/>
      <c r="C184" s="313">
        <f t="shared" si="26"/>
        <v>1</v>
      </c>
      <c r="D184" s="1128"/>
      <c r="E184" s="313">
        <f t="shared" si="27"/>
        <v>1</v>
      </c>
      <c r="F184" s="1128"/>
      <c r="G184" s="313">
        <f t="shared" si="28"/>
        <v>1</v>
      </c>
      <c r="H184" s="1128"/>
      <c r="I184" s="313">
        <f t="shared" si="29"/>
        <v>1</v>
      </c>
      <c r="J184" s="1128"/>
      <c r="K184" s="313">
        <f t="shared" si="30"/>
        <v>1</v>
      </c>
      <c r="L184" s="1128"/>
      <c r="M184" s="313">
        <f t="shared" si="31"/>
        <v>1</v>
      </c>
      <c r="N184" s="1128"/>
      <c r="O184" s="313">
        <f t="shared" si="32"/>
        <v>1</v>
      </c>
      <c r="P184" s="1128"/>
      <c r="Q184" s="313">
        <f t="shared" si="33"/>
        <v>1</v>
      </c>
      <c r="R184" s="1124">
        <f t="shared" si="34"/>
        <v>0</v>
      </c>
      <c r="S184" s="698">
        <f t="shared" si="25"/>
        <v>0</v>
      </c>
    </row>
    <row r="185" spans="1:19">
      <c r="A185" s="491"/>
      <c r="B185" s="348"/>
      <c r="C185" s="313">
        <f t="shared" si="26"/>
        <v>1</v>
      </c>
      <c r="D185" s="1128"/>
      <c r="E185" s="313">
        <f t="shared" si="27"/>
        <v>1</v>
      </c>
      <c r="F185" s="1128"/>
      <c r="G185" s="313">
        <f t="shared" si="28"/>
        <v>1</v>
      </c>
      <c r="H185" s="1128"/>
      <c r="I185" s="313">
        <f t="shared" si="29"/>
        <v>1</v>
      </c>
      <c r="J185" s="1128"/>
      <c r="K185" s="313">
        <f t="shared" si="30"/>
        <v>1</v>
      </c>
      <c r="L185" s="1128"/>
      <c r="M185" s="313">
        <f t="shared" si="31"/>
        <v>1</v>
      </c>
      <c r="N185" s="1128"/>
      <c r="O185" s="313">
        <f t="shared" si="32"/>
        <v>1</v>
      </c>
      <c r="P185" s="1128"/>
      <c r="Q185" s="313">
        <f t="shared" si="33"/>
        <v>1</v>
      </c>
      <c r="R185" s="1124">
        <f t="shared" si="34"/>
        <v>0</v>
      </c>
      <c r="S185" s="698">
        <f t="shared" si="25"/>
        <v>0</v>
      </c>
    </row>
    <row r="186" spans="1:19">
      <c r="A186" s="491"/>
      <c r="B186" s="348"/>
      <c r="C186" s="313">
        <f t="shared" si="26"/>
        <v>1</v>
      </c>
      <c r="D186" s="1128"/>
      <c r="E186" s="313">
        <f t="shared" si="27"/>
        <v>1</v>
      </c>
      <c r="F186" s="1128"/>
      <c r="G186" s="313">
        <f t="shared" si="28"/>
        <v>1</v>
      </c>
      <c r="H186" s="1128"/>
      <c r="I186" s="313">
        <f t="shared" si="29"/>
        <v>1</v>
      </c>
      <c r="J186" s="1128"/>
      <c r="K186" s="313">
        <f t="shared" si="30"/>
        <v>1</v>
      </c>
      <c r="L186" s="1128"/>
      <c r="M186" s="313">
        <f t="shared" si="31"/>
        <v>1</v>
      </c>
      <c r="N186" s="1128"/>
      <c r="O186" s="313">
        <f t="shared" si="32"/>
        <v>1</v>
      </c>
      <c r="P186" s="1128"/>
      <c r="Q186" s="313">
        <f t="shared" si="33"/>
        <v>1</v>
      </c>
      <c r="R186" s="1124">
        <f t="shared" si="34"/>
        <v>0</v>
      </c>
      <c r="S186" s="698">
        <f t="shared" si="25"/>
        <v>0</v>
      </c>
    </row>
    <row r="187" spans="1:19">
      <c r="A187" s="491"/>
      <c r="B187" s="348"/>
      <c r="C187" s="313">
        <f t="shared" si="26"/>
        <v>1</v>
      </c>
      <c r="D187" s="1128"/>
      <c r="E187" s="313">
        <f t="shared" si="27"/>
        <v>1</v>
      </c>
      <c r="F187" s="1128"/>
      <c r="G187" s="313">
        <f t="shared" si="28"/>
        <v>1</v>
      </c>
      <c r="H187" s="1128"/>
      <c r="I187" s="313">
        <f t="shared" si="29"/>
        <v>1</v>
      </c>
      <c r="J187" s="1128"/>
      <c r="K187" s="313">
        <f t="shared" si="30"/>
        <v>1</v>
      </c>
      <c r="L187" s="1128"/>
      <c r="M187" s="313">
        <f t="shared" si="31"/>
        <v>1</v>
      </c>
      <c r="N187" s="1128"/>
      <c r="O187" s="313">
        <f t="shared" si="32"/>
        <v>1</v>
      </c>
      <c r="P187" s="1128"/>
      <c r="Q187" s="313">
        <f t="shared" si="33"/>
        <v>1</v>
      </c>
      <c r="R187" s="1124">
        <f t="shared" si="34"/>
        <v>0</v>
      </c>
      <c r="S187" s="698">
        <f t="shared" si="25"/>
        <v>0</v>
      </c>
    </row>
    <row r="188" spans="1:19">
      <c r="A188" s="491"/>
      <c r="B188" s="348"/>
      <c r="C188" s="313">
        <f t="shared" si="26"/>
        <v>1</v>
      </c>
      <c r="D188" s="1128"/>
      <c r="E188" s="313">
        <f t="shared" si="27"/>
        <v>1</v>
      </c>
      <c r="F188" s="1128"/>
      <c r="G188" s="313">
        <f t="shared" si="28"/>
        <v>1</v>
      </c>
      <c r="H188" s="1128"/>
      <c r="I188" s="313">
        <f t="shared" si="29"/>
        <v>1</v>
      </c>
      <c r="J188" s="1128"/>
      <c r="K188" s="313">
        <f t="shared" si="30"/>
        <v>1</v>
      </c>
      <c r="L188" s="1128"/>
      <c r="M188" s="313">
        <f t="shared" si="31"/>
        <v>1</v>
      </c>
      <c r="N188" s="1128"/>
      <c r="O188" s="313">
        <f t="shared" si="32"/>
        <v>1</v>
      </c>
      <c r="P188" s="1128"/>
      <c r="Q188" s="313">
        <f t="shared" si="33"/>
        <v>1</v>
      </c>
      <c r="R188" s="1124">
        <f t="shared" si="34"/>
        <v>0</v>
      </c>
      <c r="S188" s="698">
        <f t="shared" si="25"/>
        <v>0</v>
      </c>
    </row>
    <row r="189" spans="1:19">
      <c r="A189" s="491"/>
      <c r="B189" s="348"/>
      <c r="C189" s="313">
        <f t="shared" si="26"/>
        <v>1</v>
      </c>
      <c r="D189" s="1128"/>
      <c r="E189" s="313">
        <f t="shared" si="27"/>
        <v>1</v>
      </c>
      <c r="F189" s="1128"/>
      <c r="G189" s="313">
        <f t="shared" si="28"/>
        <v>1</v>
      </c>
      <c r="H189" s="1128"/>
      <c r="I189" s="313">
        <f t="shared" si="29"/>
        <v>1</v>
      </c>
      <c r="J189" s="1128"/>
      <c r="K189" s="313">
        <f t="shared" si="30"/>
        <v>1</v>
      </c>
      <c r="L189" s="1128"/>
      <c r="M189" s="313">
        <f t="shared" si="31"/>
        <v>1</v>
      </c>
      <c r="N189" s="1128"/>
      <c r="O189" s="313">
        <f t="shared" si="32"/>
        <v>1</v>
      </c>
      <c r="P189" s="1128"/>
      <c r="Q189" s="313">
        <f t="shared" si="33"/>
        <v>1</v>
      </c>
      <c r="R189" s="1124">
        <f t="shared" si="34"/>
        <v>0</v>
      </c>
      <c r="S189" s="698">
        <f t="shared" si="25"/>
        <v>0</v>
      </c>
    </row>
    <row r="190" spans="1:19">
      <c r="A190" s="491"/>
      <c r="B190" s="348"/>
      <c r="C190" s="313">
        <f t="shared" si="26"/>
        <v>1</v>
      </c>
      <c r="D190" s="1128"/>
      <c r="E190" s="313">
        <f t="shared" si="27"/>
        <v>1</v>
      </c>
      <c r="F190" s="1128"/>
      <c r="G190" s="313">
        <f t="shared" si="28"/>
        <v>1</v>
      </c>
      <c r="H190" s="1128"/>
      <c r="I190" s="313">
        <f t="shared" si="29"/>
        <v>1</v>
      </c>
      <c r="J190" s="1128"/>
      <c r="K190" s="313">
        <f t="shared" si="30"/>
        <v>1</v>
      </c>
      <c r="L190" s="1128"/>
      <c r="M190" s="313">
        <f t="shared" si="31"/>
        <v>1</v>
      </c>
      <c r="N190" s="1128"/>
      <c r="O190" s="313">
        <f t="shared" si="32"/>
        <v>1</v>
      </c>
      <c r="P190" s="1128"/>
      <c r="Q190" s="313">
        <f t="shared" si="33"/>
        <v>1</v>
      </c>
      <c r="R190" s="1124">
        <f t="shared" si="34"/>
        <v>0</v>
      </c>
      <c r="S190" s="698">
        <f t="shared" si="25"/>
        <v>0</v>
      </c>
    </row>
    <row r="191" spans="1:19">
      <c r="A191" s="491"/>
      <c r="B191" s="348"/>
      <c r="C191" s="313">
        <f t="shared" si="26"/>
        <v>1</v>
      </c>
      <c r="D191" s="1128"/>
      <c r="E191" s="313">
        <f t="shared" si="27"/>
        <v>1</v>
      </c>
      <c r="F191" s="1128"/>
      <c r="G191" s="313">
        <f t="shared" si="28"/>
        <v>1</v>
      </c>
      <c r="H191" s="1128"/>
      <c r="I191" s="313">
        <f t="shared" si="29"/>
        <v>1</v>
      </c>
      <c r="J191" s="1128"/>
      <c r="K191" s="313">
        <f t="shared" si="30"/>
        <v>1</v>
      </c>
      <c r="L191" s="1128"/>
      <c r="M191" s="313">
        <f t="shared" si="31"/>
        <v>1</v>
      </c>
      <c r="N191" s="1128"/>
      <c r="O191" s="313">
        <f t="shared" si="32"/>
        <v>1</v>
      </c>
      <c r="P191" s="1128"/>
      <c r="Q191" s="313">
        <f t="shared" si="33"/>
        <v>1</v>
      </c>
      <c r="R191" s="1124">
        <f t="shared" si="34"/>
        <v>0</v>
      </c>
      <c r="S191" s="698">
        <f t="shared" si="25"/>
        <v>0</v>
      </c>
    </row>
    <row r="192" spans="1:19">
      <c r="A192" s="491"/>
      <c r="B192" s="348"/>
      <c r="C192" s="313">
        <f t="shared" si="26"/>
        <v>1</v>
      </c>
      <c r="D192" s="1128"/>
      <c r="E192" s="313">
        <f t="shared" si="27"/>
        <v>1</v>
      </c>
      <c r="F192" s="1128"/>
      <c r="G192" s="313">
        <f t="shared" si="28"/>
        <v>1</v>
      </c>
      <c r="H192" s="1128"/>
      <c r="I192" s="313">
        <f t="shared" si="29"/>
        <v>1</v>
      </c>
      <c r="J192" s="1128"/>
      <c r="K192" s="313">
        <f t="shared" si="30"/>
        <v>1</v>
      </c>
      <c r="L192" s="1128"/>
      <c r="M192" s="313">
        <f t="shared" si="31"/>
        <v>1</v>
      </c>
      <c r="N192" s="1128"/>
      <c r="O192" s="313">
        <f t="shared" si="32"/>
        <v>1</v>
      </c>
      <c r="P192" s="1128"/>
      <c r="Q192" s="313">
        <f t="shared" si="33"/>
        <v>1</v>
      </c>
      <c r="R192" s="1124">
        <f t="shared" si="34"/>
        <v>0</v>
      </c>
      <c r="S192" s="698">
        <f t="shared" si="25"/>
        <v>0</v>
      </c>
    </row>
    <row r="193" spans="1:19">
      <c r="A193" s="491"/>
      <c r="B193" s="348"/>
      <c r="C193" s="313">
        <f t="shared" si="26"/>
        <v>1</v>
      </c>
      <c r="D193" s="1128"/>
      <c r="E193" s="313">
        <f t="shared" si="27"/>
        <v>1</v>
      </c>
      <c r="F193" s="1128"/>
      <c r="G193" s="313">
        <f t="shared" si="28"/>
        <v>1</v>
      </c>
      <c r="H193" s="1128"/>
      <c r="I193" s="313">
        <f t="shared" si="29"/>
        <v>1</v>
      </c>
      <c r="J193" s="1128"/>
      <c r="K193" s="313">
        <f t="shared" si="30"/>
        <v>1</v>
      </c>
      <c r="L193" s="1128"/>
      <c r="M193" s="313">
        <f t="shared" si="31"/>
        <v>1</v>
      </c>
      <c r="N193" s="1128"/>
      <c r="O193" s="313">
        <f t="shared" si="32"/>
        <v>1</v>
      </c>
      <c r="P193" s="1128"/>
      <c r="Q193" s="313">
        <f t="shared" si="33"/>
        <v>1</v>
      </c>
      <c r="R193" s="1124">
        <f t="shared" si="34"/>
        <v>0</v>
      </c>
      <c r="S193" s="698">
        <f t="shared" si="25"/>
        <v>0</v>
      </c>
    </row>
    <row r="194" spans="1:19">
      <c r="A194" s="491"/>
      <c r="B194" s="348"/>
      <c r="C194" s="313">
        <f t="shared" si="26"/>
        <v>1</v>
      </c>
      <c r="D194" s="1128"/>
      <c r="E194" s="313">
        <f t="shared" si="27"/>
        <v>1</v>
      </c>
      <c r="F194" s="1128"/>
      <c r="G194" s="313">
        <f t="shared" si="28"/>
        <v>1</v>
      </c>
      <c r="H194" s="1128"/>
      <c r="I194" s="313">
        <f t="shared" si="29"/>
        <v>1</v>
      </c>
      <c r="J194" s="1128"/>
      <c r="K194" s="313">
        <f t="shared" si="30"/>
        <v>1</v>
      </c>
      <c r="L194" s="1128"/>
      <c r="M194" s="313">
        <f t="shared" si="31"/>
        <v>1</v>
      </c>
      <c r="N194" s="1128"/>
      <c r="O194" s="313">
        <f t="shared" si="32"/>
        <v>1</v>
      </c>
      <c r="P194" s="1128"/>
      <c r="Q194" s="313">
        <f t="shared" si="33"/>
        <v>1</v>
      </c>
      <c r="R194" s="1124">
        <f t="shared" si="34"/>
        <v>0</v>
      </c>
      <c r="S194" s="698">
        <f t="shared" si="25"/>
        <v>0</v>
      </c>
    </row>
    <row r="195" spans="1:19">
      <c r="A195" s="491"/>
      <c r="B195" s="348"/>
      <c r="C195" s="313">
        <f t="shared" si="26"/>
        <v>1</v>
      </c>
      <c r="D195" s="1128"/>
      <c r="E195" s="313">
        <f t="shared" si="27"/>
        <v>1</v>
      </c>
      <c r="F195" s="1128"/>
      <c r="G195" s="313">
        <f t="shared" si="28"/>
        <v>1</v>
      </c>
      <c r="H195" s="1128"/>
      <c r="I195" s="313">
        <f t="shared" si="29"/>
        <v>1</v>
      </c>
      <c r="J195" s="1128"/>
      <c r="K195" s="313">
        <f t="shared" si="30"/>
        <v>1</v>
      </c>
      <c r="L195" s="1128"/>
      <c r="M195" s="313">
        <f t="shared" si="31"/>
        <v>1</v>
      </c>
      <c r="N195" s="1128"/>
      <c r="O195" s="313">
        <f t="shared" si="32"/>
        <v>1</v>
      </c>
      <c r="P195" s="1128"/>
      <c r="Q195" s="313">
        <f t="shared" si="33"/>
        <v>1</v>
      </c>
      <c r="R195" s="1124">
        <f t="shared" si="34"/>
        <v>0</v>
      </c>
      <c r="S195" s="698">
        <f t="shared" si="25"/>
        <v>0</v>
      </c>
    </row>
    <row r="196" spans="1:19">
      <c r="A196" s="491"/>
      <c r="B196" s="348"/>
      <c r="C196" s="313">
        <f t="shared" si="26"/>
        <v>1</v>
      </c>
      <c r="D196" s="1128"/>
      <c r="E196" s="313">
        <f t="shared" si="27"/>
        <v>1</v>
      </c>
      <c r="F196" s="1128"/>
      <c r="G196" s="313">
        <f t="shared" si="28"/>
        <v>1</v>
      </c>
      <c r="H196" s="1128"/>
      <c r="I196" s="313">
        <f t="shared" si="29"/>
        <v>1</v>
      </c>
      <c r="J196" s="1128"/>
      <c r="K196" s="313">
        <f t="shared" si="30"/>
        <v>1</v>
      </c>
      <c r="L196" s="1128"/>
      <c r="M196" s="313">
        <f t="shared" si="31"/>
        <v>1</v>
      </c>
      <c r="N196" s="1128"/>
      <c r="O196" s="313">
        <f t="shared" si="32"/>
        <v>1</v>
      </c>
      <c r="P196" s="1128"/>
      <c r="Q196" s="313">
        <f t="shared" si="33"/>
        <v>1</v>
      </c>
      <c r="R196" s="1124">
        <f t="shared" si="34"/>
        <v>0</v>
      </c>
      <c r="S196" s="698">
        <f t="shared" si="25"/>
        <v>0</v>
      </c>
    </row>
    <row r="197" spans="1:19">
      <c r="A197" s="491"/>
      <c r="B197" s="348"/>
      <c r="C197" s="313">
        <f t="shared" si="26"/>
        <v>1</v>
      </c>
      <c r="D197" s="1128"/>
      <c r="E197" s="313">
        <f t="shared" si="27"/>
        <v>1</v>
      </c>
      <c r="F197" s="1128"/>
      <c r="G197" s="313">
        <f t="shared" si="28"/>
        <v>1</v>
      </c>
      <c r="H197" s="1128"/>
      <c r="I197" s="313">
        <f t="shared" si="29"/>
        <v>1</v>
      </c>
      <c r="J197" s="1128"/>
      <c r="K197" s="313">
        <f t="shared" si="30"/>
        <v>1</v>
      </c>
      <c r="L197" s="1128"/>
      <c r="M197" s="313">
        <f t="shared" si="31"/>
        <v>1</v>
      </c>
      <c r="N197" s="1128"/>
      <c r="O197" s="313">
        <f t="shared" si="32"/>
        <v>1</v>
      </c>
      <c r="P197" s="1128"/>
      <c r="Q197" s="313">
        <f t="shared" si="33"/>
        <v>1</v>
      </c>
      <c r="R197" s="1124">
        <f t="shared" si="34"/>
        <v>0</v>
      </c>
      <c r="S197" s="698">
        <f t="shared" si="25"/>
        <v>0</v>
      </c>
    </row>
    <row r="198" spans="1:19">
      <c r="A198" s="491"/>
      <c r="B198" s="348"/>
      <c r="C198" s="313">
        <f t="shared" si="26"/>
        <v>1</v>
      </c>
      <c r="D198" s="1128"/>
      <c r="E198" s="313">
        <f t="shared" si="27"/>
        <v>1</v>
      </c>
      <c r="F198" s="1128"/>
      <c r="G198" s="313">
        <f t="shared" si="28"/>
        <v>1</v>
      </c>
      <c r="H198" s="1128"/>
      <c r="I198" s="313">
        <f t="shared" si="29"/>
        <v>1</v>
      </c>
      <c r="J198" s="1128"/>
      <c r="K198" s="313">
        <f t="shared" si="30"/>
        <v>1</v>
      </c>
      <c r="L198" s="1128"/>
      <c r="M198" s="313">
        <f t="shared" si="31"/>
        <v>1</v>
      </c>
      <c r="N198" s="1128"/>
      <c r="O198" s="313">
        <f t="shared" si="32"/>
        <v>1</v>
      </c>
      <c r="P198" s="1128"/>
      <c r="Q198" s="313">
        <f t="shared" si="33"/>
        <v>1</v>
      </c>
      <c r="R198" s="1124">
        <f t="shared" si="34"/>
        <v>0</v>
      </c>
      <c r="S198" s="698">
        <f t="shared" si="25"/>
        <v>0</v>
      </c>
    </row>
    <row r="199" spans="1:19">
      <c r="A199" s="491"/>
      <c r="B199" s="348"/>
      <c r="C199" s="313">
        <f t="shared" si="26"/>
        <v>1</v>
      </c>
      <c r="D199" s="1128"/>
      <c r="E199" s="313">
        <f t="shared" si="27"/>
        <v>1</v>
      </c>
      <c r="F199" s="1128"/>
      <c r="G199" s="313">
        <f t="shared" si="28"/>
        <v>1</v>
      </c>
      <c r="H199" s="1128"/>
      <c r="I199" s="313">
        <f t="shared" si="29"/>
        <v>1</v>
      </c>
      <c r="J199" s="1128"/>
      <c r="K199" s="313">
        <f t="shared" si="30"/>
        <v>1</v>
      </c>
      <c r="L199" s="1128"/>
      <c r="M199" s="313">
        <f t="shared" si="31"/>
        <v>1</v>
      </c>
      <c r="N199" s="1128"/>
      <c r="O199" s="313">
        <f t="shared" si="32"/>
        <v>1</v>
      </c>
      <c r="P199" s="1128"/>
      <c r="Q199" s="313">
        <f t="shared" si="33"/>
        <v>1</v>
      </c>
      <c r="R199" s="1124">
        <f t="shared" si="34"/>
        <v>0</v>
      </c>
      <c r="S199" s="698">
        <f t="shared" si="25"/>
        <v>0</v>
      </c>
    </row>
    <row r="200" spans="1:19">
      <c r="A200" s="491"/>
      <c r="B200" s="348"/>
      <c r="C200" s="313">
        <f t="shared" si="26"/>
        <v>1</v>
      </c>
      <c r="D200" s="1128"/>
      <c r="E200" s="313">
        <f t="shared" si="27"/>
        <v>1</v>
      </c>
      <c r="F200" s="1128"/>
      <c r="G200" s="313">
        <f t="shared" si="28"/>
        <v>1</v>
      </c>
      <c r="H200" s="1128"/>
      <c r="I200" s="313">
        <f t="shared" si="29"/>
        <v>1</v>
      </c>
      <c r="J200" s="1128"/>
      <c r="K200" s="313">
        <f t="shared" si="30"/>
        <v>1</v>
      </c>
      <c r="L200" s="1128"/>
      <c r="M200" s="313">
        <f t="shared" si="31"/>
        <v>1</v>
      </c>
      <c r="N200" s="1128"/>
      <c r="O200" s="313">
        <f t="shared" si="32"/>
        <v>1</v>
      </c>
      <c r="P200" s="1128"/>
      <c r="Q200" s="313">
        <f t="shared" si="33"/>
        <v>1</v>
      </c>
      <c r="R200" s="1124">
        <f t="shared" si="34"/>
        <v>0</v>
      </c>
      <c r="S200" s="698">
        <f t="shared" si="25"/>
        <v>0</v>
      </c>
    </row>
    <row r="201" spans="1:19">
      <c r="A201" s="491"/>
      <c r="B201" s="348"/>
      <c r="C201" s="313">
        <f t="shared" si="26"/>
        <v>1</v>
      </c>
      <c r="D201" s="1128"/>
      <c r="E201" s="313">
        <f t="shared" si="27"/>
        <v>1</v>
      </c>
      <c r="F201" s="1128"/>
      <c r="G201" s="313">
        <f t="shared" si="28"/>
        <v>1</v>
      </c>
      <c r="H201" s="1128"/>
      <c r="I201" s="313">
        <f t="shared" si="29"/>
        <v>1</v>
      </c>
      <c r="J201" s="1128"/>
      <c r="K201" s="313">
        <f t="shared" si="30"/>
        <v>1</v>
      </c>
      <c r="L201" s="1128"/>
      <c r="M201" s="313">
        <f t="shared" si="31"/>
        <v>1</v>
      </c>
      <c r="N201" s="1128"/>
      <c r="O201" s="313">
        <f t="shared" si="32"/>
        <v>1</v>
      </c>
      <c r="P201" s="1128"/>
      <c r="Q201" s="313">
        <f t="shared" si="33"/>
        <v>1</v>
      </c>
      <c r="R201" s="1124">
        <f t="shared" si="34"/>
        <v>0</v>
      </c>
      <c r="S201" s="698">
        <f t="shared" si="25"/>
        <v>0</v>
      </c>
    </row>
    <row r="202" spans="1:19">
      <c r="A202" s="491"/>
      <c r="B202" s="348"/>
      <c r="C202" s="313">
        <f t="shared" si="26"/>
        <v>1</v>
      </c>
      <c r="D202" s="1128"/>
      <c r="E202" s="313">
        <f t="shared" si="27"/>
        <v>1</v>
      </c>
      <c r="F202" s="1128"/>
      <c r="G202" s="313">
        <f t="shared" si="28"/>
        <v>1</v>
      </c>
      <c r="H202" s="1128"/>
      <c r="I202" s="313">
        <f t="shared" si="29"/>
        <v>1</v>
      </c>
      <c r="J202" s="1128"/>
      <c r="K202" s="313">
        <f t="shared" si="30"/>
        <v>1</v>
      </c>
      <c r="L202" s="1128"/>
      <c r="M202" s="313">
        <f t="shared" si="31"/>
        <v>1</v>
      </c>
      <c r="N202" s="1128"/>
      <c r="O202" s="313">
        <f t="shared" si="32"/>
        <v>1</v>
      </c>
      <c r="P202" s="1128"/>
      <c r="Q202" s="313">
        <f t="shared" si="33"/>
        <v>1</v>
      </c>
      <c r="R202" s="1124">
        <f t="shared" si="34"/>
        <v>0</v>
      </c>
      <c r="S202" s="698">
        <f t="shared" si="25"/>
        <v>0</v>
      </c>
    </row>
    <row r="203" spans="1:19">
      <c r="A203" s="491"/>
      <c r="B203" s="348"/>
      <c r="C203" s="313">
        <f t="shared" si="26"/>
        <v>1</v>
      </c>
      <c r="D203" s="1128"/>
      <c r="E203" s="313">
        <f t="shared" si="27"/>
        <v>1</v>
      </c>
      <c r="F203" s="1128"/>
      <c r="G203" s="313">
        <f t="shared" si="28"/>
        <v>1</v>
      </c>
      <c r="H203" s="1128"/>
      <c r="I203" s="313">
        <f t="shared" si="29"/>
        <v>1</v>
      </c>
      <c r="J203" s="1128"/>
      <c r="K203" s="313">
        <f t="shared" si="30"/>
        <v>1</v>
      </c>
      <c r="L203" s="1128"/>
      <c r="M203" s="313">
        <f t="shared" si="31"/>
        <v>1</v>
      </c>
      <c r="N203" s="1128"/>
      <c r="O203" s="313">
        <f t="shared" si="32"/>
        <v>1</v>
      </c>
      <c r="P203" s="1128"/>
      <c r="Q203" s="313">
        <f t="shared" si="33"/>
        <v>1</v>
      </c>
      <c r="R203" s="1124">
        <f t="shared" si="34"/>
        <v>0</v>
      </c>
      <c r="S203" s="698">
        <f t="shared" si="25"/>
        <v>0</v>
      </c>
    </row>
    <row r="204" spans="1:19">
      <c r="A204" s="491"/>
      <c r="B204" s="348"/>
      <c r="C204" s="313">
        <f t="shared" si="26"/>
        <v>1</v>
      </c>
      <c r="D204" s="1128"/>
      <c r="E204" s="313">
        <f t="shared" si="27"/>
        <v>1</v>
      </c>
      <c r="F204" s="1128"/>
      <c r="G204" s="313">
        <f t="shared" si="28"/>
        <v>1</v>
      </c>
      <c r="H204" s="1128"/>
      <c r="I204" s="313">
        <f t="shared" si="29"/>
        <v>1</v>
      </c>
      <c r="J204" s="1128"/>
      <c r="K204" s="313">
        <f t="shared" si="30"/>
        <v>1</v>
      </c>
      <c r="L204" s="1128"/>
      <c r="M204" s="313">
        <f t="shared" si="31"/>
        <v>1</v>
      </c>
      <c r="N204" s="1128"/>
      <c r="O204" s="313">
        <f t="shared" si="32"/>
        <v>1</v>
      </c>
      <c r="P204" s="1128"/>
      <c r="Q204" s="313">
        <f t="shared" si="33"/>
        <v>1</v>
      </c>
      <c r="R204" s="1124">
        <f t="shared" si="34"/>
        <v>0</v>
      </c>
      <c r="S204" s="698">
        <f t="shared" si="25"/>
        <v>0</v>
      </c>
    </row>
    <row r="205" spans="1:19">
      <c r="A205" s="491"/>
      <c r="B205" s="348"/>
      <c r="C205" s="313">
        <f t="shared" si="26"/>
        <v>1</v>
      </c>
      <c r="D205" s="1128"/>
      <c r="E205" s="313">
        <f t="shared" si="27"/>
        <v>1</v>
      </c>
      <c r="F205" s="1128"/>
      <c r="G205" s="313">
        <f t="shared" si="28"/>
        <v>1</v>
      </c>
      <c r="H205" s="1128"/>
      <c r="I205" s="313">
        <f t="shared" si="29"/>
        <v>1</v>
      </c>
      <c r="J205" s="1128"/>
      <c r="K205" s="313">
        <f t="shared" si="30"/>
        <v>1</v>
      </c>
      <c r="L205" s="1128"/>
      <c r="M205" s="313">
        <f t="shared" si="31"/>
        <v>1</v>
      </c>
      <c r="N205" s="1128"/>
      <c r="O205" s="313">
        <f t="shared" si="32"/>
        <v>1</v>
      </c>
      <c r="P205" s="1128"/>
      <c r="Q205" s="313">
        <f t="shared" si="33"/>
        <v>1</v>
      </c>
      <c r="R205" s="1124">
        <f t="shared" si="34"/>
        <v>0</v>
      </c>
      <c r="S205" s="698">
        <f t="shared" si="25"/>
        <v>0</v>
      </c>
    </row>
    <row r="206" spans="1:19">
      <c r="A206" s="491"/>
      <c r="B206" s="348"/>
      <c r="C206" s="313">
        <f t="shared" si="26"/>
        <v>1</v>
      </c>
      <c r="D206" s="1128"/>
      <c r="E206" s="313">
        <f t="shared" si="27"/>
        <v>1</v>
      </c>
      <c r="F206" s="1128"/>
      <c r="G206" s="313">
        <f t="shared" si="28"/>
        <v>1</v>
      </c>
      <c r="H206" s="1128"/>
      <c r="I206" s="313">
        <f t="shared" si="29"/>
        <v>1</v>
      </c>
      <c r="J206" s="1128"/>
      <c r="K206" s="313">
        <f t="shared" si="30"/>
        <v>1</v>
      </c>
      <c r="L206" s="1128"/>
      <c r="M206" s="313">
        <f t="shared" si="31"/>
        <v>1</v>
      </c>
      <c r="N206" s="1128"/>
      <c r="O206" s="313">
        <f t="shared" si="32"/>
        <v>1</v>
      </c>
      <c r="P206" s="1128"/>
      <c r="Q206" s="313">
        <f t="shared" si="33"/>
        <v>1</v>
      </c>
      <c r="R206" s="1124">
        <f t="shared" si="34"/>
        <v>0</v>
      </c>
      <c r="S206" s="698">
        <f t="shared" si="25"/>
        <v>0</v>
      </c>
    </row>
    <row r="207" spans="1:19">
      <c r="A207" s="491"/>
      <c r="B207" s="348"/>
      <c r="C207" s="313">
        <f t="shared" si="26"/>
        <v>1</v>
      </c>
      <c r="D207" s="1128"/>
      <c r="E207" s="313">
        <f t="shared" si="27"/>
        <v>1</v>
      </c>
      <c r="F207" s="1128"/>
      <c r="G207" s="313">
        <f t="shared" si="28"/>
        <v>1</v>
      </c>
      <c r="H207" s="1128"/>
      <c r="I207" s="313">
        <f t="shared" si="29"/>
        <v>1</v>
      </c>
      <c r="J207" s="1128"/>
      <c r="K207" s="313">
        <f t="shared" si="30"/>
        <v>1</v>
      </c>
      <c r="L207" s="1128"/>
      <c r="M207" s="313">
        <f t="shared" si="31"/>
        <v>1</v>
      </c>
      <c r="N207" s="1128"/>
      <c r="O207" s="313">
        <f t="shared" si="32"/>
        <v>1</v>
      </c>
      <c r="P207" s="1128"/>
      <c r="Q207" s="313">
        <f t="shared" si="33"/>
        <v>1</v>
      </c>
      <c r="R207" s="1124">
        <f t="shared" si="34"/>
        <v>0</v>
      </c>
      <c r="S207" s="698">
        <f t="shared" si="25"/>
        <v>0</v>
      </c>
    </row>
    <row r="208" spans="1:19">
      <c r="A208" s="491"/>
      <c r="B208" s="348"/>
      <c r="C208" s="313">
        <f t="shared" si="26"/>
        <v>1</v>
      </c>
      <c r="D208" s="1128"/>
      <c r="E208" s="313">
        <f t="shared" si="27"/>
        <v>1</v>
      </c>
      <c r="F208" s="1128"/>
      <c r="G208" s="313">
        <f t="shared" si="28"/>
        <v>1</v>
      </c>
      <c r="H208" s="1128"/>
      <c r="I208" s="313">
        <f t="shared" si="29"/>
        <v>1</v>
      </c>
      <c r="J208" s="1128"/>
      <c r="K208" s="313">
        <f t="shared" si="30"/>
        <v>1</v>
      </c>
      <c r="L208" s="1128"/>
      <c r="M208" s="313">
        <f t="shared" si="31"/>
        <v>1</v>
      </c>
      <c r="N208" s="1128"/>
      <c r="O208" s="313">
        <f t="shared" si="32"/>
        <v>1</v>
      </c>
      <c r="P208" s="1128"/>
      <c r="Q208" s="313">
        <f t="shared" si="33"/>
        <v>1</v>
      </c>
      <c r="R208" s="1124">
        <f t="shared" si="34"/>
        <v>0</v>
      </c>
      <c r="S208" s="698">
        <f t="shared" si="25"/>
        <v>0</v>
      </c>
    </row>
    <row r="209" spans="1:19">
      <c r="A209" s="491"/>
      <c r="B209" s="348"/>
      <c r="C209" s="313">
        <f t="shared" si="26"/>
        <v>1</v>
      </c>
      <c r="D209" s="1128"/>
      <c r="E209" s="313">
        <f t="shared" si="27"/>
        <v>1</v>
      </c>
      <c r="F209" s="1128"/>
      <c r="G209" s="313">
        <f t="shared" si="28"/>
        <v>1</v>
      </c>
      <c r="H209" s="1128"/>
      <c r="I209" s="313">
        <f t="shared" si="29"/>
        <v>1</v>
      </c>
      <c r="J209" s="1128"/>
      <c r="K209" s="313">
        <f t="shared" si="30"/>
        <v>1</v>
      </c>
      <c r="L209" s="1128"/>
      <c r="M209" s="313">
        <f t="shared" si="31"/>
        <v>1</v>
      </c>
      <c r="N209" s="1128"/>
      <c r="O209" s="313">
        <f t="shared" si="32"/>
        <v>1</v>
      </c>
      <c r="P209" s="1128"/>
      <c r="Q209" s="313">
        <f t="shared" si="33"/>
        <v>1</v>
      </c>
      <c r="R209" s="1124">
        <f t="shared" si="34"/>
        <v>0</v>
      </c>
      <c r="S209" s="698">
        <f t="shared" si="25"/>
        <v>0</v>
      </c>
    </row>
    <row r="210" spans="1:19">
      <c r="A210" s="491"/>
      <c r="B210" s="348"/>
      <c r="C210" s="313">
        <f t="shared" si="26"/>
        <v>1</v>
      </c>
      <c r="D210" s="1128"/>
      <c r="E210" s="313">
        <f t="shared" si="27"/>
        <v>1</v>
      </c>
      <c r="F210" s="1128"/>
      <c r="G210" s="313">
        <f t="shared" si="28"/>
        <v>1</v>
      </c>
      <c r="H210" s="1128"/>
      <c r="I210" s="313">
        <f t="shared" si="29"/>
        <v>1</v>
      </c>
      <c r="J210" s="1128"/>
      <c r="K210" s="313">
        <f t="shared" si="30"/>
        <v>1</v>
      </c>
      <c r="L210" s="1128"/>
      <c r="M210" s="313">
        <f t="shared" si="31"/>
        <v>1</v>
      </c>
      <c r="N210" s="1128"/>
      <c r="O210" s="313">
        <f t="shared" si="32"/>
        <v>1</v>
      </c>
      <c r="P210" s="1128"/>
      <c r="Q210" s="313">
        <f t="shared" si="33"/>
        <v>1</v>
      </c>
      <c r="R210" s="1124">
        <f t="shared" si="34"/>
        <v>0</v>
      </c>
      <c r="S210" s="698">
        <f t="shared" si="25"/>
        <v>0</v>
      </c>
    </row>
    <row r="211" spans="1:19">
      <c r="A211" s="491"/>
      <c r="B211" s="348"/>
      <c r="C211" s="313">
        <f t="shared" si="26"/>
        <v>1</v>
      </c>
      <c r="D211" s="1128"/>
      <c r="E211" s="313">
        <f t="shared" si="27"/>
        <v>1</v>
      </c>
      <c r="F211" s="1128"/>
      <c r="G211" s="313">
        <f t="shared" si="28"/>
        <v>1</v>
      </c>
      <c r="H211" s="1128"/>
      <c r="I211" s="313">
        <f t="shared" si="29"/>
        <v>1</v>
      </c>
      <c r="J211" s="1128"/>
      <c r="K211" s="313">
        <f t="shared" si="30"/>
        <v>1</v>
      </c>
      <c r="L211" s="1128"/>
      <c r="M211" s="313">
        <f t="shared" si="31"/>
        <v>1</v>
      </c>
      <c r="N211" s="1128"/>
      <c r="O211" s="313">
        <f t="shared" si="32"/>
        <v>1</v>
      </c>
      <c r="P211" s="1128"/>
      <c r="Q211" s="313">
        <f t="shared" si="33"/>
        <v>1</v>
      </c>
      <c r="R211" s="1124">
        <f t="shared" si="34"/>
        <v>0</v>
      </c>
      <c r="S211" s="698">
        <f t="shared" si="25"/>
        <v>0</v>
      </c>
    </row>
    <row r="212" spans="1:19">
      <c r="A212" s="491"/>
      <c r="B212" s="348"/>
      <c r="C212" s="313">
        <f t="shared" si="26"/>
        <v>1</v>
      </c>
      <c r="D212" s="1128"/>
      <c r="E212" s="313">
        <f t="shared" si="27"/>
        <v>1</v>
      </c>
      <c r="F212" s="1128"/>
      <c r="G212" s="313">
        <f t="shared" si="28"/>
        <v>1</v>
      </c>
      <c r="H212" s="1128"/>
      <c r="I212" s="313">
        <f t="shared" si="29"/>
        <v>1</v>
      </c>
      <c r="J212" s="1128"/>
      <c r="K212" s="313">
        <f t="shared" si="30"/>
        <v>1</v>
      </c>
      <c r="L212" s="1128"/>
      <c r="M212" s="313">
        <f t="shared" si="31"/>
        <v>1</v>
      </c>
      <c r="N212" s="1128"/>
      <c r="O212" s="313">
        <f t="shared" si="32"/>
        <v>1</v>
      </c>
      <c r="P212" s="1128"/>
      <c r="Q212" s="313">
        <f t="shared" si="33"/>
        <v>1</v>
      </c>
      <c r="R212" s="1124">
        <f t="shared" si="34"/>
        <v>0</v>
      </c>
      <c r="S212" s="698">
        <f t="shared" si="25"/>
        <v>0</v>
      </c>
    </row>
    <row r="213" spans="1:19">
      <c r="A213" s="491"/>
      <c r="B213" s="348"/>
      <c r="C213" s="313">
        <f t="shared" si="26"/>
        <v>1</v>
      </c>
      <c r="D213" s="1128"/>
      <c r="E213" s="313">
        <f t="shared" si="27"/>
        <v>1</v>
      </c>
      <c r="F213" s="1128"/>
      <c r="G213" s="313">
        <f t="shared" si="28"/>
        <v>1</v>
      </c>
      <c r="H213" s="1128"/>
      <c r="I213" s="313">
        <f t="shared" si="29"/>
        <v>1</v>
      </c>
      <c r="J213" s="1128"/>
      <c r="K213" s="313">
        <f t="shared" si="30"/>
        <v>1</v>
      </c>
      <c r="L213" s="1128"/>
      <c r="M213" s="313">
        <f t="shared" si="31"/>
        <v>1</v>
      </c>
      <c r="N213" s="1128"/>
      <c r="O213" s="313">
        <f t="shared" si="32"/>
        <v>1</v>
      </c>
      <c r="P213" s="1128"/>
      <c r="Q213" s="313">
        <f t="shared" si="33"/>
        <v>1</v>
      </c>
      <c r="R213" s="1124">
        <f t="shared" si="34"/>
        <v>0</v>
      </c>
      <c r="S213" s="698">
        <f t="shared" si="25"/>
        <v>0</v>
      </c>
    </row>
    <row r="214" spans="1:19">
      <c r="A214" s="491"/>
      <c r="B214" s="348"/>
      <c r="C214" s="313">
        <f t="shared" si="26"/>
        <v>1</v>
      </c>
      <c r="D214" s="1128"/>
      <c r="E214" s="313">
        <f t="shared" si="27"/>
        <v>1</v>
      </c>
      <c r="F214" s="1128"/>
      <c r="G214" s="313">
        <f t="shared" si="28"/>
        <v>1</v>
      </c>
      <c r="H214" s="1128"/>
      <c r="I214" s="313">
        <f t="shared" si="29"/>
        <v>1</v>
      </c>
      <c r="J214" s="1128"/>
      <c r="K214" s="313">
        <f t="shared" si="30"/>
        <v>1</v>
      </c>
      <c r="L214" s="1128"/>
      <c r="M214" s="313">
        <f t="shared" si="31"/>
        <v>1</v>
      </c>
      <c r="N214" s="1128"/>
      <c r="O214" s="313">
        <f t="shared" si="32"/>
        <v>1</v>
      </c>
      <c r="P214" s="1128"/>
      <c r="Q214" s="313">
        <f t="shared" si="33"/>
        <v>1</v>
      </c>
      <c r="R214" s="1124">
        <f t="shared" si="34"/>
        <v>0</v>
      </c>
      <c r="S214" s="698">
        <f t="shared" si="25"/>
        <v>0</v>
      </c>
    </row>
    <row r="215" spans="1:19">
      <c r="A215" s="491"/>
      <c r="B215" s="348"/>
      <c r="C215" s="313">
        <f t="shared" si="26"/>
        <v>1</v>
      </c>
      <c r="D215" s="1128"/>
      <c r="E215" s="313">
        <f t="shared" si="27"/>
        <v>1</v>
      </c>
      <c r="F215" s="1128"/>
      <c r="G215" s="313">
        <f t="shared" si="28"/>
        <v>1</v>
      </c>
      <c r="H215" s="1128"/>
      <c r="I215" s="313">
        <f t="shared" si="29"/>
        <v>1</v>
      </c>
      <c r="J215" s="1128"/>
      <c r="K215" s="313">
        <f t="shared" si="30"/>
        <v>1</v>
      </c>
      <c r="L215" s="1128"/>
      <c r="M215" s="313">
        <f t="shared" si="31"/>
        <v>1</v>
      </c>
      <c r="N215" s="1128"/>
      <c r="O215" s="313">
        <f t="shared" si="32"/>
        <v>1</v>
      </c>
      <c r="P215" s="1128"/>
      <c r="Q215" s="313">
        <f t="shared" si="33"/>
        <v>1</v>
      </c>
      <c r="R215" s="1124">
        <f t="shared" si="34"/>
        <v>0</v>
      </c>
      <c r="S215" s="698">
        <f t="shared" si="25"/>
        <v>0</v>
      </c>
    </row>
    <row r="216" spans="1:19">
      <c r="A216" s="491"/>
      <c r="B216" s="348"/>
      <c r="C216" s="313">
        <f t="shared" si="26"/>
        <v>1</v>
      </c>
      <c r="D216" s="1128"/>
      <c r="E216" s="313">
        <f t="shared" si="27"/>
        <v>1</v>
      </c>
      <c r="F216" s="1128"/>
      <c r="G216" s="313">
        <f t="shared" si="28"/>
        <v>1</v>
      </c>
      <c r="H216" s="1128"/>
      <c r="I216" s="313">
        <f t="shared" si="29"/>
        <v>1</v>
      </c>
      <c r="J216" s="1128"/>
      <c r="K216" s="313">
        <f t="shared" si="30"/>
        <v>1</v>
      </c>
      <c r="L216" s="1128"/>
      <c r="M216" s="313">
        <f t="shared" si="31"/>
        <v>1</v>
      </c>
      <c r="N216" s="1128"/>
      <c r="O216" s="313">
        <f t="shared" si="32"/>
        <v>1</v>
      </c>
      <c r="P216" s="1128"/>
      <c r="Q216" s="313">
        <f t="shared" si="33"/>
        <v>1</v>
      </c>
      <c r="R216" s="1124">
        <f t="shared" si="34"/>
        <v>0</v>
      </c>
      <c r="S216" s="698">
        <f t="shared" ref="S216:S279" si="35">ROUND(R216*B216/10000,0)</f>
        <v>0</v>
      </c>
    </row>
    <row r="217" spans="1:19">
      <c r="A217" s="491"/>
      <c r="B217" s="348"/>
      <c r="C217" s="313">
        <f t="shared" si="26"/>
        <v>1</v>
      </c>
      <c r="D217" s="1128"/>
      <c r="E217" s="313">
        <f t="shared" si="27"/>
        <v>1</v>
      </c>
      <c r="F217" s="1128"/>
      <c r="G217" s="313">
        <f t="shared" si="28"/>
        <v>1</v>
      </c>
      <c r="H217" s="1128"/>
      <c r="I217" s="313">
        <f t="shared" si="29"/>
        <v>1</v>
      </c>
      <c r="J217" s="1128"/>
      <c r="K217" s="313">
        <f t="shared" si="30"/>
        <v>1</v>
      </c>
      <c r="L217" s="1128"/>
      <c r="M217" s="313">
        <f t="shared" si="31"/>
        <v>1</v>
      </c>
      <c r="N217" s="1128"/>
      <c r="O217" s="313">
        <f t="shared" si="32"/>
        <v>1</v>
      </c>
      <c r="P217" s="1128"/>
      <c r="Q217" s="313">
        <f t="shared" si="33"/>
        <v>1</v>
      </c>
      <c r="R217" s="1124">
        <f t="shared" si="34"/>
        <v>0</v>
      </c>
      <c r="S217" s="698">
        <f t="shared" si="35"/>
        <v>0</v>
      </c>
    </row>
    <row r="218" spans="1:19">
      <c r="A218" s="491"/>
      <c r="B218" s="348"/>
      <c r="C218" s="313">
        <f t="shared" ref="C218:C281" si="36">IF(B218="",1,(LOOKUP(B218,$3:$3,$4:$4)-LOOKUP($B$24,$3:$3,$4:$4)+100)/100)</f>
        <v>1</v>
      </c>
      <c r="D218" s="1128"/>
      <c r="E218" s="313">
        <f t="shared" ref="E218:E281" si="37">(SUMIF($5:$5,D218,$6:$6)-SUMIF($5:$5,$D$24,$6:$6)+100)/100</f>
        <v>1</v>
      </c>
      <c r="F218" s="1128"/>
      <c r="G218" s="313">
        <f t="shared" ref="G218:G281" si="38">(SUMIF($7:$7,F218,$8:$8)-SUMIF($7:$7,$F$24,$8:$8)+100)/100</f>
        <v>1</v>
      </c>
      <c r="H218" s="1128"/>
      <c r="I218" s="313">
        <f t="shared" ref="I218:I281" si="39">(SUMIF($9:$9,H218,$10:$10)-SUMIF($9:$9,$H$24,$10:$10)+100)/100</f>
        <v>1</v>
      </c>
      <c r="J218" s="1128"/>
      <c r="K218" s="313">
        <f t="shared" ref="K218:K281" si="40">(SUMIF($11:$11,J218,$12:$12)-SUMIF($11:$11,$J$24,$12:$12)+100)/100</f>
        <v>1</v>
      </c>
      <c r="L218" s="1128"/>
      <c r="M218" s="313">
        <f t="shared" ref="M218:M281" si="41">(SUMIF($13:$13,L218,$14:$14)-SUMIF($13:$13,$L$24,$14:$14)+100)/100</f>
        <v>1</v>
      </c>
      <c r="N218" s="1128"/>
      <c r="O218" s="313">
        <f t="shared" ref="O218:O281" si="42">(SUMIF($15:$15,N218,$16:$16)-SUMIF($15:$15,$N$24,$16:$16)+100)/100</f>
        <v>1</v>
      </c>
      <c r="P218" s="1128"/>
      <c r="Q218" s="313">
        <f t="shared" ref="Q218:Q281" si="43">(SUMIF($17:$17,P218,$18:$18)-SUMIF($17:$17,$P$24,$18:$18)+100)/100</f>
        <v>1</v>
      </c>
      <c r="R218" s="1124">
        <f t="shared" ref="R218:R281" si="44">IF(B218="",0,ROUND($R$24*C218*E218*G218*I218*K218*M218*O218*Q218,0))</f>
        <v>0</v>
      </c>
      <c r="S218" s="698">
        <f t="shared" si="35"/>
        <v>0</v>
      </c>
    </row>
    <row r="219" spans="1:19">
      <c r="A219" s="491"/>
      <c r="B219" s="348"/>
      <c r="C219" s="313">
        <f t="shared" si="36"/>
        <v>1</v>
      </c>
      <c r="D219" s="1128"/>
      <c r="E219" s="313">
        <f t="shared" si="37"/>
        <v>1</v>
      </c>
      <c r="F219" s="1128"/>
      <c r="G219" s="313">
        <f t="shared" si="38"/>
        <v>1</v>
      </c>
      <c r="H219" s="1128"/>
      <c r="I219" s="313">
        <f t="shared" si="39"/>
        <v>1</v>
      </c>
      <c r="J219" s="1128"/>
      <c r="K219" s="313">
        <f t="shared" si="40"/>
        <v>1</v>
      </c>
      <c r="L219" s="1128"/>
      <c r="M219" s="313">
        <f t="shared" si="41"/>
        <v>1</v>
      </c>
      <c r="N219" s="1128"/>
      <c r="O219" s="313">
        <f t="shared" si="42"/>
        <v>1</v>
      </c>
      <c r="P219" s="1128"/>
      <c r="Q219" s="313">
        <f t="shared" si="43"/>
        <v>1</v>
      </c>
      <c r="R219" s="1124">
        <f t="shared" si="44"/>
        <v>0</v>
      </c>
      <c r="S219" s="698">
        <f t="shared" si="35"/>
        <v>0</v>
      </c>
    </row>
    <row r="220" spans="1:19">
      <c r="A220" s="491"/>
      <c r="B220" s="348"/>
      <c r="C220" s="313">
        <f t="shared" si="36"/>
        <v>1</v>
      </c>
      <c r="D220" s="1128"/>
      <c r="E220" s="313">
        <f t="shared" si="37"/>
        <v>1</v>
      </c>
      <c r="F220" s="1128"/>
      <c r="G220" s="313">
        <f t="shared" si="38"/>
        <v>1</v>
      </c>
      <c r="H220" s="1128"/>
      <c r="I220" s="313">
        <f t="shared" si="39"/>
        <v>1</v>
      </c>
      <c r="J220" s="1128"/>
      <c r="K220" s="313">
        <f t="shared" si="40"/>
        <v>1</v>
      </c>
      <c r="L220" s="1128"/>
      <c r="M220" s="313">
        <f t="shared" si="41"/>
        <v>1</v>
      </c>
      <c r="N220" s="1128"/>
      <c r="O220" s="313">
        <f t="shared" si="42"/>
        <v>1</v>
      </c>
      <c r="P220" s="1128"/>
      <c r="Q220" s="313">
        <f t="shared" si="43"/>
        <v>1</v>
      </c>
      <c r="R220" s="1124">
        <f t="shared" si="44"/>
        <v>0</v>
      </c>
      <c r="S220" s="698">
        <f t="shared" si="35"/>
        <v>0</v>
      </c>
    </row>
    <row r="221" spans="1:19">
      <c r="A221" s="491"/>
      <c r="B221" s="348"/>
      <c r="C221" s="313">
        <f t="shared" si="36"/>
        <v>1</v>
      </c>
      <c r="D221" s="1128"/>
      <c r="E221" s="313">
        <f t="shared" si="37"/>
        <v>1</v>
      </c>
      <c r="F221" s="1128"/>
      <c r="G221" s="313">
        <f t="shared" si="38"/>
        <v>1</v>
      </c>
      <c r="H221" s="1128"/>
      <c r="I221" s="313">
        <f t="shared" si="39"/>
        <v>1</v>
      </c>
      <c r="J221" s="1128"/>
      <c r="K221" s="313">
        <f t="shared" si="40"/>
        <v>1</v>
      </c>
      <c r="L221" s="1128"/>
      <c r="M221" s="313">
        <f t="shared" si="41"/>
        <v>1</v>
      </c>
      <c r="N221" s="1128"/>
      <c r="O221" s="313">
        <f t="shared" si="42"/>
        <v>1</v>
      </c>
      <c r="P221" s="1128"/>
      <c r="Q221" s="313">
        <f t="shared" si="43"/>
        <v>1</v>
      </c>
      <c r="R221" s="1124">
        <f t="shared" si="44"/>
        <v>0</v>
      </c>
      <c r="S221" s="698">
        <f t="shared" si="35"/>
        <v>0</v>
      </c>
    </row>
    <row r="222" spans="1:19">
      <c r="A222" s="491"/>
      <c r="B222" s="348"/>
      <c r="C222" s="313">
        <f t="shared" si="36"/>
        <v>1</v>
      </c>
      <c r="D222" s="1128"/>
      <c r="E222" s="313">
        <f t="shared" si="37"/>
        <v>1</v>
      </c>
      <c r="F222" s="1128"/>
      <c r="G222" s="313">
        <f t="shared" si="38"/>
        <v>1</v>
      </c>
      <c r="H222" s="1128"/>
      <c r="I222" s="313">
        <f t="shared" si="39"/>
        <v>1</v>
      </c>
      <c r="J222" s="1128"/>
      <c r="K222" s="313">
        <f t="shared" si="40"/>
        <v>1</v>
      </c>
      <c r="L222" s="1128"/>
      <c r="M222" s="313">
        <f t="shared" si="41"/>
        <v>1</v>
      </c>
      <c r="N222" s="1128"/>
      <c r="O222" s="313">
        <f t="shared" si="42"/>
        <v>1</v>
      </c>
      <c r="P222" s="1128"/>
      <c r="Q222" s="313">
        <f t="shared" si="43"/>
        <v>1</v>
      </c>
      <c r="R222" s="1124">
        <f t="shared" si="44"/>
        <v>0</v>
      </c>
      <c r="S222" s="698">
        <f t="shared" si="35"/>
        <v>0</v>
      </c>
    </row>
    <row r="223" spans="1:19">
      <c r="A223" s="491"/>
      <c r="B223" s="348"/>
      <c r="C223" s="313">
        <f t="shared" si="36"/>
        <v>1</v>
      </c>
      <c r="D223" s="1128"/>
      <c r="E223" s="313">
        <f t="shared" si="37"/>
        <v>1</v>
      </c>
      <c r="F223" s="1128"/>
      <c r="G223" s="313">
        <f t="shared" si="38"/>
        <v>1</v>
      </c>
      <c r="H223" s="1128"/>
      <c r="I223" s="313">
        <f t="shared" si="39"/>
        <v>1</v>
      </c>
      <c r="J223" s="1128"/>
      <c r="K223" s="313">
        <f t="shared" si="40"/>
        <v>1</v>
      </c>
      <c r="L223" s="1128"/>
      <c r="M223" s="313">
        <f t="shared" si="41"/>
        <v>1</v>
      </c>
      <c r="N223" s="1128"/>
      <c r="O223" s="313">
        <f t="shared" si="42"/>
        <v>1</v>
      </c>
      <c r="P223" s="1128"/>
      <c r="Q223" s="313">
        <f t="shared" si="43"/>
        <v>1</v>
      </c>
      <c r="R223" s="1124">
        <f t="shared" si="44"/>
        <v>0</v>
      </c>
      <c r="S223" s="698">
        <f t="shared" si="35"/>
        <v>0</v>
      </c>
    </row>
    <row r="224" spans="1:19">
      <c r="A224" s="491"/>
      <c r="B224" s="348"/>
      <c r="C224" s="313">
        <f t="shared" si="36"/>
        <v>1</v>
      </c>
      <c r="D224" s="1128"/>
      <c r="E224" s="313">
        <f t="shared" si="37"/>
        <v>1</v>
      </c>
      <c r="F224" s="1128"/>
      <c r="G224" s="313">
        <f t="shared" si="38"/>
        <v>1</v>
      </c>
      <c r="H224" s="1128"/>
      <c r="I224" s="313">
        <f t="shared" si="39"/>
        <v>1</v>
      </c>
      <c r="J224" s="1128"/>
      <c r="K224" s="313">
        <f t="shared" si="40"/>
        <v>1</v>
      </c>
      <c r="L224" s="1128"/>
      <c r="M224" s="313">
        <f t="shared" si="41"/>
        <v>1</v>
      </c>
      <c r="N224" s="1128"/>
      <c r="O224" s="313">
        <f t="shared" si="42"/>
        <v>1</v>
      </c>
      <c r="P224" s="1128"/>
      <c r="Q224" s="313">
        <f t="shared" si="43"/>
        <v>1</v>
      </c>
      <c r="R224" s="1124">
        <f t="shared" si="44"/>
        <v>0</v>
      </c>
      <c r="S224" s="698">
        <f t="shared" si="35"/>
        <v>0</v>
      </c>
    </row>
    <row r="225" spans="1:19">
      <c r="A225" s="491"/>
      <c r="B225" s="348"/>
      <c r="C225" s="313">
        <f t="shared" si="36"/>
        <v>1</v>
      </c>
      <c r="D225" s="1128"/>
      <c r="E225" s="313">
        <f t="shared" si="37"/>
        <v>1</v>
      </c>
      <c r="F225" s="1128"/>
      <c r="G225" s="313">
        <f t="shared" si="38"/>
        <v>1</v>
      </c>
      <c r="H225" s="1128"/>
      <c r="I225" s="313">
        <f t="shared" si="39"/>
        <v>1</v>
      </c>
      <c r="J225" s="1128"/>
      <c r="K225" s="313">
        <f t="shared" si="40"/>
        <v>1</v>
      </c>
      <c r="L225" s="1128"/>
      <c r="M225" s="313">
        <f t="shared" si="41"/>
        <v>1</v>
      </c>
      <c r="N225" s="1128"/>
      <c r="O225" s="313">
        <f t="shared" si="42"/>
        <v>1</v>
      </c>
      <c r="P225" s="1128"/>
      <c r="Q225" s="313">
        <f t="shared" si="43"/>
        <v>1</v>
      </c>
      <c r="R225" s="1124">
        <f t="shared" si="44"/>
        <v>0</v>
      </c>
      <c r="S225" s="698">
        <f t="shared" si="35"/>
        <v>0</v>
      </c>
    </row>
    <row r="226" spans="1:19">
      <c r="A226" s="491"/>
      <c r="B226" s="348"/>
      <c r="C226" s="313">
        <f t="shared" si="36"/>
        <v>1</v>
      </c>
      <c r="D226" s="1128"/>
      <c r="E226" s="313">
        <f t="shared" si="37"/>
        <v>1</v>
      </c>
      <c r="F226" s="1128"/>
      <c r="G226" s="313">
        <f t="shared" si="38"/>
        <v>1</v>
      </c>
      <c r="H226" s="1128"/>
      <c r="I226" s="313">
        <f t="shared" si="39"/>
        <v>1</v>
      </c>
      <c r="J226" s="1128"/>
      <c r="K226" s="313">
        <f t="shared" si="40"/>
        <v>1</v>
      </c>
      <c r="L226" s="1128"/>
      <c r="M226" s="313">
        <f t="shared" si="41"/>
        <v>1</v>
      </c>
      <c r="N226" s="1128"/>
      <c r="O226" s="313">
        <f t="shared" si="42"/>
        <v>1</v>
      </c>
      <c r="P226" s="1128"/>
      <c r="Q226" s="313">
        <f t="shared" si="43"/>
        <v>1</v>
      </c>
      <c r="R226" s="1124">
        <f t="shared" si="44"/>
        <v>0</v>
      </c>
      <c r="S226" s="698">
        <f t="shared" si="35"/>
        <v>0</v>
      </c>
    </row>
    <row r="227" spans="1:19">
      <c r="A227" s="491"/>
      <c r="B227" s="348"/>
      <c r="C227" s="313">
        <f t="shared" si="36"/>
        <v>1</v>
      </c>
      <c r="D227" s="1128"/>
      <c r="E227" s="313">
        <f t="shared" si="37"/>
        <v>1</v>
      </c>
      <c r="F227" s="1128"/>
      <c r="G227" s="313">
        <f t="shared" si="38"/>
        <v>1</v>
      </c>
      <c r="H227" s="1128"/>
      <c r="I227" s="313">
        <f t="shared" si="39"/>
        <v>1</v>
      </c>
      <c r="J227" s="1128"/>
      <c r="K227" s="313">
        <f t="shared" si="40"/>
        <v>1</v>
      </c>
      <c r="L227" s="1128"/>
      <c r="M227" s="313">
        <f t="shared" si="41"/>
        <v>1</v>
      </c>
      <c r="N227" s="1128"/>
      <c r="O227" s="313">
        <f t="shared" si="42"/>
        <v>1</v>
      </c>
      <c r="P227" s="1128"/>
      <c r="Q227" s="313">
        <f t="shared" si="43"/>
        <v>1</v>
      </c>
      <c r="R227" s="1124">
        <f t="shared" si="44"/>
        <v>0</v>
      </c>
      <c r="S227" s="698">
        <f t="shared" si="35"/>
        <v>0</v>
      </c>
    </row>
    <row r="228" spans="1:19">
      <c r="A228" s="491"/>
      <c r="B228" s="348"/>
      <c r="C228" s="313">
        <f t="shared" si="36"/>
        <v>1</v>
      </c>
      <c r="D228" s="1128"/>
      <c r="E228" s="313">
        <f t="shared" si="37"/>
        <v>1</v>
      </c>
      <c r="F228" s="1128"/>
      <c r="G228" s="313">
        <f t="shared" si="38"/>
        <v>1</v>
      </c>
      <c r="H228" s="1128"/>
      <c r="I228" s="313">
        <f t="shared" si="39"/>
        <v>1</v>
      </c>
      <c r="J228" s="1128"/>
      <c r="K228" s="313">
        <f t="shared" si="40"/>
        <v>1</v>
      </c>
      <c r="L228" s="1128"/>
      <c r="M228" s="313">
        <f t="shared" si="41"/>
        <v>1</v>
      </c>
      <c r="N228" s="1128"/>
      <c r="O228" s="313">
        <f t="shared" si="42"/>
        <v>1</v>
      </c>
      <c r="P228" s="1128"/>
      <c r="Q228" s="313">
        <f t="shared" si="43"/>
        <v>1</v>
      </c>
      <c r="R228" s="1124">
        <f t="shared" si="44"/>
        <v>0</v>
      </c>
      <c r="S228" s="698">
        <f t="shared" si="35"/>
        <v>0</v>
      </c>
    </row>
    <row r="229" spans="1:19">
      <c r="A229" s="491"/>
      <c r="B229" s="348"/>
      <c r="C229" s="313">
        <f t="shared" si="36"/>
        <v>1</v>
      </c>
      <c r="D229" s="1128"/>
      <c r="E229" s="313">
        <f t="shared" si="37"/>
        <v>1</v>
      </c>
      <c r="F229" s="1128"/>
      <c r="G229" s="313">
        <f t="shared" si="38"/>
        <v>1</v>
      </c>
      <c r="H229" s="1128"/>
      <c r="I229" s="313">
        <f t="shared" si="39"/>
        <v>1</v>
      </c>
      <c r="J229" s="1128"/>
      <c r="K229" s="313">
        <f t="shared" si="40"/>
        <v>1</v>
      </c>
      <c r="L229" s="1128"/>
      <c r="M229" s="313">
        <f t="shared" si="41"/>
        <v>1</v>
      </c>
      <c r="N229" s="1128"/>
      <c r="O229" s="313">
        <f t="shared" si="42"/>
        <v>1</v>
      </c>
      <c r="P229" s="1128"/>
      <c r="Q229" s="313">
        <f t="shared" si="43"/>
        <v>1</v>
      </c>
      <c r="R229" s="1124">
        <f t="shared" si="44"/>
        <v>0</v>
      </c>
      <c r="S229" s="698">
        <f t="shared" si="35"/>
        <v>0</v>
      </c>
    </row>
    <row r="230" spans="1:19">
      <c r="A230" s="491"/>
      <c r="B230" s="348"/>
      <c r="C230" s="313">
        <f t="shared" si="36"/>
        <v>1</v>
      </c>
      <c r="D230" s="1128"/>
      <c r="E230" s="313">
        <f t="shared" si="37"/>
        <v>1</v>
      </c>
      <c r="F230" s="1128"/>
      <c r="G230" s="313">
        <f t="shared" si="38"/>
        <v>1</v>
      </c>
      <c r="H230" s="1128"/>
      <c r="I230" s="313">
        <f t="shared" si="39"/>
        <v>1</v>
      </c>
      <c r="J230" s="1128"/>
      <c r="K230" s="313">
        <f t="shared" si="40"/>
        <v>1</v>
      </c>
      <c r="L230" s="1128"/>
      <c r="M230" s="313">
        <f t="shared" si="41"/>
        <v>1</v>
      </c>
      <c r="N230" s="1128"/>
      <c r="O230" s="313">
        <f t="shared" si="42"/>
        <v>1</v>
      </c>
      <c r="P230" s="1128"/>
      <c r="Q230" s="313">
        <f t="shared" si="43"/>
        <v>1</v>
      </c>
      <c r="R230" s="1124">
        <f t="shared" si="44"/>
        <v>0</v>
      </c>
      <c r="S230" s="698">
        <f t="shared" si="35"/>
        <v>0</v>
      </c>
    </row>
    <row r="231" spans="1:19">
      <c r="A231" s="491"/>
      <c r="B231" s="348"/>
      <c r="C231" s="313">
        <f t="shared" si="36"/>
        <v>1</v>
      </c>
      <c r="D231" s="1128"/>
      <c r="E231" s="313">
        <f t="shared" si="37"/>
        <v>1</v>
      </c>
      <c r="F231" s="1128"/>
      <c r="G231" s="313">
        <f t="shared" si="38"/>
        <v>1</v>
      </c>
      <c r="H231" s="1128"/>
      <c r="I231" s="313">
        <f t="shared" si="39"/>
        <v>1</v>
      </c>
      <c r="J231" s="1128"/>
      <c r="K231" s="313">
        <f t="shared" si="40"/>
        <v>1</v>
      </c>
      <c r="L231" s="1128"/>
      <c r="M231" s="313">
        <f t="shared" si="41"/>
        <v>1</v>
      </c>
      <c r="N231" s="1128"/>
      <c r="O231" s="313">
        <f t="shared" si="42"/>
        <v>1</v>
      </c>
      <c r="P231" s="1128"/>
      <c r="Q231" s="313">
        <f t="shared" si="43"/>
        <v>1</v>
      </c>
      <c r="R231" s="1124">
        <f t="shared" si="44"/>
        <v>0</v>
      </c>
      <c r="S231" s="698">
        <f t="shared" si="35"/>
        <v>0</v>
      </c>
    </row>
    <row r="232" spans="1:19">
      <c r="A232" s="491"/>
      <c r="B232" s="348"/>
      <c r="C232" s="313">
        <f t="shared" si="36"/>
        <v>1</v>
      </c>
      <c r="D232" s="1128"/>
      <c r="E232" s="313">
        <f t="shared" si="37"/>
        <v>1</v>
      </c>
      <c r="F232" s="1128"/>
      <c r="G232" s="313">
        <f t="shared" si="38"/>
        <v>1</v>
      </c>
      <c r="H232" s="1128"/>
      <c r="I232" s="313">
        <f t="shared" si="39"/>
        <v>1</v>
      </c>
      <c r="J232" s="1128"/>
      <c r="K232" s="313">
        <f t="shared" si="40"/>
        <v>1</v>
      </c>
      <c r="L232" s="1128"/>
      <c r="M232" s="313">
        <f t="shared" si="41"/>
        <v>1</v>
      </c>
      <c r="N232" s="1128"/>
      <c r="O232" s="313">
        <f t="shared" si="42"/>
        <v>1</v>
      </c>
      <c r="P232" s="1128"/>
      <c r="Q232" s="313">
        <f t="shared" si="43"/>
        <v>1</v>
      </c>
      <c r="R232" s="1124">
        <f t="shared" si="44"/>
        <v>0</v>
      </c>
      <c r="S232" s="698">
        <f t="shared" si="35"/>
        <v>0</v>
      </c>
    </row>
    <row r="233" spans="1:19">
      <c r="A233" s="491"/>
      <c r="B233" s="348"/>
      <c r="C233" s="313">
        <f t="shared" si="36"/>
        <v>1</v>
      </c>
      <c r="D233" s="1128"/>
      <c r="E233" s="313">
        <f t="shared" si="37"/>
        <v>1</v>
      </c>
      <c r="F233" s="1128"/>
      <c r="G233" s="313">
        <f t="shared" si="38"/>
        <v>1</v>
      </c>
      <c r="H233" s="1128"/>
      <c r="I233" s="313">
        <f t="shared" si="39"/>
        <v>1</v>
      </c>
      <c r="J233" s="1128"/>
      <c r="K233" s="313">
        <f t="shared" si="40"/>
        <v>1</v>
      </c>
      <c r="L233" s="1128"/>
      <c r="M233" s="313">
        <f t="shared" si="41"/>
        <v>1</v>
      </c>
      <c r="N233" s="1128"/>
      <c r="O233" s="313">
        <f t="shared" si="42"/>
        <v>1</v>
      </c>
      <c r="P233" s="1128"/>
      <c r="Q233" s="313">
        <f t="shared" si="43"/>
        <v>1</v>
      </c>
      <c r="R233" s="1124">
        <f t="shared" si="44"/>
        <v>0</v>
      </c>
      <c r="S233" s="698">
        <f t="shared" si="35"/>
        <v>0</v>
      </c>
    </row>
    <row r="234" spans="1:19">
      <c r="A234" s="491"/>
      <c r="B234" s="348"/>
      <c r="C234" s="313">
        <f t="shared" si="36"/>
        <v>1</v>
      </c>
      <c r="D234" s="1128"/>
      <c r="E234" s="313">
        <f t="shared" si="37"/>
        <v>1</v>
      </c>
      <c r="F234" s="1128"/>
      <c r="G234" s="313">
        <f t="shared" si="38"/>
        <v>1</v>
      </c>
      <c r="H234" s="1128"/>
      <c r="I234" s="313">
        <f t="shared" si="39"/>
        <v>1</v>
      </c>
      <c r="J234" s="1128"/>
      <c r="K234" s="313">
        <f t="shared" si="40"/>
        <v>1</v>
      </c>
      <c r="L234" s="1128"/>
      <c r="M234" s="313">
        <f t="shared" si="41"/>
        <v>1</v>
      </c>
      <c r="N234" s="1128"/>
      <c r="O234" s="313">
        <f t="shared" si="42"/>
        <v>1</v>
      </c>
      <c r="P234" s="1128"/>
      <c r="Q234" s="313">
        <f t="shared" si="43"/>
        <v>1</v>
      </c>
      <c r="R234" s="1124">
        <f t="shared" si="44"/>
        <v>0</v>
      </c>
      <c r="S234" s="698">
        <f t="shared" si="35"/>
        <v>0</v>
      </c>
    </row>
    <row r="235" spans="1:19">
      <c r="A235" s="491"/>
      <c r="B235" s="348"/>
      <c r="C235" s="313">
        <f t="shared" si="36"/>
        <v>1</v>
      </c>
      <c r="D235" s="1128"/>
      <c r="E235" s="313">
        <f t="shared" si="37"/>
        <v>1</v>
      </c>
      <c r="F235" s="1128"/>
      <c r="G235" s="313">
        <f t="shared" si="38"/>
        <v>1</v>
      </c>
      <c r="H235" s="1128"/>
      <c r="I235" s="313">
        <f t="shared" si="39"/>
        <v>1</v>
      </c>
      <c r="J235" s="1128"/>
      <c r="K235" s="313">
        <f t="shared" si="40"/>
        <v>1</v>
      </c>
      <c r="L235" s="1128"/>
      <c r="M235" s="313">
        <f t="shared" si="41"/>
        <v>1</v>
      </c>
      <c r="N235" s="1128"/>
      <c r="O235" s="313">
        <f t="shared" si="42"/>
        <v>1</v>
      </c>
      <c r="P235" s="1128"/>
      <c r="Q235" s="313">
        <f t="shared" si="43"/>
        <v>1</v>
      </c>
      <c r="R235" s="1124">
        <f t="shared" si="44"/>
        <v>0</v>
      </c>
      <c r="S235" s="698">
        <f t="shared" si="35"/>
        <v>0</v>
      </c>
    </row>
    <row r="236" spans="1:19">
      <c r="A236" s="491"/>
      <c r="B236" s="348"/>
      <c r="C236" s="313">
        <f t="shared" si="36"/>
        <v>1</v>
      </c>
      <c r="D236" s="1128"/>
      <c r="E236" s="313">
        <f t="shared" si="37"/>
        <v>1</v>
      </c>
      <c r="F236" s="1128"/>
      <c r="G236" s="313">
        <f t="shared" si="38"/>
        <v>1</v>
      </c>
      <c r="H236" s="1128"/>
      <c r="I236" s="313">
        <f t="shared" si="39"/>
        <v>1</v>
      </c>
      <c r="J236" s="1128"/>
      <c r="K236" s="313">
        <f t="shared" si="40"/>
        <v>1</v>
      </c>
      <c r="L236" s="1128"/>
      <c r="M236" s="313">
        <f t="shared" si="41"/>
        <v>1</v>
      </c>
      <c r="N236" s="1128"/>
      <c r="O236" s="313">
        <f t="shared" si="42"/>
        <v>1</v>
      </c>
      <c r="P236" s="1128"/>
      <c r="Q236" s="313">
        <f t="shared" si="43"/>
        <v>1</v>
      </c>
      <c r="R236" s="1124">
        <f t="shared" si="44"/>
        <v>0</v>
      </c>
      <c r="S236" s="698">
        <f t="shared" si="35"/>
        <v>0</v>
      </c>
    </row>
    <row r="237" spans="1:19">
      <c r="A237" s="491"/>
      <c r="B237" s="348"/>
      <c r="C237" s="313">
        <f t="shared" si="36"/>
        <v>1</v>
      </c>
      <c r="D237" s="1128"/>
      <c r="E237" s="313">
        <f t="shared" si="37"/>
        <v>1</v>
      </c>
      <c r="F237" s="1128"/>
      <c r="G237" s="313">
        <f t="shared" si="38"/>
        <v>1</v>
      </c>
      <c r="H237" s="1128"/>
      <c r="I237" s="313">
        <f t="shared" si="39"/>
        <v>1</v>
      </c>
      <c r="J237" s="1128"/>
      <c r="K237" s="313">
        <f t="shared" si="40"/>
        <v>1</v>
      </c>
      <c r="L237" s="1128"/>
      <c r="M237" s="313">
        <f t="shared" si="41"/>
        <v>1</v>
      </c>
      <c r="N237" s="1128"/>
      <c r="O237" s="313">
        <f t="shared" si="42"/>
        <v>1</v>
      </c>
      <c r="P237" s="1128"/>
      <c r="Q237" s="313">
        <f t="shared" si="43"/>
        <v>1</v>
      </c>
      <c r="R237" s="1124">
        <f t="shared" si="44"/>
        <v>0</v>
      </c>
      <c r="S237" s="698">
        <f t="shared" si="35"/>
        <v>0</v>
      </c>
    </row>
    <row r="238" spans="1:19">
      <c r="A238" s="491"/>
      <c r="B238" s="348"/>
      <c r="C238" s="313">
        <f t="shared" si="36"/>
        <v>1</v>
      </c>
      <c r="D238" s="1128"/>
      <c r="E238" s="313">
        <f t="shared" si="37"/>
        <v>1</v>
      </c>
      <c r="F238" s="1128"/>
      <c r="G238" s="313">
        <f t="shared" si="38"/>
        <v>1</v>
      </c>
      <c r="H238" s="1128"/>
      <c r="I238" s="313">
        <f t="shared" si="39"/>
        <v>1</v>
      </c>
      <c r="J238" s="1128"/>
      <c r="K238" s="313">
        <f t="shared" si="40"/>
        <v>1</v>
      </c>
      <c r="L238" s="1128"/>
      <c r="M238" s="313">
        <f t="shared" si="41"/>
        <v>1</v>
      </c>
      <c r="N238" s="1128"/>
      <c r="O238" s="313">
        <f t="shared" si="42"/>
        <v>1</v>
      </c>
      <c r="P238" s="1128"/>
      <c r="Q238" s="313">
        <f t="shared" si="43"/>
        <v>1</v>
      </c>
      <c r="R238" s="1124">
        <f t="shared" si="44"/>
        <v>0</v>
      </c>
      <c r="S238" s="698">
        <f t="shared" si="35"/>
        <v>0</v>
      </c>
    </row>
    <row r="239" spans="1:19">
      <c r="A239" s="491"/>
      <c r="B239" s="348"/>
      <c r="C239" s="313">
        <f t="shared" si="36"/>
        <v>1</v>
      </c>
      <c r="D239" s="1128"/>
      <c r="E239" s="313">
        <f t="shared" si="37"/>
        <v>1</v>
      </c>
      <c r="F239" s="1128"/>
      <c r="G239" s="313">
        <f t="shared" si="38"/>
        <v>1</v>
      </c>
      <c r="H239" s="1128"/>
      <c r="I239" s="313">
        <f t="shared" si="39"/>
        <v>1</v>
      </c>
      <c r="J239" s="1128"/>
      <c r="K239" s="313">
        <f t="shared" si="40"/>
        <v>1</v>
      </c>
      <c r="L239" s="1128"/>
      <c r="M239" s="313">
        <f t="shared" si="41"/>
        <v>1</v>
      </c>
      <c r="N239" s="1128"/>
      <c r="O239" s="313">
        <f t="shared" si="42"/>
        <v>1</v>
      </c>
      <c r="P239" s="1128"/>
      <c r="Q239" s="313">
        <f t="shared" si="43"/>
        <v>1</v>
      </c>
      <c r="R239" s="1124">
        <f t="shared" si="44"/>
        <v>0</v>
      </c>
      <c r="S239" s="698">
        <f t="shared" si="35"/>
        <v>0</v>
      </c>
    </row>
    <row r="240" spans="1:19">
      <c r="A240" s="491"/>
      <c r="B240" s="348"/>
      <c r="C240" s="313">
        <f t="shared" si="36"/>
        <v>1</v>
      </c>
      <c r="D240" s="1128"/>
      <c r="E240" s="313">
        <f t="shared" si="37"/>
        <v>1</v>
      </c>
      <c r="F240" s="1128"/>
      <c r="G240" s="313">
        <f t="shared" si="38"/>
        <v>1</v>
      </c>
      <c r="H240" s="1128"/>
      <c r="I240" s="313">
        <f t="shared" si="39"/>
        <v>1</v>
      </c>
      <c r="J240" s="1128"/>
      <c r="K240" s="313">
        <f t="shared" si="40"/>
        <v>1</v>
      </c>
      <c r="L240" s="1128"/>
      <c r="M240" s="313">
        <f t="shared" si="41"/>
        <v>1</v>
      </c>
      <c r="N240" s="1128"/>
      <c r="O240" s="313">
        <f t="shared" si="42"/>
        <v>1</v>
      </c>
      <c r="P240" s="1128"/>
      <c r="Q240" s="313">
        <f t="shared" si="43"/>
        <v>1</v>
      </c>
      <c r="R240" s="1124">
        <f t="shared" si="44"/>
        <v>0</v>
      </c>
      <c r="S240" s="698">
        <f t="shared" si="35"/>
        <v>0</v>
      </c>
    </row>
    <row r="241" spans="1:19">
      <c r="A241" s="491"/>
      <c r="B241" s="348"/>
      <c r="C241" s="313">
        <f t="shared" si="36"/>
        <v>1</v>
      </c>
      <c r="D241" s="1128"/>
      <c r="E241" s="313">
        <f t="shared" si="37"/>
        <v>1</v>
      </c>
      <c r="F241" s="1128"/>
      <c r="G241" s="313">
        <f t="shared" si="38"/>
        <v>1</v>
      </c>
      <c r="H241" s="1128"/>
      <c r="I241" s="313">
        <f t="shared" si="39"/>
        <v>1</v>
      </c>
      <c r="J241" s="1128"/>
      <c r="K241" s="313">
        <f t="shared" si="40"/>
        <v>1</v>
      </c>
      <c r="L241" s="1128"/>
      <c r="M241" s="313">
        <f t="shared" si="41"/>
        <v>1</v>
      </c>
      <c r="N241" s="1128"/>
      <c r="O241" s="313">
        <f t="shared" si="42"/>
        <v>1</v>
      </c>
      <c r="P241" s="1128"/>
      <c r="Q241" s="313">
        <f t="shared" si="43"/>
        <v>1</v>
      </c>
      <c r="R241" s="1124">
        <f t="shared" si="44"/>
        <v>0</v>
      </c>
      <c r="S241" s="698">
        <f t="shared" si="35"/>
        <v>0</v>
      </c>
    </row>
    <row r="242" spans="1:19">
      <c r="A242" s="491"/>
      <c r="B242" s="348"/>
      <c r="C242" s="313">
        <f t="shared" si="36"/>
        <v>1</v>
      </c>
      <c r="D242" s="1128"/>
      <c r="E242" s="313">
        <f t="shared" si="37"/>
        <v>1</v>
      </c>
      <c r="F242" s="1128"/>
      <c r="G242" s="313">
        <f t="shared" si="38"/>
        <v>1</v>
      </c>
      <c r="H242" s="1128"/>
      <c r="I242" s="313">
        <f t="shared" si="39"/>
        <v>1</v>
      </c>
      <c r="J242" s="1128"/>
      <c r="K242" s="313">
        <f t="shared" si="40"/>
        <v>1</v>
      </c>
      <c r="L242" s="1128"/>
      <c r="M242" s="313">
        <f t="shared" si="41"/>
        <v>1</v>
      </c>
      <c r="N242" s="1128"/>
      <c r="O242" s="313">
        <f t="shared" si="42"/>
        <v>1</v>
      </c>
      <c r="P242" s="1128"/>
      <c r="Q242" s="313">
        <f t="shared" si="43"/>
        <v>1</v>
      </c>
      <c r="R242" s="1124">
        <f t="shared" si="44"/>
        <v>0</v>
      </c>
      <c r="S242" s="698">
        <f t="shared" si="35"/>
        <v>0</v>
      </c>
    </row>
    <row r="243" spans="1:19">
      <c r="A243" s="491"/>
      <c r="B243" s="348"/>
      <c r="C243" s="313">
        <f t="shared" si="36"/>
        <v>1</v>
      </c>
      <c r="D243" s="1128"/>
      <c r="E243" s="313">
        <f t="shared" si="37"/>
        <v>1</v>
      </c>
      <c r="F243" s="1128"/>
      <c r="G243" s="313">
        <f t="shared" si="38"/>
        <v>1</v>
      </c>
      <c r="H243" s="1128"/>
      <c r="I243" s="313">
        <f t="shared" si="39"/>
        <v>1</v>
      </c>
      <c r="J243" s="1128"/>
      <c r="K243" s="313">
        <f t="shared" si="40"/>
        <v>1</v>
      </c>
      <c r="L243" s="1128"/>
      <c r="M243" s="313">
        <f t="shared" si="41"/>
        <v>1</v>
      </c>
      <c r="N243" s="1128"/>
      <c r="O243" s="313">
        <f t="shared" si="42"/>
        <v>1</v>
      </c>
      <c r="P243" s="1128"/>
      <c r="Q243" s="313">
        <f t="shared" si="43"/>
        <v>1</v>
      </c>
      <c r="R243" s="1124">
        <f t="shared" si="44"/>
        <v>0</v>
      </c>
      <c r="S243" s="698">
        <f t="shared" si="35"/>
        <v>0</v>
      </c>
    </row>
    <row r="244" spans="1:19">
      <c r="A244" s="491"/>
      <c r="B244" s="348"/>
      <c r="C244" s="313">
        <f t="shared" si="36"/>
        <v>1</v>
      </c>
      <c r="D244" s="1128"/>
      <c r="E244" s="313">
        <f t="shared" si="37"/>
        <v>1</v>
      </c>
      <c r="F244" s="1128"/>
      <c r="G244" s="313">
        <f t="shared" si="38"/>
        <v>1</v>
      </c>
      <c r="H244" s="1128"/>
      <c r="I244" s="313">
        <f t="shared" si="39"/>
        <v>1</v>
      </c>
      <c r="J244" s="1128"/>
      <c r="K244" s="313">
        <f t="shared" si="40"/>
        <v>1</v>
      </c>
      <c r="L244" s="1128"/>
      <c r="M244" s="313">
        <f t="shared" si="41"/>
        <v>1</v>
      </c>
      <c r="N244" s="1128"/>
      <c r="O244" s="313">
        <f t="shared" si="42"/>
        <v>1</v>
      </c>
      <c r="P244" s="1128"/>
      <c r="Q244" s="313">
        <f t="shared" si="43"/>
        <v>1</v>
      </c>
      <c r="R244" s="1124">
        <f t="shared" si="44"/>
        <v>0</v>
      </c>
      <c r="S244" s="698">
        <f t="shared" si="35"/>
        <v>0</v>
      </c>
    </row>
    <row r="245" spans="1:19">
      <c r="A245" s="491"/>
      <c r="B245" s="348"/>
      <c r="C245" s="313">
        <f t="shared" si="36"/>
        <v>1</v>
      </c>
      <c r="D245" s="1128"/>
      <c r="E245" s="313">
        <f t="shared" si="37"/>
        <v>1</v>
      </c>
      <c r="F245" s="1128"/>
      <c r="G245" s="313">
        <f t="shared" si="38"/>
        <v>1</v>
      </c>
      <c r="H245" s="1128"/>
      <c r="I245" s="313">
        <f t="shared" si="39"/>
        <v>1</v>
      </c>
      <c r="J245" s="1128"/>
      <c r="K245" s="313">
        <f t="shared" si="40"/>
        <v>1</v>
      </c>
      <c r="L245" s="1128"/>
      <c r="M245" s="313">
        <f t="shared" si="41"/>
        <v>1</v>
      </c>
      <c r="N245" s="1128"/>
      <c r="O245" s="313">
        <f t="shared" si="42"/>
        <v>1</v>
      </c>
      <c r="P245" s="1128"/>
      <c r="Q245" s="313">
        <f t="shared" si="43"/>
        <v>1</v>
      </c>
      <c r="R245" s="1124">
        <f t="shared" si="44"/>
        <v>0</v>
      </c>
      <c r="S245" s="698">
        <f t="shared" si="35"/>
        <v>0</v>
      </c>
    </row>
    <row r="246" spans="1:19">
      <c r="A246" s="491"/>
      <c r="B246" s="348"/>
      <c r="C246" s="313">
        <f t="shared" si="36"/>
        <v>1</v>
      </c>
      <c r="D246" s="1128"/>
      <c r="E246" s="313">
        <f t="shared" si="37"/>
        <v>1</v>
      </c>
      <c r="F246" s="1128"/>
      <c r="G246" s="313">
        <f t="shared" si="38"/>
        <v>1</v>
      </c>
      <c r="H246" s="1128"/>
      <c r="I246" s="313">
        <f t="shared" si="39"/>
        <v>1</v>
      </c>
      <c r="J246" s="1128"/>
      <c r="K246" s="313">
        <f t="shared" si="40"/>
        <v>1</v>
      </c>
      <c r="L246" s="1128"/>
      <c r="M246" s="313">
        <f t="shared" si="41"/>
        <v>1</v>
      </c>
      <c r="N246" s="1128"/>
      <c r="O246" s="313">
        <f t="shared" si="42"/>
        <v>1</v>
      </c>
      <c r="P246" s="1128"/>
      <c r="Q246" s="313">
        <f t="shared" si="43"/>
        <v>1</v>
      </c>
      <c r="R246" s="1124">
        <f t="shared" si="44"/>
        <v>0</v>
      </c>
      <c r="S246" s="698">
        <f t="shared" si="35"/>
        <v>0</v>
      </c>
    </row>
    <row r="247" spans="1:19">
      <c r="A247" s="491"/>
      <c r="B247" s="348"/>
      <c r="C247" s="313">
        <f t="shared" si="36"/>
        <v>1</v>
      </c>
      <c r="D247" s="1128"/>
      <c r="E247" s="313">
        <f t="shared" si="37"/>
        <v>1</v>
      </c>
      <c r="F247" s="1128"/>
      <c r="G247" s="313">
        <f t="shared" si="38"/>
        <v>1</v>
      </c>
      <c r="H247" s="1128"/>
      <c r="I247" s="313">
        <f t="shared" si="39"/>
        <v>1</v>
      </c>
      <c r="J247" s="1128"/>
      <c r="K247" s="313">
        <f t="shared" si="40"/>
        <v>1</v>
      </c>
      <c r="L247" s="1128"/>
      <c r="M247" s="313">
        <f t="shared" si="41"/>
        <v>1</v>
      </c>
      <c r="N247" s="1128"/>
      <c r="O247" s="313">
        <f t="shared" si="42"/>
        <v>1</v>
      </c>
      <c r="P247" s="1128"/>
      <c r="Q247" s="313">
        <f t="shared" si="43"/>
        <v>1</v>
      </c>
      <c r="R247" s="1124">
        <f t="shared" si="44"/>
        <v>0</v>
      </c>
      <c r="S247" s="698">
        <f t="shared" si="35"/>
        <v>0</v>
      </c>
    </row>
    <row r="248" spans="1:19">
      <c r="A248" s="491"/>
      <c r="B248" s="348"/>
      <c r="C248" s="313">
        <f t="shared" si="36"/>
        <v>1</v>
      </c>
      <c r="D248" s="1128"/>
      <c r="E248" s="313">
        <f t="shared" si="37"/>
        <v>1</v>
      </c>
      <c r="F248" s="1128"/>
      <c r="G248" s="313">
        <f t="shared" si="38"/>
        <v>1</v>
      </c>
      <c r="H248" s="1128"/>
      <c r="I248" s="313">
        <f t="shared" si="39"/>
        <v>1</v>
      </c>
      <c r="J248" s="1128"/>
      <c r="K248" s="313">
        <f t="shared" si="40"/>
        <v>1</v>
      </c>
      <c r="L248" s="1128"/>
      <c r="M248" s="313">
        <f t="shared" si="41"/>
        <v>1</v>
      </c>
      <c r="N248" s="1128"/>
      <c r="O248" s="313">
        <f t="shared" si="42"/>
        <v>1</v>
      </c>
      <c r="P248" s="1128"/>
      <c r="Q248" s="313">
        <f t="shared" si="43"/>
        <v>1</v>
      </c>
      <c r="R248" s="1124">
        <f t="shared" si="44"/>
        <v>0</v>
      </c>
      <c r="S248" s="698">
        <f t="shared" si="35"/>
        <v>0</v>
      </c>
    </row>
    <row r="249" spans="1:19">
      <c r="A249" s="491"/>
      <c r="B249" s="348"/>
      <c r="C249" s="313">
        <f t="shared" si="36"/>
        <v>1</v>
      </c>
      <c r="D249" s="1128"/>
      <c r="E249" s="313">
        <f t="shared" si="37"/>
        <v>1</v>
      </c>
      <c r="F249" s="1128"/>
      <c r="G249" s="313">
        <f t="shared" si="38"/>
        <v>1</v>
      </c>
      <c r="H249" s="1128"/>
      <c r="I249" s="313">
        <f t="shared" si="39"/>
        <v>1</v>
      </c>
      <c r="J249" s="1128"/>
      <c r="K249" s="313">
        <f t="shared" si="40"/>
        <v>1</v>
      </c>
      <c r="L249" s="1128"/>
      <c r="M249" s="313">
        <f t="shared" si="41"/>
        <v>1</v>
      </c>
      <c r="N249" s="1128"/>
      <c r="O249" s="313">
        <f t="shared" si="42"/>
        <v>1</v>
      </c>
      <c r="P249" s="1128"/>
      <c r="Q249" s="313">
        <f t="shared" si="43"/>
        <v>1</v>
      </c>
      <c r="R249" s="1124">
        <f t="shared" si="44"/>
        <v>0</v>
      </c>
      <c r="S249" s="698">
        <f t="shared" si="35"/>
        <v>0</v>
      </c>
    </row>
    <row r="250" spans="1:19">
      <c r="A250" s="491"/>
      <c r="B250" s="348"/>
      <c r="C250" s="313">
        <f t="shared" si="36"/>
        <v>1</v>
      </c>
      <c r="D250" s="1128"/>
      <c r="E250" s="313">
        <f t="shared" si="37"/>
        <v>1</v>
      </c>
      <c r="F250" s="1128"/>
      <c r="G250" s="313">
        <f t="shared" si="38"/>
        <v>1</v>
      </c>
      <c r="H250" s="1128"/>
      <c r="I250" s="313">
        <f t="shared" si="39"/>
        <v>1</v>
      </c>
      <c r="J250" s="1128"/>
      <c r="K250" s="313">
        <f t="shared" si="40"/>
        <v>1</v>
      </c>
      <c r="L250" s="1128"/>
      <c r="M250" s="313">
        <f t="shared" si="41"/>
        <v>1</v>
      </c>
      <c r="N250" s="1128"/>
      <c r="O250" s="313">
        <f t="shared" si="42"/>
        <v>1</v>
      </c>
      <c r="P250" s="1128"/>
      <c r="Q250" s="313">
        <f t="shared" si="43"/>
        <v>1</v>
      </c>
      <c r="R250" s="1124">
        <f t="shared" si="44"/>
        <v>0</v>
      </c>
      <c r="S250" s="698">
        <f t="shared" si="35"/>
        <v>0</v>
      </c>
    </row>
    <row r="251" spans="1:19">
      <c r="A251" s="491"/>
      <c r="B251" s="348"/>
      <c r="C251" s="313">
        <f t="shared" si="36"/>
        <v>1</v>
      </c>
      <c r="D251" s="1128"/>
      <c r="E251" s="313">
        <f t="shared" si="37"/>
        <v>1</v>
      </c>
      <c r="F251" s="1128"/>
      <c r="G251" s="313">
        <f t="shared" si="38"/>
        <v>1</v>
      </c>
      <c r="H251" s="1128"/>
      <c r="I251" s="313">
        <f t="shared" si="39"/>
        <v>1</v>
      </c>
      <c r="J251" s="1128"/>
      <c r="K251" s="313">
        <f t="shared" si="40"/>
        <v>1</v>
      </c>
      <c r="L251" s="1128"/>
      <c r="M251" s="313">
        <f t="shared" si="41"/>
        <v>1</v>
      </c>
      <c r="N251" s="1128"/>
      <c r="O251" s="313">
        <f t="shared" si="42"/>
        <v>1</v>
      </c>
      <c r="P251" s="1128"/>
      <c r="Q251" s="313">
        <f t="shared" si="43"/>
        <v>1</v>
      </c>
      <c r="R251" s="1124">
        <f t="shared" si="44"/>
        <v>0</v>
      </c>
      <c r="S251" s="698">
        <f t="shared" si="35"/>
        <v>0</v>
      </c>
    </row>
    <row r="252" spans="1:19">
      <c r="A252" s="491"/>
      <c r="B252" s="348"/>
      <c r="C252" s="313">
        <f t="shared" si="36"/>
        <v>1</v>
      </c>
      <c r="D252" s="1128"/>
      <c r="E252" s="313">
        <f t="shared" si="37"/>
        <v>1</v>
      </c>
      <c r="F252" s="1128"/>
      <c r="G252" s="313">
        <f t="shared" si="38"/>
        <v>1</v>
      </c>
      <c r="H252" s="1128"/>
      <c r="I252" s="313">
        <f t="shared" si="39"/>
        <v>1</v>
      </c>
      <c r="J252" s="1128"/>
      <c r="K252" s="313">
        <f t="shared" si="40"/>
        <v>1</v>
      </c>
      <c r="L252" s="1128"/>
      <c r="M252" s="313">
        <f t="shared" si="41"/>
        <v>1</v>
      </c>
      <c r="N252" s="1128"/>
      <c r="O252" s="313">
        <f t="shared" si="42"/>
        <v>1</v>
      </c>
      <c r="P252" s="1128"/>
      <c r="Q252" s="313">
        <f t="shared" si="43"/>
        <v>1</v>
      </c>
      <c r="R252" s="1124">
        <f t="shared" si="44"/>
        <v>0</v>
      </c>
      <c r="S252" s="698">
        <f t="shared" si="35"/>
        <v>0</v>
      </c>
    </row>
    <row r="253" spans="1:19">
      <c r="A253" s="491"/>
      <c r="B253" s="348"/>
      <c r="C253" s="313">
        <f t="shared" si="36"/>
        <v>1</v>
      </c>
      <c r="D253" s="1128"/>
      <c r="E253" s="313">
        <f t="shared" si="37"/>
        <v>1</v>
      </c>
      <c r="F253" s="1128"/>
      <c r="G253" s="313">
        <f t="shared" si="38"/>
        <v>1</v>
      </c>
      <c r="H253" s="1128"/>
      <c r="I253" s="313">
        <f t="shared" si="39"/>
        <v>1</v>
      </c>
      <c r="J253" s="1128"/>
      <c r="K253" s="313">
        <f t="shared" si="40"/>
        <v>1</v>
      </c>
      <c r="L253" s="1128"/>
      <c r="M253" s="313">
        <f t="shared" si="41"/>
        <v>1</v>
      </c>
      <c r="N253" s="1128"/>
      <c r="O253" s="313">
        <f t="shared" si="42"/>
        <v>1</v>
      </c>
      <c r="P253" s="1128"/>
      <c r="Q253" s="313">
        <f t="shared" si="43"/>
        <v>1</v>
      </c>
      <c r="R253" s="1124">
        <f t="shared" si="44"/>
        <v>0</v>
      </c>
      <c r="S253" s="698">
        <f t="shared" si="35"/>
        <v>0</v>
      </c>
    </row>
    <row r="254" spans="1:19">
      <c r="A254" s="491"/>
      <c r="B254" s="348"/>
      <c r="C254" s="313">
        <f t="shared" si="36"/>
        <v>1</v>
      </c>
      <c r="D254" s="1128"/>
      <c r="E254" s="313">
        <f t="shared" si="37"/>
        <v>1</v>
      </c>
      <c r="F254" s="1128"/>
      <c r="G254" s="313">
        <f t="shared" si="38"/>
        <v>1</v>
      </c>
      <c r="H254" s="1128"/>
      <c r="I254" s="313">
        <f t="shared" si="39"/>
        <v>1</v>
      </c>
      <c r="J254" s="1128"/>
      <c r="K254" s="313">
        <f t="shared" si="40"/>
        <v>1</v>
      </c>
      <c r="L254" s="1128"/>
      <c r="M254" s="313">
        <f t="shared" si="41"/>
        <v>1</v>
      </c>
      <c r="N254" s="1128"/>
      <c r="O254" s="313">
        <f t="shared" si="42"/>
        <v>1</v>
      </c>
      <c r="P254" s="1128"/>
      <c r="Q254" s="313">
        <f t="shared" si="43"/>
        <v>1</v>
      </c>
      <c r="R254" s="1124">
        <f t="shared" si="44"/>
        <v>0</v>
      </c>
      <c r="S254" s="698">
        <f t="shared" si="35"/>
        <v>0</v>
      </c>
    </row>
    <row r="255" spans="1:19">
      <c r="A255" s="491"/>
      <c r="B255" s="348"/>
      <c r="C255" s="313">
        <f t="shared" si="36"/>
        <v>1</v>
      </c>
      <c r="D255" s="1128"/>
      <c r="E255" s="313">
        <f t="shared" si="37"/>
        <v>1</v>
      </c>
      <c r="F255" s="1128"/>
      <c r="G255" s="313">
        <f t="shared" si="38"/>
        <v>1</v>
      </c>
      <c r="H255" s="1128"/>
      <c r="I255" s="313">
        <f t="shared" si="39"/>
        <v>1</v>
      </c>
      <c r="J255" s="1128"/>
      <c r="K255" s="313">
        <f t="shared" si="40"/>
        <v>1</v>
      </c>
      <c r="L255" s="1128"/>
      <c r="M255" s="313">
        <f t="shared" si="41"/>
        <v>1</v>
      </c>
      <c r="N255" s="1128"/>
      <c r="O255" s="313">
        <f t="shared" si="42"/>
        <v>1</v>
      </c>
      <c r="P255" s="1128"/>
      <c r="Q255" s="313">
        <f t="shared" si="43"/>
        <v>1</v>
      </c>
      <c r="R255" s="1124">
        <f t="shared" si="44"/>
        <v>0</v>
      </c>
      <c r="S255" s="698">
        <f t="shared" si="35"/>
        <v>0</v>
      </c>
    </row>
    <row r="256" spans="1:19">
      <c r="A256" s="491"/>
      <c r="B256" s="348"/>
      <c r="C256" s="313">
        <f t="shared" si="36"/>
        <v>1</v>
      </c>
      <c r="D256" s="1128"/>
      <c r="E256" s="313">
        <f t="shared" si="37"/>
        <v>1</v>
      </c>
      <c r="F256" s="1128"/>
      <c r="G256" s="313">
        <f t="shared" si="38"/>
        <v>1</v>
      </c>
      <c r="H256" s="1128"/>
      <c r="I256" s="313">
        <f t="shared" si="39"/>
        <v>1</v>
      </c>
      <c r="J256" s="1128"/>
      <c r="K256" s="313">
        <f t="shared" si="40"/>
        <v>1</v>
      </c>
      <c r="L256" s="1128"/>
      <c r="M256" s="313">
        <f t="shared" si="41"/>
        <v>1</v>
      </c>
      <c r="N256" s="1128"/>
      <c r="O256" s="313">
        <f t="shared" si="42"/>
        <v>1</v>
      </c>
      <c r="P256" s="1128"/>
      <c r="Q256" s="313">
        <f t="shared" si="43"/>
        <v>1</v>
      </c>
      <c r="R256" s="1124">
        <f t="shared" si="44"/>
        <v>0</v>
      </c>
      <c r="S256" s="698">
        <f t="shared" si="35"/>
        <v>0</v>
      </c>
    </row>
    <row r="257" spans="1:19">
      <c r="A257" s="491"/>
      <c r="B257" s="348"/>
      <c r="C257" s="313">
        <f t="shared" si="36"/>
        <v>1</v>
      </c>
      <c r="D257" s="1128"/>
      <c r="E257" s="313">
        <f t="shared" si="37"/>
        <v>1</v>
      </c>
      <c r="F257" s="1128"/>
      <c r="G257" s="313">
        <f t="shared" si="38"/>
        <v>1</v>
      </c>
      <c r="H257" s="1128"/>
      <c r="I257" s="313">
        <f t="shared" si="39"/>
        <v>1</v>
      </c>
      <c r="J257" s="1128"/>
      <c r="K257" s="313">
        <f t="shared" si="40"/>
        <v>1</v>
      </c>
      <c r="L257" s="1128"/>
      <c r="M257" s="313">
        <f t="shared" si="41"/>
        <v>1</v>
      </c>
      <c r="N257" s="1128"/>
      <c r="O257" s="313">
        <f t="shared" si="42"/>
        <v>1</v>
      </c>
      <c r="P257" s="1128"/>
      <c r="Q257" s="313">
        <f t="shared" si="43"/>
        <v>1</v>
      </c>
      <c r="R257" s="1124">
        <f t="shared" si="44"/>
        <v>0</v>
      </c>
      <c r="S257" s="698">
        <f t="shared" si="35"/>
        <v>0</v>
      </c>
    </row>
    <row r="258" spans="1:19">
      <c r="A258" s="491"/>
      <c r="B258" s="348"/>
      <c r="C258" s="313">
        <f t="shared" si="36"/>
        <v>1</v>
      </c>
      <c r="D258" s="1128"/>
      <c r="E258" s="313">
        <f t="shared" si="37"/>
        <v>1</v>
      </c>
      <c r="F258" s="1128"/>
      <c r="G258" s="313">
        <f t="shared" si="38"/>
        <v>1</v>
      </c>
      <c r="H258" s="1128"/>
      <c r="I258" s="313">
        <f t="shared" si="39"/>
        <v>1</v>
      </c>
      <c r="J258" s="1128"/>
      <c r="K258" s="313">
        <f t="shared" si="40"/>
        <v>1</v>
      </c>
      <c r="L258" s="1128"/>
      <c r="M258" s="313">
        <f t="shared" si="41"/>
        <v>1</v>
      </c>
      <c r="N258" s="1128"/>
      <c r="O258" s="313">
        <f t="shared" si="42"/>
        <v>1</v>
      </c>
      <c r="P258" s="1128"/>
      <c r="Q258" s="313">
        <f t="shared" si="43"/>
        <v>1</v>
      </c>
      <c r="R258" s="1124">
        <f t="shared" si="44"/>
        <v>0</v>
      </c>
      <c r="S258" s="698">
        <f t="shared" si="35"/>
        <v>0</v>
      </c>
    </row>
    <row r="259" spans="1:19">
      <c r="A259" s="491"/>
      <c r="B259" s="348"/>
      <c r="C259" s="313">
        <f t="shared" si="36"/>
        <v>1</v>
      </c>
      <c r="D259" s="1128"/>
      <c r="E259" s="313">
        <f t="shared" si="37"/>
        <v>1</v>
      </c>
      <c r="F259" s="1128"/>
      <c r="G259" s="313">
        <f t="shared" si="38"/>
        <v>1</v>
      </c>
      <c r="H259" s="1128"/>
      <c r="I259" s="313">
        <f t="shared" si="39"/>
        <v>1</v>
      </c>
      <c r="J259" s="1128"/>
      <c r="K259" s="313">
        <f t="shared" si="40"/>
        <v>1</v>
      </c>
      <c r="L259" s="1128"/>
      <c r="M259" s="313">
        <f t="shared" si="41"/>
        <v>1</v>
      </c>
      <c r="N259" s="1128"/>
      <c r="O259" s="313">
        <f t="shared" si="42"/>
        <v>1</v>
      </c>
      <c r="P259" s="1128"/>
      <c r="Q259" s="313">
        <f t="shared" si="43"/>
        <v>1</v>
      </c>
      <c r="R259" s="1124">
        <f t="shared" si="44"/>
        <v>0</v>
      </c>
      <c r="S259" s="698">
        <f t="shared" si="35"/>
        <v>0</v>
      </c>
    </row>
    <row r="260" spans="1:19">
      <c r="A260" s="491"/>
      <c r="B260" s="348"/>
      <c r="C260" s="313">
        <f t="shared" si="36"/>
        <v>1</v>
      </c>
      <c r="D260" s="1128"/>
      <c r="E260" s="313">
        <f t="shared" si="37"/>
        <v>1</v>
      </c>
      <c r="F260" s="1128"/>
      <c r="G260" s="313">
        <f t="shared" si="38"/>
        <v>1</v>
      </c>
      <c r="H260" s="1128"/>
      <c r="I260" s="313">
        <f t="shared" si="39"/>
        <v>1</v>
      </c>
      <c r="J260" s="1128"/>
      <c r="K260" s="313">
        <f t="shared" si="40"/>
        <v>1</v>
      </c>
      <c r="L260" s="1128"/>
      <c r="M260" s="313">
        <f t="shared" si="41"/>
        <v>1</v>
      </c>
      <c r="N260" s="1128"/>
      <c r="O260" s="313">
        <f t="shared" si="42"/>
        <v>1</v>
      </c>
      <c r="P260" s="1128"/>
      <c r="Q260" s="313">
        <f t="shared" si="43"/>
        <v>1</v>
      </c>
      <c r="R260" s="1124">
        <f t="shared" si="44"/>
        <v>0</v>
      </c>
      <c r="S260" s="698">
        <f t="shared" si="35"/>
        <v>0</v>
      </c>
    </row>
    <row r="261" spans="1:19">
      <c r="A261" s="491"/>
      <c r="B261" s="348"/>
      <c r="C261" s="313">
        <f t="shared" si="36"/>
        <v>1</v>
      </c>
      <c r="D261" s="1128"/>
      <c r="E261" s="313">
        <f t="shared" si="37"/>
        <v>1</v>
      </c>
      <c r="F261" s="1128"/>
      <c r="G261" s="313">
        <f t="shared" si="38"/>
        <v>1</v>
      </c>
      <c r="H261" s="1128"/>
      <c r="I261" s="313">
        <f t="shared" si="39"/>
        <v>1</v>
      </c>
      <c r="J261" s="1128"/>
      <c r="K261" s="313">
        <f t="shared" si="40"/>
        <v>1</v>
      </c>
      <c r="L261" s="1128"/>
      <c r="M261" s="313">
        <f t="shared" si="41"/>
        <v>1</v>
      </c>
      <c r="N261" s="1128"/>
      <c r="O261" s="313">
        <f t="shared" si="42"/>
        <v>1</v>
      </c>
      <c r="P261" s="1128"/>
      <c r="Q261" s="313">
        <f t="shared" si="43"/>
        <v>1</v>
      </c>
      <c r="R261" s="1124">
        <f t="shared" si="44"/>
        <v>0</v>
      </c>
      <c r="S261" s="698">
        <f t="shared" si="35"/>
        <v>0</v>
      </c>
    </row>
    <row r="262" spans="1:19">
      <c r="A262" s="491"/>
      <c r="B262" s="348"/>
      <c r="C262" s="313">
        <f t="shared" si="36"/>
        <v>1</v>
      </c>
      <c r="D262" s="1128"/>
      <c r="E262" s="313">
        <f t="shared" si="37"/>
        <v>1</v>
      </c>
      <c r="F262" s="1128"/>
      <c r="G262" s="313">
        <f t="shared" si="38"/>
        <v>1</v>
      </c>
      <c r="H262" s="1128"/>
      <c r="I262" s="313">
        <f t="shared" si="39"/>
        <v>1</v>
      </c>
      <c r="J262" s="1128"/>
      <c r="K262" s="313">
        <f t="shared" si="40"/>
        <v>1</v>
      </c>
      <c r="L262" s="1128"/>
      <c r="M262" s="313">
        <f t="shared" si="41"/>
        <v>1</v>
      </c>
      <c r="N262" s="1128"/>
      <c r="O262" s="313">
        <f t="shared" si="42"/>
        <v>1</v>
      </c>
      <c r="P262" s="1128"/>
      <c r="Q262" s="313">
        <f t="shared" si="43"/>
        <v>1</v>
      </c>
      <c r="R262" s="1124">
        <f t="shared" si="44"/>
        <v>0</v>
      </c>
      <c r="S262" s="698">
        <f t="shared" si="35"/>
        <v>0</v>
      </c>
    </row>
    <row r="263" spans="1:19">
      <c r="A263" s="491"/>
      <c r="B263" s="348"/>
      <c r="C263" s="313">
        <f t="shared" si="36"/>
        <v>1</v>
      </c>
      <c r="D263" s="1128"/>
      <c r="E263" s="313">
        <f t="shared" si="37"/>
        <v>1</v>
      </c>
      <c r="F263" s="1128"/>
      <c r="G263" s="313">
        <f t="shared" si="38"/>
        <v>1</v>
      </c>
      <c r="H263" s="1128"/>
      <c r="I263" s="313">
        <f t="shared" si="39"/>
        <v>1</v>
      </c>
      <c r="J263" s="1128"/>
      <c r="K263" s="313">
        <f t="shared" si="40"/>
        <v>1</v>
      </c>
      <c r="L263" s="1128"/>
      <c r="M263" s="313">
        <f t="shared" si="41"/>
        <v>1</v>
      </c>
      <c r="N263" s="1128"/>
      <c r="O263" s="313">
        <f t="shared" si="42"/>
        <v>1</v>
      </c>
      <c r="P263" s="1128"/>
      <c r="Q263" s="313">
        <f t="shared" si="43"/>
        <v>1</v>
      </c>
      <c r="R263" s="1124">
        <f t="shared" si="44"/>
        <v>0</v>
      </c>
      <c r="S263" s="698">
        <f t="shared" si="35"/>
        <v>0</v>
      </c>
    </row>
    <row r="264" spans="1:19">
      <c r="A264" s="491"/>
      <c r="B264" s="348"/>
      <c r="C264" s="313">
        <f t="shared" si="36"/>
        <v>1</v>
      </c>
      <c r="D264" s="1128"/>
      <c r="E264" s="313">
        <f t="shared" si="37"/>
        <v>1</v>
      </c>
      <c r="F264" s="1128"/>
      <c r="G264" s="313">
        <f t="shared" si="38"/>
        <v>1</v>
      </c>
      <c r="H264" s="1128"/>
      <c r="I264" s="313">
        <f t="shared" si="39"/>
        <v>1</v>
      </c>
      <c r="J264" s="1128"/>
      <c r="K264" s="313">
        <f t="shared" si="40"/>
        <v>1</v>
      </c>
      <c r="L264" s="1128"/>
      <c r="M264" s="313">
        <f t="shared" si="41"/>
        <v>1</v>
      </c>
      <c r="N264" s="1128"/>
      <c r="O264" s="313">
        <f t="shared" si="42"/>
        <v>1</v>
      </c>
      <c r="P264" s="1128"/>
      <c r="Q264" s="313">
        <f t="shared" si="43"/>
        <v>1</v>
      </c>
      <c r="R264" s="1124">
        <f t="shared" si="44"/>
        <v>0</v>
      </c>
      <c r="S264" s="698">
        <f t="shared" si="35"/>
        <v>0</v>
      </c>
    </row>
    <row r="265" spans="1:19">
      <c r="A265" s="491"/>
      <c r="B265" s="348"/>
      <c r="C265" s="313">
        <f t="shared" si="36"/>
        <v>1</v>
      </c>
      <c r="D265" s="1128"/>
      <c r="E265" s="313">
        <f t="shared" si="37"/>
        <v>1</v>
      </c>
      <c r="F265" s="1128"/>
      <c r="G265" s="313">
        <f t="shared" si="38"/>
        <v>1</v>
      </c>
      <c r="H265" s="1128"/>
      <c r="I265" s="313">
        <f t="shared" si="39"/>
        <v>1</v>
      </c>
      <c r="J265" s="1128"/>
      <c r="K265" s="313">
        <f t="shared" si="40"/>
        <v>1</v>
      </c>
      <c r="L265" s="1128"/>
      <c r="M265" s="313">
        <f t="shared" si="41"/>
        <v>1</v>
      </c>
      <c r="N265" s="1128"/>
      <c r="O265" s="313">
        <f t="shared" si="42"/>
        <v>1</v>
      </c>
      <c r="P265" s="1128"/>
      <c r="Q265" s="313">
        <f t="shared" si="43"/>
        <v>1</v>
      </c>
      <c r="R265" s="1124">
        <f t="shared" si="44"/>
        <v>0</v>
      </c>
      <c r="S265" s="698">
        <f t="shared" si="35"/>
        <v>0</v>
      </c>
    </row>
    <row r="266" spans="1:19">
      <c r="A266" s="491"/>
      <c r="B266" s="348"/>
      <c r="C266" s="313">
        <f t="shared" si="36"/>
        <v>1</v>
      </c>
      <c r="D266" s="1128"/>
      <c r="E266" s="313">
        <f t="shared" si="37"/>
        <v>1</v>
      </c>
      <c r="F266" s="1128"/>
      <c r="G266" s="313">
        <f t="shared" si="38"/>
        <v>1</v>
      </c>
      <c r="H266" s="1128"/>
      <c r="I266" s="313">
        <f t="shared" si="39"/>
        <v>1</v>
      </c>
      <c r="J266" s="1128"/>
      <c r="K266" s="313">
        <f t="shared" si="40"/>
        <v>1</v>
      </c>
      <c r="L266" s="1128"/>
      <c r="M266" s="313">
        <f t="shared" si="41"/>
        <v>1</v>
      </c>
      <c r="N266" s="1128"/>
      <c r="O266" s="313">
        <f t="shared" si="42"/>
        <v>1</v>
      </c>
      <c r="P266" s="1128"/>
      <c r="Q266" s="313">
        <f t="shared" si="43"/>
        <v>1</v>
      </c>
      <c r="R266" s="1124">
        <f t="shared" si="44"/>
        <v>0</v>
      </c>
      <c r="S266" s="698">
        <f t="shared" si="35"/>
        <v>0</v>
      </c>
    </row>
    <row r="267" spans="1:19">
      <c r="A267" s="491"/>
      <c r="B267" s="348"/>
      <c r="C267" s="313">
        <f t="shared" si="36"/>
        <v>1</v>
      </c>
      <c r="D267" s="1128"/>
      <c r="E267" s="313">
        <f t="shared" si="37"/>
        <v>1</v>
      </c>
      <c r="F267" s="1128"/>
      <c r="G267" s="313">
        <f t="shared" si="38"/>
        <v>1</v>
      </c>
      <c r="H267" s="1128"/>
      <c r="I267" s="313">
        <f t="shared" si="39"/>
        <v>1</v>
      </c>
      <c r="J267" s="1128"/>
      <c r="K267" s="313">
        <f t="shared" si="40"/>
        <v>1</v>
      </c>
      <c r="L267" s="1128"/>
      <c r="M267" s="313">
        <f t="shared" si="41"/>
        <v>1</v>
      </c>
      <c r="N267" s="1128"/>
      <c r="O267" s="313">
        <f t="shared" si="42"/>
        <v>1</v>
      </c>
      <c r="P267" s="1128"/>
      <c r="Q267" s="313">
        <f t="shared" si="43"/>
        <v>1</v>
      </c>
      <c r="R267" s="1124">
        <f t="shared" si="44"/>
        <v>0</v>
      </c>
      <c r="S267" s="698">
        <f t="shared" si="35"/>
        <v>0</v>
      </c>
    </row>
    <row r="268" spans="1:19">
      <c r="A268" s="491"/>
      <c r="B268" s="348"/>
      <c r="C268" s="313">
        <f t="shared" si="36"/>
        <v>1</v>
      </c>
      <c r="D268" s="1128"/>
      <c r="E268" s="313">
        <f t="shared" si="37"/>
        <v>1</v>
      </c>
      <c r="F268" s="1128"/>
      <c r="G268" s="313">
        <f t="shared" si="38"/>
        <v>1</v>
      </c>
      <c r="H268" s="1128"/>
      <c r="I268" s="313">
        <f t="shared" si="39"/>
        <v>1</v>
      </c>
      <c r="J268" s="1128"/>
      <c r="K268" s="313">
        <f t="shared" si="40"/>
        <v>1</v>
      </c>
      <c r="L268" s="1128"/>
      <c r="M268" s="313">
        <f t="shared" si="41"/>
        <v>1</v>
      </c>
      <c r="N268" s="1128"/>
      <c r="O268" s="313">
        <f t="shared" si="42"/>
        <v>1</v>
      </c>
      <c r="P268" s="1128"/>
      <c r="Q268" s="313">
        <f t="shared" si="43"/>
        <v>1</v>
      </c>
      <c r="R268" s="1124">
        <f t="shared" si="44"/>
        <v>0</v>
      </c>
      <c r="S268" s="698">
        <f t="shared" si="35"/>
        <v>0</v>
      </c>
    </row>
    <row r="269" spans="1:19">
      <c r="A269" s="491"/>
      <c r="B269" s="348"/>
      <c r="C269" s="313">
        <f t="shared" si="36"/>
        <v>1</v>
      </c>
      <c r="D269" s="1128"/>
      <c r="E269" s="313">
        <f t="shared" si="37"/>
        <v>1</v>
      </c>
      <c r="F269" s="1128"/>
      <c r="G269" s="313">
        <f t="shared" si="38"/>
        <v>1</v>
      </c>
      <c r="H269" s="1128"/>
      <c r="I269" s="313">
        <f t="shared" si="39"/>
        <v>1</v>
      </c>
      <c r="J269" s="1128"/>
      <c r="K269" s="313">
        <f t="shared" si="40"/>
        <v>1</v>
      </c>
      <c r="L269" s="1128"/>
      <c r="M269" s="313">
        <f t="shared" si="41"/>
        <v>1</v>
      </c>
      <c r="N269" s="1128"/>
      <c r="O269" s="313">
        <f t="shared" si="42"/>
        <v>1</v>
      </c>
      <c r="P269" s="1128"/>
      <c r="Q269" s="313">
        <f t="shared" si="43"/>
        <v>1</v>
      </c>
      <c r="R269" s="1124">
        <f t="shared" si="44"/>
        <v>0</v>
      </c>
      <c r="S269" s="698">
        <f t="shared" si="35"/>
        <v>0</v>
      </c>
    </row>
    <row r="270" spans="1:19">
      <c r="A270" s="491"/>
      <c r="B270" s="348"/>
      <c r="C270" s="313">
        <f t="shared" si="36"/>
        <v>1</v>
      </c>
      <c r="D270" s="1128"/>
      <c r="E270" s="313">
        <f t="shared" si="37"/>
        <v>1</v>
      </c>
      <c r="F270" s="1128"/>
      <c r="G270" s="313">
        <f t="shared" si="38"/>
        <v>1</v>
      </c>
      <c r="H270" s="1128"/>
      <c r="I270" s="313">
        <f t="shared" si="39"/>
        <v>1</v>
      </c>
      <c r="J270" s="1128"/>
      <c r="K270" s="313">
        <f t="shared" si="40"/>
        <v>1</v>
      </c>
      <c r="L270" s="1128"/>
      <c r="M270" s="313">
        <f t="shared" si="41"/>
        <v>1</v>
      </c>
      <c r="N270" s="1128"/>
      <c r="O270" s="313">
        <f t="shared" si="42"/>
        <v>1</v>
      </c>
      <c r="P270" s="1128"/>
      <c r="Q270" s="313">
        <f t="shared" si="43"/>
        <v>1</v>
      </c>
      <c r="R270" s="1124">
        <f t="shared" si="44"/>
        <v>0</v>
      </c>
      <c r="S270" s="698">
        <f t="shared" si="35"/>
        <v>0</v>
      </c>
    </row>
    <row r="271" spans="1:19">
      <c r="A271" s="491"/>
      <c r="B271" s="348"/>
      <c r="C271" s="313">
        <f t="shared" si="36"/>
        <v>1</v>
      </c>
      <c r="D271" s="1128"/>
      <c r="E271" s="313">
        <f t="shared" si="37"/>
        <v>1</v>
      </c>
      <c r="F271" s="1128"/>
      <c r="G271" s="313">
        <f t="shared" si="38"/>
        <v>1</v>
      </c>
      <c r="H271" s="1128"/>
      <c r="I271" s="313">
        <f t="shared" si="39"/>
        <v>1</v>
      </c>
      <c r="J271" s="1128"/>
      <c r="K271" s="313">
        <f t="shared" si="40"/>
        <v>1</v>
      </c>
      <c r="L271" s="1128"/>
      <c r="M271" s="313">
        <f t="shared" si="41"/>
        <v>1</v>
      </c>
      <c r="N271" s="1128"/>
      <c r="O271" s="313">
        <f t="shared" si="42"/>
        <v>1</v>
      </c>
      <c r="P271" s="1128"/>
      <c r="Q271" s="313">
        <f t="shared" si="43"/>
        <v>1</v>
      </c>
      <c r="R271" s="1124">
        <f t="shared" si="44"/>
        <v>0</v>
      </c>
      <c r="S271" s="698">
        <f t="shared" si="35"/>
        <v>0</v>
      </c>
    </row>
    <row r="272" spans="1:19">
      <c r="A272" s="491"/>
      <c r="B272" s="348"/>
      <c r="C272" s="313">
        <f t="shared" si="36"/>
        <v>1</v>
      </c>
      <c r="D272" s="1128"/>
      <c r="E272" s="313">
        <f t="shared" si="37"/>
        <v>1</v>
      </c>
      <c r="F272" s="1128"/>
      <c r="G272" s="313">
        <f t="shared" si="38"/>
        <v>1</v>
      </c>
      <c r="H272" s="1128"/>
      <c r="I272" s="313">
        <f t="shared" si="39"/>
        <v>1</v>
      </c>
      <c r="J272" s="1128"/>
      <c r="K272" s="313">
        <f t="shared" si="40"/>
        <v>1</v>
      </c>
      <c r="L272" s="1128"/>
      <c r="M272" s="313">
        <f t="shared" si="41"/>
        <v>1</v>
      </c>
      <c r="N272" s="1128"/>
      <c r="O272" s="313">
        <f t="shared" si="42"/>
        <v>1</v>
      </c>
      <c r="P272" s="1128"/>
      <c r="Q272" s="313">
        <f t="shared" si="43"/>
        <v>1</v>
      </c>
      <c r="R272" s="1124">
        <f t="shared" si="44"/>
        <v>0</v>
      </c>
      <c r="S272" s="698">
        <f t="shared" si="35"/>
        <v>0</v>
      </c>
    </row>
    <row r="273" spans="1:19">
      <c r="A273" s="491"/>
      <c r="B273" s="348"/>
      <c r="C273" s="313">
        <f t="shared" si="36"/>
        <v>1</v>
      </c>
      <c r="D273" s="1128"/>
      <c r="E273" s="313">
        <f t="shared" si="37"/>
        <v>1</v>
      </c>
      <c r="F273" s="1128"/>
      <c r="G273" s="313">
        <f t="shared" si="38"/>
        <v>1</v>
      </c>
      <c r="H273" s="1128"/>
      <c r="I273" s="313">
        <f t="shared" si="39"/>
        <v>1</v>
      </c>
      <c r="J273" s="1128"/>
      <c r="K273" s="313">
        <f t="shared" si="40"/>
        <v>1</v>
      </c>
      <c r="L273" s="1128"/>
      <c r="M273" s="313">
        <f t="shared" si="41"/>
        <v>1</v>
      </c>
      <c r="N273" s="1128"/>
      <c r="O273" s="313">
        <f t="shared" si="42"/>
        <v>1</v>
      </c>
      <c r="P273" s="1128"/>
      <c r="Q273" s="313">
        <f t="shared" si="43"/>
        <v>1</v>
      </c>
      <c r="R273" s="1124">
        <f t="shared" si="44"/>
        <v>0</v>
      </c>
      <c r="S273" s="698">
        <f t="shared" si="35"/>
        <v>0</v>
      </c>
    </row>
    <row r="274" spans="1:19">
      <c r="A274" s="491"/>
      <c r="B274" s="348"/>
      <c r="C274" s="313">
        <f t="shared" si="36"/>
        <v>1</v>
      </c>
      <c r="D274" s="1128"/>
      <c r="E274" s="313">
        <f t="shared" si="37"/>
        <v>1</v>
      </c>
      <c r="F274" s="1128"/>
      <c r="G274" s="313">
        <f t="shared" si="38"/>
        <v>1</v>
      </c>
      <c r="H274" s="1128"/>
      <c r="I274" s="313">
        <f t="shared" si="39"/>
        <v>1</v>
      </c>
      <c r="J274" s="1128"/>
      <c r="K274" s="313">
        <f t="shared" si="40"/>
        <v>1</v>
      </c>
      <c r="L274" s="1128"/>
      <c r="M274" s="313">
        <f t="shared" si="41"/>
        <v>1</v>
      </c>
      <c r="N274" s="1128"/>
      <c r="O274" s="313">
        <f t="shared" si="42"/>
        <v>1</v>
      </c>
      <c r="P274" s="1128"/>
      <c r="Q274" s="313">
        <f t="shared" si="43"/>
        <v>1</v>
      </c>
      <c r="R274" s="1124">
        <f t="shared" si="44"/>
        <v>0</v>
      </c>
      <c r="S274" s="698">
        <f t="shared" si="35"/>
        <v>0</v>
      </c>
    </row>
    <row r="275" spans="1:19">
      <c r="A275" s="491"/>
      <c r="B275" s="348"/>
      <c r="C275" s="313">
        <f t="shared" si="36"/>
        <v>1</v>
      </c>
      <c r="D275" s="1128"/>
      <c r="E275" s="313">
        <f t="shared" si="37"/>
        <v>1</v>
      </c>
      <c r="F275" s="1128"/>
      <c r="G275" s="313">
        <f t="shared" si="38"/>
        <v>1</v>
      </c>
      <c r="H275" s="1128"/>
      <c r="I275" s="313">
        <f t="shared" si="39"/>
        <v>1</v>
      </c>
      <c r="J275" s="1128"/>
      <c r="K275" s="313">
        <f t="shared" si="40"/>
        <v>1</v>
      </c>
      <c r="L275" s="1128"/>
      <c r="M275" s="313">
        <f t="shared" si="41"/>
        <v>1</v>
      </c>
      <c r="N275" s="1128"/>
      <c r="O275" s="313">
        <f t="shared" si="42"/>
        <v>1</v>
      </c>
      <c r="P275" s="1128"/>
      <c r="Q275" s="313">
        <f t="shared" si="43"/>
        <v>1</v>
      </c>
      <c r="R275" s="1124">
        <f t="shared" si="44"/>
        <v>0</v>
      </c>
      <c r="S275" s="698">
        <f t="shared" si="35"/>
        <v>0</v>
      </c>
    </row>
    <row r="276" spans="1:19">
      <c r="A276" s="491"/>
      <c r="B276" s="348"/>
      <c r="C276" s="313">
        <f t="shared" si="36"/>
        <v>1</v>
      </c>
      <c r="D276" s="1128"/>
      <c r="E276" s="313">
        <f t="shared" si="37"/>
        <v>1</v>
      </c>
      <c r="F276" s="1128"/>
      <c r="G276" s="313">
        <f t="shared" si="38"/>
        <v>1</v>
      </c>
      <c r="H276" s="1128"/>
      <c r="I276" s="313">
        <f t="shared" si="39"/>
        <v>1</v>
      </c>
      <c r="J276" s="1128"/>
      <c r="K276" s="313">
        <f t="shared" si="40"/>
        <v>1</v>
      </c>
      <c r="L276" s="1128"/>
      <c r="M276" s="313">
        <f t="shared" si="41"/>
        <v>1</v>
      </c>
      <c r="N276" s="1128"/>
      <c r="O276" s="313">
        <f t="shared" si="42"/>
        <v>1</v>
      </c>
      <c r="P276" s="1128"/>
      <c r="Q276" s="313">
        <f t="shared" si="43"/>
        <v>1</v>
      </c>
      <c r="R276" s="1124">
        <f t="shared" si="44"/>
        <v>0</v>
      </c>
      <c r="S276" s="698">
        <f t="shared" si="35"/>
        <v>0</v>
      </c>
    </row>
    <row r="277" spans="1:19">
      <c r="A277" s="491"/>
      <c r="B277" s="348"/>
      <c r="C277" s="313">
        <f t="shared" si="36"/>
        <v>1</v>
      </c>
      <c r="D277" s="1128"/>
      <c r="E277" s="313">
        <f t="shared" si="37"/>
        <v>1</v>
      </c>
      <c r="F277" s="1128"/>
      <c r="G277" s="313">
        <f t="shared" si="38"/>
        <v>1</v>
      </c>
      <c r="H277" s="1128"/>
      <c r="I277" s="313">
        <f t="shared" si="39"/>
        <v>1</v>
      </c>
      <c r="J277" s="1128"/>
      <c r="K277" s="313">
        <f t="shared" si="40"/>
        <v>1</v>
      </c>
      <c r="L277" s="1128"/>
      <c r="M277" s="313">
        <f t="shared" si="41"/>
        <v>1</v>
      </c>
      <c r="N277" s="1128"/>
      <c r="O277" s="313">
        <f t="shared" si="42"/>
        <v>1</v>
      </c>
      <c r="P277" s="1128"/>
      <c r="Q277" s="313">
        <f t="shared" si="43"/>
        <v>1</v>
      </c>
      <c r="R277" s="1124">
        <f t="shared" si="44"/>
        <v>0</v>
      </c>
      <c r="S277" s="698">
        <f t="shared" si="35"/>
        <v>0</v>
      </c>
    </row>
    <row r="278" spans="1:19">
      <c r="A278" s="491"/>
      <c r="B278" s="348"/>
      <c r="C278" s="313">
        <f t="shared" si="36"/>
        <v>1</v>
      </c>
      <c r="D278" s="1128"/>
      <c r="E278" s="313">
        <f t="shared" si="37"/>
        <v>1</v>
      </c>
      <c r="F278" s="1128"/>
      <c r="G278" s="313">
        <f t="shared" si="38"/>
        <v>1</v>
      </c>
      <c r="H278" s="1128"/>
      <c r="I278" s="313">
        <f t="shared" si="39"/>
        <v>1</v>
      </c>
      <c r="J278" s="1128"/>
      <c r="K278" s="313">
        <f t="shared" si="40"/>
        <v>1</v>
      </c>
      <c r="L278" s="1128"/>
      <c r="M278" s="313">
        <f t="shared" si="41"/>
        <v>1</v>
      </c>
      <c r="N278" s="1128"/>
      <c r="O278" s="313">
        <f t="shared" si="42"/>
        <v>1</v>
      </c>
      <c r="P278" s="1128"/>
      <c r="Q278" s="313">
        <f t="shared" si="43"/>
        <v>1</v>
      </c>
      <c r="R278" s="1124">
        <f t="shared" si="44"/>
        <v>0</v>
      </c>
      <c r="S278" s="698">
        <f t="shared" si="35"/>
        <v>0</v>
      </c>
    </row>
    <row r="279" spans="1:19">
      <c r="A279" s="491"/>
      <c r="B279" s="348"/>
      <c r="C279" s="313">
        <f t="shared" si="36"/>
        <v>1</v>
      </c>
      <c r="D279" s="1128"/>
      <c r="E279" s="313">
        <f t="shared" si="37"/>
        <v>1</v>
      </c>
      <c r="F279" s="1128"/>
      <c r="G279" s="313">
        <f t="shared" si="38"/>
        <v>1</v>
      </c>
      <c r="H279" s="1128"/>
      <c r="I279" s="313">
        <f t="shared" si="39"/>
        <v>1</v>
      </c>
      <c r="J279" s="1128"/>
      <c r="K279" s="313">
        <f t="shared" si="40"/>
        <v>1</v>
      </c>
      <c r="L279" s="1128"/>
      <c r="M279" s="313">
        <f t="shared" si="41"/>
        <v>1</v>
      </c>
      <c r="N279" s="1128"/>
      <c r="O279" s="313">
        <f t="shared" si="42"/>
        <v>1</v>
      </c>
      <c r="P279" s="1128"/>
      <c r="Q279" s="313">
        <f t="shared" si="43"/>
        <v>1</v>
      </c>
      <c r="R279" s="1124">
        <f t="shared" si="44"/>
        <v>0</v>
      </c>
      <c r="S279" s="698">
        <f t="shared" si="35"/>
        <v>0</v>
      </c>
    </row>
    <row r="280" spans="1:19">
      <c r="A280" s="491"/>
      <c r="B280" s="348"/>
      <c r="C280" s="313">
        <f t="shared" si="36"/>
        <v>1</v>
      </c>
      <c r="D280" s="1128"/>
      <c r="E280" s="313">
        <f t="shared" si="37"/>
        <v>1</v>
      </c>
      <c r="F280" s="1128"/>
      <c r="G280" s="313">
        <f t="shared" si="38"/>
        <v>1</v>
      </c>
      <c r="H280" s="1128"/>
      <c r="I280" s="313">
        <f t="shared" si="39"/>
        <v>1</v>
      </c>
      <c r="J280" s="1128"/>
      <c r="K280" s="313">
        <f t="shared" si="40"/>
        <v>1</v>
      </c>
      <c r="L280" s="1128"/>
      <c r="M280" s="313">
        <f t="shared" si="41"/>
        <v>1</v>
      </c>
      <c r="N280" s="1128"/>
      <c r="O280" s="313">
        <f t="shared" si="42"/>
        <v>1</v>
      </c>
      <c r="P280" s="1128"/>
      <c r="Q280" s="313">
        <f t="shared" si="43"/>
        <v>1</v>
      </c>
      <c r="R280" s="1124">
        <f t="shared" si="44"/>
        <v>0</v>
      </c>
      <c r="S280" s="698">
        <f t="shared" ref="S280:S343" si="45">ROUND(R280*B280/10000,0)</f>
        <v>0</v>
      </c>
    </row>
    <row r="281" spans="1:19">
      <c r="A281" s="491"/>
      <c r="B281" s="348"/>
      <c r="C281" s="313">
        <f t="shared" si="36"/>
        <v>1</v>
      </c>
      <c r="D281" s="1128"/>
      <c r="E281" s="313">
        <f t="shared" si="37"/>
        <v>1</v>
      </c>
      <c r="F281" s="1128"/>
      <c r="G281" s="313">
        <f t="shared" si="38"/>
        <v>1</v>
      </c>
      <c r="H281" s="1128"/>
      <c r="I281" s="313">
        <f t="shared" si="39"/>
        <v>1</v>
      </c>
      <c r="J281" s="1128"/>
      <c r="K281" s="313">
        <f t="shared" si="40"/>
        <v>1</v>
      </c>
      <c r="L281" s="1128"/>
      <c r="M281" s="313">
        <f t="shared" si="41"/>
        <v>1</v>
      </c>
      <c r="N281" s="1128"/>
      <c r="O281" s="313">
        <f t="shared" si="42"/>
        <v>1</v>
      </c>
      <c r="P281" s="1128"/>
      <c r="Q281" s="313">
        <f t="shared" si="43"/>
        <v>1</v>
      </c>
      <c r="R281" s="1124">
        <f t="shared" si="44"/>
        <v>0</v>
      </c>
      <c r="S281" s="698">
        <f t="shared" si="45"/>
        <v>0</v>
      </c>
    </row>
    <row r="282" spans="1:19">
      <c r="A282" s="491"/>
      <c r="B282" s="348"/>
      <c r="C282" s="313">
        <f t="shared" ref="C282:C345" si="46">IF(B282="",1,(LOOKUP(B282,$3:$3,$4:$4)-LOOKUP($B$24,$3:$3,$4:$4)+100)/100)</f>
        <v>1</v>
      </c>
      <c r="D282" s="1128"/>
      <c r="E282" s="313">
        <f t="shared" ref="E282:E345" si="47">(SUMIF($5:$5,D282,$6:$6)-SUMIF($5:$5,$D$24,$6:$6)+100)/100</f>
        <v>1</v>
      </c>
      <c r="F282" s="1128"/>
      <c r="G282" s="313">
        <f t="shared" ref="G282:G345" si="48">(SUMIF($7:$7,F282,$8:$8)-SUMIF($7:$7,$F$24,$8:$8)+100)/100</f>
        <v>1</v>
      </c>
      <c r="H282" s="1128"/>
      <c r="I282" s="313">
        <f t="shared" ref="I282:I345" si="49">(SUMIF($9:$9,H282,$10:$10)-SUMIF($9:$9,$H$24,$10:$10)+100)/100</f>
        <v>1</v>
      </c>
      <c r="J282" s="1128"/>
      <c r="K282" s="313">
        <f t="shared" ref="K282:K345" si="50">(SUMIF($11:$11,J282,$12:$12)-SUMIF($11:$11,$J$24,$12:$12)+100)/100</f>
        <v>1</v>
      </c>
      <c r="L282" s="1128"/>
      <c r="M282" s="313">
        <f t="shared" ref="M282:M345" si="51">(SUMIF($13:$13,L282,$14:$14)-SUMIF($13:$13,$L$24,$14:$14)+100)/100</f>
        <v>1</v>
      </c>
      <c r="N282" s="1128"/>
      <c r="O282" s="313">
        <f t="shared" ref="O282:O345" si="52">(SUMIF($15:$15,N282,$16:$16)-SUMIF($15:$15,$N$24,$16:$16)+100)/100</f>
        <v>1</v>
      </c>
      <c r="P282" s="1128"/>
      <c r="Q282" s="313">
        <f t="shared" ref="Q282:Q345" si="53">(SUMIF($17:$17,P282,$18:$18)-SUMIF($17:$17,$P$24,$18:$18)+100)/100</f>
        <v>1</v>
      </c>
      <c r="R282" s="1124">
        <f t="shared" ref="R282:R345" si="54">IF(B282="",0,ROUND($R$24*C282*E282*G282*I282*K282*M282*O282*Q282,0))</f>
        <v>0</v>
      </c>
      <c r="S282" s="698">
        <f t="shared" si="45"/>
        <v>0</v>
      </c>
    </row>
    <row r="283" spans="1:19">
      <c r="A283" s="491"/>
      <c r="B283" s="348"/>
      <c r="C283" s="313">
        <f t="shared" si="46"/>
        <v>1</v>
      </c>
      <c r="D283" s="1128"/>
      <c r="E283" s="313">
        <f t="shared" si="47"/>
        <v>1</v>
      </c>
      <c r="F283" s="1128"/>
      <c r="G283" s="313">
        <f t="shared" si="48"/>
        <v>1</v>
      </c>
      <c r="H283" s="1128"/>
      <c r="I283" s="313">
        <f t="shared" si="49"/>
        <v>1</v>
      </c>
      <c r="J283" s="1128"/>
      <c r="K283" s="313">
        <f t="shared" si="50"/>
        <v>1</v>
      </c>
      <c r="L283" s="1128"/>
      <c r="M283" s="313">
        <f t="shared" si="51"/>
        <v>1</v>
      </c>
      <c r="N283" s="1128"/>
      <c r="O283" s="313">
        <f t="shared" si="52"/>
        <v>1</v>
      </c>
      <c r="P283" s="1128"/>
      <c r="Q283" s="313">
        <f t="shared" si="53"/>
        <v>1</v>
      </c>
      <c r="R283" s="1124">
        <f t="shared" si="54"/>
        <v>0</v>
      </c>
      <c r="S283" s="698">
        <f t="shared" si="45"/>
        <v>0</v>
      </c>
    </row>
    <row r="284" spans="1:19">
      <c r="A284" s="491"/>
      <c r="B284" s="348"/>
      <c r="C284" s="313">
        <f t="shared" si="46"/>
        <v>1</v>
      </c>
      <c r="D284" s="1128"/>
      <c r="E284" s="313">
        <f t="shared" si="47"/>
        <v>1</v>
      </c>
      <c r="F284" s="1128"/>
      <c r="G284" s="313">
        <f t="shared" si="48"/>
        <v>1</v>
      </c>
      <c r="H284" s="1128"/>
      <c r="I284" s="313">
        <f t="shared" si="49"/>
        <v>1</v>
      </c>
      <c r="J284" s="1128"/>
      <c r="K284" s="313">
        <f t="shared" si="50"/>
        <v>1</v>
      </c>
      <c r="L284" s="1128"/>
      <c r="M284" s="313">
        <f t="shared" si="51"/>
        <v>1</v>
      </c>
      <c r="N284" s="1128"/>
      <c r="O284" s="313">
        <f t="shared" si="52"/>
        <v>1</v>
      </c>
      <c r="P284" s="1128"/>
      <c r="Q284" s="313">
        <f t="shared" si="53"/>
        <v>1</v>
      </c>
      <c r="R284" s="1124">
        <f t="shared" si="54"/>
        <v>0</v>
      </c>
      <c r="S284" s="698">
        <f t="shared" si="45"/>
        <v>0</v>
      </c>
    </row>
    <row r="285" spans="1:19">
      <c r="A285" s="491"/>
      <c r="B285" s="348"/>
      <c r="C285" s="313">
        <f t="shared" si="46"/>
        <v>1</v>
      </c>
      <c r="D285" s="1128"/>
      <c r="E285" s="313">
        <f t="shared" si="47"/>
        <v>1</v>
      </c>
      <c r="F285" s="1128"/>
      <c r="G285" s="313">
        <f t="shared" si="48"/>
        <v>1</v>
      </c>
      <c r="H285" s="1128"/>
      <c r="I285" s="313">
        <f t="shared" si="49"/>
        <v>1</v>
      </c>
      <c r="J285" s="1128"/>
      <c r="K285" s="313">
        <f t="shared" si="50"/>
        <v>1</v>
      </c>
      <c r="L285" s="1128"/>
      <c r="M285" s="313">
        <f t="shared" si="51"/>
        <v>1</v>
      </c>
      <c r="N285" s="1128"/>
      <c r="O285" s="313">
        <f t="shared" si="52"/>
        <v>1</v>
      </c>
      <c r="P285" s="1128"/>
      <c r="Q285" s="313">
        <f t="shared" si="53"/>
        <v>1</v>
      </c>
      <c r="R285" s="1124">
        <f t="shared" si="54"/>
        <v>0</v>
      </c>
      <c r="S285" s="698">
        <f t="shared" si="45"/>
        <v>0</v>
      </c>
    </row>
    <row r="286" spans="1:19">
      <c r="A286" s="491"/>
      <c r="B286" s="348"/>
      <c r="C286" s="313">
        <f t="shared" si="46"/>
        <v>1</v>
      </c>
      <c r="D286" s="1128"/>
      <c r="E286" s="313">
        <f t="shared" si="47"/>
        <v>1</v>
      </c>
      <c r="F286" s="1128"/>
      <c r="G286" s="313">
        <f t="shared" si="48"/>
        <v>1</v>
      </c>
      <c r="H286" s="1128"/>
      <c r="I286" s="313">
        <f t="shared" si="49"/>
        <v>1</v>
      </c>
      <c r="J286" s="1128"/>
      <c r="K286" s="313">
        <f t="shared" si="50"/>
        <v>1</v>
      </c>
      <c r="L286" s="1128"/>
      <c r="M286" s="313">
        <f t="shared" si="51"/>
        <v>1</v>
      </c>
      <c r="N286" s="1128"/>
      <c r="O286" s="313">
        <f t="shared" si="52"/>
        <v>1</v>
      </c>
      <c r="P286" s="1128"/>
      <c r="Q286" s="313">
        <f t="shared" si="53"/>
        <v>1</v>
      </c>
      <c r="R286" s="1124">
        <f t="shared" si="54"/>
        <v>0</v>
      </c>
      <c r="S286" s="698">
        <f t="shared" si="45"/>
        <v>0</v>
      </c>
    </row>
    <row r="287" spans="1:19">
      <c r="A287" s="491"/>
      <c r="B287" s="348"/>
      <c r="C287" s="313">
        <f t="shared" si="46"/>
        <v>1</v>
      </c>
      <c r="D287" s="1128"/>
      <c r="E287" s="313">
        <f t="shared" si="47"/>
        <v>1</v>
      </c>
      <c r="F287" s="1128"/>
      <c r="G287" s="313">
        <f t="shared" si="48"/>
        <v>1</v>
      </c>
      <c r="H287" s="1128"/>
      <c r="I287" s="313">
        <f t="shared" si="49"/>
        <v>1</v>
      </c>
      <c r="J287" s="1128"/>
      <c r="K287" s="313">
        <f t="shared" si="50"/>
        <v>1</v>
      </c>
      <c r="L287" s="1128"/>
      <c r="M287" s="313">
        <f t="shared" si="51"/>
        <v>1</v>
      </c>
      <c r="N287" s="1128"/>
      <c r="O287" s="313">
        <f t="shared" si="52"/>
        <v>1</v>
      </c>
      <c r="P287" s="1128"/>
      <c r="Q287" s="313">
        <f t="shared" si="53"/>
        <v>1</v>
      </c>
      <c r="R287" s="1124">
        <f t="shared" si="54"/>
        <v>0</v>
      </c>
      <c r="S287" s="698">
        <f t="shared" si="45"/>
        <v>0</v>
      </c>
    </row>
    <row r="288" spans="1:19">
      <c r="A288" s="491"/>
      <c r="B288" s="348"/>
      <c r="C288" s="313">
        <f t="shared" si="46"/>
        <v>1</v>
      </c>
      <c r="D288" s="1128"/>
      <c r="E288" s="313">
        <f t="shared" si="47"/>
        <v>1</v>
      </c>
      <c r="F288" s="1128"/>
      <c r="G288" s="313">
        <f t="shared" si="48"/>
        <v>1</v>
      </c>
      <c r="H288" s="1128"/>
      <c r="I288" s="313">
        <f t="shared" si="49"/>
        <v>1</v>
      </c>
      <c r="J288" s="1128"/>
      <c r="K288" s="313">
        <f t="shared" si="50"/>
        <v>1</v>
      </c>
      <c r="L288" s="1128"/>
      <c r="M288" s="313">
        <f t="shared" si="51"/>
        <v>1</v>
      </c>
      <c r="N288" s="1128"/>
      <c r="O288" s="313">
        <f t="shared" si="52"/>
        <v>1</v>
      </c>
      <c r="P288" s="1128"/>
      <c r="Q288" s="313">
        <f t="shared" si="53"/>
        <v>1</v>
      </c>
      <c r="R288" s="1124">
        <f t="shared" si="54"/>
        <v>0</v>
      </c>
      <c r="S288" s="698">
        <f t="shared" si="45"/>
        <v>0</v>
      </c>
    </row>
    <row r="289" spans="1:19">
      <c r="A289" s="491"/>
      <c r="B289" s="348"/>
      <c r="C289" s="313">
        <f t="shared" si="46"/>
        <v>1</v>
      </c>
      <c r="D289" s="1128"/>
      <c r="E289" s="313">
        <f t="shared" si="47"/>
        <v>1</v>
      </c>
      <c r="F289" s="1128"/>
      <c r="G289" s="313">
        <f t="shared" si="48"/>
        <v>1</v>
      </c>
      <c r="H289" s="1128"/>
      <c r="I289" s="313">
        <f t="shared" si="49"/>
        <v>1</v>
      </c>
      <c r="J289" s="1128"/>
      <c r="K289" s="313">
        <f t="shared" si="50"/>
        <v>1</v>
      </c>
      <c r="L289" s="1128"/>
      <c r="M289" s="313">
        <f t="shared" si="51"/>
        <v>1</v>
      </c>
      <c r="N289" s="1128"/>
      <c r="O289" s="313">
        <f t="shared" si="52"/>
        <v>1</v>
      </c>
      <c r="P289" s="1128"/>
      <c r="Q289" s="313">
        <f t="shared" si="53"/>
        <v>1</v>
      </c>
      <c r="R289" s="1124">
        <f t="shared" si="54"/>
        <v>0</v>
      </c>
      <c r="S289" s="698">
        <f t="shared" si="45"/>
        <v>0</v>
      </c>
    </row>
    <row r="290" spans="1:19">
      <c r="A290" s="491"/>
      <c r="B290" s="348"/>
      <c r="C290" s="313">
        <f t="shared" si="46"/>
        <v>1</v>
      </c>
      <c r="D290" s="1128"/>
      <c r="E290" s="313">
        <f t="shared" si="47"/>
        <v>1</v>
      </c>
      <c r="F290" s="1128"/>
      <c r="G290" s="313">
        <f t="shared" si="48"/>
        <v>1</v>
      </c>
      <c r="H290" s="1128"/>
      <c r="I290" s="313">
        <f t="shared" si="49"/>
        <v>1</v>
      </c>
      <c r="J290" s="1128"/>
      <c r="K290" s="313">
        <f t="shared" si="50"/>
        <v>1</v>
      </c>
      <c r="L290" s="1128"/>
      <c r="M290" s="313">
        <f t="shared" si="51"/>
        <v>1</v>
      </c>
      <c r="N290" s="1128"/>
      <c r="O290" s="313">
        <f t="shared" si="52"/>
        <v>1</v>
      </c>
      <c r="P290" s="1128"/>
      <c r="Q290" s="313">
        <f t="shared" si="53"/>
        <v>1</v>
      </c>
      <c r="R290" s="1124">
        <f t="shared" si="54"/>
        <v>0</v>
      </c>
      <c r="S290" s="698">
        <f t="shared" si="45"/>
        <v>0</v>
      </c>
    </row>
    <row r="291" spans="1:19">
      <c r="A291" s="491"/>
      <c r="B291" s="348"/>
      <c r="C291" s="313">
        <f t="shared" si="46"/>
        <v>1</v>
      </c>
      <c r="D291" s="1128"/>
      <c r="E291" s="313">
        <f t="shared" si="47"/>
        <v>1</v>
      </c>
      <c r="F291" s="1128"/>
      <c r="G291" s="313">
        <f t="shared" si="48"/>
        <v>1</v>
      </c>
      <c r="H291" s="1128"/>
      <c r="I291" s="313">
        <f t="shared" si="49"/>
        <v>1</v>
      </c>
      <c r="J291" s="1128"/>
      <c r="K291" s="313">
        <f t="shared" si="50"/>
        <v>1</v>
      </c>
      <c r="L291" s="1128"/>
      <c r="M291" s="313">
        <f t="shared" si="51"/>
        <v>1</v>
      </c>
      <c r="N291" s="1128"/>
      <c r="O291" s="313">
        <f t="shared" si="52"/>
        <v>1</v>
      </c>
      <c r="P291" s="1128"/>
      <c r="Q291" s="313">
        <f t="shared" si="53"/>
        <v>1</v>
      </c>
      <c r="R291" s="1124">
        <f t="shared" si="54"/>
        <v>0</v>
      </c>
      <c r="S291" s="698">
        <f t="shared" si="45"/>
        <v>0</v>
      </c>
    </row>
    <row r="292" spans="1:19">
      <c r="A292" s="491"/>
      <c r="B292" s="348"/>
      <c r="C292" s="313">
        <f t="shared" si="46"/>
        <v>1</v>
      </c>
      <c r="D292" s="1128"/>
      <c r="E292" s="313">
        <f t="shared" si="47"/>
        <v>1</v>
      </c>
      <c r="F292" s="1128"/>
      <c r="G292" s="313">
        <f t="shared" si="48"/>
        <v>1</v>
      </c>
      <c r="H292" s="1128"/>
      <c r="I292" s="313">
        <f t="shared" si="49"/>
        <v>1</v>
      </c>
      <c r="J292" s="1128"/>
      <c r="K292" s="313">
        <f t="shared" si="50"/>
        <v>1</v>
      </c>
      <c r="L292" s="1128"/>
      <c r="M292" s="313">
        <f t="shared" si="51"/>
        <v>1</v>
      </c>
      <c r="N292" s="1128"/>
      <c r="O292" s="313">
        <f t="shared" si="52"/>
        <v>1</v>
      </c>
      <c r="P292" s="1128"/>
      <c r="Q292" s="313">
        <f t="shared" si="53"/>
        <v>1</v>
      </c>
      <c r="R292" s="1124">
        <f t="shared" si="54"/>
        <v>0</v>
      </c>
      <c r="S292" s="698">
        <f t="shared" si="45"/>
        <v>0</v>
      </c>
    </row>
    <row r="293" spans="1:19">
      <c r="A293" s="491"/>
      <c r="B293" s="348"/>
      <c r="C293" s="313">
        <f t="shared" si="46"/>
        <v>1</v>
      </c>
      <c r="D293" s="1128"/>
      <c r="E293" s="313">
        <f t="shared" si="47"/>
        <v>1</v>
      </c>
      <c r="F293" s="1128"/>
      <c r="G293" s="313">
        <f t="shared" si="48"/>
        <v>1</v>
      </c>
      <c r="H293" s="1128"/>
      <c r="I293" s="313">
        <f t="shared" si="49"/>
        <v>1</v>
      </c>
      <c r="J293" s="1128"/>
      <c r="K293" s="313">
        <f t="shared" si="50"/>
        <v>1</v>
      </c>
      <c r="L293" s="1128"/>
      <c r="M293" s="313">
        <f t="shared" si="51"/>
        <v>1</v>
      </c>
      <c r="N293" s="1128"/>
      <c r="O293" s="313">
        <f t="shared" si="52"/>
        <v>1</v>
      </c>
      <c r="P293" s="1128"/>
      <c r="Q293" s="313">
        <f t="shared" si="53"/>
        <v>1</v>
      </c>
      <c r="R293" s="1124">
        <f t="shared" si="54"/>
        <v>0</v>
      </c>
      <c r="S293" s="698">
        <f t="shared" si="45"/>
        <v>0</v>
      </c>
    </row>
    <row r="294" spans="1:19">
      <c r="A294" s="491"/>
      <c r="B294" s="348"/>
      <c r="C294" s="313">
        <f t="shared" si="46"/>
        <v>1</v>
      </c>
      <c r="D294" s="1128"/>
      <c r="E294" s="313">
        <f t="shared" si="47"/>
        <v>1</v>
      </c>
      <c r="F294" s="1128"/>
      <c r="G294" s="313">
        <f t="shared" si="48"/>
        <v>1</v>
      </c>
      <c r="H294" s="1128"/>
      <c r="I294" s="313">
        <f t="shared" si="49"/>
        <v>1</v>
      </c>
      <c r="J294" s="1128"/>
      <c r="K294" s="313">
        <f t="shared" si="50"/>
        <v>1</v>
      </c>
      <c r="L294" s="1128"/>
      <c r="M294" s="313">
        <f t="shared" si="51"/>
        <v>1</v>
      </c>
      <c r="N294" s="1128"/>
      <c r="O294" s="313">
        <f t="shared" si="52"/>
        <v>1</v>
      </c>
      <c r="P294" s="1128"/>
      <c r="Q294" s="313">
        <f t="shared" si="53"/>
        <v>1</v>
      </c>
      <c r="R294" s="1124">
        <f t="shared" si="54"/>
        <v>0</v>
      </c>
      <c r="S294" s="698">
        <f t="shared" si="45"/>
        <v>0</v>
      </c>
    </row>
    <row r="295" spans="1:19">
      <c r="A295" s="491"/>
      <c r="B295" s="348"/>
      <c r="C295" s="313">
        <f t="shared" si="46"/>
        <v>1</v>
      </c>
      <c r="D295" s="1128"/>
      <c r="E295" s="313">
        <f t="shared" si="47"/>
        <v>1</v>
      </c>
      <c r="F295" s="1128"/>
      <c r="G295" s="313">
        <f t="shared" si="48"/>
        <v>1</v>
      </c>
      <c r="H295" s="1128"/>
      <c r="I295" s="313">
        <f t="shared" si="49"/>
        <v>1</v>
      </c>
      <c r="J295" s="1128"/>
      <c r="K295" s="313">
        <f t="shared" si="50"/>
        <v>1</v>
      </c>
      <c r="L295" s="1128"/>
      <c r="M295" s="313">
        <f t="shared" si="51"/>
        <v>1</v>
      </c>
      <c r="N295" s="1128"/>
      <c r="O295" s="313">
        <f t="shared" si="52"/>
        <v>1</v>
      </c>
      <c r="P295" s="1128"/>
      <c r="Q295" s="313">
        <f t="shared" si="53"/>
        <v>1</v>
      </c>
      <c r="R295" s="1124">
        <f t="shared" si="54"/>
        <v>0</v>
      </c>
      <c r="S295" s="698">
        <f t="shared" si="45"/>
        <v>0</v>
      </c>
    </row>
    <row r="296" spans="1:19">
      <c r="A296" s="491"/>
      <c r="B296" s="348"/>
      <c r="C296" s="313">
        <f t="shared" si="46"/>
        <v>1</v>
      </c>
      <c r="D296" s="1128"/>
      <c r="E296" s="313">
        <f t="shared" si="47"/>
        <v>1</v>
      </c>
      <c r="F296" s="1128"/>
      <c r="G296" s="313">
        <f t="shared" si="48"/>
        <v>1</v>
      </c>
      <c r="H296" s="1128"/>
      <c r="I296" s="313">
        <f t="shared" si="49"/>
        <v>1</v>
      </c>
      <c r="J296" s="1128"/>
      <c r="K296" s="313">
        <f t="shared" si="50"/>
        <v>1</v>
      </c>
      <c r="L296" s="1128"/>
      <c r="M296" s="313">
        <f t="shared" si="51"/>
        <v>1</v>
      </c>
      <c r="N296" s="1128"/>
      <c r="O296" s="313">
        <f t="shared" si="52"/>
        <v>1</v>
      </c>
      <c r="P296" s="1128"/>
      <c r="Q296" s="313">
        <f t="shared" si="53"/>
        <v>1</v>
      </c>
      <c r="R296" s="1124">
        <f t="shared" si="54"/>
        <v>0</v>
      </c>
      <c r="S296" s="698">
        <f t="shared" si="45"/>
        <v>0</v>
      </c>
    </row>
    <row r="297" spans="1:19">
      <c r="A297" s="491"/>
      <c r="B297" s="348"/>
      <c r="C297" s="313">
        <f t="shared" si="46"/>
        <v>1</v>
      </c>
      <c r="D297" s="1128"/>
      <c r="E297" s="313">
        <f t="shared" si="47"/>
        <v>1</v>
      </c>
      <c r="F297" s="1128"/>
      <c r="G297" s="313">
        <f t="shared" si="48"/>
        <v>1</v>
      </c>
      <c r="H297" s="1128"/>
      <c r="I297" s="313">
        <f t="shared" si="49"/>
        <v>1</v>
      </c>
      <c r="J297" s="1128"/>
      <c r="K297" s="313">
        <f t="shared" si="50"/>
        <v>1</v>
      </c>
      <c r="L297" s="1128"/>
      <c r="M297" s="313">
        <f t="shared" si="51"/>
        <v>1</v>
      </c>
      <c r="N297" s="1128"/>
      <c r="O297" s="313">
        <f t="shared" si="52"/>
        <v>1</v>
      </c>
      <c r="P297" s="1128"/>
      <c r="Q297" s="313">
        <f t="shared" si="53"/>
        <v>1</v>
      </c>
      <c r="R297" s="1124">
        <f t="shared" si="54"/>
        <v>0</v>
      </c>
      <c r="S297" s="698">
        <f t="shared" si="45"/>
        <v>0</v>
      </c>
    </row>
    <row r="298" spans="1:19">
      <c r="A298" s="491"/>
      <c r="B298" s="348"/>
      <c r="C298" s="313">
        <f t="shared" si="46"/>
        <v>1</v>
      </c>
      <c r="D298" s="1128"/>
      <c r="E298" s="313">
        <f t="shared" si="47"/>
        <v>1</v>
      </c>
      <c r="F298" s="1128"/>
      <c r="G298" s="313">
        <f t="shared" si="48"/>
        <v>1</v>
      </c>
      <c r="H298" s="1128"/>
      <c r="I298" s="313">
        <f t="shared" si="49"/>
        <v>1</v>
      </c>
      <c r="J298" s="1128"/>
      <c r="K298" s="313">
        <f t="shared" si="50"/>
        <v>1</v>
      </c>
      <c r="L298" s="1128"/>
      <c r="M298" s="313">
        <f t="shared" si="51"/>
        <v>1</v>
      </c>
      <c r="N298" s="1128"/>
      <c r="O298" s="313">
        <f t="shared" si="52"/>
        <v>1</v>
      </c>
      <c r="P298" s="1128"/>
      <c r="Q298" s="313">
        <f t="shared" si="53"/>
        <v>1</v>
      </c>
      <c r="R298" s="1124">
        <f t="shared" si="54"/>
        <v>0</v>
      </c>
      <c r="S298" s="698">
        <f t="shared" si="45"/>
        <v>0</v>
      </c>
    </row>
    <row r="299" spans="1:19">
      <c r="A299" s="491"/>
      <c r="B299" s="348"/>
      <c r="C299" s="313">
        <f t="shared" si="46"/>
        <v>1</v>
      </c>
      <c r="D299" s="1128"/>
      <c r="E299" s="313">
        <f t="shared" si="47"/>
        <v>1</v>
      </c>
      <c r="F299" s="1128"/>
      <c r="G299" s="313">
        <f t="shared" si="48"/>
        <v>1</v>
      </c>
      <c r="H299" s="1128"/>
      <c r="I299" s="313">
        <f t="shared" si="49"/>
        <v>1</v>
      </c>
      <c r="J299" s="1128"/>
      <c r="K299" s="313">
        <f t="shared" si="50"/>
        <v>1</v>
      </c>
      <c r="L299" s="1128"/>
      <c r="M299" s="313">
        <f t="shared" si="51"/>
        <v>1</v>
      </c>
      <c r="N299" s="1128"/>
      <c r="O299" s="313">
        <f t="shared" si="52"/>
        <v>1</v>
      </c>
      <c r="P299" s="1128"/>
      <c r="Q299" s="313">
        <f t="shared" si="53"/>
        <v>1</v>
      </c>
      <c r="R299" s="1124">
        <f t="shared" si="54"/>
        <v>0</v>
      </c>
      <c r="S299" s="698">
        <f t="shared" si="45"/>
        <v>0</v>
      </c>
    </row>
    <row r="300" spans="1:19">
      <c r="A300" s="491"/>
      <c r="B300" s="348"/>
      <c r="C300" s="313">
        <f t="shared" si="46"/>
        <v>1</v>
      </c>
      <c r="D300" s="1128"/>
      <c r="E300" s="313">
        <f t="shared" si="47"/>
        <v>1</v>
      </c>
      <c r="F300" s="1128"/>
      <c r="G300" s="313">
        <f t="shared" si="48"/>
        <v>1</v>
      </c>
      <c r="H300" s="1128"/>
      <c r="I300" s="313">
        <f t="shared" si="49"/>
        <v>1</v>
      </c>
      <c r="J300" s="1128"/>
      <c r="K300" s="313">
        <f t="shared" si="50"/>
        <v>1</v>
      </c>
      <c r="L300" s="1128"/>
      <c r="M300" s="313">
        <f t="shared" si="51"/>
        <v>1</v>
      </c>
      <c r="N300" s="1128"/>
      <c r="O300" s="313">
        <f t="shared" si="52"/>
        <v>1</v>
      </c>
      <c r="P300" s="1128"/>
      <c r="Q300" s="313">
        <f t="shared" si="53"/>
        <v>1</v>
      </c>
      <c r="R300" s="1124">
        <f t="shared" si="54"/>
        <v>0</v>
      </c>
      <c r="S300" s="698">
        <f t="shared" si="45"/>
        <v>0</v>
      </c>
    </row>
    <row r="301" spans="1:19">
      <c r="A301" s="491"/>
      <c r="B301" s="348"/>
      <c r="C301" s="313">
        <f t="shared" si="46"/>
        <v>1</v>
      </c>
      <c r="D301" s="1128"/>
      <c r="E301" s="313">
        <f t="shared" si="47"/>
        <v>1</v>
      </c>
      <c r="F301" s="1128"/>
      <c r="G301" s="313">
        <f t="shared" si="48"/>
        <v>1</v>
      </c>
      <c r="H301" s="1128"/>
      <c r="I301" s="313">
        <f t="shared" si="49"/>
        <v>1</v>
      </c>
      <c r="J301" s="1128"/>
      <c r="K301" s="313">
        <f t="shared" si="50"/>
        <v>1</v>
      </c>
      <c r="L301" s="1128"/>
      <c r="M301" s="313">
        <f t="shared" si="51"/>
        <v>1</v>
      </c>
      <c r="N301" s="1128"/>
      <c r="O301" s="313">
        <f t="shared" si="52"/>
        <v>1</v>
      </c>
      <c r="P301" s="1128"/>
      <c r="Q301" s="313">
        <f t="shared" si="53"/>
        <v>1</v>
      </c>
      <c r="R301" s="1124">
        <f t="shared" si="54"/>
        <v>0</v>
      </c>
      <c r="S301" s="698">
        <f t="shared" si="45"/>
        <v>0</v>
      </c>
    </row>
    <row r="302" spans="1:19">
      <c r="A302" s="491"/>
      <c r="B302" s="348"/>
      <c r="C302" s="313">
        <f t="shared" si="46"/>
        <v>1</v>
      </c>
      <c r="D302" s="1128"/>
      <c r="E302" s="313">
        <f t="shared" si="47"/>
        <v>1</v>
      </c>
      <c r="F302" s="1128"/>
      <c r="G302" s="313">
        <f t="shared" si="48"/>
        <v>1</v>
      </c>
      <c r="H302" s="1128"/>
      <c r="I302" s="313">
        <f t="shared" si="49"/>
        <v>1</v>
      </c>
      <c r="J302" s="1128"/>
      <c r="K302" s="313">
        <f t="shared" si="50"/>
        <v>1</v>
      </c>
      <c r="L302" s="1128"/>
      <c r="M302" s="313">
        <f t="shared" si="51"/>
        <v>1</v>
      </c>
      <c r="N302" s="1128"/>
      <c r="O302" s="313">
        <f t="shared" si="52"/>
        <v>1</v>
      </c>
      <c r="P302" s="1128"/>
      <c r="Q302" s="313">
        <f t="shared" si="53"/>
        <v>1</v>
      </c>
      <c r="R302" s="1124">
        <f t="shared" si="54"/>
        <v>0</v>
      </c>
      <c r="S302" s="698">
        <f t="shared" si="45"/>
        <v>0</v>
      </c>
    </row>
    <row r="303" spans="1:19">
      <c r="A303" s="491"/>
      <c r="B303" s="348"/>
      <c r="C303" s="313">
        <f t="shared" si="46"/>
        <v>1</v>
      </c>
      <c r="D303" s="1128"/>
      <c r="E303" s="313">
        <f t="shared" si="47"/>
        <v>1</v>
      </c>
      <c r="F303" s="1128"/>
      <c r="G303" s="313">
        <f t="shared" si="48"/>
        <v>1</v>
      </c>
      <c r="H303" s="1128"/>
      <c r="I303" s="313">
        <f t="shared" si="49"/>
        <v>1</v>
      </c>
      <c r="J303" s="1128"/>
      <c r="K303" s="313">
        <f t="shared" si="50"/>
        <v>1</v>
      </c>
      <c r="L303" s="1128"/>
      <c r="M303" s="313">
        <f t="shared" si="51"/>
        <v>1</v>
      </c>
      <c r="N303" s="1128"/>
      <c r="O303" s="313">
        <f t="shared" si="52"/>
        <v>1</v>
      </c>
      <c r="P303" s="1128"/>
      <c r="Q303" s="313">
        <f t="shared" si="53"/>
        <v>1</v>
      </c>
      <c r="R303" s="1124">
        <f t="shared" si="54"/>
        <v>0</v>
      </c>
      <c r="S303" s="698">
        <f t="shared" si="45"/>
        <v>0</v>
      </c>
    </row>
    <row r="304" spans="1:19">
      <c r="A304" s="491"/>
      <c r="B304" s="348"/>
      <c r="C304" s="313">
        <f t="shared" si="46"/>
        <v>1</v>
      </c>
      <c r="D304" s="1128"/>
      <c r="E304" s="313">
        <f t="shared" si="47"/>
        <v>1</v>
      </c>
      <c r="F304" s="1128"/>
      <c r="G304" s="313">
        <f t="shared" si="48"/>
        <v>1</v>
      </c>
      <c r="H304" s="1128"/>
      <c r="I304" s="313">
        <f t="shared" si="49"/>
        <v>1</v>
      </c>
      <c r="J304" s="1128"/>
      <c r="K304" s="313">
        <f t="shared" si="50"/>
        <v>1</v>
      </c>
      <c r="L304" s="1128"/>
      <c r="M304" s="313">
        <f t="shared" si="51"/>
        <v>1</v>
      </c>
      <c r="N304" s="1128"/>
      <c r="O304" s="313">
        <f t="shared" si="52"/>
        <v>1</v>
      </c>
      <c r="P304" s="1128"/>
      <c r="Q304" s="313">
        <f t="shared" si="53"/>
        <v>1</v>
      </c>
      <c r="R304" s="1124">
        <f t="shared" si="54"/>
        <v>0</v>
      </c>
      <c r="S304" s="698">
        <f t="shared" si="45"/>
        <v>0</v>
      </c>
    </row>
    <row r="305" spans="1:19">
      <c r="A305" s="491"/>
      <c r="B305" s="348"/>
      <c r="C305" s="313">
        <f t="shared" si="46"/>
        <v>1</v>
      </c>
      <c r="D305" s="1128"/>
      <c r="E305" s="313">
        <f t="shared" si="47"/>
        <v>1</v>
      </c>
      <c r="F305" s="1128"/>
      <c r="G305" s="313">
        <f t="shared" si="48"/>
        <v>1</v>
      </c>
      <c r="H305" s="1128"/>
      <c r="I305" s="313">
        <f t="shared" si="49"/>
        <v>1</v>
      </c>
      <c r="J305" s="1128"/>
      <c r="K305" s="313">
        <f t="shared" si="50"/>
        <v>1</v>
      </c>
      <c r="L305" s="1128"/>
      <c r="M305" s="313">
        <f t="shared" si="51"/>
        <v>1</v>
      </c>
      <c r="N305" s="1128"/>
      <c r="O305" s="313">
        <f t="shared" si="52"/>
        <v>1</v>
      </c>
      <c r="P305" s="1128"/>
      <c r="Q305" s="313">
        <f t="shared" si="53"/>
        <v>1</v>
      </c>
      <c r="R305" s="1124">
        <f t="shared" si="54"/>
        <v>0</v>
      </c>
      <c r="S305" s="698">
        <f t="shared" si="45"/>
        <v>0</v>
      </c>
    </row>
    <row r="306" spans="1:19">
      <c r="A306" s="491"/>
      <c r="B306" s="348"/>
      <c r="C306" s="313">
        <f t="shared" si="46"/>
        <v>1</v>
      </c>
      <c r="D306" s="1128"/>
      <c r="E306" s="313">
        <f t="shared" si="47"/>
        <v>1</v>
      </c>
      <c r="F306" s="1128"/>
      <c r="G306" s="313">
        <f t="shared" si="48"/>
        <v>1</v>
      </c>
      <c r="H306" s="1128"/>
      <c r="I306" s="313">
        <f t="shared" si="49"/>
        <v>1</v>
      </c>
      <c r="J306" s="1128"/>
      <c r="K306" s="313">
        <f t="shared" si="50"/>
        <v>1</v>
      </c>
      <c r="L306" s="1128"/>
      <c r="M306" s="313">
        <f t="shared" si="51"/>
        <v>1</v>
      </c>
      <c r="N306" s="1128"/>
      <c r="O306" s="313">
        <f t="shared" si="52"/>
        <v>1</v>
      </c>
      <c r="P306" s="1128"/>
      <c r="Q306" s="313">
        <f t="shared" si="53"/>
        <v>1</v>
      </c>
      <c r="R306" s="1124">
        <f t="shared" si="54"/>
        <v>0</v>
      </c>
      <c r="S306" s="698">
        <f t="shared" si="45"/>
        <v>0</v>
      </c>
    </row>
    <row r="307" spans="1:19">
      <c r="A307" s="491"/>
      <c r="B307" s="348"/>
      <c r="C307" s="313">
        <f t="shared" si="46"/>
        <v>1</v>
      </c>
      <c r="D307" s="1128"/>
      <c r="E307" s="313">
        <f t="shared" si="47"/>
        <v>1</v>
      </c>
      <c r="F307" s="1128"/>
      <c r="G307" s="313">
        <f t="shared" si="48"/>
        <v>1</v>
      </c>
      <c r="H307" s="1128"/>
      <c r="I307" s="313">
        <f t="shared" si="49"/>
        <v>1</v>
      </c>
      <c r="J307" s="1128"/>
      <c r="K307" s="313">
        <f t="shared" si="50"/>
        <v>1</v>
      </c>
      <c r="L307" s="1128"/>
      <c r="M307" s="313">
        <f t="shared" si="51"/>
        <v>1</v>
      </c>
      <c r="N307" s="1128"/>
      <c r="O307" s="313">
        <f t="shared" si="52"/>
        <v>1</v>
      </c>
      <c r="P307" s="1128"/>
      <c r="Q307" s="313">
        <f t="shared" si="53"/>
        <v>1</v>
      </c>
      <c r="R307" s="1124">
        <f t="shared" si="54"/>
        <v>0</v>
      </c>
      <c r="S307" s="698">
        <f t="shared" si="45"/>
        <v>0</v>
      </c>
    </row>
    <row r="308" spans="1:19">
      <c r="A308" s="491"/>
      <c r="B308" s="348"/>
      <c r="C308" s="313">
        <f t="shared" si="46"/>
        <v>1</v>
      </c>
      <c r="D308" s="1128"/>
      <c r="E308" s="313">
        <f t="shared" si="47"/>
        <v>1</v>
      </c>
      <c r="F308" s="1128"/>
      <c r="G308" s="313">
        <f t="shared" si="48"/>
        <v>1</v>
      </c>
      <c r="H308" s="1128"/>
      <c r="I308" s="313">
        <f t="shared" si="49"/>
        <v>1</v>
      </c>
      <c r="J308" s="1128"/>
      <c r="K308" s="313">
        <f t="shared" si="50"/>
        <v>1</v>
      </c>
      <c r="L308" s="1128"/>
      <c r="M308" s="313">
        <f t="shared" si="51"/>
        <v>1</v>
      </c>
      <c r="N308" s="1128"/>
      <c r="O308" s="313">
        <f t="shared" si="52"/>
        <v>1</v>
      </c>
      <c r="P308" s="1128"/>
      <c r="Q308" s="313">
        <f t="shared" si="53"/>
        <v>1</v>
      </c>
      <c r="R308" s="1124">
        <f t="shared" si="54"/>
        <v>0</v>
      </c>
      <c r="S308" s="698">
        <f t="shared" si="45"/>
        <v>0</v>
      </c>
    </row>
    <row r="309" spans="1:19">
      <c r="A309" s="491"/>
      <c r="B309" s="348"/>
      <c r="C309" s="313">
        <f t="shared" si="46"/>
        <v>1</v>
      </c>
      <c r="D309" s="1128"/>
      <c r="E309" s="313">
        <f t="shared" si="47"/>
        <v>1</v>
      </c>
      <c r="F309" s="1128"/>
      <c r="G309" s="313">
        <f t="shared" si="48"/>
        <v>1</v>
      </c>
      <c r="H309" s="1128"/>
      <c r="I309" s="313">
        <f t="shared" si="49"/>
        <v>1</v>
      </c>
      <c r="J309" s="1128"/>
      <c r="K309" s="313">
        <f t="shared" si="50"/>
        <v>1</v>
      </c>
      <c r="L309" s="1128"/>
      <c r="M309" s="313">
        <f t="shared" si="51"/>
        <v>1</v>
      </c>
      <c r="N309" s="1128"/>
      <c r="O309" s="313">
        <f t="shared" si="52"/>
        <v>1</v>
      </c>
      <c r="P309" s="1128"/>
      <c r="Q309" s="313">
        <f t="shared" si="53"/>
        <v>1</v>
      </c>
      <c r="R309" s="1124">
        <f t="shared" si="54"/>
        <v>0</v>
      </c>
      <c r="S309" s="698">
        <f t="shared" si="45"/>
        <v>0</v>
      </c>
    </row>
    <row r="310" spans="1:19">
      <c r="A310" s="491"/>
      <c r="B310" s="348"/>
      <c r="C310" s="313">
        <f t="shared" si="46"/>
        <v>1</v>
      </c>
      <c r="D310" s="1128"/>
      <c r="E310" s="313">
        <f t="shared" si="47"/>
        <v>1</v>
      </c>
      <c r="F310" s="1128"/>
      <c r="G310" s="313">
        <f t="shared" si="48"/>
        <v>1</v>
      </c>
      <c r="H310" s="1128"/>
      <c r="I310" s="313">
        <f t="shared" si="49"/>
        <v>1</v>
      </c>
      <c r="J310" s="1128"/>
      <c r="K310" s="313">
        <f t="shared" si="50"/>
        <v>1</v>
      </c>
      <c r="L310" s="1128"/>
      <c r="M310" s="313">
        <f t="shared" si="51"/>
        <v>1</v>
      </c>
      <c r="N310" s="1128"/>
      <c r="O310" s="313">
        <f t="shared" si="52"/>
        <v>1</v>
      </c>
      <c r="P310" s="1128"/>
      <c r="Q310" s="313">
        <f t="shared" si="53"/>
        <v>1</v>
      </c>
      <c r="R310" s="1124">
        <f t="shared" si="54"/>
        <v>0</v>
      </c>
      <c r="S310" s="698">
        <f t="shared" si="45"/>
        <v>0</v>
      </c>
    </row>
    <row r="311" spans="1:19">
      <c r="A311" s="491"/>
      <c r="B311" s="348"/>
      <c r="C311" s="313">
        <f t="shared" si="46"/>
        <v>1</v>
      </c>
      <c r="D311" s="1128"/>
      <c r="E311" s="313">
        <f t="shared" si="47"/>
        <v>1</v>
      </c>
      <c r="F311" s="1128"/>
      <c r="G311" s="313">
        <f t="shared" si="48"/>
        <v>1</v>
      </c>
      <c r="H311" s="1128"/>
      <c r="I311" s="313">
        <f t="shared" si="49"/>
        <v>1</v>
      </c>
      <c r="J311" s="1128"/>
      <c r="K311" s="313">
        <f t="shared" si="50"/>
        <v>1</v>
      </c>
      <c r="L311" s="1128"/>
      <c r="M311" s="313">
        <f t="shared" si="51"/>
        <v>1</v>
      </c>
      <c r="N311" s="1128"/>
      <c r="O311" s="313">
        <f t="shared" si="52"/>
        <v>1</v>
      </c>
      <c r="P311" s="1128"/>
      <c r="Q311" s="313">
        <f t="shared" si="53"/>
        <v>1</v>
      </c>
      <c r="R311" s="1124">
        <f t="shared" si="54"/>
        <v>0</v>
      </c>
      <c r="S311" s="698">
        <f t="shared" si="45"/>
        <v>0</v>
      </c>
    </row>
    <row r="312" spans="1:19">
      <c r="A312" s="491"/>
      <c r="B312" s="348"/>
      <c r="C312" s="313">
        <f t="shared" si="46"/>
        <v>1</v>
      </c>
      <c r="D312" s="1128"/>
      <c r="E312" s="313">
        <f t="shared" si="47"/>
        <v>1</v>
      </c>
      <c r="F312" s="1128"/>
      <c r="G312" s="313">
        <f t="shared" si="48"/>
        <v>1</v>
      </c>
      <c r="H312" s="1128"/>
      <c r="I312" s="313">
        <f t="shared" si="49"/>
        <v>1</v>
      </c>
      <c r="J312" s="1128"/>
      <c r="K312" s="313">
        <f t="shared" si="50"/>
        <v>1</v>
      </c>
      <c r="L312" s="1128"/>
      <c r="M312" s="313">
        <f t="shared" si="51"/>
        <v>1</v>
      </c>
      <c r="N312" s="1128"/>
      <c r="O312" s="313">
        <f t="shared" si="52"/>
        <v>1</v>
      </c>
      <c r="P312" s="1128"/>
      <c r="Q312" s="313">
        <f t="shared" si="53"/>
        <v>1</v>
      </c>
      <c r="R312" s="1124">
        <f t="shared" si="54"/>
        <v>0</v>
      </c>
      <c r="S312" s="698">
        <f t="shared" si="45"/>
        <v>0</v>
      </c>
    </row>
    <row r="313" spans="1:19">
      <c r="A313" s="491"/>
      <c r="B313" s="348"/>
      <c r="C313" s="313">
        <f t="shared" si="46"/>
        <v>1</v>
      </c>
      <c r="D313" s="1128"/>
      <c r="E313" s="313">
        <f t="shared" si="47"/>
        <v>1</v>
      </c>
      <c r="F313" s="1128"/>
      <c r="G313" s="313">
        <f t="shared" si="48"/>
        <v>1</v>
      </c>
      <c r="H313" s="1128"/>
      <c r="I313" s="313">
        <f t="shared" si="49"/>
        <v>1</v>
      </c>
      <c r="J313" s="1128"/>
      <c r="K313" s="313">
        <f t="shared" si="50"/>
        <v>1</v>
      </c>
      <c r="L313" s="1128"/>
      <c r="M313" s="313">
        <f t="shared" si="51"/>
        <v>1</v>
      </c>
      <c r="N313" s="1128"/>
      <c r="O313" s="313">
        <f t="shared" si="52"/>
        <v>1</v>
      </c>
      <c r="P313" s="1128"/>
      <c r="Q313" s="313">
        <f t="shared" si="53"/>
        <v>1</v>
      </c>
      <c r="R313" s="1124">
        <f t="shared" si="54"/>
        <v>0</v>
      </c>
      <c r="S313" s="698">
        <f t="shared" si="45"/>
        <v>0</v>
      </c>
    </row>
    <row r="314" spans="1:19">
      <c r="A314" s="491"/>
      <c r="B314" s="348"/>
      <c r="C314" s="313">
        <f t="shared" si="46"/>
        <v>1</v>
      </c>
      <c r="D314" s="1128"/>
      <c r="E314" s="313">
        <f t="shared" si="47"/>
        <v>1</v>
      </c>
      <c r="F314" s="1128"/>
      <c r="G314" s="313">
        <f t="shared" si="48"/>
        <v>1</v>
      </c>
      <c r="H314" s="1128"/>
      <c r="I314" s="313">
        <f t="shared" si="49"/>
        <v>1</v>
      </c>
      <c r="J314" s="1128"/>
      <c r="K314" s="313">
        <f t="shared" si="50"/>
        <v>1</v>
      </c>
      <c r="L314" s="1128"/>
      <c r="M314" s="313">
        <f t="shared" si="51"/>
        <v>1</v>
      </c>
      <c r="N314" s="1128"/>
      <c r="O314" s="313">
        <f t="shared" si="52"/>
        <v>1</v>
      </c>
      <c r="P314" s="1128"/>
      <c r="Q314" s="313">
        <f t="shared" si="53"/>
        <v>1</v>
      </c>
      <c r="R314" s="1124">
        <f t="shared" si="54"/>
        <v>0</v>
      </c>
      <c r="S314" s="698">
        <f t="shared" si="45"/>
        <v>0</v>
      </c>
    </row>
    <row r="315" spans="1:19">
      <c r="A315" s="491"/>
      <c r="B315" s="348"/>
      <c r="C315" s="313">
        <f t="shared" si="46"/>
        <v>1</v>
      </c>
      <c r="D315" s="1128"/>
      <c r="E315" s="313">
        <f t="shared" si="47"/>
        <v>1</v>
      </c>
      <c r="F315" s="1128"/>
      <c r="G315" s="313">
        <f t="shared" si="48"/>
        <v>1</v>
      </c>
      <c r="H315" s="1128"/>
      <c r="I315" s="313">
        <f t="shared" si="49"/>
        <v>1</v>
      </c>
      <c r="J315" s="1128"/>
      <c r="K315" s="313">
        <f t="shared" si="50"/>
        <v>1</v>
      </c>
      <c r="L315" s="1128"/>
      <c r="M315" s="313">
        <f t="shared" si="51"/>
        <v>1</v>
      </c>
      <c r="N315" s="1128"/>
      <c r="O315" s="313">
        <f t="shared" si="52"/>
        <v>1</v>
      </c>
      <c r="P315" s="1128"/>
      <c r="Q315" s="313">
        <f t="shared" si="53"/>
        <v>1</v>
      </c>
      <c r="R315" s="1124">
        <f t="shared" si="54"/>
        <v>0</v>
      </c>
      <c r="S315" s="698">
        <f t="shared" si="45"/>
        <v>0</v>
      </c>
    </row>
    <row r="316" spans="1:19">
      <c r="A316" s="491"/>
      <c r="B316" s="348"/>
      <c r="C316" s="313">
        <f t="shared" si="46"/>
        <v>1</v>
      </c>
      <c r="D316" s="1128"/>
      <c r="E316" s="313">
        <f t="shared" si="47"/>
        <v>1</v>
      </c>
      <c r="F316" s="1128"/>
      <c r="G316" s="313">
        <f t="shared" si="48"/>
        <v>1</v>
      </c>
      <c r="H316" s="1128"/>
      <c r="I316" s="313">
        <f t="shared" si="49"/>
        <v>1</v>
      </c>
      <c r="J316" s="1128"/>
      <c r="K316" s="313">
        <f t="shared" si="50"/>
        <v>1</v>
      </c>
      <c r="L316" s="1128"/>
      <c r="M316" s="313">
        <f t="shared" si="51"/>
        <v>1</v>
      </c>
      <c r="N316" s="1128"/>
      <c r="O316" s="313">
        <f t="shared" si="52"/>
        <v>1</v>
      </c>
      <c r="P316" s="1128"/>
      <c r="Q316" s="313">
        <f t="shared" si="53"/>
        <v>1</v>
      </c>
      <c r="R316" s="1124">
        <f t="shared" si="54"/>
        <v>0</v>
      </c>
      <c r="S316" s="698">
        <f t="shared" si="45"/>
        <v>0</v>
      </c>
    </row>
    <row r="317" spans="1:19">
      <c r="A317" s="491"/>
      <c r="B317" s="348"/>
      <c r="C317" s="313">
        <f t="shared" si="46"/>
        <v>1</v>
      </c>
      <c r="D317" s="1128"/>
      <c r="E317" s="313">
        <f t="shared" si="47"/>
        <v>1</v>
      </c>
      <c r="F317" s="1128"/>
      <c r="G317" s="313">
        <f t="shared" si="48"/>
        <v>1</v>
      </c>
      <c r="H317" s="1128"/>
      <c r="I317" s="313">
        <f t="shared" si="49"/>
        <v>1</v>
      </c>
      <c r="J317" s="1128"/>
      <c r="K317" s="313">
        <f t="shared" si="50"/>
        <v>1</v>
      </c>
      <c r="L317" s="1128"/>
      <c r="M317" s="313">
        <f t="shared" si="51"/>
        <v>1</v>
      </c>
      <c r="N317" s="1128"/>
      <c r="O317" s="313">
        <f t="shared" si="52"/>
        <v>1</v>
      </c>
      <c r="P317" s="1128"/>
      <c r="Q317" s="313">
        <f t="shared" si="53"/>
        <v>1</v>
      </c>
      <c r="R317" s="1124">
        <f t="shared" si="54"/>
        <v>0</v>
      </c>
      <c r="S317" s="698">
        <f t="shared" si="45"/>
        <v>0</v>
      </c>
    </row>
    <row r="318" spans="1:19">
      <c r="A318" s="491"/>
      <c r="B318" s="348"/>
      <c r="C318" s="313">
        <f t="shared" si="46"/>
        <v>1</v>
      </c>
      <c r="D318" s="1128"/>
      <c r="E318" s="313">
        <f t="shared" si="47"/>
        <v>1</v>
      </c>
      <c r="F318" s="1128"/>
      <c r="G318" s="313">
        <f t="shared" si="48"/>
        <v>1</v>
      </c>
      <c r="H318" s="1128"/>
      <c r="I318" s="313">
        <f t="shared" si="49"/>
        <v>1</v>
      </c>
      <c r="J318" s="1128"/>
      <c r="K318" s="313">
        <f t="shared" si="50"/>
        <v>1</v>
      </c>
      <c r="L318" s="1128"/>
      <c r="M318" s="313">
        <f t="shared" si="51"/>
        <v>1</v>
      </c>
      <c r="N318" s="1128"/>
      <c r="O318" s="313">
        <f t="shared" si="52"/>
        <v>1</v>
      </c>
      <c r="P318" s="1128"/>
      <c r="Q318" s="313">
        <f t="shared" si="53"/>
        <v>1</v>
      </c>
      <c r="R318" s="1124">
        <f t="shared" si="54"/>
        <v>0</v>
      </c>
      <c r="S318" s="698">
        <f t="shared" si="45"/>
        <v>0</v>
      </c>
    </row>
    <row r="319" spans="1:19">
      <c r="A319" s="491"/>
      <c r="B319" s="348"/>
      <c r="C319" s="313">
        <f t="shared" si="46"/>
        <v>1</v>
      </c>
      <c r="D319" s="1128"/>
      <c r="E319" s="313">
        <f t="shared" si="47"/>
        <v>1</v>
      </c>
      <c r="F319" s="1128"/>
      <c r="G319" s="313">
        <f t="shared" si="48"/>
        <v>1</v>
      </c>
      <c r="H319" s="1128"/>
      <c r="I319" s="313">
        <f t="shared" si="49"/>
        <v>1</v>
      </c>
      <c r="J319" s="1128"/>
      <c r="K319" s="313">
        <f t="shared" si="50"/>
        <v>1</v>
      </c>
      <c r="L319" s="1128"/>
      <c r="M319" s="313">
        <f t="shared" si="51"/>
        <v>1</v>
      </c>
      <c r="N319" s="1128"/>
      <c r="O319" s="313">
        <f t="shared" si="52"/>
        <v>1</v>
      </c>
      <c r="P319" s="1128"/>
      <c r="Q319" s="313">
        <f t="shared" si="53"/>
        <v>1</v>
      </c>
      <c r="R319" s="1124">
        <f t="shared" si="54"/>
        <v>0</v>
      </c>
      <c r="S319" s="698">
        <f t="shared" si="45"/>
        <v>0</v>
      </c>
    </row>
    <row r="320" spans="1:19">
      <c r="A320" s="491"/>
      <c r="B320" s="348"/>
      <c r="C320" s="313">
        <f t="shared" si="46"/>
        <v>1</v>
      </c>
      <c r="D320" s="1128"/>
      <c r="E320" s="313">
        <f t="shared" si="47"/>
        <v>1</v>
      </c>
      <c r="F320" s="1128"/>
      <c r="G320" s="313">
        <f t="shared" si="48"/>
        <v>1</v>
      </c>
      <c r="H320" s="1128"/>
      <c r="I320" s="313">
        <f t="shared" si="49"/>
        <v>1</v>
      </c>
      <c r="J320" s="1128"/>
      <c r="K320" s="313">
        <f t="shared" si="50"/>
        <v>1</v>
      </c>
      <c r="L320" s="1128"/>
      <c r="M320" s="313">
        <f t="shared" si="51"/>
        <v>1</v>
      </c>
      <c r="N320" s="1128"/>
      <c r="O320" s="313">
        <f t="shared" si="52"/>
        <v>1</v>
      </c>
      <c r="P320" s="1128"/>
      <c r="Q320" s="313">
        <f t="shared" si="53"/>
        <v>1</v>
      </c>
      <c r="R320" s="1124">
        <f t="shared" si="54"/>
        <v>0</v>
      </c>
      <c r="S320" s="698">
        <f t="shared" si="45"/>
        <v>0</v>
      </c>
    </row>
    <row r="321" spans="1:19">
      <c r="A321" s="491"/>
      <c r="B321" s="348"/>
      <c r="C321" s="313">
        <f t="shared" si="46"/>
        <v>1</v>
      </c>
      <c r="D321" s="1128"/>
      <c r="E321" s="313">
        <f t="shared" si="47"/>
        <v>1</v>
      </c>
      <c r="F321" s="1128"/>
      <c r="G321" s="313">
        <f t="shared" si="48"/>
        <v>1</v>
      </c>
      <c r="H321" s="1128"/>
      <c r="I321" s="313">
        <f t="shared" si="49"/>
        <v>1</v>
      </c>
      <c r="J321" s="1128"/>
      <c r="K321" s="313">
        <f t="shared" si="50"/>
        <v>1</v>
      </c>
      <c r="L321" s="1128"/>
      <c r="M321" s="313">
        <f t="shared" si="51"/>
        <v>1</v>
      </c>
      <c r="N321" s="1128"/>
      <c r="O321" s="313">
        <f t="shared" si="52"/>
        <v>1</v>
      </c>
      <c r="P321" s="1128"/>
      <c r="Q321" s="313">
        <f t="shared" si="53"/>
        <v>1</v>
      </c>
      <c r="R321" s="1124">
        <f t="shared" si="54"/>
        <v>0</v>
      </c>
      <c r="S321" s="698">
        <f t="shared" si="45"/>
        <v>0</v>
      </c>
    </row>
    <row r="322" spans="1:19">
      <c r="A322" s="491"/>
      <c r="B322" s="348"/>
      <c r="C322" s="313">
        <f t="shared" si="46"/>
        <v>1</v>
      </c>
      <c r="D322" s="1128"/>
      <c r="E322" s="313">
        <f t="shared" si="47"/>
        <v>1</v>
      </c>
      <c r="F322" s="1128"/>
      <c r="G322" s="313">
        <f t="shared" si="48"/>
        <v>1</v>
      </c>
      <c r="H322" s="1128"/>
      <c r="I322" s="313">
        <f t="shared" si="49"/>
        <v>1</v>
      </c>
      <c r="J322" s="1128"/>
      <c r="K322" s="313">
        <f t="shared" si="50"/>
        <v>1</v>
      </c>
      <c r="L322" s="1128"/>
      <c r="M322" s="313">
        <f t="shared" si="51"/>
        <v>1</v>
      </c>
      <c r="N322" s="1128"/>
      <c r="O322" s="313">
        <f t="shared" si="52"/>
        <v>1</v>
      </c>
      <c r="P322" s="1128"/>
      <c r="Q322" s="313">
        <f t="shared" si="53"/>
        <v>1</v>
      </c>
      <c r="R322" s="1124">
        <f t="shared" si="54"/>
        <v>0</v>
      </c>
      <c r="S322" s="698">
        <f t="shared" si="45"/>
        <v>0</v>
      </c>
    </row>
    <row r="323" spans="1:19">
      <c r="A323" s="491"/>
      <c r="B323" s="348"/>
      <c r="C323" s="313">
        <f t="shared" si="46"/>
        <v>1</v>
      </c>
      <c r="D323" s="1128"/>
      <c r="E323" s="313">
        <f t="shared" si="47"/>
        <v>1</v>
      </c>
      <c r="F323" s="1128"/>
      <c r="G323" s="313">
        <f t="shared" si="48"/>
        <v>1</v>
      </c>
      <c r="H323" s="1128"/>
      <c r="I323" s="313">
        <f t="shared" si="49"/>
        <v>1</v>
      </c>
      <c r="J323" s="1128"/>
      <c r="K323" s="313">
        <f t="shared" si="50"/>
        <v>1</v>
      </c>
      <c r="L323" s="1128"/>
      <c r="M323" s="313">
        <f t="shared" si="51"/>
        <v>1</v>
      </c>
      <c r="N323" s="1128"/>
      <c r="O323" s="313">
        <f t="shared" si="52"/>
        <v>1</v>
      </c>
      <c r="P323" s="1128"/>
      <c r="Q323" s="313">
        <f t="shared" si="53"/>
        <v>1</v>
      </c>
      <c r="R323" s="1124">
        <f t="shared" si="54"/>
        <v>0</v>
      </c>
      <c r="S323" s="698">
        <f t="shared" si="45"/>
        <v>0</v>
      </c>
    </row>
    <row r="324" spans="1:19">
      <c r="A324" s="491"/>
      <c r="B324" s="348"/>
      <c r="C324" s="313">
        <f t="shared" si="46"/>
        <v>1</v>
      </c>
      <c r="D324" s="1128"/>
      <c r="E324" s="313">
        <f t="shared" si="47"/>
        <v>1</v>
      </c>
      <c r="F324" s="1128"/>
      <c r="G324" s="313">
        <f t="shared" si="48"/>
        <v>1</v>
      </c>
      <c r="H324" s="1128"/>
      <c r="I324" s="313">
        <f t="shared" si="49"/>
        <v>1</v>
      </c>
      <c r="J324" s="1128"/>
      <c r="K324" s="313">
        <f t="shared" si="50"/>
        <v>1</v>
      </c>
      <c r="L324" s="1128"/>
      <c r="M324" s="313">
        <f t="shared" si="51"/>
        <v>1</v>
      </c>
      <c r="N324" s="1128"/>
      <c r="O324" s="313">
        <f t="shared" si="52"/>
        <v>1</v>
      </c>
      <c r="P324" s="1128"/>
      <c r="Q324" s="313">
        <f t="shared" si="53"/>
        <v>1</v>
      </c>
      <c r="R324" s="1124">
        <f t="shared" si="54"/>
        <v>0</v>
      </c>
      <c r="S324" s="698">
        <f t="shared" si="45"/>
        <v>0</v>
      </c>
    </row>
    <row r="325" spans="1:19">
      <c r="A325" s="491"/>
      <c r="B325" s="348"/>
      <c r="C325" s="313">
        <f t="shared" si="46"/>
        <v>1</v>
      </c>
      <c r="D325" s="1128"/>
      <c r="E325" s="313">
        <f t="shared" si="47"/>
        <v>1</v>
      </c>
      <c r="F325" s="1128"/>
      <c r="G325" s="313">
        <f t="shared" si="48"/>
        <v>1</v>
      </c>
      <c r="H325" s="1128"/>
      <c r="I325" s="313">
        <f t="shared" si="49"/>
        <v>1</v>
      </c>
      <c r="J325" s="1128"/>
      <c r="K325" s="313">
        <f t="shared" si="50"/>
        <v>1</v>
      </c>
      <c r="L325" s="1128"/>
      <c r="M325" s="313">
        <f t="shared" si="51"/>
        <v>1</v>
      </c>
      <c r="N325" s="1128"/>
      <c r="O325" s="313">
        <f t="shared" si="52"/>
        <v>1</v>
      </c>
      <c r="P325" s="1128"/>
      <c r="Q325" s="313">
        <f t="shared" si="53"/>
        <v>1</v>
      </c>
      <c r="R325" s="1124">
        <f t="shared" si="54"/>
        <v>0</v>
      </c>
      <c r="S325" s="698">
        <f t="shared" si="45"/>
        <v>0</v>
      </c>
    </row>
    <row r="326" spans="1:19">
      <c r="A326" s="491"/>
      <c r="B326" s="348"/>
      <c r="C326" s="313">
        <f t="shared" si="46"/>
        <v>1</v>
      </c>
      <c r="D326" s="1128"/>
      <c r="E326" s="313">
        <f t="shared" si="47"/>
        <v>1</v>
      </c>
      <c r="F326" s="1128"/>
      <c r="G326" s="313">
        <f t="shared" si="48"/>
        <v>1</v>
      </c>
      <c r="H326" s="1128"/>
      <c r="I326" s="313">
        <f t="shared" si="49"/>
        <v>1</v>
      </c>
      <c r="J326" s="1128"/>
      <c r="K326" s="313">
        <f t="shared" si="50"/>
        <v>1</v>
      </c>
      <c r="L326" s="1128"/>
      <c r="M326" s="313">
        <f t="shared" si="51"/>
        <v>1</v>
      </c>
      <c r="N326" s="1128"/>
      <c r="O326" s="313">
        <f t="shared" si="52"/>
        <v>1</v>
      </c>
      <c r="P326" s="1128"/>
      <c r="Q326" s="313">
        <f t="shared" si="53"/>
        <v>1</v>
      </c>
      <c r="R326" s="1124">
        <f t="shared" si="54"/>
        <v>0</v>
      </c>
      <c r="S326" s="698">
        <f t="shared" si="45"/>
        <v>0</v>
      </c>
    </row>
    <row r="327" spans="1:19">
      <c r="A327" s="491"/>
      <c r="B327" s="348"/>
      <c r="C327" s="313">
        <f t="shared" si="46"/>
        <v>1</v>
      </c>
      <c r="D327" s="1128"/>
      <c r="E327" s="313">
        <f t="shared" si="47"/>
        <v>1</v>
      </c>
      <c r="F327" s="1128"/>
      <c r="G327" s="313">
        <f t="shared" si="48"/>
        <v>1</v>
      </c>
      <c r="H327" s="1128"/>
      <c r="I327" s="313">
        <f t="shared" si="49"/>
        <v>1</v>
      </c>
      <c r="J327" s="1128"/>
      <c r="K327" s="313">
        <f t="shared" si="50"/>
        <v>1</v>
      </c>
      <c r="L327" s="1128"/>
      <c r="M327" s="313">
        <f t="shared" si="51"/>
        <v>1</v>
      </c>
      <c r="N327" s="1128"/>
      <c r="O327" s="313">
        <f t="shared" si="52"/>
        <v>1</v>
      </c>
      <c r="P327" s="1128"/>
      <c r="Q327" s="313">
        <f t="shared" si="53"/>
        <v>1</v>
      </c>
      <c r="R327" s="1124">
        <f t="shared" si="54"/>
        <v>0</v>
      </c>
      <c r="S327" s="698">
        <f t="shared" si="45"/>
        <v>0</v>
      </c>
    </row>
    <row r="328" spans="1:19">
      <c r="A328" s="491"/>
      <c r="B328" s="348"/>
      <c r="C328" s="313">
        <f t="shared" si="46"/>
        <v>1</v>
      </c>
      <c r="D328" s="1128"/>
      <c r="E328" s="313">
        <f t="shared" si="47"/>
        <v>1</v>
      </c>
      <c r="F328" s="1128"/>
      <c r="G328" s="313">
        <f t="shared" si="48"/>
        <v>1</v>
      </c>
      <c r="H328" s="1128"/>
      <c r="I328" s="313">
        <f t="shared" si="49"/>
        <v>1</v>
      </c>
      <c r="J328" s="1128"/>
      <c r="K328" s="313">
        <f t="shared" si="50"/>
        <v>1</v>
      </c>
      <c r="L328" s="1128"/>
      <c r="M328" s="313">
        <f t="shared" si="51"/>
        <v>1</v>
      </c>
      <c r="N328" s="1128"/>
      <c r="O328" s="313">
        <f t="shared" si="52"/>
        <v>1</v>
      </c>
      <c r="P328" s="1128"/>
      <c r="Q328" s="313">
        <f t="shared" si="53"/>
        <v>1</v>
      </c>
      <c r="R328" s="1124">
        <f t="shared" si="54"/>
        <v>0</v>
      </c>
      <c r="S328" s="698">
        <f t="shared" si="45"/>
        <v>0</v>
      </c>
    </row>
    <row r="329" spans="1:19">
      <c r="A329" s="491"/>
      <c r="B329" s="348"/>
      <c r="C329" s="313">
        <f t="shared" si="46"/>
        <v>1</v>
      </c>
      <c r="D329" s="1128"/>
      <c r="E329" s="313">
        <f t="shared" si="47"/>
        <v>1</v>
      </c>
      <c r="F329" s="1128"/>
      <c r="G329" s="313">
        <f t="shared" si="48"/>
        <v>1</v>
      </c>
      <c r="H329" s="1128"/>
      <c r="I329" s="313">
        <f t="shared" si="49"/>
        <v>1</v>
      </c>
      <c r="J329" s="1128"/>
      <c r="K329" s="313">
        <f t="shared" si="50"/>
        <v>1</v>
      </c>
      <c r="L329" s="1128"/>
      <c r="M329" s="313">
        <f t="shared" si="51"/>
        <v>1</v>
      </c>
      <c r="N329" s="1128"/>
      <c r="O329" s="313">
        <f t="shared" si="52"/>
        <v>1</v>
      </c>
      <c r="P329" s="1128"/>
      <c r="Q329" s="313">
        <f t="shared" si="53"/>
        <v>1</v>
      </c>
      <c r="R329" s="1124">
        <f t="shared" si="54"/>
        <v>0</v>
      </c>
      <c r="S329" s="698">
        <f t="shared" si="45"/>
        <v>0</v>
      </c>
    </row>
    <row r="330" spans="1:19">
      <c r="A330" s="491"/>
      <c r="B330" s="348"/>
      <c r="C330" s="313">
        <f t="shared" si="46"/>
        <v>1</v>
      </c>
      <c r="D330" s="1128"/>
      <c r="E330" s="313">
        <f t="shared" si="47"/>
        <v>1</v>
      </c>
      <c r="F330" s="1128"/>
      <c r="G330" s="313">
        <f t="shared" si="48"/>
        <v>1</v>
      </c>
      <c r="H330" s="1128"/>
      <c r="I330" s="313">
        <f t="shared" si="49"/>
        <v>1</v>
      </c>
      <c r="J330" s="1128"/>
      <c r="K330" s="313">
        <f t="shared" si="50"/>
        <v>1</v>
      </c>
      <c r="L330" s="1128"/>
      <c r="M330" s="313">
        <f t="shared" si="51"/>
        <v>1</v>
      </c>
      <c r="N330" s="1128"/>
      <c r="O330" s="313">
        <f t="shared" si="52"/>
        <v>1</v>
      </c>
      <c r="P330" s="1128"/>
      <c r="Q330" s="313">
        <f t="shared" si="53"/>
        <v>1</v>
      </c>
      <c r="R330" s="1124">
        <f t="shared" si="54"/>
        <v>0</v>
      </c>
      <c r="S330" s="698">
        <f t="shared" si="45"/>
        <v>0</v>
      </c>
    </row>
    <row r="331" spans="1:19">
      <c r="A331" s="491"/>
      <c r="B331" s="348"/>
      <c r="C331" s="313">
        <f t="shared" si="46"/>
        <v>1</v>
      </c>
      <c r="D331" s="1128"/>
      <c r="E331" s="313">
        <f t="shared" si="47"/>
        <v>1</v>
      </c>
      <c r="F331" s="1128"/>
      <c r="G331" s="313">
        <f t="shared" si="48"/>
        <v>1</v>
      </c>
      <c r="H331" s="1128"/>
      <c r="I331" s="313">
        <f t="shared" si="49"/>
        <v>1</v>
      </c>
      <c r="J331" s="1128"/>
      <c r="K331" s="313">
        <f t="shared" si="50"/>
        <v>1</v>
      </c>
      <c r="L331" s="1128"/>
      <c r="M331" s="313">
        <f t="shared" si="51"/>
        <v>1</v>
      </c>
      <c r="N331" s="1128"/>
      <c r="O331" s="313">
        <f t="shared" si="52"/>
        <v>1</v>
      </c>
      <c r="P331" s="1128"/>
      <c r="Q331" s="313">
        <f t="shared" si="53"/>
        <v>1</v>
      </c>
      <c r="R331" s="1124">
        <f t="shared" si="54"/>
        <v>0</v>
      </c>
      <c r="S331" s="698">
        <f t="shared" si="45"/>
        <v>0</v>
      </c>
    </row>
    <row r="332" spans="1:19">
      <c r="A332" s="491"/>
      <c r="B332" s="348"/>
      <c r="C332" s="313">
        <f t="shared" si="46"/>
        <v>1</v>
      </c>
      <c r="D332" s="1128"/>
      <c r="E332" s="313">
        <f t="shared" si="47"/>
        <v>1</v>
      </c>
      <c r="F332" s="1128"/>
      <c r="G332" s="313">
        <f t="shared" si="48"/>
        <v>1</v>
      </c>
      <c r="H332" s="1128"/>
      <c r="I332" s="313">
        <f t="shared" si="49"/>
        <v>1</v>
      </c>
      <c r="J332" s="1128"/>
      <c r="K332" s="313">
        <f t="shared" si="50"/>
        <v>1</v>
      </c>
      <c r="L332" s="1128"/>
      <c r="M332" s="313">
        <f t="shared" si="51"/>
        <v>1</v>
      </c>
      <c r="N332" s="1128"/>
      <c r="O332" s="313">
        <f t="shared" si="52"/>
        <v>1</v>
      </c>
      <c r="P332" s="1128"/>
      <c r="Q332" s="313">
        <f t="shared" si="53"/>
        <v>1</v>
      </c>
      <c r="R332" s="1124">
        <f t="shared" si="54"/>
        <v>0</v>
      </c>
      <c r="S332" s="698">
        <f t="shared" si="45"/>
        <v>0</v>
      </c>
    </row>
    <row r="333" spans="1:19">
      <c r="A333" s="491"/>
      <c r="B333" s="348"/>
      <c r="C333" s="313">
        <f t="shared" si="46"/>
        <v>1</v>
      </c>
      <c r="D333" s="1128"/>
      <c r="E333" s="313">
        <f t="shared" si="47"/>
        <v>1</v>
      </c>
      <c r="F333" s="1128"/>
      <c r="G333" s="313">
        <f t="shared" si="48"/>
        <v>1</v>
      </c>
      <c r="H333" s="1128"/>
      <c r="I333" s="313">
        <f t="shared" si="49"/>
        <v>1</v>
      </c>
      <c r="J333" s="1128"/>
      <c r="K333" s="313">
        <f t="shared" si="50"/>
        <v>1</v>
      </c>
      <c r="L333" s="1128"/>
      <c r="M333" s="313">
        <f t="shared" si="51"/>
        <v>1</v>
      </c>
      <c r="N333" s="1128"/>
      <c r="O333" s="313">
        <f t="shared" si="52"/>
        <v>1</v>
      </c>
      <c r="P333" s="1128"/>
      <c r="Q333" s="313">
        <f t="shared" si="53"/>
        <v>1</v>
      </c>
      <c r="R333" s="1124">
        <f t="shared" si="54"/>
        <v>0</v>
      </c>
      <c r="S333" s="698">
        <f t="shared" si="45"/>
        <v>0</v>
      </c>
    </row>
    <row r="334" spans="1:19">
      <c r="A334" s="491"/>
      <c r="B334" s="348"/>
      <c r="C334" s="313">
        <f t="shared" si="46"/>
        <v>1</v>
      </c>
      <c r="D334" s="1128"/>
      <c r="E334" s="313">
        <f t="shared" si="47"/>
        <v>1</v>
      </c>
      <c r="F334" s="1128"/>
      <c r="G334" s="313">
        <f t="shared" si="48"/>
        <v>1</v>
      </c>
      <c r="H334" s="1128"/>
      <c r="I334" s="313">
        <f t="shared" si="49"/>
        <v>1</v>
      </c>
      <c r="J334" s="1128"/>
      <c r="K334" s="313">
        <f t="shared" si="50"/>
        <v>1</v>
      </c>
      <c r="L334" s="1128"/>
      <c r="M334" s="313">
        <f t="shared" si="51"/>
        <v>1</v>
      </c>
      <c r="N334" s="1128"/>
      <c r="O334" s="313">
        <f t="shared" si="52"/>
        <v>1</v>
      </c>
      <c r="P334" s="1128"/>
      <c r="Q334" s="313">
        <f t="shared" si="53"/>
        <v>1</v>
      </c>
      <c r="R334" s="1124">
        <f t="shared" si="54"/>
        <v>0</v>
      </c>
      <c r="S334" s="698">
        <f t="shared" si="45"/>
        <v>0</v>
      </c>
    </row>
    <row r="335" spans="1:19">
      <c r="A335" s="491"/>
      <c r="B335" s="348"/>
      <c r="C335" s="313">
        <f t="shared" si="46"/>
        <v>1</v>
      </c>
      <c r="D335" s="1128"/>
      <c r="E335" s="313">
        <f t="shared" si="47"/>
        <v>1</v>
      </c>
      <c r="F335" s="1128"/>
      <c r="G335" s="313">
        <f t="shared" si="48"/>
        <v>1</v>
      </c>
      <c r="H335" s="1128"/>
      <c r="I335" s="313">
        <f t="shared" si="49"/>
        <v>1</v>
      </c>
      <c r="J335" s="1128"/>
      <c r="K335" s="313">
        <f t="shared" si="50"/>
        <v>1</v>
      </c>
      <c r="L335" s="1128"/>
      <c r="M335" s="313">
        <f t="shared" si="51"/>
        <v>1</v>
      </c>
      <c r="N335" s="1128"/>
      <c r="O335" s="313">
        <f t="shared" si="52"/>
        <v>1</v>
      </c>
      <c r="P335" s="1128"/>
      <c r="Q335" s="313">
        <f t="shared" si="53"/>
        <v>1</v>
      </c>
      <c r="R335" s="1124">
        <f t="shared" si="54"/>
        <v>0</v>
      </c>
      <c r="S335" s="698">
        <f t="shared" si="45"/>
        <v>0</v>
      </c>
    </row>
    <row r="336" spans="1:19">
      <c r="A336" s="491"/>
      <c r="B336" s="348"/>
      <c r="C336" s="313">
        <f t="shared" si="46"/>
        <v>1</v>
      </c>
      <c r="D336" s="1128"/>
      <c r="E336" s="313">
        <f t="shared" si="47"/>
        <v>1</v>
      </c>
      <c r="F336" s="1128"/>
      <c r="G336" s="313">
        <f t="shared" si="48"/>
        <v>1</v>
      </c>
      <c r="H336" s="1128"/>
      <c r="I336" s="313">
        <f t="shared" si="49"/>
        <v>1</v>
      </c>
      <c r="J336" s="1128"/>
      <c r="K336" s="313">
        <f t="shared" si="50"/>
        <v>1</v>
      </c>
      <c r="L336" s="1128"/>
      <c r="M336" s="313">
        <f t="shared" si="51"/>
        <v>1</v>
      </c>
      <c r="N336" s="1128"/>
      <c r="O336" s="313">
        <f t="shared" si="52"/>
        <v>1</v>
      </c>
      <c r="P336" s="1128"/>
      <c r="Q336" s="313">
        <f t="shared" si="53"/>
        <v>1</v>
      </c>
      <c r="R336" s="1124">
        <f t="shared" si="54"/>
        <v>0</v>
      </c>
      <c r="S336" s="698">
        <f t="shared" si="45"/>
        <v>0</v>
      </c>
    </row>
    <row r="337" spans="1:19">
      <c r="A337" s="491"/>
      <c r="B337" s="348"/>
      <c r="C337" s="313">
        <f t="shared" si="46"/>
        <v>1</v>
      </c>
      <c r="D337" s="1128"/>
      <c r="E337" s="313">
        <f t="shared" si="47"/>
        <v>1</v>
      </c>
      <c r="F337" s="1128"/>
      <c r="G337" s="313">
        <f t="shared" si="48"/>
        <v>1</v>
      </c>
      <c r="H337" s="1128"/>
      <c r="I337" s="313">
        <f t="shared" si="49"/>
        <v>1</v>
      </c>
      <c r="J337" s="1128"/>
      <c r="K337" s="313">
        <f t="shared" si="50"/>
        <v>1</v>
      </c>
      <c r="L337" s="1128"/>
      <c r="M337" s="313">
        <f t="shared" si="51"/>
        <v>1</v>
      </c>
      <c r="N337" s="1128"/>
      <c r="O337" s="313">
        <f t="shared" si="52"/>
        <v>1</v>
      </c>
      <c r="P337" s="1128"/>
      <c r="Q337" s="313">
        <f t="shared" si="53"/>
        <v>1</v>
      </c>
      <c r="R337" s="1124">
        <f t="shared" si="54"/>
        <v>0</v>
      </c>
      <c r="S337" s="698">
        <f t="shared" si="45"/>
        <v>0</v>
      </c>
    </row>
    <row r="338" spans="1:19">
      <c r="A338" s="491"/>
      <c r="B338" s="348"/>
      <c r="C338" s="313">
        <f t="shared" si="46"/>
        <v>1</v>
      </c>
      <c r="D338" s="1128"/>
      <c r="E338" s="313">
        <f t="shared" si="47"/>
        <v>1</v>
      </c>
      <c r="F338" s="1128"/>
      <c r="G338" s="313">
        <f t="shared" si="48"/>
        <v>1</v>
      </c>
      <c r="H338" s="1128"/>
      <c r="I338" s="313">
        <f t="shared" si="49"/>
        <v>1</v>
      </c>
      <c r="J338" s="1128"/>
      <c r="K338" s="313">
        <f t="shared" si="50"/>
        <v>1</v>
      </c>
      <c r="L338" s="1128"/>
      <c r="M338" s="313">
        <f t="shared" si="51"/>
        <v>1</v>
      </c>
      <c r="N338" s="1128"/>
      <c r="O338" s="313">
        <f t="shared" si="52"/>
        <v>1</v>
      </c>
      <c r="P338" s="1128"/>
      <c r="Q338" s="313">
        <f t="shared" si="53"/>
        <v>1</v>
      </c>
      <c r="R338" s="1124">
        <f t="shared" si="54"/>
        <v>0</v>
      </c>
      <c r="S338" s="698">
        <f t="shared" si="45"/>
        <v>0</v>
      </c>
    </row>
    <row r="339" spans="1:19">
      <c r="A339" s="491"/>
      <c r="B339" s="348"/>
      <c r="C339" s="313">
        <f t="shared" si="46"/>
        <v>1</v>
      </c>
      <c r="D339" s="1128"/>
      <c r="E339" s="313">
        <f t="shared" si="47"/>
        <v>1</v>
      </c>
      <c r="F339" s="1128"/>
      <c r="G339" s="313">
        <f t="shared" si="48"/>
        <v>1</v>
      </c>
      <c r="H339" s="1128"/>
      <c r="I339" s="313">
        <f t="shared" si="49"/>
        <v>1</v>
      </c>
      <c r="J339" s="1128"/>
      <c r="K339" s="313">
        <f t="shared" si="50"/>
        <v>1</v>
      </c>
      <c r="L339" s="1128"/>
      <c r="M339" s="313">
        <f t="shared" si="51"/>
        <v>1</v>
      </c>
      <c r="N339" s="1128"/>
      <c r="O339" s="313">
        <f t="shared" si="52"/>
        <v>1</v>
      </c>
      <c r="P339" s="1128"/>
      <c r="Q339" s="313">
        <f t="shared" si="53"/>
        <v>1</v>
      </c>
      <c r="R339" s="1124">
        <f t="shared" si="54"/>
        <v>0</v>
      </c>
      <c r="S339" s="698">
        <f t="shared" si="45"/>
        <v>0</v>
      </c>
    </row>
    <row r="340" spans="1:19">
      <c r="A340" s="491"/>
      <c r="B340" s="348"/>
      <c r="C340" s="313">
        <f t="shared" si="46"/>
        <v>1</v>
      </c>
      <c r="D340" s="1128"/>
      <c r="E340" s="313">
        <f t="shared" si="47"/>
        <v>1</v>
      </c>
      <c r="F340" s="1128"/>
      <c r="G340" s="313">
        <f t="shared" si="48"/>
        <v>1</v>
      </c>
      <c r="H340" s="1128"/>
      <c r="I340" s="313">
        <f t="shared" si="49"/>
        <v>1</v>
      </c>
      <c r="J340" s="1128"/>
      <c r="K340" s="313">
        <f t="shared" si="50"/>
        <v>1</v>
      </c>
      <c r="L340" s="1128"/>
      <c r="M340" s="313">
        <f t="shared" si="51"/>
        <v>1</v>
      </c>
      <c r="N340" s="1128"/>
      <c r="O340" s="313">
        <f t="shared" si="52"/>
        <v>1</v>
      </c>
      <c r="P340" s="1128"/>
      <c r="Q340" s="313">
        <f t="shared" si="53"/>
        <v>1</v>
      </c>
      <c r="R340" s="1124">
        <f t="shared" si="54"/>
        <v>0</v>
      </c>
      <c r="S340" s="698">
        <f t="shared" si="45"/>
        <v>0</v>
      </c>
    </row>
    <row r="341" spans="1:19">
      <c r="A341" s="491"/>
      <c r="B341" s="348"/>
      <c r="C341" s="313">
        <f t="shared" si="46"/>
        <v>1</v>
      </c>
      <c r="D341" s="1128"/>
      <c r="E341" s="313">
        <f t="shared" si="47"/>
        <v>1</v>
      </c>
      <c r="F341" s="1128"/>
      <c r="G341" s="313">
        <f t="shared" si="48"/>
        <v>1</v>
      </c>
      <c r="H341" s="1128"/>
      <c r="I341" s="313">
        <f t="shared" si="49"/>
        <v>1</v>
      </c>
      <c r="J341" s="1128"/>
      <c r="K341" s="313">
        <f t="shared" si="50"/>
        <v>1</v>
      </c>
      <c r="L341" s="1128"/>
      <c r="M341" s="313">
        <f t="shared" si="51"/>
        <v>1</v>
      </c>
      <c r="N341" s="1128"/>
      <c r="O341" s="313">
        <f t="shared" si="52"/>
        <v>1</v>
      </c>
      <c r="P341" s="1128"/>
      <c r="Q341" s="313">
        <f t="shared" si="53"/>
        <v>1</v>
      </c>
      <c r="R341" s="1124">
        <f t="shared" si="54"/>
        <v>0</v>
      </c>
      <c r="S341" s="698">
        <f t="shared" si="45"/>
        <v>0</v>
      </c>
    </row>
    <row r="342" spans="1:19">
      <c r="A342" s="491"/>
      <c r="B342" s="348"/>
      <c r="C342" s="313">
        <f t="shared" si="46"/>
        <v>1</v>
      </c>
      <c r="D342" s="1128"/>
      <c r="E342" s="313">
        <f t="shared" si="47"/>
        <v>1</v>
      </c>
      <c r="F342" s="1128"/>
      <c r="G342" s="313">
        <f t="shared" si="48"/>
        <v>1</v>
      </c>
      <c r="H342" s="1128"/>
      <c r="I342" s="313">
        <f t="shared" si="49"/>
        <v>1</v>
      </c>
      <c r="J342" s="1128"/>
      <c r="K342" s="313">
        <f t="shared" si="50"/>
        <v>1</v>
      </c>
      <c r="L342" s="1128"/>
      <c r="M342" s="313">
        <f t="shared" si="51"/>
        <v>1</v>
      </c>
      <c r="N342" s="1128"/>
      <c r="O342" s="313">
        <f t="shared" si="52"/>
        <v>1</v>
      </c>
      <c r="P342" s="1128"/>
      <c r="Q342" s="313">
        <f t="shared" si="53"/>
        <v>1</v>
      </c>
      <c r="R342" s="1124">
        <f t="shared" si="54"/>
        <v>0</v>
      </c>
      <c r="S342" s="698">
        <f t="shared" si="45"/>
        <v>0</v>
      </c>
    </row>
    <row r="343" spans="1:19">
      <c r="A343" s="491"/>
      <c r="B343" s="348"/>
      <c r="C343" s="313">
        <f t="shared" si="46"/>
        <v>1</v>
      </c>
      <c r="D343" s="1128"/>
      <c r="E343" s="313">
        <f t="shared" si="47"/>
        <v>1</v>
      </c>
      <c r="F343" s="1128"/>
      <c r="G343" s="313">
        <f t="shared" si="48"/>
        <v>1</v>
      </c>
      <c r="H343" s="1128"/>
      <c r="I343" s="313">
        <f t="shared" si="49"/>
        <v>1</v>
      </c>
      <c r="J343" s="1128"/>
      <c r="K343" s="313">
        <f t="shared" si="50"/>
        <v>1</v>
      </c>
      <c r="L343" s="1128"/>
      <c r="M343" s="313">
        <f t="shared" si="51"/>
        <v>1</v>
      </c>
      <c r="N343" s="1128"/>
      <c r="O343" s="313">
        <f t="shared" si="52"/>
        <v>1</v>
      </c>
      <c r="P343" s="1128"/>
      <c r="Q343" s="313">
        <f t="shared" si="53"/>
        <v>1</v>
      </c>
      <c r="R343" s="1124">
        <f t="shared" si="54"/>
        <v>0</v>
      </c>
      <c r="S343" s="698">
        <f t="shared" si="45"/>
        <v>0</v>
      </c>
    </row>
    <row r="344" spans="1:19">
      <c r="A344" s="491"/>
      <c r="B344" s="348"/>
      <c r="C344" s="313">
        <f t="shared" si="46"/>
        <v>1</v>
      </c>
      <c r="D344" s="1128"/>
      <c r="E344" s="313">
        <f t="shared" si="47"/>
        <v>1</v>
      </c>
      <c r="F344" s="1128"/>
      <c r="G344" s="313">
        <f t="shared" si="48"/>
        <v>1</v>
      </c>
      <c r="H344" s="1128"/>
      <c r="I344" s="313">
        <f t="shared" si="49"/>
        <v>1</v>
      </c>
      <c r="J344" s="1128"/>
      <c r="K344" s="313">
        <f t="shared" si="50"/>
        <v>1</v>
      </c>
      <c r="L344" s="1128"/>
      <c r="M344" s="313">
        <f t="shared" si="51"/>
        <v>1</v>
      </c>
      <c r="N344" s="1128"/>
      <c r="O344" s="313">
        <f t="shared" si="52"/>
        <v>1</v>
      </c>
      <c r="P344" s="1128"/>
      <c r="Q344" s="313">
        <f t="shared" si="53"/>
        <v>1</v>
      </c>
      <c r="R344" s="1124">
        <f t="shared" si="54"/>
        <v>0</v>
      </c>
      <c r="S344" s="698">
        <f t="shared" ref="S344:S407" si="55">ROUND(R344*B344/10000,0)</f>
        <v>0</v>
      </c>
    </row>
    <row r="345" spans="1:19">
      <c r="A345" s="491"/>
      <c r="B345" s="348"/>
      <c r="C345" s="313">
        <f t="shared" si="46"/>
        <v>1</v>
      </c>
      <c r="D345" s="1128"/>
      <c r="E345" s="313">
        <f t="shared" si="47"/>
        <v>1</v>
      </c>
      <c r="F345" s="1128"/>
      <c r="G345" s="313">
        <f t="shared" si="48"/>
        <v>1</v>
      </c>
      <c r="H345" s="1128"/>
      <c r="I345" s="313">
        <f t="shared" si="49"/>
        <v>1</v>
      </c>
      <c r="J345" s="1128"/>
      <c r="K345" s="313">
        <f t="shared" si="50"/>
        <v>1</v>
      </c>
      <c r="L345" s="1128"/>
      <c r="M345" s="313">
        <f t="shared" si="51"/>
        <v>1</v>
      </c>
      <c r="N345" s="1128"/>
      <c r="O345" s="313">
        <f t="shared" si="52"/>
        <v>1</v>
      </c>
      <c r="P345" s="1128"/>
      <c r="Q345" s="313">
        <f t="shared" si="53"/>
        <v>1</v>
      </c>
      <c r="R345" s="1124">
        <f t="shared" si="54"/>
        <v>0</v>
      </c>
      <c r="S345" s="698">
        <f t="shared" si="55"/>
        <v>0</v>
      </c>
    </row>
    <row r="346" spans="1:19">
      <c r="A346" s="491"/>
      <c r="B346" s="348"/>
      <c r="C346" s="313">
        <f t="shared" ref="C346:C409" si="56">IF(B346="",1,(LOOKUP(B346,$3:$3,$4:$4)-LOOKUP($B$24,$3:$3,$4:$4)+100)/100)</f>
        <v>1</v>
      </c>
      <c r="D346" s="1128"/>
      <c r="E346" s="313">
        <f t="shared" ref="E346:E409" si="57">(SUMIF($5:$5,D346,$6:$6)-SUMIF($5:$5,$D$24,$6:$6)+100)/100</f>
        <v>1</v>
      </c>
      <c r="F346" s="1128"/>
      <c r="G346" s="313">
        <f t="shared" ref="G346:G409" si="58">(SUMIF($7:$7,F346,$8:$8)-SUMIF($7:$7,$F$24,$8:$8)+100)/100</f>
        <v>1</v>
      </c>
      <c r="H346" s="1128"/>
      <c r="I346" s="313">
        <f t="shared" ref="I346:I409" si="59">(SUMIF($9:$9,H346,$10:$10)-SUMIF($9:$9,$H$24,$10:$10)+100)/100</f>
        <v>1</v>
      </c>
      <c r="J346" s="1128"/>
      <c r="K346" s="313">
        <f t="shared" ref="K346:K409" si="60">(SUMIF($11:$11,J346,$12:$12)-SUMIF($11:$11,$J$24,$12:$12)+100)/100</f>
        <v>1</v>
      </c>
      <c r="L346" s="1128"/>
      <c r="M346" s="313">
        <f t="shared" ref="M346:M409" si="61">(SUMIF($13:$13,L346,$14:$14)-SUMIF($13:$13,$L$24,$14:$14)+100)/100</f>
        <v>1</v>
      </c>
      <c r="N346" s="1128"/>
      <c r="O346" s="313">
        <f t="shared" ref="O346:O409" si="62">(SUMIF($15:$15,N346,$16:$16)-SUMIF($15:$15,$N$24,$16:$16)+100)/100</f>
        <v>1</v>
      </c>
      <c r="P346" s="1128"/>
      <c r="Q346" s="313">
        <f t="shared" ref="Q346:Q409" si="63">(SUMIF($17:$17,P346,$18:$18)-SUMIF($17:$17,$P$24,$18:$18)+100)/100</f>
        <v>1</v>
      </c>
      <c r="R346" s="1124">
        <f t="shared" ref="R346:R409" si="64">IF(B346="",0,ROUND($R$24*C346*E346*G346*I346*K346*M346*O346*Q346,0))</f>
        <v>0</v>
      </c>
      <c r="S346" s="698">
        <f t="shared" si="55"/>
        <v>0</v>
      </c>
    </row>
    <row r="347" spans="1:19">
      <c r="A347" s="491"/>
      <c r="B347" s="348"/>
      <c r="C347" s="313">
        <f t="shared" si="56"/>
        <v>1</v>
      </c>
      <c r="D347" s="1128"/>
      <c r="E347" s="313">
        <f t="shared" si="57"/>
        <v>1</v>
      </c>
      <c r="F347" s="1128"/>
      <c r="G347" s="313">
        <f t="shared" si="58"/>
        <v>1</v>
      </c>
      <c r="H347" s="1128"/>
      <c r="I347" s="313">
        <f t="shared" si="59"/>
        <v>1</v>
      </c>
      <c r="J347" s="1128"/>
      <c r="K347" s="313">
        <f t="shared" si="60"/>
        <v>1</v>
      </c>
      <c r="L347" s="1128"/>
      <c r="M347" s="313">
        <f t="shared" si="61"/>
        <v>1</v>
      </c>
      <c r="N347" s="1128"/>
      <c r="O347" s="313">
        <f t="shared" si="62"/>
        <v>1</v>
      </c>
      <c r="P347" s="1128"/>
      <c r="Q347" s="313">
        <f t="shared" si="63"/>
        <v>1</v>
      </c>
      <c r="R347" s="1124">
        <f t="shared" si="64"/>
        <v>0</v>
      </c>
      <c r="S347" s="698">
        <f t="shared" si="55"/>
        <v>0</v>
      </c>
    </row>
    <row r="348" spans="1:19">
      <c r="A348" s="491"/>
      <c r="B348" s="348"/>
      <c r="C348" s="313">
        <f t="shared" si="56"/>
        <v>1</v>
      </c>
      <c r="D348" s="1128"/>
      <c r="E348" s="313">
        <f t="shared" si="57"/>
        <v>1</v>
      </c>
      <c r="F348" s="1128"/>
      <c r="G348" s="313">
        <f t="shared" si="58"/>
        <v>1</v>
      </c>
      <c r="H348" s="1128"/>
      <c r="I348" s="313">
        <f t="shared" si="59"/>
        <v>1</v>
      </c>
      <c r="J348" s="1128"/>
      <c r="K348" s="313">
        <f t="shared" si="60"/>
        <v>1</v>
      </c>
      <c r="L348" s="1128"/>
      <c r="M348" s="313">
        <f t="shared" si="61"/>
        <v>1</v>
      </c>
      <c r="N348" s="1128"/>
      <c r="O348" s="313">
        <f t="shared" si="62"/>
        <v>1</v>
      </c>
      <c r="P348" s="1128"/>
      <c r="Q348" s="313">
        <f t="shared" si="63"/>
        <v>1</v>
      </c>
      <c r="R348" s="1124">
        <f t="shared" si="64"/>
        <v>0</v>
      </c>
      <c r="S348" s="698">
        <f t="shared" si="55"/>
        <v>0</v>
      </c>
    </row>
    <row r="349" spans="1:19">
      <c r="A349" s="491"/>
      <c r="B349" s="348"/>
      <c r="C349" s="313">
        <f t="shared" si="56"/>
        <v>1</v>
      </c>
      <c r="D349" s="1128"/>
      <c r="E349" s="313">
        <f t="shared" si="57"/>
        <v>1</v>
      </c>
      <c r="F349" s="1128"/>
      <c r="G349" s="313">
        <f t="shared" si="58"/>
        <v>1</v>
      </c>
      <c r="H349" s="1128"/>
      <c r="I349" s="313">
        <f t="shared" si="59"/>
        <v>1</v>
      </c>
      <c r="J349" s="1128"/>
      <c r="K349" s="313">
        <f t="shared" si="60"/>
        <v>1</v>
      </c>
      <c r="L349" s="1128"/>
      <c r="M349" s="313">
        <f t="shared" si="61"/>
        <v>1</v>
      </c>
      <c r="N349" s="1128"/>
      <c r="O349" s="313">
        <f t="shared" si="62"/>
        <v>1</v>
      </c>
      <c r="P349" s="1128"/>
      <c r="Q349" s="313">
        <f t="shared" si="63"/>
        <v>1</v>
      </c>
      <c r="R349" s="1124">
        <f t="shared" si="64"/>
        <v>0</v>
      </c>
      <c r="S349" s="698">
        <f t="shared" si="55"/>
        <v>0</v>
      </c>
    </row>
    <row r="350" spans="1:19">
      <c r="A350" s="491"/>
      <c r="B350" s="348"/>
      <c r="C350" s="313">
        <f t="shared" si="56"/>
        <v>1</v>
      </c>
      <c r="D350" s="1128"/>
      <c r="E350" s="313">
        <f t="shared" si="57"/>
        <v>1</v>
      </c>
      <c r="F350" s="1128"/>
      <c r="G350" s="313">
        <f t="shared" si="58"/>
        <v>1</v>
      </c>
      <c r="H350" s="1128"/>
      <c r="I350" s="313">
        <f t="shared" si="59"/>
        <v>1</v>
      </c>
      <c r="J350" s="1128"/>
      <c r="K350" s="313">
        <f t="shared" si="60"/>
        <v>1</v>
      </c>
      <c r="L350" s="1128"/>
      <c r="M350" s="313">
        <f t="shared" si="61"/>
        <v>1</v>
      </c>
      <c r="N350" s="1128"/>
      <c r="O350" s="313">
        <f t="shared" si="62"/>
        <v>1</v>
      </c>
      <c r="P350" s="1128"/>
      <c r="Q350" s="313">
        <f t="shared" si="63"/>
        <v>1</v>
      </c>
      <c r="R350" s="1124">
        <f t="shared" si="64"/>
        <v>0</v>
      </c>
      <c r="S350" s="698">
        <f t="shared" si="55"/>
        <v>0</v>
      </c>
    </row>
    <row r="351" spans="1:19">
      <c r="A351" s="491"/>
      <c r="B351" s="348"/>
      <c r="C351" s="313">
        <f t="shared" si="56"/>
        <v>1</v>
      </c>
      <c r="D351" s="1128"/>
      <c r="E351" s="313">
        <f t="shared" si="57"/>
        <v>1</v>
      </c>
      <c r="F351" s="1128"/>
      <c r="G351" s="313">
        <f t="shared" si="58"/>
        <v>1</v>
      </c>
      <c r="H351" s="1128"/>
      <c r="I351" s="313">
        <f t="shared" si="59"/>
        <v>1</v>
      </c>
      <c r="J351" s="1128"/>
      <c r="K351" s="313">
        <f t="shared" si="60"/>
        <v>1</v>
      </c>
      <c r="L351" s="1128"/>
      <c r="M351" s="313">
        <f t="shared" si="61"/>
        <v>1</v>
      </c>
      <c r="N351" s="1128"/>
      <c r="O351" s="313">
        <f t="shared" si="62"/>
        <v>1</v>
      </c>
      <c r="P351" s="1128"/>
      <c r="Q351" s="313">
        <f t="shared" si="63"/>
        <v>1</v>
      </c>
      <c r="R351" s="1124">
        <f t="shared" si="64"/>
        <v>0</v>
      </c>
      <c r="S351" s="698">
        <f t="shared" si="55"/>
        <v>0</v>
      </c>
    </row>
    <row r="352" spans="1:19">
      <c r="A352" s="491"/>
      <c r="B352" s="348"/>
      <c r="C352" s="313">
        <f t="shared" si="56"/>
        <v>1</v>
      </c>
      <c r="D352" s="1128"/>
      <c r="E352" s="313">
        <f t="shared" si="57"/>
        <v>1</v>
      </c>
      <c r="F352" s="1128"/>
      <c r="G352" s="313">
        <f t="shared" si="58"/>
        <v>1</v>
      </c>
      <c r="H352" s="1128"/>
      <c r="I352" s="313">
        <f t="shared" si="59"/>
        <v>1</v>
      </c>
      <c r="J352" s="1128"/>
      <c r="K352" s="313">
        <f t="shared" si="60"/>
        <v>1</v>
      </c>
      <c r="L352" s="1128"/>
      <c r="M352" s="313">
        <f t="shared" si="61"/>
        <v>1</v>
      </c>
      <c r="N352" s="1128"/>
      <c r="O352" s="313">
        <f t="shared" si="62"/>
        <v>1</v>
      </c>
      <c r="P352" s="1128"/>
      <c r="Q352" s="313">
        <f t="shared" si="63"/>
        <v>1</v>
      </c>
      <c r="R352" s="1124">
        <f t="shared" si="64"/>
        <v>0</v>
      </c>
      <c r="S352" s="698">
        <f t="shared" si="55"/>
        <v>0</v>
      </c>
    </row>
    <row r="353" spans="1:19">
      <c r="A353" s="491"/>
      <c r="B353" s="348"/>
      <c r="C353" s="313">
        <f t="shared" si="56"/>
        <v>1</v>
      </c>
      <c r="D353" s="1128"/>
      <c r="E353" s="313">
        <f t="shared" si="57"/>
        <v>1</v>
      </c>
      <c r="F353" s="1128"/>
      <c r="G353" s="313">
        <f t="shared" si="58"/>
        <v>1</v>
      </c>
      <c r="H353" s="1128"/>
      <c r="I353" s="313">
        <f t="shared" si="59"/>
        <v>1</v>
      </c>
      <c r="J353" s="1128"/>
      <c r="K353" s="313">
        <f t="shared" si="60"/>
        <v>1</v>
      </c>
      <c r="L353" s="1128"/>
      <c r="M353" s="313">
        <f t="shared" si="61"/>
        <v>1</v>
      </c>
      <c r="N353" s="1128"/>
      <c r="O353" s="313">
        <f t="shared" si="62"/>
        <v>1</v>
      </c>
      <c r="P353" s="1128"/>
      <c r="Q353" s="313">
        <f t="shared" si="63"/>
        <v>1</v>
      </c>
      <c r="R353" s="1124">
        <f t="shared" si="64"/>
        <v>0</v>
      </c>
      <c r="S353" s="698">
        <f t="shared" si="55"/>
        <v>0</v>
      </c>
    </row>
    <row r="354" spans="1:19">
      <c r="A354" s="491"/>
      <c r="B354" s="348"/>
      <c r="C354" s="313">
        <f t="shared" si="56"/>
        <v>1</v>
      </c>
      <c r="D354" s="1128"/>
      <c r="E354" s="313">
        <f t="shared" si="57"/>
        <v>1</v>
      </c>
      <c r="F354" s="1128"/>
      <c r="G354" s="313">
        <f t="shared" si="58"/>
        <v>1</v>
      </c>
      <c r="H354" s="1128"/>
      <c r="I354" s="313">
        <f t="shared" si="59"/>
        <v>1</v>
      </c>
      <c r="J354" s="1128"/>
      <c r="K354" s="313">
        <f t="shared" si="60"/>
        <v>1</v>
      </c>
      <c r="L354" s="1128"/>
      <c r="M354" s="313">
        <f t="shared" si="61"/>
        <v>1</v>
      </c>
      <c r="N354" s="1128"/>
      <c r="O354" s="313">
        <f t="shared" si="62"/>
        <v>1</v>
      </c>
      <c r="P354" s="1128"/>
      <c r="Q354" s="313">
        <f t="shared" si="63"/>
        <v>1</v>
      </c>
      <c r="R354" s="1124">
        <f t="shared" si="64"/>
        <v>0</v>
      </c>
      <c r="S354" s="698">
        <f t="shared" si="55"/>
        <v>0</v>
      </c>
    </row>
    <row r="355" spans="1:19">
      <c r="A355" s="491"/>
      <c r="B355" s="348"/>
      <c r="C355" s="313">
        <f t="shared" si="56"/>
        <v>1</v>
      </c>
      <c r="D355" s="1128"/>
      <c r="E355" s="313">
        <f t="shared" si="57"/>
        <v>1</v>
      </c>
      <c r="F355" s="1128"/>
      <c r="G355" s="313">
        <f t="shared" si="58"/>
        <v>1</v>
      </c>
      <c r="H355" s="1128"/>
      <c r="I355" s="313">
        <f t="shared" si="59"/>
        <v>1</v>
      </c>
      <c r="J355" s="1128"/>
      <c r="K355" s="313">
        <f t="shared" si="60"/>
        <v>1</v>
      </c>
      <c r="L355" s="1128"/>
      <c r="M355" s="313">
        <f t="shared" si="61"/>
        <v>1</v>
      </c>
      <c r="N355" s="1128"/>
      <c r="O355" s="313">
        <f t="shared" si="62"/>
        <v>1</v>
      </c>
      <c r="P355" s="1128"/>
      <c r="Q355" s="313">
        <f t="shared" si="63"/>
        <v>1</v>
      </c>
      <c r="R355" s="1124">
        <f t="shared" si="64"/>
        <v>0</v>
      </c>
      <c r="S355" s="698">
        <f t="shared" si="55"/>
        <v>0</v>
      </c>
    </row>
    <row r="356" spans="1:19">
      <c r="A356" s="491"/>
      <c r="B356" s="348"/>
      <c r="C356" s="313">
        <f t="shared" si="56"/>
        <v>1</v>
      </c>
      <c r="D356" s="1128"/>
      <c r="E356" s="313">
        <f t="shared" si="57"/>
        <v>1</v>
      </c>
      <c r="F356" s="1128"/>
      <c r="G356" s="313">
        <f t="shared" si="58"/>
        <v>1</v>
      </c>
      <c r="H356" s="1128"/>
      <c r="I356" s="313">
        <f t="shared" si="59"/>
        <v>1</v>
      </c>
      <c r="J356" s="1128"/>
      <c r="K356" s="313">
        <f t="shared" si="60"/>
        <v>1</v>
      </c>
      <c r="L356" s="1128"/>
      <c r="M356" s="313">
        <f t="shared" si="61"/>
        <v>1</v>
      </c>
      <c r="N356" s="1128"/>
      <c r="O356" s="313">
        <f t="shared" si="62"/>
        <v>1</v>
      </c>
      <c r="P356" s="1128"/>
      <c r="Q356" s="313">
        <f t="shared" si="63"/>
        <v>1</v>
      </c>
      <c r="R356" s="1124">
        <f t="shared" si="64"/>
        <v>0</v>
      </c>
      <c r="S356" s="698">
        <f t="shared" si="55"/>
        <v>0</v>
      </c>
    </row>
    <row r="357" spans="1:19">
      <c r="A357" s="491"/>
      <c r="B357" s="348"/>
      <c r="C357" s="313">
        <f t="shared" si="56"/>
        <v>1</v>
      </c>
      <c r="D357" s="1128"/>
      <c r="E357" s="313">
        <f t="shared" si="57"/>
        <v>1</v>
      </c>
      <c r="F357" s="1128"/>
      <c r="G357" s="313">
        <f t="shared" si="58"/>
        <v>1</v>
      </c>
      <c r="H357" s="1128"/>
      <c r="I357" s="313">
        <f t="shared" si="59"/>
        <v>1</v>
      </c>
      <c r="J357" s="1128"/>
      <c r="K357" s="313">
        <f t="shared" si="60"/>
        <v>1</v>
      </c>
      <c r="L357" s="1128"/>
      <c r="M357" s="313">
        <f t="shared" si="61"/>
        <v>1</v>
      </c>
      <c r="N357" s="1128"/>
      <c r="O357" s="313">
        <f t="shared" si="62"/>
        <v>1</v>
      </c>
      <c r="P357" s="1128"/>
      <c r="Q357" s="313">
        <f t="shared" si="63"/>
        <v>1</v>
      </c>
      <c r="R357" s="1124">
        <f t="shared" si="64"/>
        <v>0</v>
      </c>
      <c r="S357" s="698">
        <f t="shared" si="55"/>
        <v>0</v>
      </c>
    </row>
    <row r="358" spans="1:19">
      <c r="A358" s="491"/>
      <c r="B358" s="348"/>
      <c r="C358" s="313">
        <f t="shared" si="56"/>
        <v>1</v>
      </c>
      <c r="D358" s="1128"/>
      <c r="E358" s="313">
        <f t="shared" si="57"/>
        <v>1</v>
      </c>
      <c r="F358" s="1128"/>
      <c r="G358" s="313">
        <f t="shared" si="58"/>
        <v>1</v>
      </c>
      <c r="H358" s="1128"/>
      <c r="I358" s="313">
        <f t="shared" si="59"/>
        <v>1</v>
      </c>
      <c r="J358" s="1128"/>
      <c r="K358" s="313">
        <f t="shared" si="60"/>
        <v>1</v>
      </c>
      <c r="L358" s="1128"/>
      <c r="M358" s="313">
        <f t="shared" si="61"/>
        <v>1</v>
      </c>
      <c r="N358" s="1128"/>
      <c r="O358" s="313">
        <f t="shared" si="62"/>
        <v>1</v>
      </c>
      <c r="P358" s="1128"/>
      <c r="Q358" s="313">
        <f t="shared" si="63"/>
        <v>1</v>
      </c>
      <c r="R358" s="1124">
        <f t="shared" si="64"/>
        <v>0</v>
      </c>
      <c r="S358" s="698">
        <f t="shared" si="55"/>
        <v>0</v>
      </c>
    </row>
    <row r="359" spans="1:19">
      <c r="A359" s="491"/>
      <c r="B359" s="348"/>
      <c r="C359" s="313">
        <f t="shared" si="56"/>
        <v>1</v>
      </c>
      <c r="D359" s="1128"/>
      <c r="E359" s="313">
        <f t="shared" si="57"/>
        <v>1</v>
      </c>
      <c r="F359" s="1128"/>
      <c r="G359" s="313">
        <f t="shared" si="58"/>
        <v>1</v>
      </c>
      <c r="H359" s="1128"/>
      <c r="I359" s="313">
        <f t="shared" si="59"/>
        <v>1</v>
      </c>
      <c r="J359" s="1128"/>
      <c r="K359" s="313">
        <f t="shared" si="60"/>
        <v>1</v>
      </c>
      <c r="L359" s="1128"/>
      <c r="M359" s="313">
        <f t="shared" si="61"/>
        <v>1</v>
      </c>
      <c r="N359" s="1128"/>
      <c r="O359" s="313">
        <f t="shared" si="62"/>
        <v>1</v>
      </c>
      <c r="P359" s="1128"/>
      <c r="Q359" s="313">
        <f t="shared" si="63"/>
        <v>1</v>
      </c>
      <c r="R359" s="1124">
        <f t="shared" si="64"/>
        <v>0</v>
      </c>
      <c r="S359" s="698">
        <f t="shared" si="55"/>
        <v>0</v>
      </c>
    </row>
    <row r="360" spans="1:19">
      <c r="A360" s="491"/>
      <c r="B360" s="348"/>
      <c r="C360" s="313">
        <f t="shared" si="56"/>
        <v>1</v>
      </c>
      <c r="D360" s="1128"/>
      <c r="E360" s="313">
        <f t="shared" si="57"/>
        <v>1</v>
      </c>
      <c r="F360" s="1128"/>
      <c r="G360" s="313">
        <f t="shared" si="58"/>
        <v>1</v>
      </c>
      <c r="H360" s="1128"/>
      <c r="I360" s="313">
        <f t="shared" si="59"/>
        <v>1</v>
      </c>
      <c r="J360" s="1128"/>
      <c r="K360" s="313">
        <f t="shared" si="60"/>
        <v>1</v>
      </c>
      <c r="L360" s="1128"/>
      <c r="M360" s="313">
        <f t="shared" si="61"/>
        <v>1</v>
      </c>
      <c r="N360" s="1128"/>
      <c r="O360" s="313">
        <f t="shared" si="62"/>
        <v>1</v>
      </c>
      <c r="P360" s="1128"/>
      <c r="Q360" s="313">
        <f t="shared" si="63"/>
        <v>1</v>
      </c>
      <c r="R360" s="1124">
        <f t="shared" si="64"/>
        <v>0</v>
      </c>
      <c r="S360" s="698">
        <f t="shared" si="55"/>
        <v>0</v>
      </c>
    </row>
    <row r="361" spans="1:19">
      <c r="A361" s="491"/>
      <c r="B361" s="348"/>
      <c r="C361" s="313">
        <f t="shared" si="56"/>
        <v>1</v>
      </c>
      <c r="D361" s="1128"/>
      <c r="E361" s="313">
        <f t="shared" si="57"/>
        <v>1</v>
      </c>
      <c r="F361" s="1128"/>
      <c r="G361" s="313">
        <f t="shared" si="58"/>
        <v>1</v>
      </c>
      <c r="H361" s="1128"/>
      <c r="I361" s="313">
        <f t="shared" si="59"/>
        <v>1</v>
      </c>
      <c r="J361" s="1128"/>
      <c r="K361" s="313">
        <f t="shared" si="60"/>
        <v>1</v>
      </c>
      <c r="L361" s="1128"/>
      <c r="M361" s="313">
        <f t="shared" si="61"/>
        <v>1</v>
      </c>
      <c r="N361" s="1128"/>
      <c r="O361" s="313">
        <f t="shared" si="62"/>
        <v>1</v>
      </c>
      <c r="P361" s="1128"/>
      <c r="Q361" s="313">
        <f t="shared" si="63"/>
        <v>1</v>
      </c>
      <c r="R361" s="1124">
        <f t="shared" si="64"/>
        <v>0</v>
      </c>
      <c r="S361" s="698">
        <f t="shared" si="55"/>
        <v>0</v>
      </c>
    </row>
    <row r="362" spans="1:19">
      <c r="A362" s="491"/>
      <c r="B362" s="348"/>
      <c r="C362" s="313">
        <f t="shared" si="56"/>
        <v>1</v>
      </c>
      <c r="D362" s="1128"/>
      <c r="E362" s="313">
        <f t="shared" si="57"/>
        <v>1</v>
      </c>
      <c r="F362" s="1128"/>
      <c r="G362" s="313">
        <f t="shared" si="58"/>
        <v>1</v>
      </c>
      <c r="H362" s="1128"/>
      <c r="I362" s="313">
        <f t="shared" si="59"/>
        <v>1</v>
      </c>
      <c r="J362" s="1128"/>
      <c r="K362" s="313">
        <f t="shared" si="60"/>
        <v>1</v>
      </c>
      <c r="L362" s="1128"/>
      <c r="M362" s="313">
        <f t="shared" si="61"/>
        <v>1</v>
      </c>
      <c r="N362" s="1128"/>
      <c r="O362" s="313">
        <f t="shared" si="62"/>
        <v>1</v>
      </c>
      <c r="P362" s="1128"/>
      <c r="Q362" s="313">
        <f t="shared" si="63"/>
        <v>1</v>
      </c>
      <c r="R362" s="1124">
        <f t="shared" si="64"/>
        <v>0</v>
      </c>
      <c r="S362" s="698">
        <f t="shared" si="55"/>
        <v>0</v>
      </c>
    </row>
    <row r="363" spans="1:19">
      <c r="A363" s="491"/>
      <c r="B363" s="348"/>
      <c r="C363" s="313">
        <f t="shared" si="56"/>
        <v>1</v>
      </c>
      <c r="D363" s="1128"/>
      <c r="E363" s="313">
        <f t="shared" si="57"/>
        <v>1</v>
      </c>
      <c r="F363" s="1128"/>
      <c r="G363" s="313">
        <f t="shared" si="58"/>
        <v>1</v>
      </c>
      <c r="H363" s="1128"/>
      <c r="I363" s="313">
        <f t="shared" si="59"/>
        <v>1</v>
      </c>
      <c r="J363" s="1128"/>
      <c r="K363" s="313">
        <f t="shared" si="60"/>
        <v>1</v>
      </c>
      <c r="L363" s="1128"/>
      <c r="M363" s="313">
        <f t="shared" si="61"/>
        <v>1</v>
      </c>
      <c r="N363" s="1128"/>
      <c r="O363" s="313">
        <f t="shared" si="62"/>
        <v>1</v>
      </c>
      <c r="P363" s="1128"/>
      <c r="Q363" s="313">
        <f t="shared" si="63"/>
        <v>1</v>
      </c>
      <c r="R363" s="1124">
        <f t="shared" si="64"/>
        <v>0</v>
      </c>
      <c r="S363" s="698">
        <f t="shared" si="55"/>
        <v>0</v>
      </c>
    </row>
    <row r="364" spans="1:19">
      <c r="A364" s="491"/>
      <c r="B364" s="348"/>
      <c r="C364" s="313">
        <f t="shared" si="56"/>
        <v>1</v>
      </c>
      <c r="D364" s="1128"/>
      <c r="E364" s="313">
        <f t="shared" si="57"/>
        <v>1</v>
      </c>
      <c r="F364" s="1128"/>
      <c r="G364" s="313">
        <f t="shared" si="58"/>
        <v>1</v>
      </c>
      <c r="H364" s="1128"/>
      <c r="I364" s="313">
        <f t="shared" si="59"/>
        <v>1</v>
      </c>
      <c r="J364" s="1128"/>
      <c r="K364" s="313">
        <f t="shared" si="60"/>
        <v>1</v>
      </c>
      <c r="L364" s="1128"/>
      <c r="M364" s="313">
        <f t="shared" si="61"/>
        <v>1</v>
      </c>
      <c r="N364" s="1128"/>
      <c r="O364" s="313">
        <f t="shared" si="62"/>
        <v>1</v>
      </c>
      <c r="P364" s="1128"/>
      <c r="Q364" s="313">
        <f t="shared" si="63"/>
        <v>1</v>
      </c>
      <c r="R364" s="1124">
        <f t="shared" si="64"/>
        <v>0</v>
      </c>
      <c r="S364" s="698">
        <f t="shared" si="55"/>
        <v>0</v>
      </c>
    </row>
    <row r="365" spans="1:19">
      <c r="A365" s="491"/>
      <c r="B365" s="348"/>
      <c r="C365" s="313">
        <f t="shared" si="56"/>
        <v>1</v>
      </c>
      <c r="D365" s="1128"/>
      <c r="E365" s="313">
        <f t="shared" si="57"/>
        <v>1</v>
      </c>
      <c r="F365" s="1128"/>
      <c r="G365" s="313">
        <f t="shared" si="58"/>
        <v>1</v>
      </c>
      <c r="H365" s="1128"/>
      <c r="I365" s="313">
        <f t="shared" si="59"/>
        <v>1</v>
      </c>
      <c r="J365" s="1128"/>
      <c r="K365" s="313">
        <f t="shared" si="60"/>
        <v>1</v>
      </c>
      <c r="L365" s="1128"/>
      <c r="M365" s="313">
        <f t="shared" si="61"/>
        <v>1</v>
      </c>
      <c r="N365" s="1128"/>
      <c r="O365" s="313">
        <f t="shared" si="62"/>
        <v>1</v>
      </c>
      <c r="P365" s="1128"/>
      <c r="Q365" s="313">
        <f t="shared" si="63"/>
        <v>1</v>
      </c>
      <c r="R365" s="1124">
        <f t="shared" si="64"/>
        <v>0</v>
      </c>
      <c r="S365" s="698">
        <f t="shared" si="55"/>
        <v>0</v>
      </c>
    </row>
    <row r="366" spans="1:19">
      <c r="A366" s="491"/>
      <c r="B366" s="348"/>
      <c r="C366" s="313">
        <f t="shared" si="56"/>
        <v>1</v>
      </c>
      <c r="D366" s="1128"/>
      <c r="E366" s="313">
        <f t="shared" si="57"/>
        <v>1</v>
      </c>
      <c r="F366" s="1128"/>
      <c r="G366" s="313">
        <f t="shared" si="58"/>
        <v>1</v>
      </c>
      <c r="H366" s="1128"/>
      <c r="I366" s="313">
        <f t="shared" si="59"/>
        <v>1</v>
      </c>
      <c r="J366" s="1128"/>
      <c r="K366" s="313">
        <f t="shared" si="60"/>
        <v>1</v>
      </c>
      <c r="L366" s="1128"/>
      <c r="M366" s="313">
        <f t="shared" si="61"/>
        <v>1</v>
      </c>
      <c r="N366" s="1128"/>
      <c r="O366" s="313">
        <f t="shared" si="62"/>
        <v>1</v>
      </c>
      <c r="P366" s="1128"/>
      <c r="Q366" s="313">
        <f t="shared" si="63"/>
        <v>1</v>
      </c>
      <c r="R366" s="1124">
        <f t="shared" si="64"/>
        <v>0</v>
      </c>
      <c r="S366" s="698">
        <f t="shared" si="55"/>
        <v>0</v>
      </c>
    </row>
    <row r="367" spans="1:19">
      <c r="A367" s="491"/>
      <c r="B367" s="348"/>
      <c r="C367" s="313">
        <f t="shared" si="56"/>
        <v>1</v>
      </c>
      <c r="D367" s="1128"/>
      <c r="E367" s="313">
        <f t="shared" si="57"/>
        <v>1</v>
      </c>
      <c r="F367" s="1128"/>
      <c r="G367" s="313">
        <f t="shared" si="58"/>
        <v>1</v>
      </c>
      <c r="H367" s="1128"/>
      <c r="I367" s="313">
        <f t="shared" si="59"/>
        <v>1</v>
      </c>
      <c r="J367" s="1128"/>
      <c r="K367" s="313">
        <f t="shared" si="60"/>
        <v>1</v>
      </c>
      <c r="L367" s="1128"/>
      <c r="M367" s="313">
        <f t="shared" si="61"/>
        <v>1</v>
      </c>
      <c r="N367" s="1128"/>
      <c r="O367" s="313">
        <f t="shared" si="62"/>
        <v>1</v>
      </c>
      <c r="P367" s="1128"/>
      <c r="Q367" s="313">
        <f t="shared" si="63"/>
        <v>1</v>
      </c>
      <c r="R367" s="1124">
        <f t="shared" si="64"/>
        <v>0</v>
      </c>
      <c r="S367" s="698">
        <f t="shared" si="55"/>
        <v>0</v>
      </c>
    </row>
    <row r="368" spans="1:19">
      <c r="A368" s="491"/>
      <c r="B368" s="348"/>
      <c r="C368" s="313">
        <f t="shared" si="56"/>
        <v>1</v>
      </c>
      <c r="D368" s="1128"/>
      <c r="E368" s="313">
        <f t="shared" si="57"/>
        <v>1</v>
      </c>
      <c r="F368" s="1128"/>
      <c r="G368" s="313">
        <f t="shared" si="58"/>
        <v>1</v>
      </c>
      <c r="H368" s="1128"/>
      <c r="I368" s="313">
        <f t="shared" si="59"/>
        <v>1</v>
      </c>
      <c r="J368" s="1128"/>
      <c r="K368" s="313">
        <f t="shared" si="60"/>
        <v>1</v>
      </c>
      <c r="L368" s="1128"/>
      <c r="M368" s="313">
        <f t="shared" si="61"/>
        <v>1</v>
      </c>
      <c r="N368" s="1128"/>
      <c r="O368" s="313">
        <f t="shared" si="62"/>
        <v>1</v>
      </c>
      <c r="P368" s="1128"/>
      <c r="Q368" s="313">
        <f t="shared" si="63"/>
        <v>1</v>
      </c>
      <c r="R368" s="1124">
        <f t="shared" si="64"/>
        <v>0</v>
      </c>
      <c r="S368" s="698">
        <f t="shared" si="55"/>
        <v>0</v>
      </c>
    </row>
    <row r="369" spans="1:19">
      <c r="A369" s="491"/>
      <c r="B369" s="348"/>
      <c r="C369" s="313">
        <f t="shared" si="56"/>
        <v>1</v>
      </c>
      <c r="D369" s="1128"/>
      <c r="E369" s="313">
        <f t="shared" si="57"/>
        <v>1</v>
      </c>
      <c r="F369" s="1128"/>
      <c r="G369" s="313">
        <f t="shared" si="58"/>
        <v>1</v>
      </c>
      <c r="H369" s="1128"/>
      <c r="I369" s="313">
        <f t="shared" si="59"/>
        <v>1</v>
      </c>
      <c r="J369" s="1128"/>
      <c r="K369" s="313">
        <f t="shared" si="60"/>
        <v>1</v>
      </c>
      <c r="L369" s="1128"/>
      <c r="M369" s="313">
        <f t="shared" si="61"/>
        <v>1</v>
      </c>
      <c r="N369" s="1128"/>
      <c r="O369" s="313">
        <f t="shared" si="62"/>
        <v>1</v>
      </c>
      <c r="P369" s="1128"/>
      <c r="Q369" s="313">
        <f t="shared" si="63"/>
        <v>1</v>
      </c>
      <c r="R369" s="1124">
        <f t="shared" si="64"/>
        <v>0</v>
      </c>
      <c r="S369" s="698">
        <f t="shared" si="55"/>
        <v>0</v>
      </c>
    </row>
    <row r="370" spans="1:19">
      <c r="A370" s="491"/>
      <c r="B370" s="348"/>
      <c r="C370" s="313">
        <f t="shared" si="56"/>
        <v>1</v>
      </c>
      <c r="D370" s="1128"/>
      <c r="E370" s="313">
        <f t="shared" si="57"/>
        <v>1</v>
      </c>
      <c r="F370" s="1128"/>
      <c r="G370" s="313">
        <f t="shared" si="58"/>
        <v>1</v>
      </c>
      <c r="H370" s="1128"/>
      <c r="I370" s="313">
        <f t="shared" si="59"/>
        <v>1</v>
      </c>
      <c r="J370" s="1128"/>
      <c r="K370" s="313">
        <f t="shared" si="60"/>
        <v>1</v>
      </c>
      <c r="L370" s="1128"/>
      <c r="M370" s="313">
        <f t="shared" si="61"/>
        <v>1</v>
      </c>
      <c r="N370" s="1128"/>
      <c r="O370" s="313">
        <f t="shared" si="62"/>
        <v>1</v>
      </c>
      <c r="P370" s="1128"/>
      <c r="Q370" s="313">
        <f t="shared" si="63"/>
        <v>1</v>
      </c>
      <c r="R370" s="1124">
        <f t="shared" si="64"/>
        <v>0</v>
      </c>
      <c r="S370" s="698">
        <f t="shared" si="55"/>
        <v>0</v>
      </c>
    </row>
    <row r="371" spans="1:19">
      <c r="A371" s="491"/>
      <c r="B371" s="348"/>
      <c r="C371" s="313">
        <f t="shared" si="56"/>
        <v>1</v>
      </c>
      <c r="D371" s="1128"/>
      <c r="E371" s="313">
        <f t="shared" si="57"/>
        <v>1</v>
      </c>
      <c r="F371" s="1128"/>
      <c r="G371" s="313">
        <f t="shared" si="58"/>
        <v>1</v>
      </c>
      <c r="H371" s="1128"/>
      <c r="I371" s="313">
        <f t="shared" si="59"/>
        <v>1</v>
      </c>
      <c r="J371" s="1128"/>
      <c r="K371" s="313">
        <f t="shared" si="60"/>
        <v>1</v>
      </c>
      <c r="L371" s="1128"/>
      <c r="M371" s="313">
        <f t="shared" si="61"/>
        <v>1</v>
      </c>
      <c r="N371" s="1128"/>
      <c r="O371" s="313">
        <f t="shared" si="62"/>
        <v>1</v>
      </c>
      <c r="P371" s="1128"/>
      <c r="Q371" s="313">
        <f t="shared" si="63"/>
        <v>1</v>
      </c>
      <c r="R371" s="1124">
        <f t="shared" si="64"/>
        <v>0</v>
      </c>
      <c r="S371" s="698">
        <f t="shared" si="55"/>
        <v>0</v>
      </c>
    </row>
    <row r="372" spans="1:19">
      <c r="A372" s="491"/>
      <c r="B372" s="348"/>
      <c r="C372" s="313">
        <f t="shared" si="56"/>
        <v>1</v>
      </c>
      <c r="D372" s="1128"/>
      <c r="E372" s="313">
        <f t="shared" si="57"/>
        <v>1</v>
      </c>
      <c r="F372" s="1128"/>
      <c r="G372" s="313">
        <f t="shared" si="58"/>
        <v>1</v>
      </c>
      <c r="H372" s="1128"/>
      <c r="I372" s="313">
        <f t="shared" si="59"/>
        <v>1</v>
      </c>
      <c r="J372" s="1128"/>
      <c r="K372" s="313">
        <f t="shared" si="60"/>
        <v>1</v>
      </c>
      <c r="L372" s="1128"/>
      <c r="M372" s="313">
        <f t="shared" si="61"/>
        <v>1</v>
      </c>
      <c r="N372" s="1128"/>
      <c r="O372" s="313">
        <f t="shared" si="62"/>
        <v>1</v>
      </c>
      <c r="P372" s="1128"/>
      <c r="Q372" s="313">
        <f t="shared" si="63"/>
        <v>1</v>
      </c>
      <c r="R372" s="1124">
        <f t="shared" si="64"/>
        <v>0</v>
      </c>
      <c r="S372" s="698">
        <f t="shared" si="55"/>
        <v>0</v>
      </c>
    </row>
    <row r="373" spans="1:19">
      <c r="A373" s="491"/>
      <c r="B373" s="348"/>
      <c r="C373" s="313">
        <f t="shared" si="56"/>
        <v>1</v>
      </c>
      <c r="D373" s="1128"/>
      <c r="E373" s="313">
        <f t="shared" si="57"/>
        <v>1</v>
      </c>
      <c r="F373" s="1128"/>
      <c r="G373" s="313">
        <f t="shared" si="58"/>
        <v>1</v>
      </c>
      <c r="H373" s="1128"/>
      <c r="I373" s="313">
        <f t="shared" si="59"/>
        <v>1</v>
      </c>
      <c r="J373" s="1128"/>
      <c r="K373" s="313">
        <f t="shared" si="60"/>
        <v>1</v>
      </c>
      <c r="L373" s="1128"/>
      <c r="M373" s="313">
        <f t="shared" si="61"/>
        <v>1</v>
      </c>
      <c r="N373" s="1128"/>
      <c r="O373" s="313">
        <f t="shared" si="62"/>
        <v>1</v>
      </c>
      <c r="P373" s="1128"/>
      <c r="Q373" s="313">
        <f t="shared" si="63"/>
        <v>1</v>
      </c>
      <c r="R373" s="1124">
        <f t="shared" si="64"/>
        <v>0</v>
      </c>
      <c r="S373" s="698">
        <f t="shared" si="55"/>
        <v>0</v>
      </c>
    </row>
    <row r="374" spans="1:19">
      <c r="A374" s="491"/>
      <c r="B374" s="348"/>
      <c r="C374" s="313">
        <f t="shared" si="56"/>
        <v>1</v>
      </c>
      <c r="D374" s="1128"/>
      <c r="E374" s="313">
        <f t="shared" si="57"/>
        <v>1</v>
      </c>
      <c r="F374" s="1128"/>
      <c r="G374" s="313">
        <f t="shared" si="58"/>
        <v>1</v>
      </c>
      <c r="H374" s="1128"/>
      <c r="I374" s="313">
        <f t="shared" si="59"/>
        <v>1</v>
      </c>
      <c r="J374" s="1128"/>
      <c r="K374" s="313">
        <f t="shared" si="60"/>
        <v>1</v>
      </c>
      <c r="L374" s="1128"/>
      <c r="M374" s="313">
        <f t="shared" si="61"/>
        <v>1</v>
      </c>
      <c r="N374" s="1128"/>
      <c r="O374" s="313">
        <f t="shared" si="62"/>
        <v>1</v>
      </c>
      <c r="P374" s="1128"/>
      <c r="Q374" s="313">
        <f t="shared" si="63"/>
        <v>1</v>
      </c>
      <c r="R374" s="1124">
        <f t="shared" si="64"/>
        <v>0</v>
      </c>
      <c r="S374" s="698">
        <f t="shared" si="55"/>
        <v>0</v>
      </c>
    </row>
    <row r="375" spans="1:19">
      <c r="A375" s="491"/>
      <c r="B375" s="348"/>
      <c r="C375" s="313">
        <f t="shared" si="56"/>
        <v>1</v>
      </c>
      <c r="D375" s="1128"/>
      <c r="E375" s="313">
        <f t="shared" si="57"/>
        <v>1</v>
      </c>
      <c r="F375" s="1128"/>
      <c r="G375" s="313">
        <f t="shared" si="58"/>
        <v>1</v>
      </c>
      <c r="H375" s="1128"/>
      <c r="I375" s="313">
        <f t="shared" si="59"/>
        <v>1</v>
      </c>
      <c r="J375" s="1128"/>
      <c r="K375" s="313">
        <f t="shared" si="60"/>
        <v>1</v>
      </c>
      <c r="L375" s="1128"/>
      <c r="M375" s="313">
        <f t="shared" si="61"/>
        <v>1</v>
      </c>
      <c r="N375" s="1128"/>
      <c r="O375" s="313">
        <f t="shared" si="62"/>
        <v>1</v>
      </c>
      <c r="P375" s="1128"/>
      <c r="Q375" s="313">
        <f t="shared" si="63"/>
        <v>1</v>
      </c>
      <c r="R375" s="1124">
        <f t="shared" si="64"/>
        <v>0</v>
      </c>
      <c r="S375" s="698">
        <f t="shared" si="55"/>
        <v>0</v>
      </c>
    </row>
    <row r="376" spans="1:19">
      <c r="A376" s="491"/>
      <c r="B376" s="348"/>
      <c r="C376" s="313">
        <f t="shared" si="56"/>
        <v>1</v>
      </c>
      <c r="D376" s="1128"/>
      <c r="E376" s="313">
        <f t="shared" si="57"/>
        <v>1</v>
      </c>
      <c r="F376" s="1128"/>
      <c r="G376" s="313">
        <f t="shared" si="58"/>
        <v>1</v>
      </c>
      <c r="H376" s="1128"/>
      <c r="I376" s="313">
        <f t="shared" si="59"/>
        <v>1</v>
      </c>
      <c r="J376" s="1128"/>
      <c r="K376" s="313">
        <f t="shared" si="60"/>
        <v>1</v>
      </c>
      <c r="L376" s="1128"/>
      <c r="M376" s="313">
        <f t="shared" si="61"/>
        <v>1</v>
      </c>
      <c r="N376" s="1128"/>
      <c r="O376" s="313">
        <f t="shared" si="62"/>
        <v>1</v>
      </c>
      <c r="P376" s="1128"/>
      <c r="Q376" s="313">
        <f t="shared" si="63"/>
        <v>1</v>
      </c>
      <c r="R376" s="1124">
        <f t="shared" si="64"/>
        <v>0</v>
      </c>
      <c r="S376" s="698">
        <f t="shared" si="55"/>
        <v>0</v>
      </c>
    </row>
    <row r="377" spans="1:19">
      <c r="A377" s="491"/>
      <c r="B377" s="348"/>
      <c r="C377" s="313">
        <f t="shared" si="56"/>
        <v>1</v>
      </c>
      <c r="D377" s="1128"/>
      <c r="E377" s="313">
        <f t="shared" si="57"/>
        <v>1</v>
      </c>
      <c r="F377" s="1128"/>
      <c r="G377" s="313">
        <f t="shared" si="58"/>
        <v>1</v>
      </c>
      <c r="H377" s="1128"/>
      <c r="I377" s="313">
        <f t="shared" si="59"/>
        <v>1</v>
      </c>
      <c r="J377" s="1128"/>
      <c r="K377" s="313">
        <f t="shared" si="60"/>
        <v>1</v>
      </c>
      <c r="L377" s="1128"/>
      <c r="M377" s="313">
        <f t="shared" si="61"/>
        <v>1</v>
      </c>
      <c r="N377" s="1128"/>
      <c r="O377" s="313">
        <f t="shared" si="62"/>
        <v>1</v>
      </c>
      <c r="P377" s="1128"/>
      <c r="Q377" s="313">
        <f t="shared" si="63"/>
        <v>1</v>
      </c>
      <c r="R377" s="1124">
        <f t="shared" si="64"/>
        <v>0</v>
      </c>
      <c r="S377" s="698">
        <f t="shared" si="55"/>
        <v>0</v>
      </c>
    </row>
    <row r="378" spans="1:19">
      <c r="A378" s="491"/>
      <c r="B378" s="348"/>
      <c r="C378" s="313">
        <f t="shared" si="56"/>
        <v>1</v>
      </c>
      <c r="D378" s="1128"/>
      <c r="E378" s="313">
        <f t="shared" si="57"/>
        <v>1</v>
      </c>
      <c r="F378" s="1128"/>
      <c r="G378" s="313">
        <f t="shared" si="58"/>
        <v>1</v>
      </c>
      <c r="H378" s="1128"/>
      <c r="I378" s="313">
        <f t="shared" si="59"/>
        <v>1</v>
      </c>
      <c r="J378" s="1128"/>
      <c r="K378" s="313">
        <f t="shared" si="60"/>
        <v>1</v>
      </c>
      <c r="L378" s="1128"/>
      <c r="M378" s="313">
        <f t="shared" si="61"/>
        <v>1</v>
      </c>
      <c r="N378" s="1128"/>
      <c r="O378" s="313">
        <f t="shared" si="62"/>
        <v>1</v>
      </c>
      <c r="P378" s="1128"/>
      <c r="Q378" s="313">
        <f t="shared" si="63"/>
        <v>1</v>
      </c>
      <c r="R378" s="1124">
        <f t="shared" si="64"/>
        <v>0</v>
      </c>
      <c r="S378" s="698">
        <f t="shared" si="55"/>
        <v>0</v>
      </c>
    </row>
    <row r="379" spans="1:19">
      <c r="A379" s="491"/>
      <c r="B379" s="348"/>
      <c r="C379" s="313">
        <f t="shared" si="56"/>
        <v>1</v>
      </c>
      <c r="D379" s="1128"/>
      <c r="E379" s="313">
        <f t="shared" si="57"/>
        <v>1</v>
      </c>
      <c r="F379" s="1128"/>
      <c r="G379" s="313">
        <f t="shared" si="58"/>
        <v>1</v>
      </c>
      <c r="H379" s="1128"/>
      <c r="I379" s="313">
        <f t="shared" si="59"/>
        <v>1</v>
      </c>
      <c r="J379" s="1128"/>
      <c r="K379" s="313">
        <f t="shared" si="60"/>
        <v>1</v>
      </c>
      <c r="L379" s="1128"/>
      <c r="M379" s="313">
        <f t="shared" si="61"/>
        <v>1</v>
      </c>
      <c r="N379" s="1128"/>
      <c r="O379" s="313">
        <f t="shared" si="62"/>
        <v>1</v>
      </c>
      <c r="P379" s="1128"/>
      <c r="Q379" s="313">
        <f t="shared" si="63"/>
        <v>1</v>
      </c>
      <c r="R379" s="1124">
        <f t="shared" si="64"/>
        <v>0</v>
      </c>
      <c r="S379" s="698">
        <f t="shared" si="55"/>
        <v>0</v>
      </c>
    </row>
    <row r="380" spans="1:19">
      <c r="A380" s="491"/>
      <c r="B380" s="348"/>
      <c r="C380" s="313">
        <f t="shared" si="56"/>
        <v>1</v>
      </c>
      <c r="D380" s="1128"/>
      <c r="E380" s="313">
        <f t="shared" si="57"/>
        <v>1</v>
      </c>
      <c r="F380" s="1128"/>
      <c r="G380" s="313">
        <f t="shared" si="58"/>
        <v>1</v>
      </c>
      <c r="H380" s="1128"/>
      <c r="I380" s="313">
        <f t="shared" si="59"/>
        <v>1</v>
      </c>
      <c r="J380" s="1128"/>
      <c r="K380" s="313">
        <f t="shared" si="60"/>
        <v>1</v>
      </c>
      <c r="L380" s="1128"/>
      <c r="M380" s="313">
        <f t="shared" si="61"/>
        <v>1</v>
      </c>
      <c r="N380" s="1128"/>
      <c r="O380" s="313">
        <f t="shared" si="62"/>
        <v>1</v>
      </c>
      <c r="P380" s="1128"/>
      <c r="Q380" s="313">
        <f t="shared" si="63"/>
        <v>1</v>
      </c>
      <c r="R380" s="1124">
        <f t="shared" si="64"/>
        <v>0</v>
      </c>
      <c r="S380" s="698">
        <f t="shared" si="55"/>
        <v>0</v>
      </c>
    </row>
    <row r="381" spans="1:19">
      <c r="A381" s="491"/>
      <c r="B381" s="348"/>
      <c r="C381" s="313">
        <f t="shared" si="56"/>
        <v>1</v>
      </c>
      <c r="D381" s="1128"/>
      <c r="E381" s="313">
        <f t="shared" si="57"/>
        <v>1</v>
      </c>
      <c r="F381" s="1128"/>
      <c r="G381" s="313">
        <f t="shared" si="58"/>
        <v>1</v>
      </c>
      <c r="H381" s="1128"/>
      <c r="I381" s="313">
        <f t="shared" si="59"/>
        <v>1</v>
      </c>
      <c r="J381" s="1128"/>
      <c r="K381" s="313">
        <f t="shared" si="60"/>
        <v>1</v>
      </c>
      <c r="L381" s="1128"/>
      <c r="M381" s="313">
        <f t="shared" si="61"/>
        <v>1</v>
      </c>
      <c r="N381" s="1128"/>
      <c r="O381" s="313">
        <f t="shared" si="62"/>
        <v>1</v>
      </c>
      <c r="P381" s="1128"/>
      <c r="Q381" s="313">
        <f t="shared" si="63"/>
        <v>1</v>
      </c>
      <c r="R381" s="1124">
        <f t="shared" si="64"/>
        <v>0</v>
      </c>
      <c r="S381" s="698">
        <f t="shared" si="55"/>
        <v>0</v>
      </c>
    </row>
    <row r="382" spans="1:19">
      <c r="A382" s="491"/>
      <c r="B382" s="348"/>
      <c r="C382" s="313">
        <f t="shared" si="56"/>
        <v>1</v>
      </c>
      <c r="D382" s="1128"/>
      <c r="E382" s="313">
        <f t="shared" si="57"/>
        <v>1</v>
      </c>
      <c r="F382" s="1128"/>
      <c r="G382" s="313">
        <f t="shared" si="58"/>
        <v>1</v>
      </c>
      <c r="H382" s="1128"/>
      <c r="I382" s="313">
        <f t="shared" si="59"/>
        <v>1</v>
      </c>
      <c r="J382" s="1128"/>
      <c r="K382" s="313">
        <f t="shared" si="60"/>
        <v>1</v>
      </c>
      <c r="L382" s="1128"/>
      <c r="M382" s="313">
        <f t="shared" si="61"/>
        <v>1</v>
      </c>
      <c r="N382" s="1128"/>
      <c r="O382" s="313">
        <f t="shared" si="62"/>
        <v>1</v>
      </c>
      <c r="P382" s="1128"/>
      <c r="Q382" s="313">
        <f t="shared" si="63"/>
        <v>1</v>
      </c>
      <c r="R382" s="1124">
        <f t="shared" si="64"/>
        <v>0</v>
      </c>
      <c r="S382" s="698">
        <f t="shared" si="55"/>
        <v>0</v>
      </c>
    </row>
    <row r="383" spans="1:19">
      <c r="A383" s="491"/>
      <c r="B383" s="348"/>
      <c r="C383" s="313">
        <f t="shared" si="56"/>
        <v>1</v>
      </c>
      <c r="D383" s="1128"/>
      <c r="E383" s="313">
        <f t="shared" si="57"/>
        <v>1</v>
      </c>
      <c r="F383" s="1128"/>
      <c r="G383" s="313">
        <f t="shared" si="58"/>
        <v>1</v>
      </c>
      <c r="H383" s="1128"/>
      <c r="I383" s="313">
        <f t="shared" si="59"/>
        <v>1</v>
      </c>
      <c r="J383" s="1128"/>
      <c r="K383" s="313">
        <f t="shared" si="60"/>
        <v>1</v>
      </c>
      <c r="L383" s="1128"/>
      <c r="M383" s="313">
        <f t="shared" si="61"/>
        <v>1</v>
      </c>
      <c r="N383" s="1128"/>
      <c r="O383" s="313">
        <f t="shared" si="62"/>
        <v>1</v>
      </c>
      <c r="P383" s="1128"/>
      <c r="Q383" s="313">
        <f t="shared" si="63"/>
        <v>1</v>
      </c>
      <c r="R383" s="1124">
        <f t="shared" si="64"/>
        <v>0</v>
      </c>
      <c r="S383" s="698">
        <f t="shared" si="55"/>
        <v>0</v>
      </c>
    </row>
    <row r="384" spans="1:19">
      <c r="A384" s="491"/>
      <c r="B384" s="348"/>
      <c r="C384" s="313">
        <f t="shared" si="56"/>
        <v>1</v>
      </c>
      <c r="D384" s="1128"/>
      <c r="E384" s="313">
        <f t="shared" si="57"/>
        <v>1</v>
      </c>
      <c r="F384" s="1128"/>
      <c r="G384" s="313">
        <f t="shared" si="58"/>
        <v>1</v>
      </c>
      <c r="H384" s="1128"/>
      <c r="I384" s="313">
        <f t="shared" si="59"/>
        <v>1</v>
      </c>
      <c r="J384" s="1128"/>
      <c r="K384" s="313">
        <f t="shared" si="60"/>
        <v>1</v>
      </c>
      <c r="L384" s="1128"/>
      <c r="M384" s="313">
        <f t="shared" si="61"/>
        <v>1</v>
      </c>
      <c r="N384" s="1128"/>
      <c r="O384" s="313">
        <f t="shared" si="62"/>
        <v>1</v>
      </c>
      <c r="P384" s="1128"/>
      <c r="Q384" s="313">
        <f t="shared" si="63"/>
        <v>1</v>
      </c>
      <c r="R384" s="1124">
        <f t="shared" si="64"/>
        <v>0</v>
      </c>
      <c r="S384" s="698">
        <f t="shared" si="55"/>
        <v>0</v>
      </c>
    </row>
    <row r="385" spans="1:19">
      <c r="A385" s="491"/>
      <c r="B385" s="348"/>
      <c r="C385" s="313">
        <f t="shared" si="56"/>
        <v>1</v>
      </c>
      <c r="D385" s="1128"/>
      <c r="E385" s="313">
        <f t="shared" si="57"/>
        <v>1</v>
      </c>
      <c r="F385" s="1128"/>
      <c r="G385" s="313">
        <f t="shared" si="58"/>
        <v>1</v>
      </c>
      <c r="H385" s="1128"/>
      <c r="I385" s="313">
        <f t="shared" si="59"/>
        <v>1</v>
      </c>
      <c r="J385" s="1128"/>
      <c r="K385" s="313">
        <f t="shared" si="60"/>
        <v>1</v>
      </c>
      <c r="L385" s="1128"/>
      <c r="M385" s="313">
        <f t="shared" si="61"/>
        <v>1</v>
      </c>
      <c r="N385" s="1128"/>
      <c r="O385" s="313">
        <f t="shared" si="62"/>
        <v>1</v>
      </c>
      <c r="P385" s="1128"/>
      <c r="Q385" s="313">
        <f t="shared" si="63"/>
        <v>1</v>
      </c>
      <c r="R385" s="1124">
        <f t="shared" si="64"/>
        <v>0</v>
      </c>
      <c r="S385" s="698">
        <f t="shared" si="55"/>
        <v>0</v>
      </c>
    </row>
    <row r="386" spans="1:19">
      <c r="A386" s="491"/>
      <c r="B386" s="348"/>
      <c r="C386" s="313">
        <f t="shared" si="56"/>
        <v>1</v>
      </c>
      <c r="D386" s="1128"/>
      <c r="E386" s="313">
        <f t="shared" si="57"/>
        <v>1</v>
      </c>
      <c r="F386" s="1128"/>
      <c r="G386" s="313">
        <f t="shared" si="58"/>
        <v>1</v>
      </c>
      <c r="H386" s="1128"/>
      <c r="I386" s="313">
        <f t="shared" si="59"/>
        <v>1</v>
      </c>
      <c r="J386" s="1128"/>
      <c r="K386" s="313">
        <f t="shared" si="60"/>
        <v>1</v>
      </c>
      <c r="L386" s="1128"/>
      <c r="M386" s="313">
        <f t="shared" si="61"/>
        <v>1</v>
      </c>
      <c r="N386" s="1128"/>
      <c r="O386" s="313">
        <f t="shared" si="62"/>
        <v>1</v>
      </c>
      <c r="P386" s="1128"/>
      <c r="Q386" s="313">
        <f t="shared" si="63"/>
        <v>1</v>
      </c>
      <c r="R386" s="1124">
        <f t="shared" si="64"/>
        <v>0</v>
      </c>
      <c r="S386" s="698">
        <f t="shared" si="55"/>
        <v>0</v>
      </c>
    </row>
    <row r="387" spans="1:19">
      <c r="A387" s="491"/>
      <c r="B387" s="348"/>
      <c r="C387" s="313">
        <f t="shared" si="56"/>
        <v>1</v>
      </c>
      <c r="D387" s="1128"/>
      <c r="E387" s="313">
        <f t="shared" si="57"/>
        <v>1</v>
      </c>
      <c r="F387" s="1128"/>
      <c r="G387" s="313">
        <f t="shared" si="58"/>
        <v>1</v>
      </c>
      <c r="H387" s="1128"/>
      <c r="I387" s="313">
        <f t="shared" si="59"/>
        <v>1</v>
      </c>
      <c r="J387" s="1128"/>
      <c r="K387" s="313">
        <f t="shared" si="60"/>
        <v>1</v>
      </c>
      <c r="L387" s="1128"/>
      <c r="M387" s="313">
        <f t="shared" si="61"/>
        <v>1</v>
      </c>
      <c r="N387" s="1128"/>
      <c r="O387" s="313">
        <f t="shared" si="62"/>
        <v>1</v>
      </c>
      <c r="P387" s="1128"/>
      <c r="Q387" s="313">
        <f t="shared" si="63"/>
        <v>1</v>
      </c>
      <c r="R387" s="1124">
        <f t="shared" si="64"/>
        <v>0</v>
      </c>
      <c r="S387" s="698">
        <f t="shared" si="55"/>
        <v>0</v>
      </c>
    </row>
    <row r="388" spans="1:19">
      <c r="A388" s="491"/>
      <c r="B388" s="348"/>
      <c r="C388" s="313">
        <f t="shared" si="56"/>
        <v>1</v>
      </c>
      <c r="D388" s="1128"/>
      <c r="E388" s="313">
        <f t="shared" si="57"/>
        <v>1</v>
      </c>
      <c r="F388" s="1128"/>
      <c r="G388" s="313">
        <f t="shared" si="58"/>
        <v>1</v>
      </c>
      <c r="H388" s="1128"/>
      <c r="I388" s="313">
        <f t="shared" si="59"/>
        <v>1</v>
      </c>
      <c r="J388" s="1128"/>
      <c r="K388" s="313">
        <f t="shared" si="60"/>
        <v>1</v>
      </c>
      <c r="L388" s="1128"/>
      <c r="M388" s="313">
        <f t="shared" si="61"/>
        <v>1</v>
      </c>
      <c r="N388" s="1128"/>
      <c r="O388" s="313">
        <f t="shared" si="62"/>
        <v>1</v>
      </c>
      <c r="P388" s="1128"/>
      <c r="Q388" s="313">
        <f t="shared" si="63"/>
        <v>1</v>
      </c>
      <c r="R388" s="1124">
        <f t="shared" si="64"/>
        <v>0</v>
      </c>
      <c r="S388" s="698">
        <f t="shared" si="55"/>
        <v>0</v>
      </c>
    </row>
    <row r="389" spans="1:19">
      <c r="A389" s="491"/>
      <c r="B389" s="348"/>
      <c r="C389" s="313">
        <f t="shared" si="56"/>
        <v>1</v>
      </c>
      <c r="D389" s="1128"/>
      <c r="E389" s="313">
        <f t="shared" si="57"/>
        <v>1</v>
      </c>
      <c r="F389" s="1128"/>
      <c r="G389" s="313">
        <f t="shared" si="58"/>
        <v>1</v>
      </c>
      <c r="H389" s="1128"/>
      <c r="I389" s="313">
        <f t="shared" si="59"/>
        <v>1</v>
      </c>
      <c r="J389" s="1128"/>
      <c r="K389" s="313">
        <f t="shared" si="60"/>
        <v>1</v>
      </c>
      <c r="L389" s="1128"/>
      <c r="M389" s="313">
        <f t="shared" si="61"/>
        <v>1</v>
      </c>
      <c r="N389" s="1128"/>
      <c r="O389" s="313">
        <f t="shared" si="62"/>
        <v>1</v>
      </c>
      <c r="P389" s="1128"/>
      <c r="Q389" s="313">
        <f t="shared" si="63"/>
        <v>1</v>
      </c>
      <c r="R389" s="1124">
        <f t="shared" si="64"/>
        <v>0</v>
      </c>
      <c r="S389" s="698">
        <f t="shared" si="55"/>
        <v>0</v>
      </c>
    </row>
    <row r="390" spans="1:19">
      <c r="A390" s="491"/>
      <c r="B390" s="348"/>
      <c r="C390" s="313">
        <f t="shared" si="56"/>
        <v>1</v>
      </c>
      <c r="D390" s="1128"/>
      <c r="E390" s="313">
        <f t="shared" si="57"/>
        <v>1</v>
      </c>
      <c r="F390" s="1128"/>
      <c r="G390" s="313">
        <f t="shared" si="58"/>
        <v>1</v>
      </c>
      <c r="H390" s="1128"/>
      <c r="I390" s="313">
        <f t="shared" si="59"/>
        <v>1</v>
      </c>
      <c r="J390" s="1128"/>
      <c r="K390" s="313">
        <f t="shared" si="60"/>
        <v>1</v>
      </c>
      <c r="L390" s="1128"/>
      <c r="M390" s="313">
        <f t="shared" si="61"/>
        <v>1</v>
      </c>
      <c r="N390" s="1128"/>
      <c r="O390" s="313">
        <f t="shared" si="62"/>
        <v>1</v>
      </c>
      <c r="P390" s="1128"/>
      <c r="Q390" s="313">
        <f t="shared" si="63"/>
        <v>1</v>
      </c>
      <c r="R390" s="1124">
        <f t="shared" si="64"/>
        <v>0</v>
      </c>
      <c r="S390" s="698">
        <f t="shared" si="55"/>
        <v>0</v>
      </c>
    </row>
    <row r="391" spans="1:19">
      <c r="A391" s="491"/>
      <c r="B391" s="348"/>
      <c r="C391" s="313">
        <f t="shared" si="56"/>
        <v>1</v>
      </c>
      <c r="D391" s="1128"/>
      <c r="E391" s="313">
        <f t="shared" si="57"/>
        <v>1</v>
      </c>
      <c r="F391" s="1128"/>
      <c r="G391" s="313">
        <f t="shared" si="58"/>
        <v>1</v>
      </c>
      <c r="H391" s="1128"/>
      <c r="I391" s="313">
        <f t="shared" si="59"/>
        <v>1</v>
      </c>
      <c r="J391" s="1128"/>
      <c r="K391" s="313">
        <f t="shared" si="60"/>
        <v>1</v>
      </c>
      <c r="L391" s="1128"/>
      <c r="M391" s="313">
        <f t="shared" si="61"/>
        <v>1</v>
      </c>
      <c r="N391" s="1128"/>
      <c r="O391" s="313">
        <f t="shared" si="62"/>
        <v>1</v>
      </c>
      <c r="P391" s="1128"/>
      <c r="Q391" s="313">
        <f t="shared" si="63"/>
        <v>1</v>
      </c>
      <c r="R391" s="1124">
        <f t="shared" si="64"/>
        <v>0</v>
      </c>
      <c r="S391" s="698">
        <f t="shared" si="55"/>
        <v>0</v>
      </c>
    </row>
    <row r="392" spans="1:19">
      <c r="A392" s="491"/>
      <c r="B392" s="348"/>
      <c r="C392" s="313">
        <f t="shared" si="56"/>
        <v>1</v>
      </c>
      <c r="D392" s="1128"/>
      <c r="E392" s="313">
        <f t="shared" si="57"/>
        <v>1</v>
      </c>
      <c r="F392" s="1128"/>
      <c r="G392" s="313">
        <f t="shared" si="58"/>
        <v>1</v>
      </c>
      <c r="H392" s="1128"/>
      <c r="I392" s="313">
        <f t="shared" si="59"/>
        <v>1</v>
      </c>
      <c r="J392" s="1128"/>
      <c r="K392" s="313">
        <f t="shared" si="60"/>
        <v>1</v>
      </c>
      <c r="L392" s="1128"/>
      <c r="M392" s="313">
        <f t="shared" si="61"/>
        <v>1</v>
      </c>
      <c r="N392" s="1128"/>
      <c r="O392" s="313">
        <f t="shared" si="62"/>
        <v>1</v>
      </c>
      <c r="P392" s="1128"/>
      <c r="Q392" s="313">
        <f t="shared" si="63"/>
        <v>1</v>
      </c>
      <c r="R392" s="1124">
        <f t="shared" si="64"/>
        <v>0</v>
      </c>
      <c r="S392" s="698">
        <f t="shared" si="55"/>
        <v>0</v>
      </c>
    </row>
    <row r="393" spans="1:19">
      <c r="A393" s="491"/>
      <c r="B393" s="348"/>
      <c r="C393" s="313">
        <f t="shared" si="56"/>
        <v>1</v>
      </c>
      <c r="D393" s="1128"/>
      <c r="E393" s="313">
        <f t="shared" si="57"/>
        <v>1</v>
      </c>
      <c r="F393" s="1128"/>
      <c r="G393" s="313">
        <f t="shared" si="58"/>
        <v>1</v>
      </c>
      <c r="H393" s="1128"/>
      <c r="I393" s="313">
        <f t="shared" si="59"/>
        <v>1</v>
      </c>
      <c r="J393" s="1128"/>
      <c r="K393" s="313">
        <f t="shared" si="60"/>
        <v>1</v>
      </c>
      <c r="L393" s="1128"/>
      <c r="M393" s="313">
        <f t="shared" si="61"/>
        <v>1</v>
      </c>
      <c r="N393" s="1128"/>
      <c r="O393" s="313">
        <f t="shared" si="62"/>
        <v>1</v>
      </c>
      <c r="P393" s="1128"/>
      <c r="Q393" s="313">
        <f t="shared" si="63"/>
        <v>1</v>
      </c>
      <c r="R393" s="1124">
        <f t="shared" si="64"/>
        <v>0</v>
      </c>
      <c r="S393" s="698">
        <f t="shared" si="55"/>
        <v>0</v>
      </c>
    </row>
    <row r="394" spans="1:19">
      <c r="A394" s="491"/>
      <c r="B394" s="348"/>
      <c r="C394" s="313">
        <f t="shared" si="56"/>
        <v>1</v>
      </c>
      <c r="D394" s="1128"/>
      <c r="E394" s="313">
        <f t="shared" si="57"/>
        <v>1</v>
      </c>
      <c r="F394" s="1128"/>
      <c r="G394" s="313">
        <f t="shared" si="58"/>
        <v>1</v>
      </c>
      <c r="H394" s="1128"/>
      <c r="I394" s="313">
        <f t="shared" si="59"/>
        <v>1</v>
      </c>
      <c r="J394" s="1128"/>
      <c r="K394" s="313">
        <f t="shared" si="60"/>
        <v>1</v>
      </c>
      <c r="L394" s="1128"/>
      <c r="M394" s="313">
        <f t="shared" si="61"/>
        <v>1</v>
      </c>
      <c r="N394" s="1128"/>
      <c r="O394" s="313">
        <f t="shared" si="62"/>
        <v>1</v>
      </c>
      <c r="P394" s="1128"/>
      <c r="Q394" s="313">
        <f t="shared" si="63"/>
        <v>1</v>
      </c>
      <c r="R394" s="1124">
        <f t="shared" si="64"/>
        <v>0</v>
      </c>
      <c r="S394" s="698">
        <f t="shared" si="55"/>
        <v>0</v>
      </c>
    </row>
    <row r="395" spans="1:19">
      <c r="A395" s="491"/>
      <c r="B395" s="348"/>
      <c r="C395" s="313">
        <f t="shared" si="56"/>
        <v>1</v>
      </c>
      <c r="D395" s="1128"/>
      <c r="E395" s="313">
        <f t="shared" si="57"/>
        <v>1</v>
      </c>
      <c r="F395" s="1128"/>
      <c r="G395" s="313">
        <f t="shared" si="58"/>
        <v>1</v>
      </c>
      <c r="H395" s="1128"/>
      <c r="I395" s="313">
        <f t="shared" si="59"/>
        <v>1</v>
      </c>
      <c r="J395" s="1128"/>
      <c r="K395" s="313">
        <f t="shared" si="60"/>
        <v>1</v>
      </c>
      <c r="L395" s="1128"/>
      <c r="M395" s="313">
        <f t="shared" si="61"/>
        <v>1</v>
      </c>
      <c r="N395" s="1128"/>
      <c r="O395" s="313">
        <f t="shared" si="62"/>
        <v>1</v>
      </c>
      <c r="P395" s="1128"/>
      <c r="Q395" s="313">
        <f t="shared" si="63"/>
        <v>1</v>
      </c>
      <c r="R395" s="1124">
        <f t="shared" si="64"/>
        <v>0</v>
      </c>
      <c r="S395" s="698">
        <f t="shared" si="55"/>
        <v>0</v>
      </c>
    </row>
    <row r="396" spans="1:19">
      <c r="A396" s="491"/>
      <c r="B396" s="348"/>
      <c r="C396" s="313">
        <f t="shared" si="56"/>
        <v>1</v>
      </c>
      <c r="D396" s="1128"/>
      <c r="E396" s="313">
        <f t="shared" si="57"/>
        <v>1</v>
      </c>
      <c r="F396" s="1128"/>
      <c r="G396" s="313">
        <f t="shared" si="58"/>
        <v>1</v>
      </c>
      <c r="H396" s="1128"/>
      <c r="I396" s="313">
        <f t="shared" si="59"/>
        <v>1</v>
      </c>
      <c r="J396" s="1128"/>
      <c r="K396" s="313">
        <f t="shared" si="60"/>
        <v>1</v>
      </c>
      <c r="L396" s="1128"/>
      <c r="M396" s="313">
        <f t="shared" si="61"/>
        <v>1</v>
      </c>
      <c r="N396" s="1128"/>
      <c r="O396" s="313">
        <f t="shared" si="62"/>
        <v>1</v>
      </c>
      <c r="P396" s="1128"/>
      <c r="Q396" s="313">
        <f t="shared" si="63"/>
        <v>1</v>
      </c>
      <c r="R396" s="1124">
        <f t="shared" si="64"/>
        <v>0</v>
      </c>
      <c r="S396" s="698">
        <f t="shared" si="55"/>
        <v>0</v>
      </c>
    </row>
    <row r="397" spans="1:19">
      <c r="A397" s="491"/>
      <c r="B397" s="348"/>
      <c r="C397" s="313">
        <f t="shared" si="56"/>
        <v>1</v>
      </c>
      <c r="D397" s="1128"/>
      <c r="E397" s="313">
        <f t="shared" si="57"/>
        <v>1</v>
      </c>
      <c r="F397" s="1128"/>
      <c r="G397" s="313">
        <f t="shared" si="58"/>
        <v>1</v>
      </c>
      <c r="H397" s="1128"/>
      <c r="I397" s="313">
        <f t="shared" si="59"/>
        <v>1</v>
      </c>
      <c r="J397" s="1128"/>
      <c r="K397" s="313">
        <f t="shared" si="60"/>
        <v>1</v>
      </c>
      <c r="L397" s="1128"/>
      <c r="M397" s="313">
        <f t="shared" si="61"/>
        <v>1</v>
      </c>
      <c r="N397" s="1128"/>
      <c r="O397" s="313">
        <f t="shared" si="62"/>
        <v>1</v>
      </c>
      <c r="P397" s="1128"/>
      <c r="Q397" s="313">
        <f t="shared" si="63"/>
        <v>1</v>
      </c>
      <c r="R397" s="1124">
        <f t="shared" si="64"/>
        <v>0</v>
      </c>
      <c r="S397" s="698">
        <f t="shared" si="55"/>
        <v>0</v>
      </c>
    </row>
    <row r="398" spans="1:19">
      <c r="A398" s="491"/>
      <c r="B398" s="348"/>
      <c r="C398" s="313">
        <f t="shared" si="56"/>
        <v>1</v>
      </c>
      <c r="D398" s="1128"/>
      <c r="E398" s="313">
        <f t="shared" si="57"/>
        <v>1</v>
      </c>
      <c r="F398" s="1128"/>
      <c r="G398" s="313">
        <f t="shared" si="58"/>
        <v>1</v>
      </c>
      <c r="H398" s="1128"/>
      <c r="I398" s="313">
        <f t="shared" si="59"/>
        <v>1</v>
      </c>
      <c r="J398" s="1128"/>
      <c r="K398" s="313">
        <f t="shared" si="60"/>
        <v>1</v>
      </c>
      <c r="L398" s="1128"/>
      <c r="M398" s="313">
        <f t="shared" si="61"/>
        <v>1</v>
      </c>
      <c r="N398" s="1128"/>
      <c r="O398" s="313">
        <f t="shared" si="62"/>
        <v>1</v>
      </c>
      <c r="P398" s="1128"/>
      <c r="Q398" s="313">
        <f t="shared" si="63"/>
        <v>1</v>
      </c>
      <c r="R398" s="1124">
        <f t="shared" si="64"/>
        <v>0</v>
      </c>
      <c r="S398" s="698">
        <f t="shared" si="55"/>
        <v>0</v>
      </c>
    </row>
    <row r="399" spans="1:19">
      <c r="A399" s="491"/>
      <c r="B399" s="348"/>
      <c r="C399" s="313">
        <f t="shared" si="56"/>
        <v>1</v>
      </c>
      <c r="D399" s="1128"/>
      <c r="E399" s="313">
        <f t="shared" si="57"/>
        <v>1</v>
      </c>
      <c r="F399" s="1128"/>
      <c r="G399" s="313">
        <f t="shared" si="58"/>
        <v>1</v>
      </c>
      <c r="H399" s="1128"/>
      <c r="I399" s="313">
        <f t="shared" si="59"/>
        <v>1</v>
      </c>
      <c r="J399" s="1128"/>
      <c r="K399" s="313">
        <f t="shared" si="60"/>
        <v>1</v>
      </c>
      <c r="L399" s="1128"/>
      <c r="M399" s="313">
        <f t="shared" si="61"/>
        <v>1</v>
      </c>
      <c r="N399" s="1128"/>
      <c r="O399" s="313">
        <f t="shared" si="62"/>
        <v>1</v>
      </c>
      <c r="P399" s="1128"/>
      <c r="Q399" s="313">
        <f t="shared" si="63"/>
        <v>1</v>
      </c>
      <c r="R399" s="1124">
        <f t="shared" si="64"/>
        <v>0</v>
      </c>
      <c r="S399" s="698">
        <f t="shared" si="55"/>
        <v>0</v>
      </c>
    </row>
    <row r="400" spans="1:19">
      <c r="A400" s="491"/>
      <c r="B400" s="348"/>
      <c r="C400" s="313">
        <f t="shared" si="56"/>
        <v>1</v>
      </c>
      <c r="D400" s="1128"/>
      <c r="E400" s="313">
        <f t="shared" si="57"/>
        <v>1</v>
      </c>
      <c r="F400" s="1128"/>
      <c r="G400" s="313">
        <f t="shared" si="58"/>
        <v>1</v>
      </c>
      <c r="H400" s="1128"/>
      <c r="I400" s="313">
        <f t="shared" si="59"/>
        <v>1</v>
      </c>
      <c r="J400" s="1128"/>
      <c r="K400" s="313">
        <f t="shared" si="60"/>
        <v>1</v>
      </c>
      <c r="L400" s="1128"/>
      <c r="M400" s="313">
        <f t="shared" si="61"/>
        <v>1</v>
      </c>
      <c r="N400" s="1128"/>
      <c r="O400" s="313">
        <f t="shared" si="62"/>
        <v>1</v>
      </c>
      <c r="P400" s="1128"/>
      <c r="Q400" s="313">
        <f t="shared" si="63"/>
        <v>1</v>
      </c>
      <c r="R400" s="1124">
        <f t="shared" si="64"/>
        <v>0</v>
      </c>
      <c r="S400" s="698">
        <f t="shared" si="55"/>
        <v>0</v>
      </c>
    </row>
    <row r="401" spans="1:19">
      <c r="A401" s="491"/>
      <c r="B401" s="348"/>
      <c r="C401" s="313">
        <f t="shared" si="56"/>
        <v>1</v>
      </c>
      <c r="D401" s="1128"/>
      <c r="E401" s="313">
        <f t="shared" si="57"/>
        <v>1</v>
      </c>
      <c r="F401" s="1128"/>
      <c r="G401" s="313">
        <f t="shared" si="58"/>
        <v>1</v>
      </c>
      <c r="H401" s="1128"/>
      <c r="I401" s="313">
        <f t="shared" si="59"/>
        <v>1</v>
      </c>
      <c r="J401" s="1128"/>
      <c r="K401" s="313">
        <f t="shared" si="60"/>
        <v>1</v>
      </c>
      <c r="L401" s="1128"/>
      <c r="M401" s="313">
        <f t="shared" si="61"/>
        <v>1</v>
      </c>
      <c r="N401" s="1128"/>
      <c r="O401" s="313">
        <f t="shared" si="62"/>
        <v>1</v>
      </c>
      <c r="P401" s="1128"/>
      <c r="Q401" s="313">
        <f t="shared" si="63"/>
        <v>1</v>
      </c>
      <c r="R401" s="1124">
        <f t="shared" si="64"/>
        <v>0</v>
      </c>
      <c r="S401" s="698">
        <f t="shared" si="55"/>
        <v>0</v>
      </c>
    </row>
    <row r="402" spans="1:19">
      <c r="A402" s="491"/>
      <c r="B402" s="348"/>
      <c r="C402" s="313">
        <f t="shared" si="56"/>
        <v>1</v>
      </c>
      <c r="D402" s="1128"/>
      <c r="E402" s="313">
        <f t="shared" si="57"/>
        <v>1</v>
      </c>
      <c r="F402" s="1128"/>
      <c r="G402" s="313">
        <f t="shared" si="58"/>
        <v>1</v>
      </c>
      <c r="H402" s="1128"/>
      <c r="I402" s="313">
        <f t="shared" si="59"/>
        <v>1</v>
      </c>
      <c r="J402" s="1128"/>
      <c r="K402" s="313">
        <f t="shared" si="60"/>
        <v>1</v>
      </c>
      <c r="L402" s="1128"/>
      <c r="M402" s="313">
        <f t="shared" si="61"/>
        <v>1</v>
      </c>
      <c r="N402" s="1128"/>
      <c r="O402" s="313">
        <f t="shared" si="62"/>
        <v>1</v>
      </c>
      <c r="P402" s="1128"/>
      <c r="Q402" s="313">
        <f t="shared" si="63"/>
        <v>1</v>
      </c>
      <c r="R402" s="1124">
        <f t="shared" si="64"/>
        <v>0</v>
      </c>
      <c r="S402" s="698">
        <f t="shared" si="55"/>
        <v>0</v>
      </c>
    </row>
    <row r="403" spans="1:19">
      <c r="A403" s="491"/>
      <c r="B403" s="348"/>
      <c r="C403" s="313">
        <f t="shared" si="56"/>
        <v>1</v>
      </c>
      <c r="D403" s="1128"/>
      <c r="E403" s="313">
        <f t="shared" si="57"/>
        <v>1</v>
      </c>
      <c r="F403" s="1128"/>
      <c r="G403" s="313">
        <f t="shared" si="58"/>
        <v>1</v>
      </c>
      <c r="H403" s="1128"/>
      <c r="I403" s="313">
        <f t="shared" si="59"/>
        <v>1</v>
      </c>
      <c r="J403" s="1128"/>
      <c r="K403" s="313">
        <f t="shared" si="60"/>
        <v>1</v>
      </c>
      <c r="L403" s="1128"/>
      <c r="M403" s="313">
        <f t="shared" si="61"/>
        <v>1</v>
      </c>
      <c r="N403" s="1128"/>
      <c r="O403" s="313">
        <f t="shared" si="62"/>
        <v>1</v>
      </c>
      <c r="P403" s="1128"/>
      <c r="Q403" s="313">
        <f t="shared" si="63"/>
        <v>1</v>
      </c>
      <c r="R403" s="1124">
        <f t="shared" si="64"/>
        <v>0</v>
      </c>
      <c r="S403" s="698">
        <f t="shared" si="55"/>
        <v>0</v>
      </c>
    </row>
    <row r="404" spans="1:19">
      <c r="A404" s="491"/>
      <c r="B404" s="348"/>
      <c r="C404" s="313">
        <f t="shared" si="56"/>
        <v>1</v>
      </c>
      <c r="D404" s="1128"/>
      <c r="E404" s="313">
        <f t="shared" si="57"/>
        <v>1</v>
      </c>
      <c r="F404" s="1128"/>
      <c r="G404" s="313">
        <f t="shared" si="58"/>
        <v>1</v>
      </c>
      <c r="H404" s="1128"/>
      <c r="I404" s="313">
        <f t="shared" si="59"/>
        <v>1</v>
      </c>
      <c r="J404" s="1128"/>
      <c r="K404" s="313">
        <f t="shared" si="60"/>
        <v>1</v>
      </c>
      <c r="L404" s="1128"/>
      <c r="M404" s="313">
        <f t="shared" si="61"/>
        <v>1</v>
      </c>
      <c r="N404" s="1128"/>
      <c r="O404" s="313">
        <f t="shared" si="62"/>
        <v>1</v>
      </c>
      <c r="P404" s="1128"/>
      <c r="Q404" s="313">
        <f t="shared" si="63"/>
        <v>1</v>
      </c>
      <c r="R404" s="1124">
        <f t="shared" si="64"/>
        <v>0</v>
      </c>
      <c r="S404" s="698">
        <f t="shared" si="55"/>
        <v>0</v>
      </c>
    </row>
    <row r="405" spans="1:19">
      <c r="A405" s="491"/>
      <c r="B405" s="348"/>
      <c r="C405" s="313">
        <f t="shared" si="56"/>
        <v>1</v>
      </c>
      <c r="D405" s="1128"/>
      <c r="E405" s="313">
        <f t="shared" si="57"/>
        <v>1</v>
      </c>
      <c r="F405" s="1128"/>
      <c r="G405" s="313">
        <f t="shared" si="58"/>
        <v>1</v>
      </c>
      <c r="H405" s="1128"/>
      <c r="I405" s="313">
        <f t="shared" si="59"/>
        <v>1</v>
      </c>
      <c r="J405" s="1128"/>
      <c r="K405" s="313">
        <f t="shared" si="60"/>
        <v>1</v>
      </c>
      <c r="L405" s="1128"/>
      <c r="M405" s="313">
        <f t="shared" si="61"/>
        <v>1</v>
      </c>
      <c r="N405" s="1128"/>
      <c r="O405" s="313">
        <f t="shared" si="62"/>
        <v>1</v>
      </c>
      <c r="P405" s="1128"/>
      <c r="Q405" s="313">
        <f t="shared" si="63"/>
        <v>1</v>
      </c>
      <c r="R405" s="1124">
        <f t="shared" si="64"/>
        <v>0</v>
      </c>
      <c r="S405" s="698">
        <f t="shared" si="55"/>
        <v>0</v>
      </c>
    </row>
    <row r="406" spans="1:19">
      <c r="A406" s="491"/>
      <c r="B406" s="348"/>
      <c r="C406" s="313">
        <f t="shared" si="56"/>
        <v>1</v>
      </c>
      <c r="D406" s="1128"/>
      <c r="E406" s="313">
        <f t="shared" si="57"/>
        <v>1</v>
      </c>
      <c r="F406" s="1128"/>
      <c r="G406" s="313">
        <f t="shared" si="58"/>
        <v>1</v>
      </c>
      <c r="H406" s="1128"/>
      <c r="I406" s="313">
        <f t="shared" si="59"/>
        <v>1</v>
      </c>
      <c r="J406" s="1128"/>
      <c r="K406" s="313">
        <f t="shared" si="60"/>
        <v>1</v>
      </c>
      <c r="L406" s="1128"/>
      <c r="M406" s="313">
        <f t="shared" si="61"/>
        <v>1</v>
      </c>
      <c r="N406" s="1128"/>
      <c r="O406" s="313">
        <f t="shared" si="62"/>
        <v>1</v>
      </c>
      <c r="P406" s="1128"/>
      <c r="Q406" s="313">
        <f t="shared" si="63"/>
        <v>1</v>
      </c>
      <c r="R406" s="1124">
        <f t="shared" si="64"/>
        <v>0</v>
      </c>
      <c r="S406" s="698">
        <f t="shared" si="55"/>
        <v>0</v>
      </c>
    </row>
    <row r="407" spans="1:19">
      <c r="A407" s="491"/>
      <c r="B407" s="348"/>
      <c r="C407" s="313">
        <f t="shared" si="56"/>
        <v>1</v>
      </c>
      <c r="D407" s="1128"/>
      <c r="E407" s="313">
        <f t="shared" si="57"/>
        <v>1</v>
      </c>
      <c r="F407" s="1128"/>
      <c r="G407" s="313">
        <f t="shared" si="58"/>
        <v>1</v>
      </c>
      <c r="H407" s="1128"/>
      <c r="I407" s="313">
        <f t="shared" si="59"/>
        <v>1</v>
      </c>
      <c r="J407" s="1128"/>
      <c r="K407" s="313">
        <f t="shared" si="60"/>
        <v>1</v>
      </c>
      <c r="L407" s="1128"/>
      <c r="M407" s="313">
        <f t="shared" si="61"/>
        <v>1</v>
      </c>
      <c r="N407" s="1128"/>
      <c r="O407" s="313">
        <f t="shared" si="62"/>
        <v>1</v>
      </c>
      <c r="P407" s="1128"/>
      <c r="Q407" s="313">
        <f t="shared" si="63"/>
        <v>1</v>
      </c>
      <c r="R407" s="1124">
        <f t="shared" si="64"/>
        <v>0</v>
      </c>
      <c r="S407" s="698">
        <f t="shared" si="55"/>
        <v>0</v>
      </c>
    </row>
    <row r="408" spans="1:19">
      <c r="A408" s="491"/>
      <c r="B408" s="348"/>
      <c r="C408" s="313">
        <f t="shared" si="56"/>
        <v>1</v>
      </c>
      <c r="D408" s="1128"/>
      <c r="E408" s="313">
        <f t="shared" si="57"/>
        <v>1</v>
      </c>
      <c r="F408" s="1128"/>
      <c r="G408" s="313">
        <f t="shared" si="58"/>
        <v>1</v>
      </c>
      <c r="H408" s="1128"/>
      <c r="I408" s="313">
        <f t="shared" si="59"/>
        <v>1</v>
      </c>
      <c r="J408" s="1128"/>
      <c r="K408" s="313">
        <f t="shared" si="60"/>
        <v>1</v>
      </c>
      <c r="L408" s="1128"/>
      <c r="M408" s="313">
        <f t="shared" si="61"/>
        <v>1</v>
      </c>
      <c r="N408" s="1128"/>
      <c r="O408" s="313">
        <f t="shared" si="62"/>
        <v>1</v>
      </c>
      <c r="P408" s="1128"/>
      <c r="Q408" s="313">
        <f t="shared" si="63"/>
        <v>1</v>
      </c>
      <c r="R408" s="1124">
        <f t="shared" si="64"/>
        <v>0</v>
      </c>
      <c r="S408" s="698">
        <f t="shared" ref="S408:S471" si="65">ROUND(R408*B408/10000,0)</f>
        <v>0</v>
      </c>
    </row>
    <row r="409" spans="1:19">
      <c r="A409" s="491"/>
      <c r="B409" s="348"/>
      <c r="C409" s="313">
        <f t="shared" si="56"/>
        <v>1</v>
      </c>
      <c r="D409" s="1128"/>
      <c r="E409" s="313">
        <f t="shared" si="57"/>
        <v>1</v>
      </c>
      <c r="F409" s="1128"/>
      <c r="G409" s="313">
        <f t="shared" si="58"/>
        <v>1</v>
      </c>
      <c r="H409" s="1128"/>
      <c r="I409" s="313">
        <f t="shared" si="59"/>
        <v>1</v>
      </c>
      <c r="J409" s="1128"/>
      <c r="K409" s="313">
        <f t="shared" si="60"/>
        <v>1</v>
      </c>
      <c r="L409" s="1128"/>
      <c r="M409" s="313">
        <f t="shared" si="61"/>
        <v>1</v>
      </c>
      <c r="N409" s="1128"/>
      <c r="O409" s="313">
        <f t="shared" si="62"/>
        <v>1</v>
      </c>
      <c r="P409" s="1128"/>
      <c r="Q409" s="313">
        <f t="shared" si="63"/>
        <v>1</v>
      </c>
      <c r="R409" s="1124">
        <f t="shared" si="64"/>
        <v>0</v>
      </c>
      <c r="S409" s="698">
        <f t="shared" si="65"/>
        <v>0</v>
      </c>
    </row>
    <row r="410" spans="1:19">
      <c r="A410" s="491"/>
      <c r="B410" s="348"/>
      <c r="C410" s="313">
        <f t="shared" ref="C410:C473" si="66">IF(B410="",1,(LOOKUP(B410,$3:$3,$4:$4)-LOOKUP($B$24,$3:$3,$4:$4)+100)/100)</f>
        <v>1</v>
      </c>
      <c r="D410" s="1128"/>
      <c r="E410" s="313">
        <f t="shared" ref="E410:E473" si="67">(SUMIF($5:$5,D410,$6:$6)-SUMIF($5:$5,$D$24,$6:$6)+100)/100</f>
        <v>1</v>
      </c>
      <c r="F410" s="1128"/>
      <c r="G410" s="313">
        <f t="shared" ref="G410:G473" si="68">(SUMIF($7:$7,F410,$8:$8)-SUMIF($7:$7,$F$24,$8:$8)+100)/100</f>
        <v>1</v>
      </c>
      <c r="H410" s="1128"/>
      <c r="I410" s="313">
        <f t="shared" ref="I410:I473" si="69">(SUMIF($9:$9,H410,$10:$10)-SUMIF($9:$9,$H$24,$10:$10)+100)/100</f>
        <v>1</v>
      </c>
      <c r="J410" s="1128"/>
      <c r="K410" s="313">
        <f t="shared" ref="K410:K473" si="70">(SUMIF($11:$11,J410,$12:$12)-SUMIF($11:$11,$J$24,$12:$12)+100)/100</f>
        <v>1</v>
      </c>
      <c r="L410" s="1128"/>
      <c r="M410" s="313">
        <f t="shared" ref="M410:M473" si="71">(SUMIF($13:$13,L410,$14:$14)-SUMIF($13:$13,$L$24,$14:$14)+100)/100</f>
        <v>1</v>
      </c>
      <c r="N410" s="1128"/>
      <c r="O410" s="313">
        <f t="shared" ref="O410:O473" si="72">(SUMIF($15:$15,N410,$16:$16)-SUMIF($15:$15,$N$24,$16:$16)+100)/100</f>
        <v>1</v>
      </c>
      <c r="P410" s="1128"/>
      <c r="Q410" s="313">
        <f t="shared" ref="Q410:Q473" si="73">(SUMIF($17:$17,P410,$18:$18)-SUMIF($17:$17,$P$24,$18:$18)+100)/100</f>
        <v>1</v>
      </c>
      <c r="R410" s="1124">
        <f t="shared" ref="R410:R473" si="74">IF(B410="",0,ROUND($R$24*C410*E410*G410*I410*K410*M410*O410*Q410,0))</f>
        <v>0</v>
      </c>
      <c r="S410" s="698">
        <f t="shared" si="65"/>
        <v>0</v>
      </c>
    </row>
    <row r="411" spans="1:19">
      <c r="A411" s="491"/>
      <c r="B411" s="348"/>
      <c r="C411" s="313">
        <f t="shared" si="66"/>
        <v>1</v>
      </c>
      <c r="D411" s="1128"/>
      <c r="E411" s="313">
        <f t="shared" si="67"/>
        <v>1</v>
      </c>
      <c r="F411" s="1128"/>
      <c r="G411" s="313">
        <f t="shared" si="68"/>
        <v>1</v>
      </c>
      <c r="H411" s="1128"/>
      <c r="I411" s="313">
        <f t="shared" si="69"/>
        <v>1</v>
      </c>
      <c r="J411" s="1128"/>
      <c r="K411" s="313">
        <f t="shared" si="70"/>
        <v>1</v>
      </c>
      <c r="L411" s="1128"/>
      <c r="M411" s="313">
        <f t="shared" si="71"/>
        <v>1</v>
      </c>
      <c r="N411" s="1128"/>
      <c r="O411" s="313">
        <f t="shared" si="72"/>
        <v>1</v>
      </c>
      <c r="P411" s="1128"/>
      <c r="Q411" s="313">
        <f t="shared" si="73"/>
        <v>1</v>
      </c>
      <c r="R411" s="1124">
        <f t="shared" si="74"/>
        <v>0</v>
      </c>
      <c r="S411" s="698">
        <f t="shared" si="65"/>
        <v>0</v>
      </c>
    </row>
    <row r="412" spans="1:19">
      <c r="A412" s="491"/>
      <c r="B412" s="348"/>
      <c r="C412" s="313">
        <f t="shared" si="66"/>
        <v>1</v>
      </c>
      <c r="D412" s="1128"/>
      <c r="E412" s="313">
        <f t="shared" si="67"/>
        <v>1</v>
      </c>
      <c r="F412" s="1128"/>
      <c r="G412" s="313">
        <f t="shared" si="68"/>
        <v>1</v>
      </c>
      <c r="H412" s="1128"/>
      <c r="I412" s="313">
        <f t="shared" si="69"/>
        <v>1</v>
      </c>
      <c r="J412" s="1128"/>
      <c r="K412" s="313">
        <f t="shared" si="70"/>
        <v>1</v>
      </c>
      <c r="L412" s="1128"/>
      <c r="M412" s="313">
        <f t="shared" si="71"/>
        <v>1</v>
      </c>
      <c r="N412" s="1128"/>
      <c r="O412" s="313">
        <f t="shared" si="72"/>
        <v>1</v>
      </c>
      <c r="P412" s="1128"/>
      <c r="Q412" s="313">
        <f t="shared" si="73"/>
        <v>1</v>
      </c>
      <c r="R412" s="1124">
        <f t="shared" si="74"/>
        <v>0</v>
      </c>
      <c r="S412" s="698">
        <f t="shared" si="65"/>
        <v>0</v>
      </c>
    </row>
    <row r="413" spans="1:19">
      <c r="A413" s="491"/>
      <c r="B413" s="348"/>
      <c r="C413" s="313">
        <f t="shared" si="66"/>
        <v>1</v>
      </c>
      <c r="D413" s="1128"/>
      <c r="E413" s="313">
        <f t="shared" si="67"/>
        <v>1</v>
      </c>
      <c r="F413" s="1128"/>
      <c r="G413" s="313">
        <f t="shared" si="68"/>
        <v>1</v>
      </c>
      <c r="H413" s="1128"/>
      <c r="I413" s="313">
        <f t="shared" si="69"/>
        <v>1</v>
      </c>
      <c r="J413" s="1128"/>
      <c r="K413" s="313">
        <f t="shared" si="70"/>
        <v>1</v>
      </c>
      <c r="L413" s="1128"/>
      <c r="M413" s="313">
        <f t="shared" si="71"/>
        <v>1</v>
      </c>
      <c r="N413" s="1128"/>
      <c r="O413" s="313">
        <f t="shared" si="72"/>
        <v>1</v>
      </c>
      <c r="P413" s="1128"/>
      <c r="Q413" s="313">
        <f t="shared" si="73"/>
        <v>1</v>
      </c>
      <c r="R413" s="1124">
        <f t="shared" si="74"/>
        <v>0</v>
      </c>
      <c r="S413" s="698">
        <f t="shared" si="65"/>
        <v>0</v>
      </c>
    </row>
    <row r="414" spans="1:19">
      <c r="A414" s="491"/>
      <c r="B414" s="348"/>
      <c r="C414" s="313">
        <f t="shared" si="66"/>
        <v>1</v>
      </c>
      <c r="D414" s="1128"/>
      <c r="E414" s="313">
        <f t="shared" si="67"/>
        <v>1</v>
      </c>
      <c r="F414" s="1128"/>
      <c r="G414" s="313">
        <f t="shared" si="68"/>
        <v>1</v>
      </c>
      <c r="H414" s="1128"/>
      <c r="I414" s="313">
        <f t="shared" si="69"/>
        <v>1</v>
      </c>
      <c r="J414" s="1128"/>
      <c r="K414" s="313">
        <f t="shared" si="70"/>
        <v>1</v>
      </c>
      <c r="L414" s="1128"/>
      <c r="M414" s="313">
        <f t="shared" si="71"/>
        <v>1</v>
      </c>
      <c r="N414" s="1128"/>
      <c r="O414" s="313">
        <f t="shared" si="72"/>
        <v>1</v>
      </c>
      <c r="P414" s="1128"/>
      <c r="Q414" s="313">
        <f t="shared" si="73"/>
        <v>1</v>
      </c>
      <c r="R414" s="1124">
        <f t="shared" si="74"/>
        <v>0</v>
      </c>
      <c r="S414" s="698">
        <f t="shared" si="65"/>
        <v>0</v>
      </c>
    </row>
    <row r="415" spans="1:19">
      <c r="A415" s="491"/>
      <c r="B415" s="348"/>
      <c r="C415" s="313">
        <f t="shared" si="66"/>
        <v>1</v>
      </c>
      <c r="D415" s="1128"/>
      <c r="E415" s="313">
        <f t="shared" si="67"/>
        <v>1</v>
      </c>
      <c r="F415" s="1128"/>
      <c r="G415" s="313">
        <f t="shared" si="68"/>
        <v>1</v>
      </c>
      <c r="H415" s="1128"/>
      <c r="I415" s="313">
        <f t="shared" si="69"/>
        <v>1</v>
      </c>
      <c r="J415" s="1128"/>
      <c r="K415" s="313">
        <f t="shared" si="70"/>
        <v>1</v>
      </c>
      <c r="L415" s="1128"/>
      <c r="M415" s="313">
        <f t="shared" si="71"/>
        <v>1</v>
      </c>
      <c r="N415" s="1128"/>
      <c r="O415" s="313">
        <f t="shared" si="72"/>
        <v>1</v>
      </c>
      <c r="P415" s="1128"/>
      <c r="Q415" s="313">
        <f t="shared" si="73"/>
        <v>1</v>
      </c>
      <c r="R415" s="1124">
        <f t="shared" si="74"/>
        <v>0</v>
      </c>
      <c r="S415" s="698">
        <f t="shared" si="65"/>
        <v>0</v>
      </c>
    </row>
    <row r="416" spans="1:19">
      <c r="A416" s="491"/>
      <c r="B416" s="348"/>
      <c r="C416" s="313">
        <f t="shared" si="66"/>
        <v>1</v>
      </c>
      <c r="D416" s="1128"/>
      <c r="E416" s="313">
        <f t="shared" si="67"/>
        <v>1</v>
      </c>
      <c r="F416" s="1128"/>
      <c r="G416" s="313">
        <f t="shared" si="68"/>
        <v>1</v>
      </c>
      <c r="H416" s="1128"/>
      <c r="I416" s="313">
        <f t="shared" si="69"/>
        <v>1</v>
      </c>
      <c r="J416" s="1128"/>
      <c r="K416" s="313">
        <f t="shared" si="70"/>
        <v>1</v>
      </c>
      <c r="L416" s="1128"/>
      <c r="M416" s="313">
        <f t="shared" si="71"/>
        <v>1</v>
      </c>
      <c r="N416" s="1128"/>
      <c r="O416" s="313">
        <f t="shared" si="72"/>
        <v>1</v>
      </c>
      <c r="P416" s="1128"/>
      <c r="Q416" s="313">
        <f t="shared" si="73"/>
        <v>1</v>
      </c>
      <c r="R416" s="1124">
        <f t="shared" si="74"/>
        <v>0</v>
      </c>
      <c r="S416" s="698">
        <f t="shared" si="65"/>
        <v>0</v>
      </c>
    </row>
    <row r="417" spans="1:19">
      <c r="A417" s="491"/>
      <c r="B417" s="348"/>
      <c r="C417" s="313">
        <f t="shared" si="66"/>
        <v>1</v>
      </c>
      <c r="D417" s="1128"/>
      <c r="E417" s="313">
        <f t="shared" si="67"/>
        <v>1</v>
      </c>
      <c r="F417" s="1128"/>
      <c r="G417" s="313">
        <f t="shared" si="68"/>
        <v>1</v>
      </c>
      <c r="H417" s="1128"/>
      <c r="I417" s="313">
        <f t="shared" si="69"/>
        <v>1</v>
      </c>
      <c r="J417" s="1128"/>
      <c r="K417" s="313">
        <f t="shared" si="70"/>
        <v>1</v>
      </c>
      <c r="L417" s="1128"/>
      <c r="M417" s="313">
        <f t="shared" si="71"/>
        <v>1</v>
      </c>
      <c r="N417" s="1128"/>
      <c r="O417" s="313">
        <f t="shared" si="72"/>
        <v>1</v>
      </c>
      <c r="P417" s="1128"/>
      <c r="Q417" s="313">
        <f t="shared" si="73"/>
        <v>1</v>
      </c>
      <c r="R417" s="1124">
        <f t="shared" si="74"/>
        <v>0</v>
      </c>
      <c r="S417" s="698">
        <f t="shared" si="65"/>
        <v>0</v>
      </c>
    </row>
    <row r="418" spans="1:19">
      <c r="A418" s="491"/>
      <c r="B418" s="348"/>
      <c r="C418" s="313">
        <f t="shared" si="66"/>
        <v>1</v>
      </c>
      <c r="D418" s="1128"/>
      <c r="E418" s="313">
        <f t="shared" si="67"/>
        <v>1</v>
      </c>
      <c r="F418" s="1128"/>
      <c r="G418" s="313">
        <f t="shared" si="68"/>
        <v>1</v>
      </c>
      <c r="H418" s="1128"/>
      <c r="I418" s="313">
        <f t="shared" si="69"/>
        <v>1</v>
      </c>
      <c r="J418" s="1128"/>
      <c r="K418" s="313">
        <f t="shared" si="70"/>
        <v>1</v>
      </c>
      <c r="L418" s="1128"/>
      <c r="M418" s="313">
        <f t="shared" si="71"/>
        <v>1</v>
      </c>
      <c r="N418" s="1128"/>
      <c r="O418" s="313">
        <f t="shared" si="72"/>
        <v>1</v>
      </c>
      <c r="P418" s="1128"/>
      <c r="Q418" s="313">
        <f t="shared" si="73"/>
        <v>1</v>
      </c>
      <c r="R418" s="1124">
        <f t="shared" si="74"/>
        <v>0</v>
      </c>
      <c r="S418" s="698">
        <f t="shared" si="65"/>
        <v>0</v>
      </c>
    </row>
    <row r="419" spans="1:19">
      <c r="A419" s="491"/>
      <c r="B419" s="348"/>
      <c r="C419" s="313">
        <f t="shared" si="66"/>
        <v>1</v>
      </c>
      <c r="D419" s="1128"/>
      <c r="E419" s="313">
        <f t="shared" si="67"/>
        <v>1</v>
      </c>
      <c r="F419" s="1128"/>
      <c r="G419" s="313">
        <f t="shared" si="68"/>
        <v>1</v>
      </c>
      <c r="H419" s="1128"/>
      <c r="I419" s="313">
        <f t="shared" si="69"/>
        <v>1</v>
      </c>
      <c r="J419" s="1128"/>
      <c r="K419" s="313">
        <f t="shared" si="70"/>
        <v>1</v>
      </c>
      <c r="L419" s="1128"/>
      <c r="M419" s="313">
        <f t="shared" si="71"/>
        <v>1</v>
      </c>
      <c r="N419" s="1128"/>
      <c r="O419" s="313">
        <f t="shared" si="72"/>
        <v>1</v>
      </c>
      <c r="P419" s="1128"/>
      <c r="Q419" s="313">
        <f t="shared" si="73"/>
        <v>1</v>
      </c>
      <c r="R419" s="1124">
        <f t="shared" si="74"/>
        <v>0</v>
      </c>
      <c r="S419" s="698">
        <f t="shared" si="65"/>
        <v>0</v>
      </c>
    </row>
    <row r="420" spans="1:19">
      <c r="A420" s="491"/>
      <c r="B420" s="348"/>
      <c r="C420" s="313">
        <f t="shared" si="66"/>
        <v>1</v>
      </c>
      <c r="D420" s="1128"/>
      <c r="E420" s="313">
        <f t="shared" si="67"/>
        <v>1</v>
      </c>
      <c r="F420" s="1128"/>
      <c r="G420" s="313">
        <f t="shared" si="68"/>
        <v>1</v>
      </c>
      <c r="H420" s="1128"/>
      <c r="I420" s="313">
        <f t="shared" si="69"/>
        <v>1</v>
      </c>
      <c r="J420" s="1128"/>
      <c r="K420" s="313">
        <f t="shared" si="70"/>
        <v>1</v>
      </c>
      <c r="L420" s="1128"/>
      <c r="M420" s="313">
        <f t="shared" si="71"/>
        <v>1</v>
      </c>
      <c r="N420" s="1128"/>
      <c r="O420" s="313">
        <f t="shared" si="72"/>
        <v>1</v>
      </c>
      <c r="P420" s="1128"/>
      <c r="Q420" s="313">
        <f t="shared" si="73"/>
        <v>1</v>
      </c>
      <c r="R420" s="1124">
        <f t="shared" si="74"/>
        <v>0</v>
      </c>
      <c r="S420" s="698">
        <f t="shared" si="65"/>
        <v>0</v>
      </c>
    </row>
    <row r="421" spans="1:19">
      <c r="A421" s="491"/>
      <c r="B421" s="348"/>
      <c r="C421" s="313">
        <f t="shared" si="66"/>
        <v>1</v>
      </c>
      <c r="D421" s="1128"/>
      <c r="E421" s="313">
        <f t="shared" si="67"/>
        <v>1</v>
      </c>
      <c r="F421" s="1128"/>
      <c r="G421" s="313">
        <f t="shared" si="68"/>
        <v>1</v>
      </c>
      <c r="H421" s="1128"/>
      <c r="I421" s="313">
        <f t="shared" si="69"/>
        <v>1</v>
      </c>
      <c r="J421" s="1128"/>
      <c r="K421" s="313">
        <f t="shared" si="70"/>
        <v>1</v>
      </c>
      <c r="L421" s="1128"/>
      <c r="M421" s="313">
        <f t="shared" si="71"/>
        <v>1</v>
      </c>
      <c r="N421" s="1128"/>
      <c r="O421" s="313">
        <f t="shared" si="72"/>
        <v>1</v>
      </c>
      <c r="P421" s="1128"/>
      <c r="Q421" s="313">
        <f t="shared" si="73"/>
        <v>1</v>
      </c>
      <c r="R421" s="1124">
        <f t="shared" si="74"/>
        <v>0</v>
      </c>
      <c r="S421" s="698">
        <f t="shared" si="65"/>
        <v>0</v>
      </c>
    </row>
    <row r="422" spans="1:19">
      <c r="A422" s="491"/>
      <c r="B422" s="348"/>
      <c r="C422" s="313">
        <f t="shared" si="66"/>
        <v>1</v>
      </c>
      <c r="D422" s="1128"/>
      <c r="E422" s="313">
        <f t="shared" si="67"/>
        <v>1</v>
      </c>
      <c r="F422" s="1128"/>
      <c r="G422" s="313">
        <f t="shared" si="68"/>
        <v>1</v>
      </c>
      <c r="H422" s="1128"/>
      <c r="I422" s="313">
        <f t="shared" si="69"/>
        <v>1</v>
      </c>
      <c r="J422" s="1128"/>
      <c r="K422" s="313">
        <f t="shared" si="70"/>
        <v>1</v>
      </c>
      <c r="L422" s="1128"/>
      <c r="M422" s="313">
        <f t="shared" si="71"/>
        <v>1</v>
      </c>
      <c r="N422" s="1128"/>
      <c r="O422" s="313">
        <f t="shared" si="72"/>
        <v>1</v>
      </c>
      <c r="P422" s="1128"/>
      <c r="Q422" s="313">
        <f t="shared" si="73"/>
        <v>1</v>
      </c>
      <c r="R422" s="1124">
        <f t="shared" si="74"/>
        <v>0</v>
      </c>
      <c r="S422" s="698">
        <f t="shared" si="65"/>
        <v>0</v>
      </c>
    </row>
    <row r="423" spans="1:19">
      <c r="A423" s="491"/>
      <c r="B423" s="348"/>
      <c r="C423" s="313">
        <f t="shared" si="66"/>
        <v>1</v>
      </c>
      <c r="D423" s="1128"/>
      <c r="E423" s="313">
        <f t="shared" si="67"/>
        <v>1</v>
      </c>
      <c r="F423" s="1128"/>
      <c r="G423" s="313">
        <f t="shared" si="68"/>
        <v>1</v>
      </c>
      <c r="H423" s="1128"/>
      <c r="I423" s="313">
        <f t="shared" si="69"/>
        <v>1</v>
      </c>
      <c r="J423" s="1128"/>
      <c r="K423" s="313">
        <f t="shared" si="70"/>
        <v>1</v>
      </c>
      <c r="L423" s="1128"/>
      <c r="M423" s="313">
        <f t="shared" si="71"/>
        <v>1</v>
      </c>
      <c r="N423" s="1128"/>
      <c r="O423" s="313">
        <f t="shared" si="72"/>
        <v>1</v>
      </c>
      <c r="P423" s="1128"/>
      <c r="Q423" s="313">
        <f t="shared" si="73"/>
        <v>1</v>
      </c>
      <c r="R423" s="1124">
        <f t="shared" si="74"/>
        <v>0</v>
      </c>
      <c r="S423" s="698">
        <f t="shared" si="65"/>
        <v>0</v>
      </c>
    </row>
    <row r="424" spans="1:19">
      <c r="A424" s="491"/>
      <c r="B424" s="348"/>
      <c r="C424" s="313">
        <f t="shared" si="66"/>
        <v>1</v>
      </c>
      <c r="D424" s="1128"/>
      <c r="E424" s="313">
        <f t="shared" si="67"/>
        <v>1</v>
      </c>
      <c r="F424" s="1128"/>
      <c r="G424" s="313">
        <f t="shared" si="68"/>
        <v>1</v>
      </c>
      <c r="H424" s="1128"/>
      <c r="I424" s="313">
        <f t="shared" si="69"/>
        <v>1</v>
      </c>
      <c r="J424" s="1128"/>
      <c r="K424" s="313">
        <f t="shared" si="70"/>
        <v>1</v>
      </c>
      <c r="L424" s="1128"/>
      <c r="M424" s="313">
        <f t="shared" si="71"/>
        <v>1</v>
      </c>
      <c r="N424" s="1128"/>
      <c r="O424" s="313">
        <f t="shared" si="72"/>
        <v>1</v>
      </c>
      <c r="P424" s="1128"/>
      <c r="Q424" s="313">
        <f t="shared" si="73"/>
        <v>1</v>
      </c>
      <c r="R424" s="1124">
        <f t="shared" si="74"/>
        <v>0</v>
      </c>
      <c r="S424" s="698">
        <f t="shared" si="65"/>
        <v>0</v>
      </c>
    </row>
    <row r="425" spans="1:19">
      <c r="A425" s="491"/>
      <c r="B425" s="348"/>
      <c r="C425" s="313">
        <f t="shared" si="66"/>
        <v>1</v>
      </c>
      <c r="D425" s="1128"/>
      <c r="E425" s="313">
        <f t="shared" si="67"/>
        <v>1</v>
      </c>
      <c r="F425" s="1128"/>
      <c r="G425" s="313">
        <f t="shared" si="68"/>
        <v>1</v>
      </c>
      <c r="H425" s="1128"/>
      <c r="I425" s="313">
        <f t="shared" si="69"/>
        <v>1</v>
      </c>
      <c r="J425" s="1128"/>
      <c r="K425" s="313">
        <f t="shared" si="70"/>
        <v>1</v>
      </c>
      <c r="L425" s="1128"/>
      <c r="M425" s="313">
        <f t="shared" si="71"/>
        <v>1</v>
      </c>
      <c r="N425" s="1128"/>
      <c r="O425" s="313">
        <f t="shared" si="72"/>
        <v>1</v>
      </c>
      <c r="P425" s="1128"/>
      <c r="Q425" s="313">
        <f t="shared" si="73"/>
        <v>1</v>
      </c>
      <c r="R425" s="1124">
        <f t="shared" si="74"/>
        <v>0</v>
      </c>
      <c r="S425" s="698">
        <f t="shared" si="65"/>
        <v>0</v>
      </c>
    </row>
    <row r="426" spans="1:19">
      <c r="A426" s="491"/>
      <c r="B426" s="348"/>
      <c r="C426" s="313">
        <f t="shared" si="66"/>
        <v>1</v>
      </c>
      <c r="D426" s="1128"/>
      <c r="E426" s="313">
        <f t="shared" si="67"/>
        <v>1</v>
      </c>
      <c r="F426" s="1128"/>
      <c r="G426" s="313">
        <f t="shared" si="68"/>
        <v>1</v>
      </c>
      <c r="H426" s="1128"/>
      <c r="I426" s="313">
        <f t="shared" si="69"/>
        <v>1</v>
      </c>
      <c r="J426" s="1128"/>
      <c r="K426" s="313">
        <f t="shared" si="70"/>
        <v>1</v>
      </c>
      <c r="L426" s="1128"/>
      <c r="M426" s="313">
        <f t="shared" si="71"/>
        <v>1</v>
      </c>
      <c r="N426" s="1128"/>
      <c r="O426" s="313">
        <f t="shared" si="72"/>
        <v>1</v>
      </c>
      <c r="P426" s="1128"/>
      <c r="Q426" s="313">
        <f t="shared" si="73"/>
        <v>1</v>
      </c>
      <c r="R426" s="1124">
        <f t="shared" si="74"/>
        <v>0</v>
      </c>
      <c r="S426" s="698">
        <f t="shared" si="65"/>
        <v>0</v>
      </c>
    </row>
    <row r="427" spans="1:19">
      <c r="A427" s="491"/>
      <c r="B427" s="348"/>
      <c r="C427" s="313">
        <f t="shared" si="66"/>
        <v>1</v>
      </c>
      <c r="D427" s="1128"/>
      <c r="E427" s="313">
        <f t="shared" si="67"/>
        <v>1</v>
      </c>
      <c r="F427" s="1128"/>
      <c r="G427" s="313">
        <f t="shared" si="68"/>
        <v>1</v>
      </c>
      <c r="H427" s="1128"/>
      <c r="I427" s="313">
        <f t="shared" si="69"/>
        <v>1</v>
      </c>
      <c r="J427" s="1128"/>
      <c r="K427" s="313">
        <f t="shared" si="70"/>
        <v>1</v>
      </c>
      <c r="L427" s="1128"/>
      <c r="M427" s="313">
        <f t="shared" si="71"/>
        <v>1</v>
      </c>
      <c r="N427" s="1128"/>
      <c r="O427" s="313">
        <f t="shared" si="72"/>
        <v>1</v>
      </c>
      <c r="P427" s="1128"/>
      <c r="Q427" s="313">
        <f t="shared" si="73"/>
        <v>1</v>
      </c>
      <c r="R427" s="1124">
        <f t="shared" si="74"/>
        <v>0</v>
      </c>
      <c r="S427" s="698">
        <f t="shared" si="65"/>
        <v>0</v>
      </c>
    </row>
    <row r="428" spans="1:19">
      <c r="A428" s="491"/>
      <c r="B428" s="348"/>
      <c r="C428" s="313">
        <f t="shared" si="66"/>
        <v>1</v>
      </c>
      <c r="D428" s="1128"/>
      <c r="E428" s="313">
        <f t="shared" si="67"/>
        <v>1</v>
      </c>
      <c r="F428" s="1128"/>
      <c r="G428" s="313">
        <f t="shared" si="68"/>
        <v>1</v>
      </c>
      <c r="H428" s="1128"/>
      <c r="I428" s="313">
        <f t="shared" si="69"/>
        <v>1</v>
      </c>
      <c r="J428" s="1128"/>
      <c r="K428" s="313">
        <f t="shared" si="70"/>
        <v>1</v>
      </c>
      <c r="L428" s="1128"/>
      <c r="M428" s="313">
        <f t="shared" si="71"/>
        <v>1</v>
      </c>
      <c r="N428" s="1128"/>
      <c r="O428" s="313">
        <f t="shared" si="72"/>
        <v>1</v>
      </c>
      <c r="P428" s="1128"/>
      <c r="Q428" s="313">
        <f t="shared" si="73"/>
        <v>1</v>
      </c>
      <c r="R428" s="1124">
        <f t="shared" si="74"/>
        <v>0</v>
      </c>
      <c r="S428" s="698">
        <f t="shared" si="65"/>
        <v>0</v>
      </c>
    </row>
    <row r="429" spans="1:19">
      <c r="A429" s="491"/>
      <c r="B429" s="348"/>
      <c r="C429" s="313">
        <f t="shared" si="66"/>
        <v>1</v>
      </c>
      <c r="D429" s="1128"/>
      <c r="E429" s="313">
        <f t="shared" si="67"/>
        <v>1</v>
      </c>
      <c r="F429" s="1128"/>
      <c r="G429" s="313">
        <f t="shared" si="68"/>
        <v>1</v>
      </c>
      <c r="H429" s="1128"/>
      <c r="I429" s="313">
        <f t="shared" si="69"/>
        <v>1</v>
      </c>
      <c r="J429" s="1128"/>
      <c r="K429" s="313">
        <f t="shared" si="70"/>
        <v>1</v>
      </c>
      <c r="L429" s="1128"/>
      <c r="M429" s="313">
        <f t="shared" si="71"/>
        <v>1</v>
      </c>
      <c r="N429" s="1128"/>
      <c r="O429" s="313">
        <f t="shared" si="72"/>
        <v>1</v>
      </c>
      <c r="P429" s="1128"/>
      <c r="Q429" s="313">
        <f t="shared" si="73"/>
        <v>1</v>
      </c>
      <c r="R429" s="1124">
        <f t="shared" si="74"/>
        <v>0</v>
      </c>
      <c r="S429" s="698">
        <f t="shared" si="65"/>
        <v>0</v>
      </c>
    </row>
    <row r="430" spans="1:19">
      <c r="A430" s="491"/>
      <c r="B430" s="348"/>
      <c r="C430" s="313">
        <f t="shared" si="66"/>
        <v>1</v>
      </c>
      <c r="D430" s="1128"/>
      <c r="E430" s="313">
        <f t="shared" si="67"/>
        <v>1</v>
      </c>
      <c r="F430" s="1128"/>
      <c r="G430" s="313">
        <f t="shared" si="68"/>
        <v>1</v>
      </c>
      <c r="H430" s="1128"/>
      <c r="I430" s="313">
        <f t="shared" si="69"/>
        <v>1</v>
      </c>
      <c r="J430" s="1128"/>
      <c r="K430" s="313">
        <f t="shared" si="70"/>
        <v>1</v>
      </c>
      <c r="L430" s="1128"/>
      <c r="M430" s="313">
        <f t="shared" si="71"/>
        <v>1</v>
      </c>
      <c r="N430" s="1128"/>
      <c r="O430" s="313">
        <f t="shared" si="72"/>
        <v>1</v>
      </c>
      <c r="P430" s="1128"/>
      <c r="Q430" s="313">
        <f t="shared" si="73"/>
        <v>1</v>
      </c>
      <c r="R430" s="1124">
        <f t="shared" si="74"/>
        <v>0</v>
      </c>
      <c r="S430" s="698">
        <f t="shared" si="65"/>
        <v>0</v>
      </c>
    </row>
    <row r="431" spans="1:19">
      <c r="A431" s="491"/>
      <c r="B431" s="348"/>
      <c r="C431" s="313">
        <f t="shared" si="66"/>
        <v>1</v>
      </c>
      <c r="D431" s="1128"/>
      <c r="E431" s="313">
        <f t="shared" si="67"/>
        <v>1</v>
      </c>
      <c r="F431" s="1128"/>
      <c r="G431" s="313">
        <f t="shared" si="68"/>
        <v>1</v>
      </c>
      <c r="H431" s="1128"/>
      <c r="I431" s="313">
        <f t="shared" si="69"/>
        <v>1</v>
      </c>
      <c r="J431" s="1128"/>
      <c r="K431" s="313">
        <f t="shared" si="70"/>
        <v>1</v>
      </c>
      <c r="L431" s="1128"/>
      <c r="M431" s="313">
        <f t="shared" si="71"/>
        <v>1</v>
      </c>
      <c r="N431" s="1128"/>
      <c r="O431" s="313">
        <f t="shared" si="72"/>
        <v>1</v>
      </c>
      <c r="P431" s="1128"/>
      <c r="Q431" s="313">
        <f t="shared" si="73"/>
        <v>1</v>
      </c>
      <c r="R431" s="1124">
        <f t="shared" si="74"/>
        <v>0</v>
      </c>
      <c r="S431" s="698">
        <f t="shared" si="65"/>
        <v>0</v>
      </c>
    </row>
    <row r="432" spans="1:19">
      <c r="A432" s="491"/>
      <c r="B432" s="348"/>
      <c r="C432" s="313">
        <f t="shared" si="66"/>
        <v>1</v>
      </c>
      <c r="D432" s="1128"/>
      <c r="E432" s="313">
        <f t="shared" si="67"/>
        <v>1</v>
      </c>
      <c r="F432" s="1128"/>
      <c r="G432" s="313">
        <f t="shared" si="68"/>
        <v>1</v>
      </c>
      <c r="H432" s="1128"/>
      <c r="I432" s="313">
        <f t="shared" si="69"/>
        <v>1</v>
      </c>
      <c r="J432" s="1128"/>
      <c r="K432" s="313">
        <f t="shared" si="70"/>
        <v>1</v>
      </c>
      <c r="L432" s="1128"/>
      <c r="M432" s="313">
        <f t="shared" si="71"/>
        <v>1</v>
      </c>
      <c r="N432" s="1128"/>
      <c r="O432" s="313">
        <f t="shared" si="72"/>
        <v>1</v>
      </c>
      <c r="P432" s="1128"/>
      <c r="Q432" s="313">
        <f t="shared" si="73"/>
        <v>1</v>
      </c>
      <c r="R432" s="1124">
        <f t="shared" si="74"/>
        <v>0</v>
      </c>
      <c r="S432" s="698">
        <f t="shared" si="65"/>
        <v>0</v>
      </c>
    </row>
    <row r="433" spans="1:19">
      <c r="A433" s="491"/>
      <c r="B433" s="348"/>
      <c r="C433" s="313">
        <f t="shared" si="66"/>
        <v>1</v>
      </c>
      <c r="D433" s="1128"/>
      <c r="E433" s="313">
        <f t="shared" si="67"/>
        <v>1</v>
      </c>
      <c r="F433" s="1128"/>
      <c r="G433" s="313">
        <f t="shared" si="68"/>
        <v>1</v>
      </c>
      <c r="H433" s="1128"/>
      <c r="I433" s="313">
        <f t="shared" si="69"/>
        <v>1</v>
      </c>
      <c r="J433" s="1128"/>
      <c r="K433" s="313">
        <f t="shared" si="70"/>
        <v>1</v>
      </c>
      <c r="L433" s="1128"/>
      <c r="M433" s="313">
        <f t="shared" si="71"/>
        <v>1</v>
      </c>
      <c r="N433" s="1128"/>
      <c r="O433" s="313">
        <f t="shared" si="72"/>
        <v>1</v>
      </c>
      <c r="P433" s="1128"/>
      <c r="Q433" s="313">
        <f t="shared" si="73"/>
        <v>1</v>
      </c>
      <c r="R433" s="1124">
        <f t="shared" si="74"/>
        <v>0</v>
      </c>
      <c r="S433" s="698">
        <f t="shared" si="65"/>
        <v>0</v>
      </c>
    </row>
    <row r="434" spans="1:19">
      <c r="A434" s="491"/>
      <c r="B434" s="348"/>
      <c r="C434" s="313">
        <f t="shared" si="66"/>
        <v>1</v>
      </c>
      <c r="D434" s="1128"/>
      <c r="E434" s="313">
        <f t="shared" si="67"/>
        <v>1</v>
      </c>
      <c r="F434" s="1128"/>
      <c r="G434" s="313">
        <f t="shared" si="68"/>
        <v>1</v>
      </c>
      <c r="H434" s="1128"/>
      <c r="I434" s="313">
        <f t="shared" si="69"/>
        <v>1</v>
      </c>
      <c r="J434" s="1128"/>
      <c r="K434" s="313">
        <f t="shared" si="70"/>
        <v>1</v>
      </c>
      <c r="L434" s="1128"/>
      <c r="M434" s="313">
        <f t="shared" si="71"/>
        <v>1</v>
      </c>
      <c r="N434" s="1128"/>
      <c r="O434" s="313">
        <f t="shared" si="72"/>
        <v>1</v>
      </c>
      <c r="P434" s="1128"/>
      <c r="Q434" s="313">
        <f t="shared" si="73"/>
        <v>1</v>
      </c>
      <c r="R434" s="1124">
        <f t="shared" si="74"/>
        <v>0</v>
      </c>
      <c r="S434" s="698">
        <f t="shared" si="65"/>
        <v>0</v>
      </c>
    </row>
    <row r="435" spans="1:19">
      <c r="A435" s="491"/>
      <c r="B435" s="348"/>
      <c r="C435" s="313">
        <f t="shared" si="66"/>
        <v>1</v>
      </c>
      <c r="D435" s="1128"/>
      <c r="E435" s="313">
        <f t="shared" si="67"/>
        <v>1</v>
      </c>
      <c r="F435" s="1128"/>
      <c r="G435" s="313">
        <f t="shared" si="68"/>
        <v>1</v>
      </c>
      <c r="H435" s="1128"/>
      <c r="I435" s="313">
        <f t="shared" si="69"/>
        <v>1</v>
      </c>
      <c r="J435" s="1128"/>
      <c r="K435" s="313">
        <f t="shared" si="70"/>
        <v>1</v>
      </c>
      <c r="L435" s="1128"/>
      <c r="M435" s="313">
        <f t="shared" si="71"/>
        <v>1</v>
      </c>
      <c r="N435" s="1128"/>
      <c r="O435" s="313">
        <f t="shared" si="72"/>
        <v>1</v>
      </c>
      <c r="P435" s="1128"/>
      <c r="Q435" s="313">
        <f t="shared" si="73"/>
        <v>1</v>
      </c>
      <c r="R435" s="1124">
        <f t="shared" si="74"/>
        <v>0</v>
      </c>
      <c r="S435" s="698">
        <f t="shared" si="65"/>
        <v>0</v>
      </c>
    </row>
    <row r="436" spans="1:19">
      <c r="A436" s="491"/>
      <c r="B436" s="348"/>
      <c r="C436" s="313">
        <f t="shared" si="66"/>
        <v>1</v>
      </c>
      <c r="D436" s="1128"/>
      <c r="E436" s="313">
        <f t="shared" si="67"/>
        <v>1</v>
      </c>
      <c r="F436" s="1128"/>
      <c r="G436" s="313">
        <f t="shared" si="68"/>
        <v>1</v>
      </c>
      <c r="H436" s="1128"/>
      <c r="I436" s="313">
        <f t="shared" si="69"/>
        <v>1</v>
      </c>
      <c r="J436" s="1128"/>
      <c r="K436" s="313">
        <f t="shared" si="70"/>
        <v>1</v>
      </c>
      <c r="L436" s="1128"/>
      <c r="M436" s="313">
        <f t="shared" si="71"/>
        <v>1</v>
      </c>
      <c r="N436" s="1128"/>
      <c r="O436" s="313">
        <f t="shared" si="72"/>
        <v>1</v>
      </c>
      <c r="P436" s="1128"/>
      <c r="Q436" s="313">
        <f t="shared" si="73"/>
        <v>1</v>
      </c>
      <c r="R436" s="1124">
        <f t="shared" si="74"/>
        <v>0</v>
      </c>
      <c r="S436" s="698">
        <f t="shared" si="65"/>
        <v>0</v>
      </c>
    </row>
    <row r="437" spans="1:19">
      <c r="A437" s="491"/>
      <c r="B437" s="348"/>
      <c r="C437" s="313">
        <f t="shared" si="66"/>
        <v>1</v>
      </c>
      <c r="D437" s="1128"/>
      <c r="E437" s="313">
        <f t="shared" si="67"/>
        <v>1</v>
      </c>
      <c r="F437" s="1128"/>
      <c r="G437" s="313">
        <f t="shared" si="68"/>
        <v>1</v>
      </c>
      <c r="H437" s="1128"/>
      <c r="I437" s="313">
        <f t="shared" si="69"/>
        <v>1</v>
      </c>
      <c r="J437" s="1128"/>
      <c r="K437" s="313">
        <f t="shared" si="70"/>
        <v>1</v>
      </c>
      <c r="L437" s="1128"/>
      <c r="M437" s="313">
        <f t="shared" si="71"/>
        <v>1</v>
      </c>
      <c r="N437" s="1128"/>
      <c r="O437" s="313">
        <f t="shared" si="72"/>
        <v>1</v>
      </c>
      <c r="P437" s="1128"/>
      <c r="Q437" s="313">
        <f t="shared" si="73"/>
        <v>1</v>
      </c>
      <c r="R437" s="1124">
        <f t="shared" si="74"/>
        <v>0</v>
      </c>
      <c r="S437" s="698">
        <f t="shared" si="65"/>
        <v>0</v>
      </c>
    </row>
    <row r="438" spans="1:19">
      <c r="A438" s="491"/>
      <c r="B438" s="348"/>
      <c r="C438" s="313">
        <f t="shared" si="66"/>
        <v>1</v>
      </c>
      <c r="D438" s="1128"/>
      <c r="E438" s="313">
        <f t="shared" si="67"/>
        <v>1</v>
      </c>
      <c r="F438" s="1128"/>
      <c r="G438" s="313">
        <f t="shared" si="68"/>
        <v>1</v>
      </c>
      <c r="H438" s="1128"/>
      <c r="I438" s="313">
        <f t="shared" si="69"/>
        <v>1</v>
      </c>
      <c r="J438" s="1128"/>
      <c r="K438" s="313">
        <f t="shared" si="70"/>
        <v>1</v>
      </c>
      <c r="L438" s="1128"/>
      <c r="M438" s="313">
        <f t="shared" si="71"/>
        <v>1</v>
      </c>
      <c r="N438" s="1128"/>
      <c r="O438" s="313">
        <f t="shared" si="72"/>
        <v>1</v>
      </c>
      <c r="P438" s="1128"/>
      <c r="Q438" s="313">
        <f t="shared" si="73"/>
        <v>1</v>
      </c>
      <c r="R438" s="1124">
        <f t="shared" si="74"/>
        <v>0</v>
      </c>
      <c r="S438" s="698">
        <f t="shared" si="65"/>
        <v>0</v>
      </c>
    </row>
    <row r="439" spans="1:19">
      <c r="A439" s="491"/>
      <c r="B439" s="348"/>
      <c r="C439" s="313">
        <f t="shared" si="66"/>
        <v>1</v>
      </c>
      <c r="D439" s="1128"/>
      <c r="E439" s="313">
        <f t="shared" si="67"/>
        <v>1</v>
      </c>
      <c r="F439" s="1128"/>
      <c r="G439" s="313">
        <f t="shared" si="68"/>
        <v>1</v>
      </c>
      <c r="H439" s="1128"/>
      <c r="I439" s="313">
        <f t="shared" si="69"/>
        <v>1</v>
      </c>
      <c r="J439" s="1128"/>
      <c r="K439" s="313">
        <f t="shared" si="70"/>
        <v>1</v>
      </c>
      <c r="L439" s="1128"/>
      <c r="M439" s="313">
        <f t="shared" si="71"/>
        <v>1</v>
      </c>
      <c r="N439" s="1128"/>
      <c r="O439" s="313">
        <f t="shared" si="72"/>
        <v>1</v>
      </c>
      <c r="P439" s="1128"/>
      <c r="Q439" s="313">
        <f t="shared" si="73"/>
        <v>1</v>
      </c>
      <c r="R439" s="1124">
        <f t="shared" si="74"/>
        <v>0</v>
      </c>
      <c r="S439" s="698">
        <f t="shared" si="65"/>
        <v>0</v>
      </c>
    </row>
    <row r="440" spans="1:19">
      <c r="A440" s="491"/>
      <c r="B440" s="348"/>
      <c r="C440" s="313">
        <f t="shared" si="66"/>
        <v>1</v>
      </c>
      <c r="D440" s="1128"/>
      <c r="E440" s="313">
        <f t="shared" si="67"/>
        <v>1</v>
      </c>
      <c r="F440" s="1128"/>
      <c r="G440" s="313">
        <f t="shared" si="68"/>
        <v>1</v>
      </c>
      <c r="H440" s="1128"/>
      <c r="I440" s="313">
        <f t="shared" si="69"/>
        <v>1</v>
      </c>
      <c r="J440" s="1128"/>
      <c r="K440" s="313">
        <f t="shared" si="70"/>
        <v>1</v>
      </c>
      <c r="L440" s="1128"/>
      <c r="M440" s="313">
        <f t="shared" si="71"/>
        <v>1</v>
      </c>
      <c r="N440" s="1128"/>
      <c r="O440" s="313">
        <f t="shared" si="72"/>
        <v>1</v>
      </c>
      <c r="P440" s="1128"/>
      <c r="Q440" s="313">
        <f t="shared" si="73"/>
        <v>1</v>
      </c>
      <c r="R440" s="1124">
        <f t="shared" si="74"/>
        <v>0</v>
      </c>
      <c r="S440" s="698">
        <f t="shared" si="65"/>
        <v>0</v>
      </c>
    </row>
    <row r="441" spans="1:19">
      <c r="A441" s="491"/>
      <c r="B441" s="348"/>
      <c r="C441" s="313">
        <f t="shared" si="66"/>
        <v>1</v>
      </c>
      <c r="D441" s="1128"/>
      <c r="E441" s="313">
        <f t="shared" si="67"/>
        <v>1</v>
      </c>
      <c r="F441" s="1128"/>
      <c r="G441" s="313">
        <f t="shared" si="68"/>
        <v>1</v>
      </c>
      <c r="H441" s="1128"/>
      <c r="I441" s="313">
        <f t="shared" si="69"/>
        <v>1</v>
      </c>
      <c r="J441" s="1128"/>
      <c r="K441" s="313">
        <f t="shared" si="70"/>
        <v>1</v>
      </c>
      <c r="L441" s="1128"/>
      <c r="M441" s="313">
        <f t="shared" si="71"/>
        <v>1</v>
      </c>
      <c r="N441" s="1128"/>
      <c r="O441" s="313">
        <f t="shared" si="72"/>
        <v>1</v>
      </c>
      <c r="P441" s="1128"/>
      <c r="Q441" s="313">
        <f t="shared" si="73"/>
        <v>1</v>
      </c>
      <c r="R441" s="1124">
        <f t="shared" si="74"/>
        <v>0</v>
      </c>
      <c r="S441" s="698">
        <f t="shared" si="65"/>
        <v>0</v>
      </c>
    </row>
    <row r="442" spans="1:19">
      <c r="A442" s="491"/>
      <c r="B442" s="348"/>
      <c r="C442" s="313">
        <f t="shared" si="66"/>
        <v>1</v>
      </c>
      <c r="D442" s="1128"/>
      <c r="E442" s="313">
        <f t="shared" si="67"/>
        <v>1</v>
      </c>
      <c r="F442" s="1128"/>
      <c r="G442" s="313">
        <f t="shared" si="68"/>
        <v>1</v>
      </c>
      <c r="H442" s="1128"/>
      <c r="I442" s="313">
        <f t="shared" si="69"/>
        <v>1</v>
      </c>
      <c r="J442" s="1128"/>
      <c r="K442" s="313">
        <f t="shared" si="70"/>
        <v>1</v>
      </c>
      <c r="L442" s="1128"/>
      <c r="M442" s="313">
        <f t="shared" si="71"/>
        <v>1</v>
      </c>
      <c r="N442" s="1128"/>
      <c r="O442" s="313">
        <f t="shared" si="72"/>
        <v>1</v>
      </c>
      <c r="P442" s="1128"/>
      <c r="Q442" s="313">
        <f t="shared" si="73"/>
        <v>1</v>
      </c>
      <c r="R442" s="1124">
        <f t="shared" si="74"/>
        <v>0</v>
      </c>
      <c r="S442" s="698">
        <f t="shared" si="65"/>
        <v>0</v>
      </c>
    </row>
    <row r="443" spans="1:19">
      <c r="A443" s="491"/>
      <c r="B443" s="348"/>
      <c r="C443" s="313">
        <f t="shared" si="66"/>
        <v>1</v>
      </c>
      <c r="D443" s="1128"/>
      <c r="E443" s="313">
        <f t="shared" si="67"/>
        <v>1</v>
      </c>
      <c r="F443" s="1128"/>
      <c r="G443" s="313">
        <f t="shared" si="68"/>
        <v>1</v>
      </c>
      <c r="H443" s="1128"/>
      <c r="I443" s="313">
        <f t="shared" si="69"/>
        <v>1</v>
      </c>
      <c r="J443" s="1128"/>
      <c r="K443" s="313">
        <f t="shared" si="70"/>
        <v>1</v>
      </c>
      <c r="L443" s="1128"/>
      <c r="M443" s="313">
        <f t="shared" si="71"/>
        <v>1</v>
      </c>
      <c r="N443" s="1128"/>
      <c r="O443" s="313">
        <f t="shared" si="72"/>
        <v>1</v>
      </c>
      <c r="P443" s="1128"/>
      <c r="Q443" s="313">
        <f t="shared" si="73"/>
        <v>1</v>
      </c>
      <c r="R443" s="1124">
        <f t="shared" si="74"/>
        <v>0</v>
      </c>
      <c r="S443" s="698">
        <f t="shared" si="65"/>
        <v>0</v>
      </c>
    </row>
    <row r="444" spans="1:19">
      <c r="A444" s="491"/>
      <c r="B444" s="348"/>
      <c r="C444" s="313">
        <f t="shared" si="66"/>
        <v>1</v>
      </c>
      <c r="D444" s="1128"/>
      <c r="E444" s="313">
        <f t="shared" si="67"/>
        <v>1</v>
      </c>
      <c r="F444" s="1128"/>
      <c r="G444" s="313">
        <f t="shared" si="68"/>
        <v>1</v>
      </c>
      <c r="H444" s="1128"/>
      <c r="I444" s="313">
        <f t="shared" si="69"/>
        <v>1</v>
      </c>
      <c r="J444" s="1128"/>
      <c r="K444" s="313">
        <f t="shared" si="70"/>
        <v>1</v>
      </c>
      <c r="L444" s="1128"/>
      <c r="M444" s="313">
        <f t="shared" si="71"/>
        <v>1</v>
      </c>
      <c r="N444" s="1128"/>
      <c r="O444" s="313">
        <f t="shared" si="72"/>
        <v>1</v>
      </c>
      <c r="P444" s="1128"/>
      <c r="Q444" s="313">
        <f t="shared" si="73"/>
        <v>1</v>
      </c>
      <c r="R444" s="1124">
        <f t="shared" si="74"/>
        <v>0</v>
      </c>
      <c r="S444" s="698">
        <f t="shared" si="65"/>
        <v>0</v>
      </c>
    </row>
    <row r="445" spans="1:19">
      <c r="A445" s="491"/>
      <c r="B445" s="348"/>
      <c r="C445" s="313">
        <f t="shared" si="66"/>
        <v>1</v>
      </c>
      <c r="D445" s="1128"/>
      <c r="E445" s="313">
        <f t="shared" si="67"/>
        <v>1</v>
      </c>
      <c r="F445" s="1128"/>
      <c r="G445" s="313">
        <f t="shared" si="68"/>
        <v>1</v>
      </c>
      <c r="H445" s="1128"/>
      <c r="I445" s="313">
        <f t="shared" si="69"/>
        <v>1</v>
      </c>
      <c r="J445" s="1128"/>
      <c r="K445" s="313">
        <f t="shared" si="70"/>
        <v>1</v>
      </c>
      <c r="L445" s="1128"/>
      <c r="M445" s="313">
        <f t="shared" si="71"/>
        <v>1</v>
      </c>
      <c r="N445" s="1128"/>
      <c r="O445" s="313">
        <f t="shared" si="72"/>
        <v>1</v>
      </c>
      <c r="P445" s="1128"/>
      <c r="Q445" s="313">
        <f t="shared" si="73"/>
        <v>1</v>
      </c>
      <c r="R445" s="1124">
        <f t="shared" si="74"/>
        <v>0</v>
      </c>
      <c r="S445" s="698">
        <f t="shared" si="65"/>
        <v>0</v>
      </c>
    </row>
    <row r="446" spans="1:19">
      <c r="A446" s="491"/>
      <c r="B446" s="348"/>
      <c r="C446" s="313">
        <f t="shared" si="66"/>
        <v>1</v>
      </c>
      <c r="D446" s="1128"/>
      <c r="E446" s="313">
        <f t="shared" si="67"/>
        <v>1</v>
      </c>
      <c r="F446" s="1128"/>
      <c r="G446" s="313">
        <f t="shared" si="68"/>
        <v>1</v>
      </c>
      <c r="H446" s="1128"/>
      <c r="I446" s="313">
        <f t="shared" si="69"/>
        <v>1</v>
      </c>
      <c r="J446" s="1128"/>
      <c r="K446" s="313">
        <f t="shared" si="70"/>
        <v>1</v>
      </c>
      <c r="L446" s="1128"/>
      <c r="M446" s="313">
        <f t="shared" si="71"/>
        <v>1</v>
      </c>
      <c r="N446" s="1128"/>
      <c r="O446" s="313">
        <f t="shared" si="72"/>
        <v>1</v>
      </c>
      <c r="P446" s="1128"/>
      <c r="Q446" s="313">
        <f t="shared" si="73"/>
        <v>1</v>
      </c>
      <c r="R446" s="1124">
        <f t="shared" si="74"/>
        <v>0</v>
      </c>
      <c r="S446" s="698">
        <f t="shared" si="65"/>
        <v>0</v>
      </c>
    </row>
    <row r="447" spans="1:19">
      <c r="A447" s="491"/>
      <c r="B447" s="348"/>
      <c r="C447" s="313">
        <f t="shared" si="66"/>
        <v>1</v>
      </c>
      <c r="D447" s="1128"/>
      <c r="E447" s="313">
        <f t="shared" si="67"/>
        <v>1</v>
      </c>
      <c r="F447" s="1128"/>
      <c r="G447" s="313">
        <f t="shared" si="68"/>
        <v>1</v>
      </c>
      <c r="H447" s="1128"/>
      <c r="I447" s="313">
        <f t="shared" si="69"/>
        <v>1</v>
      </c>
      <c r="J447" s="1128"/>
      <c r="K447" s="313">
        <f t="shared" si="70"/>
        <v>1</v>
      </c>
      <c r="L447" s="1128"/>
      <c r="M447" s="313">
        <f t="shared" si="71"/>
        <v>1</v>
      </c>
      <c r="N447" s="1128"/>
      <c r="O447" s="313">
        <f t="shared" si="72"/>
        <v>1</v>
      </c>
      <c r="P447" s="1128"/>
      <c r="Q447" s="313">
        <f t="shared" si="73"/>
        <v>1</v>
      </c>
      <c r="R447" s="1124">
        <f t="shared" si="74"/>
        <v>0</v>
      </c>
      <c r="S447" s="698">
        <f t="shared" si="65"/>
        <v>0</v>
      </c>
    </row>
    <row r="448" spans="1:19">
      <c r="A448" s="491"/>
      <c r="B448" s="348"/>
      <c r="C448" s="313">
        <f t="shared" si="66"/>
        <v>1</v>
      </c>
      <c r="D448" s="1128"/>
      <c r="E448" s="313">
        <f t="shared" si="67"/>
        <v>1</v>
      </c>
      <c r="F448" s="1128"/>
      <c r="G448" s="313">
        <f t="shared" si="68"/>
        <v>1</v>
      </c>
      <c r="H448" s="1128"/>
      <c r="I448" s="313">
        <f t="shared" si="69"/>
        <v>1</v>
      </c>
      <c r="J448" s="1128"/>
      <c r="K448" s="313">
        <f t="shared" si="70"/>
        <v>1</v>
      </c>
      <c r="L448" s="1128"/>
      <c r="M448" s="313">
        <f t="shared" si="71"/>
        <v>1</v>
      </c>
      <c r="N448" s="1128"/>
      <c r="O448" s="313">
        <f t="shared" si="72"/>
        <v>1</v>
      </c>
      <c r="P448" s="1128"/>
      <c r="Q448" s="313">
        <f t="shared" si="73"/>
        <v>1</v>
      </c>
      <c r="R448" s="1124">
        <f t="shared" si="74"/>
        <v>0</v>
      </c>
      <c r="S448" s="698">
        <f t="shared" si="65"/>
        <v>0</v>
      </c>
    </row>
    <row r="449" spans="1:19">
      <c r="A449" s="491"/>
      <c r="B449" s="348"/>
      <c r="C449" s="313">
        <f t="shared" si="66"/>
        <v>1</v>
      </c>
      <c r="D449" s="1128"/>
      <c r="E449" s="313">
        <f t="shared" si="67"/>
        <v>1</v>
      </c>
      <c r="F449" s="1128"/>
      <c r="G449" s="313">
        <f t="shared" si="68"/>
        <v>1</v>
      </c>
      <c r="H449" s="1128"/>
      <c r="I449" s="313">
        <f t="shared" si="69"/>
        <v>1</v>
      </c>
      <c r="J449" s="1128"/>
      <c r="K449" s="313">
        <f t="shared" si="70"/>
        <v>1</v>
      </c>
      <c r="L449" s="1128"/>
      <c r="M449" s="313">
        <f t="shared" si="71"/>
        <v>1</v>
      </c>
      <c r="N449" s="1128"/>
      <c r="O449" s="313">
        <f t="shared" si="72"/>
        <v>1</v>
      </c>
      <c r="P449" s="1128"/>
      <c r="Q449" s="313">
        <f t="shared" si="73"/>
        <v>1</v>
      </c>
      <c r="R449" s="1124">
        <f t="shared" si="74"/>
        <v>0</v>
      </c>
      <c r="S449" s="698">
        <f t="shared" si="65"/>
        <v>0</v>
      </c>
    </row>
    <row r="450" spans="1:19">
      <c r="A450" s="491"/>
      <c r="B450" s="348"/>
      <c r="C450" s="313">
        <f t="shared" si="66"/>
        <v>1</v>
      </c>
      <c r="D450" s="1128"/>
      <c r="E450" s="313">
        <f t="shared" si="67"/>
        <v>1</v>
      </c>
      <c r="F450" s="1128"/>
      <c r="G450" s="313">
        <f t="shared" si="68"/>
        <v>1</v>
      </c>
      <c r="H450" s="1128"/>
      <c r="I450" s="313">
        <f t="shared" si="69"/>
        <v>1</v>
      </c>
      <c r="J450" s="1128"/>
      <c r="K450" s="313">
        <f t="shared" si="70"/>
        <v>1</v>
      </c>
      <c r="L450" s="1128"/>
      <c r="M450" s="313">
        <f t="shared" si="71"/>
        <v>1</v>
      </c>
      <c r="N450" s="1128"/>
      <c r="O450" s="313">
        <f t="shared" si="72"/>
        <v>1</v>
      </c>
      <c r="P450" s="1128"/>
      <c r="Q450" s="313">
        <f t="shared" si="73"/>
        <v>1</v>
      </c>
      <c r="R450" s="1124">
        <f t="shared" si="74"/>
        <v>0</v>
      </c>
      <c r="S450" s="698">
        <f t="shared" si="65"/>
        <v>0</v>
      </c>
    </row>
    <row r="451" spans="1:19">
      <c r="A451" s="491"/>
      <c r="B451" s="348"/>
      <c r="C451" s="313">
        <f t="shared" si="66"/>
        <v>1</v>
      </c>
      <c r="D451" s="1128"/>
      <c r="E451" s="313">
        <f t="shared" si="67"/>
        <v>1</v>
      </c>
      <c r="F451" s="1128"/>
      <c r="G451" s="313">
        <f t="shared" si="68"/>
        <v>1</v>
      </c>
      <c r="H451" s="1128"/>
      <c r="I451" s="313">
        <f t="shared" si="69"/>
        <v>1</v>
      </c>
      <c r="J451" s="1128"/>
      <c r="K451" s="313">
        <f t="shared" si="70"/>
        <v>1</v>
      </c>
      <c r="L451" s="1128"/>
      <c r="M451" s="313">
        <f t="shared" si="71"/>
        <v>1</v>
      </c>
      <c r="N451" s="1128"/>
      <c r="O451" s="313">
        <f t="shared" si="72"/>
        <v>1</v>
      </c>
      <c r="P451" s="1128"/>
      <c r="Q451" s="313">
        <f t="shared" si="73"/>
        <v>1</v>
      </c>
      <c r="R451" s="1124">
        <f t="shared" si="74"/>
        <v>0</v>
      </c>
      <c r="S451" s="698">
        <f t="shared" si="65"/>
        <v>0</v>
      </c>
    </row>
    <row r="452" spans="1:19">
      <c r="A452" s="491"/>
      <c r="B452" s="348"/>
      <c r="C452" s="313">
        <f t="shared" si="66"/>
        <v>1</v>
      </c>
      <c r="D452" s="1128"/>
      <c r="E452" s="313">
        <f t="shared" si="67"/>
        <v>1</v>
      </c>
      <c r="F452" s="1128"/>
      <c r="G452" s="313">
        <f t="shared" si="68"/>
        <v>1</v>
      </c>
      <c r="H452" s="1128"/>
      <c r="I452" s="313">
        <f t="shared" si="69"/>
        <v>1</v>
      </c>
      <c r="J452" s="1128"/>
      <c r="K452" s="313">
        <f t="shared" si="70"/>
        <v>1</v>
      </c>
      <c r="L452" s="1128"/>
      <c r="M452" s="313">
        <f t="shared" si="71"/>
        <v>1</v>
      </c>
      <c r="N452" s="1128"/>
      <c r="O452" s="313">
        <f t="shared" si="72"/>
        <v>1</v>
      </c>
      <c r="P452" s="1128"/>
      <c r="Q452" s="313">
        <f t="shared" si="73"/>
        <v>1</v>
      </c>
      <c r="R452" s="1124">
        <f t="shared" si="74"/>
        <v>0</v>
      </c>
      <c r="S452" s="698">
        <f t="shared" si="65"/>
        <v>0</v>
      </c>
    </row>
    <row r="453" spans="1:19">
      <c r="A453" s="491"/>
      <c r="B453" s="348"/>
      <c r="C453" s="313">
        <f t="shared" si="66"/>
        <v>1</v>
      </c>
      <c r="D453" s="1128"/>
      <c r="E453" s="313">
        <f t="shared" si="67"/>
        <v>1</v>
      </c>
      <c r="F453" s="1128"/>
      <c r="G453" s="313">
        <f t="shared" si="68"/>
        <v>1</v>
      </c>
      <c r="H453" s="1128"/>
      <c r="I453" s="313">
        <f t="shared" si="69"/>
        <v>1</v>
      </c>
      <c r="J453" s="1128"/>
      <c r="K453" s="313">
        <f t="shared" si="70"/>
        <v>1</v>
      </c>
      <c r="L453" s="1128"/>
      <c r="M453" s="313">
        <f t="shared" si="71"/>
        <v>1</v>
      </c>
      <c r="N453" s="1128"/>
      <c r="O453" s="313">
        <f t="shared" si="72"/>
        <v>1</v>
      </c>
      <c r="P453" s="1128"/>
      <c r="Q453" s="313">
        <f t="shared" si="73"/>
        <v>1</v>
      </c>
      <c r="R453" s="1124">
        <f t="shared" si="74"/>
        <v>0</v>
      </c>
      <c r="S453" s="698">
        <f t="shared" si="65"/>
        <v>0</v>
      </c>
    </row>
    <row r="454" spans="1:19">
      <c r="A454" s="491"/>
      <c r="B454" s="348"/>
      <c r="C454" s="313">
        <f t="shared" si="66"/>
        <v>1</v>
      </c>
      <c r="D454" s="1128"/>
      <c r="E454" s="313">
        <f t="shared" si="67"/>
        <v>1</v>
      </c>
      <c r="F454" s="1128"/>
      <c r="G454" s="313">
        <f t="shared" si="68"/>
        <v>1</v>
      </c>
      <c r="H454" s="1128"/>
      <c r="I454" s="313">
        <f t="shared" si="69"/>
        <v>1</v>
      </c>
      <c r="J454" s="1128"/>
      <c r="K454" s="313">
        <f t="shared" si="70"/>
        <v>1</v>
      </c>
      <c r="L454" s="1128"/>
      <c r="M454" s="313">
        <f t="shared" si="71"/>
        <v>1</v>
      </c>
      <c r="N454" s="1128"/>
      <c r="O454" s="313">
        <f t="shared" si="72"/>
        <v>1</v>
      </c>
      <c r="P454" s="1128"/>
      <c r="Q454" s="313">
        <f t="shared" si="73"/>
        <v>1</v>
      </c>
      <c r="R454" s="1124">
        <f t="shared" si="74"/>
        <v>0</v>
      </c>
      <c r="S454" s="698">
        <f t="shared" si="65"/>
        <v>0</v>
      </c>
    </row>
    <row r="455" spans="1:19">
      <c r="A455" s="491"/>
      <c r="B455" s="348"/>
      <c r="C455" s="313">
        <f t="shared" si="66"/>
        <v>1</v>
      </c>
      <c r="D455" s="1128"/>
      <c r="E455" s="313">
        <f t="shared" si="67"/>
        <v>1</v>
      </c>
      <c r="F455" s="1128"/>
      <c r="G455" s="313">
        <f t="shared" si="68"/>
        <v>1</v>
      </c>
      <c r="H455" s="1128"/>
      <c r="I455" s="313">
        <f t="shared" si="69"/>
        <v>1</v>
      </c>
      <c r="J455" s="1128"/>
      <c r="K455" s="313">
        <f t="shared" si="70"/>
        <v>1</v>
      </c>
      <c r="L455" s="1128"/>
      <c r="M455" s="313">
        <f t="shared" si="71"/>
        <v>1</v>
      </c>
      <c r="N455" s="1128"/>
      <c r="O455" s="313">
        <f t="shared" si="72"/>
        <v>1</v>
      </c>
      <c r="P455" s="1128"/>
      <c r="Q455" s="313">
        <f t="shared" si="73"/>
        <v>1</v>
      </c>
      <c r="R455" s="1124">
        <f t="shared" si="74"/>
        <v>0</v>
      </c>
      <c r="S455" s="698">
        <f t="shared" si="65"/>
        <v>0</v>
      </c>
    </row>
    <row r="456" spans="1:19">
      <c r="A456" s="491"/>
      <c r="B456" s="348"/>
      <c r="C456" s="313">
        <f t="shared" si="66"/>
        <v>1</v>
      </c>
      <c r="D456" s="1128"/>
      <c r="E456" s="313">
        <f t="shared" si="67"/>
        <v>1</v>
      </c>
      <c r="F456" s="1128"/>
      <c r="G456" s="313">
        <f t="shared" si="68"/>
        <v>1</v>
      </c>
      <c r="H456" s="1128"/>
      <c r="I456" s="313">
        <f t="shared" si="69"/>
        <v>1</v>
      </c>
      <c r="J456" s="1128"/>
      <c r="K456" s="313">
        <f t="shared" si="70"/>
        <v>1</v>
      </c>
      <c r="L456" s="1128"/>
      <c r="M456" s="313">
        <f t="shared" si="71"/>
        <v>1</v>
      </c>
      <c r="N456" s="1128"/>
      <c r="O456" s="313">
        <f t="shared" si="72"/>
        <v>1</v>
      </c>
      <c r="P456" s="1128"/>
      <c r="Q456" s="313">
        <f t="shared" si="73"/>
        <v>1</v>
      </c>
      <c r="R456" s="1124">
        <f t="shared" si="74"/>
        <v>0</v>
      </c>
      <c r="S456" s="698">
        <f t="shared" si="65"/>
        <v>0</v>
      </c>
    </row>
    <row r="457" spans="1:19">
      <c r="A457" s="491"/>
      <c r="B457" s="348"/>
      <c r="C457" s="313">
        <f t="shared" si="66"/>
        <v>1</v>
      </c>
      <c r="D457" s="1128"/>
      <c r="E457" s="313">
        <f t="shared" si="67"/>
        <v>1</v>
      </c>
      <c r="F457" s="1128"/>
      <c r="G457" s="313">
        <f t="shared" si="68"/>
        <v>1</v>
      </c>
      <c r="H457" s="1128"/>
      <c r="I457" s="313">
        <f t="shared" si="69"/>
        <v>1</v>
      </c>
      <c r="J457" s="1128"/>
      <c r="K457" s="313">
        <f t="shared" si="70"/>
        <v>1</v>
      </c>
      <c r="L457" s="1128"/>
      <c r="M457" s="313">
        <f t="shared" si="71"/>
        <v>1</v>
      </c>
      <c r="N457" s="1128"/>
      <c r="O457" s="313">
        <f t="shared" si="72"/>
        <v>1</v>
      </c>
      <c r="P457" s="1128"/>
      <c r="Q457" s="313">
        <f t="shared" si="73"/>
        <v>1</v>
      </c>
      <c r="R457" s="1124">
        <f t="shared" si="74"/>
        <v>0</v>
      </c>
      <c r="S457" s="698">
        <f t="shared" si="65"/>
        <v>0</v>
      </c>
    </row>
    <row r="458" spans="1:19">
      <c r="A458" s="491"/>
      <c r="B458" s="348"/>
      <c r="C458" s="313">
        <f t="shared" si="66"/>
        <v>1</v>
      </c>
      <c r="D458" s="1128"/>
      <c r="E458" s="313">
        <f t="shared" si="67"/>
        <v>1</v>
      </c>
      <c r="F458" s="1128"/>
      <c r="G458" s="313">
        <f t="shared" si="68"/>
        <v>1</v>
      </c>
      <c r="H458" s="1128"/>
      <c r="I458" s="313">
        <f t="shared" si="69"/>
        <v>1</v>
      </c>
      <c r="J458" s="1128"/>
      <c r="K458" s="313">
        <f t="shared" si="70"/>
        <v>1</v>
      </c>
      <c r="L458" s="1128"/>
      <c r="M458" s="313">
        <f t="shared" si="71"/>
        <v>1</v>
      </c>
      <c r="N458" s="1128"/>
      <c r="O458" s="313">
        <f t="shared" si="72"/>
        <v>1</v>
      </c>
      <c r="P458" s="1128"/>
      <c r="Q458" s="313">
        <f t="shared" si="73"/>
        <v>1</v>
      </c>
      <c r="R458" s="1124">
        <f t="shared" si="74"/>
        <v>0</v>
      </c>
      <c r="S458" s="698">
        <f t="shared" si="65"/>
        <v>0</v>
      </c>
    </row>
    <row r="459" spans="1:19">
      <c r="A459" s="491"/>
      <c r="B459" s="348"/>
      <c r="C459" s="313">
        <f t="shared" si="66"/>
        <v>1</v>
      </c>
      <c r="D459" s="1128"/>
      <c r="E459" s="313">
        <f t="shared" si="67"/>
        <v>1</v>
      </c>
      <c r="F459" s="1128"/>
      <c r="G459" s="313">
        <f t="shared" si="68"/>
        <v>1</v>
      </c>
      <c r="H459" s="1128"/>
      <c r="I459" s="313">
        <f t="shared" si="69"/>
        <v>1</v>
      </c>
      <c r="J459" s="1128"/>
      <c r="K459" s="313">
        <f t="shared" si="70"/>
        <v>1</v>
      </c>
      <c r="L459" s="1128"/>
      <c r="M459" s="313">
        <f t="shared" si="71"/>
        <v>1</v>
      </c>
      <c r="N459" s="1128"/>
      <c r="O459" s="313">
        <f t="shared" si="72"/>
        <v>1</v>
      </c>
      <c r="P459" s="1128"/>
      <c r="Q459" s="313">
        <f t="shared" si="73"/>
        <v>1</v>
      </c>
      <c r="R459" s="1124">
        <f t="shared" si="74"/>
        <v>0</v>
      </c>
      <c r="S459" s="698">
        <f t="shared" si="65"/>
        <v>0</v>
      </c>
    </row>
    <row r="460" spans="1:19">
      <c r="A460" s="491"/>
      <c r="B460" s="348"/>
      <c r="C460" s="313">
        <f t="shared" si="66"/>
        <v>1</v>
      </c>
      <c r="D460" s="1128"/>
      <c r="E460" s="313">
        <f t="shared" si="67"/>
        <v>1</v>
      </c>
      <c r="F460" s="1128"/>
      <c r="G460" s="313">
        <f t="shared" si="68"/>
        <v>1</v>
      </c>
      <c r="H460" s="1128"/>
      <c r="I460" s="313">
        <f t="shared" si="69"/>
        <v>1</v>
      </c>
      <c r="J460" s="1128"/>
      <c r="K460" s="313">
        <f t="shared" si="70"/>
        <v>1</v>
      </c>
      <c r="L460" s="1128"/>
      <c r="M460" s="313">
        <f t="shared" si="71"/>
        <v>1</v>
      </c>
      <c r="N460" s="1128"/>
      <c r="O460" s="313">
        <f t="shared" si="72"/>
        <v>1</v>
      </c>
      <c r="P460" s="1128"/>
      <c r="Q460" s="313">
        <f t="shared" si="73"/>
        <v>1</v>
      </c>
      <c r="R460" s="1124">
        <f t="shared" si="74"/>
        <v>0</v>
      </c>
      <c r="S460" s="698">
        <f t="shared" si="65"/>
        <v>0</v>
      </c>
    </row>
    <row r="461" spans="1:19">
      <c r="A461" s="491"/>
      <c r="B461" s="348"/>
      <c r="C461" s="313">
        <f t="shared" si="66"/>
        <v>1</v>
      </c>
      <c r="D461" s="1128"/>
      <c r="E461" s="313">
        <f t="shared" si="67"/>
        <v>1</v>
      </c>
      <c r="F461" s="1128"/>
      <c r="G461" s="313">
        <f t="shared" si="68"/>
        <v>1</v>
      </c>
      <c r="H461" s="1128"/>
      <c r="I461" s="313">
        <f t="shared" si="69"/>
        <v>1</v>
      </c>
      <c r="J461" s="1128"/>
      <c r="K461" s="313">
        <f t="shared" si="70"/>
        <v>1</v>
      </c>
      <c r="L461" s="1128"/>
      <c r="M461" s="313">
        <f t="shared" si="71"/>
        <v>1</v>
      </c>
      <c r="N461" s="1128"/>
      <c r="O461" s="313">
        <f t="shared" si="72"/>
        <v>1</v>
      </c>
      <c r="P461" s="1128"/>
      <c r="Q461" s="313">
        <f t="shared" si="73"/>
        <v>1</v>
      </c>
      <c r="R461" s="1124">
        <f t="shared" si="74"/>
        <v>0</v>
      </c>
      <c r="S461" s="698">
        <f t="shared" si="65"/>
        <v>0</v>
      </c>
    </row>
    <row r="462" spans="1:19">
      <c r="A462" s="491"/>
      <c r="B462" s="348"/>
      <c r="C462" s="313">
        <f t="shared" si="66"/>
        <v>1</v>
      </c>
      <c r="D462" s="1128"/>
      <c r="E462" s="313">
        <f t="shared" si="67"/>
        <v>1</v>
      </c>
      <c r="F462" s="1128"/>
      <c r="G462" s="313">
        <f t="shared" si="68"/>
        <v>1</v>
      </c>
      <c r="H462" s="1128"/>
      <c r="I462" s="313">
        <f t="shared" si="69"/>
        <v>1</v>
      </c>
      <c r="J462" s="1128"/>
      <c r="K462" s="313">
        <f t="shared" si="70"/>
        <v>1</v>
      </c>
      <c r="L462" s="1128"/>
      <c r="M462" s="313">
        <f t="shared" si="71"/>
        <v>1</v>
      </c>
      <c r="N462" s="1128"/>
      <c r="O462" s="313">
        <f t="shared" si="72"/>
        <v>1</v>
      </c>
      <c r="P462" s="1128"/>
      <c r="Q462" s="313">
        <f t="shared" si="73"/>
        <v>1</v>
      </c>
      <c r="R462" s="1124">
        <f t="shared" si="74"/>
        <v>0</v>
      </c>
      <c r="S462" s="698">
        <f t="shared" si="65"/>
        <v>0</v>
      </c>
    </row>
    <row r="463" spans="1:19">
      <c r="A463" s="491"/>
      <c r="B463" s="348"/>
      <c r="C463" s="313">
        <f t="shared" si="66"/>
        <v>1</v>
      </c>
      <c r="D463" s="1128"/>
      <c r="E463" s="313">
        <f t="shared" si="67"/>
        <v>1</v>
      </c>
      <c r="F463" s="1128"/>
      <c r="G463" s="313">
        <f t="shared" si="68"/>
        <v>1</v>
      </c>
      <c r="H463" s="1128"/>
      <c r="I463" s="313">
        <f t="shared" si="69"/>
        <v>1</v>
      </c>
      <c r="J463" s="1128"/>
      <c r="K463" s="313">
        <f t="shared" si="70"/>
        <v>1</v>
      </c>
      <c r="L463" s="1128"/>
      <c r="M463" s="313">
        <f t="shared" si="71"/>
        <v>1</v>
      </c>
      <c r="N463" s="1128"/>
      <c r="O463" s="313">
        <f t="shared" si="72"/>
        <v>1</v>
      </c>
      <c r="P463" s="1128"/>
      <c r="Q463" s="313">
        <f t="shared" si="73"/>
        <v>1</v>
      </c>
      <c r="R463" s="1124">
        <f t="shared" si="74"/>
        <v>0</v>
      </c>
      <c r="S463" s="698">
        <f t="shared" si="65"/>
        <v>0</v>
      </c>
    </row>
    <row r="464" spans="1:19">
      <c r="A464" s="491"/>
      <c r="B464" s="348"/>
      <c r="C464" s="313">
        <f t="shared" si="66"/>
        <v>1</v>
      </c>
      <c r="D464" s="1128"/>
      <c r="E464" s="313">
        <f t="shared" si="67"/>
        <v>1</v>
      </c>
      <c r="F464" s="1128"/>
      <c r="G464" s="313">
        <f t="shared" si="68"/>
        <v>1</v>
      </c>
      <c r="H464" s="1128"/>
      <c r="I464" s="313">
        <f t="shared" si="69"/>
        <v>1</v>
      </c>
      <c r="J464" s="1128"/>
      <c r="K464" s="313">
        <f t="shared" si="70"/>
        <v>1</v>
      </c>
      <c r="L464" s="1128"/>
      <c r="M464" s="313">
        <f t="shared" si="71"/>
        <v>1</v>
      </c>
      <c r="N464" s="1128"/>
      <c r="O464" s="313">
        <f t="shared" si="72"/>
        <v>1</v>
      </c>
      <c r="P464" s="1128"/>
      <c r="Q464" s="313">
        <f t="shared" si="73"/>
        <v>1</v>
      </c>
      <c r="R464" s="1124">
        <f t="shared" si="74"/>
        <v>0</v>
      </c>
      <c r="S464" s="698">
        <f t="shared" si="65"/>
        <v>0</v>
      </c>
    </row>
    <row r="465" spans="1:19">
      <c r="A465" s="491"/>
      <c r="B465" s="348"/>
      <c r="C465" s="313">
        <f t="shared" si="66"/>
        <v>1</v>
      </c>
      <c r="D465" s="1128"/>
      <c r="E465" s="313">
        <f t="shared" si="67"/>
        <v>1</v>
      </c>
      <c r="F465" s="1128"/>
      <c r="G465" s="313">
        <f t="shared" si="68"/>
        <v>1</v>
      </c>
      <c r="H465" s="1128"/>
      <c r="I465" s="313">
        <f t="shared" si="69"/>
        <v>1</v>
      </c>
      <c r="J465" s="1128"/>
      <c r="K465" s="313">
        <f t="shared" si="70"/>
        <v>1</v>
      </c>
      <c r="L465" s="1128"/>
      <c r="M465" s="313">
        <f t="shared" si="71"/>
        <v>1</v>
      </c>
      <c r="N465" s="1128"/>
      <c r="O465" s="313">
        <f t="shared" si="72"/>
        <v>1</v>
      </c>
      <c r="P465" s="1128"/>
      <c r="Q465" s="313">
        <f t="shared" si="73"/>
        <v>1</v>
      </c>
      <c r="R465" s="1124">
        <f t="shared" si="74"/>
        <v>0</v>
      </c>
      <c r="S465" s="698">
        <f t="shared" si="65"/>
        <v>0</v>
      </c>
    </row>
    <row r="466" spans="1:19">
      <c r="A466" s="491"/>
      <c r="B466" s="348"/>
      <c r="C466" s="313">
        <f t="shared" si="66"/>
        <v>1</v>
      </c>
      <c r="D466" s="1128"/>
      <c r="E466" s="313">
        <f t="shared" si="67"/>
        <v>1</v>
      </c>
      <c r="F466" s="1128"/>
      <c r="G466" s="313">
        <f t="shared" si="68"/>
        <v>1</v>
      </c>
      <c r="H466" s="1128"/>
      <c r="I466" s="313">
        <f t="shared" si="69"/>
        <v>1</v>
      </c>
      <c r="J466" s="1128"/>
      <c r="K466" s="313">
        <f t="shared" si="70"/>
        <v>1</v>
      </c>
      <c r="L466" s="1128"/>
      <c r="M466" s="313">
        <f t="shared" si="71"/>
        <v>1</v>
      </c>
      <c r="N466" s="1128"/>
      <c r="O466" s="313">
        <f t="shared" si="72"/>
        <v>1</v>
      </c>
      <c r="P466" s="1128"/>
      <c r="Q466" s="313">
        <f t="shared" si="73"/>
        <v>1</v>
      </c>
      <c r="R466" s="1124">
        <f t="shared" si="74"/>
        <v>0</v>
      </c>
      <c r="S466" s="698">
        <f t="shared" si="65"/>
        <v>0</v>
      </c>
    </row>
    <row r="467" spans="1:19">
      <c r="A467" s="491"/>
      <c r="B467" s="348"/>
      <c r="C467" s="313">
        <f t="shared" si="66"/>
        <v>1</v>
      </c>
      <c r="D467" s="1128"/>
      <c r="E467" s="313">
        <f t="shared" si="67"/>
        <v>1</v>
      </c>
      <c r="F467" s="1128"/>
      <c r="G467" s="313">
        <f t="shared" si="68"/>
        <v>1</v>
      </c>
      <c r="H467" s="1128"/>
      <c r="I467" s="313">
        <f t="shared" si="69"/>
        <v>1</v>
      </c>
      <c r="J467" s="1128"/>
      <c r="K467" s="313">
        <f t="shared" si="70"/>
        <v>1</v>
      </c>
      <c r="L467" s="1128"/>
      <c r="M467" s="313">
        <f t="shared" si="71"/>
        <v>1</v>
      </c>
      <c r="N467" s="1128"/>
      <c r="O467" s="313">
        <f t="shared" si="72"/>
        <v>1</v>
      </c>
      <c r="P467" s="1128"/>
      <c r="Q467" s="313">
        <f t="shared" si="73"/>
        <v>1</v>
      </c>
      <c r="R467" s="1124">
        <f t="shared" si="74"/>
        <v>0</v>
      </c>
      <c r="S467" s="698">
        <f t="shared" si="65"/>
        <v>0</v>
      </c>
    </row>
    <row r="468" spans="1:19">
      <c r="A468" s="491"/>
      <c r="B468" s="348"/>
      <c r="C468" s="313">
        <f t="shared" si="66"/>
        <v>1</v>
      </c>
      <c r="D468" s="1128"/>
      <c r="E468" s="313">
        <f t="shared" si="67"/>
        <v>1</v>
      </c>
      <c r="F468" s="1128"/>
      <c r="G468" s="313">
        <f t="shared" si="68"/>
        <v>1</v>
      </c>
      <c r="H468" s="1128"/>
      <c r="I468" s="313">
        <f t="shared" si="69"/>
        <v>1</v>
      </c>
      <c r="J468" s="1128"/>
      <c r="K468" s="313">
        <f t="shared" si="70"/>
        <v>1</v>
      </c>
      <c r="L468" s="1128"/>
      <c r="M468" s="313">
        <f t="shared" si="71"/>
        <v>1</v>
      </c>
      <c r="N468" s="1128"/>
      <c r="O468" s="313">
        <f t="shared" si="72"/>
        <v>1</v>
      </c>
      <c r="P468" s="1128"/>
      <c r="Q468" s="313">
        <f t="shared" si="73"/>
        <v>1</v>
      </c>
      <c r="R468" s="1124">
        <f t="shared" si="74"/>
        <v>0</v>
      </c>
      <c r="S468" s="698">
        <f t="shared" si="65"/>
        <v>0</v>
      </c>
    </row>
    <row r="469" spans="1:19">
      <c r="A469" s="491"/>
      <c r="B469" s="348"/>
      <c r="C469" s="313">
        <f t="shared" si="66"/>
        <v>1</v>
      </c>
      <c r="D469" s="1128"/>
      <c r="E469" s="313">
        <f t="shared" si="67"/>
        <v>1</v>
      </c>
      <c r="F469" s="1128"/>
      <c r="G469" s="313">
        <f t="shared" si="68"/>
        <v>1</v>
      </c>
      <c r="H469" s="1128"/>
      <c r="I469" s="313">
        <f t="shared" si="69"/>
        <v>1</v>
      </c>
      <c r="J469" s="1128"/>
      <c r="K469" s="313">
        <f t="shared" si="70"/>
        <v>1</v>
      </c>
      <c r="L469" s="1128"/>
      <c r="M469" s="313">
        <f t="shared" si="71"/>
        <v>1</v>
      </c>
      <c r="N469" s="1128"/>
      <c r="O469" s="313">
        <f t="shared" si="72"/>
        <v>1</v>
      </c>
      <c r="P469" s="1128"/>
      <c r="Q469" s="313">
        <f t="shared" si="73"/>
        <v>1</v>
      </c>
      <c r="R469" s="1124">
        <f t="shared" si="74"/>
        <v>0</v>
      </c>
      <c r="S469" s="698">
        <f t="shared" si="65"/>
        <v>0</v>
      </c>
    </row>
    <row r="470" spans="1:19">
      <c r="A470" s="491"/>
      <c r="B470" s="348"/>
      <c r="C470" s="313">
        <f t="shared" si="66"/>
        <v>1</v>
      </c>
      <c r="D470" s="1128"/>
      <c r="E470" s="313">
        <f t="shared" si="67"/>
        <v>1</v>
      </c>
      <c r="F470" s="1128"/>
      <c r="G470" s="313">
        <f t="shared" si="68"/>
        <v>1</v>
      </c>
      <c r="H470" s="1128"/>
      <c r="I470" s="313">
        <f t="shared" si="69"/>
        <v>1</v>
      </c>
      <c r="J470" s="1128"/>
      <c r="K470" s="313">
        <f t="shared" si="70"/>
        <v>1</v>
      </c>
      <c r="L470" s="1128"/>
      <c r="M470" s="313">
        <f t="shared" si="71"/>
        <v>1</v>
      </c>
      <c r="N470" s="1128"/>
      <c r="O470" s="313">
        <f t="shared" si="72"/>
        <v>1</v>
      </c>
      <c r="P470" s="1128"/>
      <c r="Q470" s="313">
        <f t="shared" si="73"/>
        <v>1</v>
      </c>
      <c r="R470" s="1124">
        <f t="shared" si="74"/>
        <v>0</v>
      </c>
      <c r="S470" s="698">
        <f t="shared" si="65"/>
        <v>0</v>
      </c>
    </row>
    <row r="471" spans="1:19">
      <c r="A471" s="491"/>
      <c r="B471" s="348"/>
      <c r="C471" s="313">
        <f t="shared" si="66"/>
        <v>1</v>
      </c>
      <c r="D471" s="1128"/>
      <c r="E471" s="313">
        <f t="shared" si="67"/>
        <v>1</v>
      </c>
      <c r="F471" s="1128"/>
      <c r="G471" s="313">
        <f t="shared" si="68"/>
        <v>1</v>
      </c>
      <c r="H471" s="1128"/>
      <c r="I471" s="313">
        <f t="shared" si="69"/>
        <v>1</v>
      </c>
      <c r="J471" s="1128"/>
      <c r="K471" s="313">
        <f t="shared" si="70"/>
        <v>1</v>
      </c>
      <c r="L471" s="1128"/>
      <c r="M471" s="313">
        <f t="shared" si="71"/>
        <v>1</v>
      </c>
      <c r="N471" s="1128"/>
      <c r="O471" s="313">
        <f t="shared" si="72"/>
        <v>1</v>
      </c>
      <c r="P471" s="1128"/>
      <c r="Q471" s="313">
        <f t="shared" si="73"/>
        <v>1</v>
      </c>
      <c r="R471" s="1124">
        <f t="shared" si="74"/>
        <v>0</v>
      </c>
      <c r="S471" s="698">
        <f t="shared" si="65"/>
        <v>0</v>
      </c>
    </row>
    <row r="472" spans="1:19">
      <c r="A472" s="491"/>
      <c r="B472" s="348"/>
      <c r="C472" s="313">
        <f t="shared" si="66"/>
        <v>1</v>
      </c>
      <c r="D472" s="1128"/>
      <c r="E472" s="313">
        <f t="shared" si="67"/>
        <v>1</v>
      </c>
      <c r="F472" s="1128"/>
      <c r="G472" s="313">
        <f t="shared" si="68"/>
        <v>1</v>
      </c>
      <c r="H472" s="1128"/>
      <c r="I472" s="313">
        <f t="shared" si="69"/>
        <v>1</v>
      </c>
      <c r="J472" s="1128"/>
      <c r="K472" s="313">
        <f t="shared" si="70"/>
        <v>1</v>
      </c>
      <c r="L472" s="1128"/>
      <c r="M472" s="313">
        <f t="shared" si="71"/>
        <v>1</v>
      </c>
      <c r="N472" s="1128"/>
      <c r="O472" s="313">
        <f t="shared" si="72"/>
        <v>1</v>
      </c>
      <c r="P472" s="1128"/>
      <c r="Q472" s="313">
        <f t="shared" si="73"/>
        <v>1</v>
      </c>
      <c r="R472" s="1124">
        <f t="shared" si="74"/>
        <v>0</v>
      </c>
      <c r="S472" s="698">
        <f t="shared" ref="S472:S524" si="75">ROUND(R472*B472/10000,0)</f>
        <v>0</v>
      </c>
    </row>
    <row r="473" spans="1:19">
      <c r="A473" s="491"/>
      <c r="B473" s="348"/>
      <c r="C473" s="313">
        <f t="shared" si="66"/>
        <v>1</v>
      </c>
      <c r="D473" s="1128"/>
      <c r="E473" s="313">
        <f t="shared" si="67"/>
        <v>1</v>
      </c>
      <c r="F473" s="1128"/>
      <c r="G473" s="313">
        <f t="shared" si="68"/>
        <v>1</v>
      </c>
      <c r="H473" s="1128"/>
      <c r="I473" s="313">
        <f t="shared" si="69"/>
        <v>1</v>
      </c>
      <c r="J473" s="1128"/>
      <c r="K473" s="313">
        <f t="shared" si="70"/>
        <v>1</v>
      </c>
      <c r="L473" s="1128"/>
      <c r="M473" s="313">
        <f t="shared" si="71"/>
        <v>1</v>
      </c>
      <c r="N473" s="1128"/>
      <c r="O473" s="313">
        <f t="shared" si="72"/>
        <v>1</v>
      </c>
      <c r="P473" s="1128"/>
      <c r="Q473" s="313">
        <f t="shared" si="73"/>
        <v>1</v>
      </c>
      <c r="R473" s="1124">
        <f t="shared" si="74"/>
        <v>0</v>
      </c>
      <c r="S473" s="698">
        <f t="shared" si="75"/>
        <v>0</v>
      </c>
    </row>
    <row r="474" spans="1:19">
      <c r="A474" s="491"/>
      <c r="B474" s="348"/>
      <c r="C474" s="313">
        <f t="shared" ref="C474:C524" si="76">IF(B474="",1,(LOOKUP(B474,$3:$3,$4:$4)-LOOKUP($B$24,$3:$3,$4:$4)+100)/100)</f>
        <v>1</v>
      </c>
      <c r="D474" s="1128"/>
      <c r="E474" s="313">
        <f t="shared" ref="E474:E524" si="77">(SUMIF($5:$5,D474,$6:$6)-SUMIF($5:$5,$D$24,$6:$6)+100)/100</f>
        <v>1</v>
      </c>
      <c r="F474" s="1128"/>
      <c r="G474" s="313">
        <f t="shared" ref="G474:G524" si="78">(SUMIF($7:$7,F474,$8:$8)-SUMIF($7:$7,$F$24,$8:$8)+100)/100</f>
        <v>1</v>
      </c>
      <c r="H474" s="1128"/>
      <c r="I474" s="313">
        <f t="shared" ref="I474:I524" si="79">(SUMIF($9:$9,H474,$10:$10)-SUMIF($9:$9,$H$24,$10:$10)+100)/100</f>
        <v>1</v>
      </c>
      <c r="J474" s="1128"/>
      <c r="K474" s="313">
        <f t="shared" ref="K474:K524" si="80">(SUMIF($11:$11,J474,$12:$12)-SUMIF($11:$11,$J$24,$12:$12)+100)/100</f>
        <v>1</v>
      </c>
      <c r="L474" s="1128"/>
      <c r="M474" s="313">
        <f t="shared" ref="M474:M524" si="81">(SUMIF($13:$13,L474,$14:$14)-SUMIF($13:$13,$L$24,$14:$14)+100)/100</f>
        <v>1</v>
      </c>
      <c r="N474" s="1128"/>
      <c r="O474" s="313">
        <f t="shared" ref="O474:O524" si="82">(SUMIF($15:$15,N474,$16:$16)-SUMIF($15:$15,$N$24,$16:$16)+100)/100</f>
        <v>1</v>
      </c>
      <c r="P474" s="1128"/>
      <c r="Q474" s="313">
        <f t="shared" ref="Q474:Q524" si="83">(SUMIF($17:$17,P474,$18:$18)-SUMIF($17:$17,$P$24,$18:$18)+100)/100</f>
        <v>1</v>
      </c>
      <c r="R474" s="1124">
        <f t="shared" ref="R474:R524" si="84">IF(B474="",0,ROUND($R$24*C474*E474*G474*I474*K474*M474*O474*Q474,0))</f>
        <v>0</v>
      </c>
      <c r="S474" s="698">
        <f t="shared" si="75"/>
        <v>0</v>
      </c>
    </row>
    <row r="475" spans="1:19">
      <c r="A475" s="491"/>
      <c r="B475" s="348"/>
      <c r="C475" s="313">
        <f t="shared" si="76"/>
        <v>1</v>
      </c>
      <c r="D475" s="1128"/>
      <c r="E475" s="313">
        <f t="shared" si="77"/>
        <v>1</v>
      </c>
      <c r="F475" s="1128"/>
      <c r="G475" s="313">
        <f t="shared" si="78"/>
        <v>1</v>
      </c>
      <c r="H475" s="1128"/>
      <c r="I475" s="313">
        <f t="shared" si="79"/>
        <v>1</v>
      </c>
      <c r="J475" s="1128"/>
      <c r="K475" s="313">
        <f t="shared" si="80"/>
        <v>1</v>
      </c>
      <c r="L475" s="1128"/>
      <c r="M475" s="313">
        <f t="shared" si="81"/>
        <v>1</v>
      </c>
      <c r="N475" s="1128"/>
      <c r="O475" s="313">
        <f t="shared" si="82"/>
        <v>1</v>
      </c>
      <c r="P475" s="1128"/>
      <c r="Q475" s="313">
        <f t="shared" si="83"/>
        <v>1</v>
      </c>
      <c r="R475" s="1124">
        <f t="shared" si="84"/>
        <v>0</v>
      </c>
      <c r="S475" s="698">
        <f t="shared" si="75"/>
        <v>0</v>
      </c>
    </row>
    <row r="476" spans="1:19">
      <c r="A476" s="491"/>
      <c r="B476" s="348"/>
      <c r="C476" s="313">
        <f t="shared" si="76"/>
        <v>1</v>
      </c>
      <c r="D476" s="1128"/>
      <c r="E476" s="313">
        <f t="shared" si="77"/>
        <v>1</v>
      </c>
      <c r="F476" s="1128"/>
      <c r="G476" s="313">
        <f t="shared" si="78"/>
        <v>1</v>
      </c>
      <c r="H476" s="1128"/>
      <c r="I476" s="313">
        <f t="shared" si="79"/>
        <v>1</v>
      </c>
      <c r="J476" s="1128"/>
      <c r="K476" s="313">
        <f t="shared" si="80"/>
        <v>1</v>
      </c>
      <c r="L476" s="1128"/>
      <c r="M476" s="313">
        <f t="shared" si="81"/>
        <v>1</v>
      </c>
      <c r="N476" s="1128"/>
      <c r="O476" s="313">
        <f t="shared" si="82"/>
        <v>1</v>
      </c>
      <c r="P476" s="1128"/>
      <c r="Q476" s="313">
        <f t="shared" si="83"/>
        <v>1</v>
      </c>
      <c r="R476" s="1124">
        <f t="shared" si="84"/>
        <v>0</v>
      </c>
      <c r="S476" s="698">
        <f t="shared" si="75"/>
        <v>0</v>
      </c>
    </row>
    <row r="477" spans="1:19">
      <c r="A477" s="491"/>
      <c r="B477" s="348"/>
      <c r="C477" s="313">
        <f t="shared" si="76"/>
        <v>1</v>
      </c>
      <c r="D477" s="1128"/>
      <c r="E477" s="313">
        <f t="shared" si="77"/>
        <v>1</v>
      </c>
      <c r="F477" s="1128"/>
      <c r="G477" s="313">
        <f t="shared" si="78"/>
        <v>1</v>
      </c>
      <c r="H477" s="1128"/>
      <c r="I477" s="313">
        <f t="shared" si="79"/>
        <v>1</v>
      </c>
      <c r="J477" s="1128"/>
      <c r="K477" s="313">
        <f t="shared" si="80"/>
        <v>1</v>
      </c>
      <c r="L477" s="1128"/>
      <c r="M477" s="313">
        <f t="shared" si="81"/>
        <v>1</v>
      </c>
      <c r="N477" s="1128"/>
      <c r="O477" s="313">
        <f t="shared" si="82"/>
        <v>1</v>
      </c>
      <c r="P477" s="1128"/>
      <c r="Q477" s="313">
        <f t="shared" si="83"/>
        <v>1</v>
      </c>
      <c r="R477" s="1124">
        <f t="shared" si="84"/>
        <v>0</v>
      </c>
      <c r="S477" s="698">
        <f t="shared" si="75"/>
        <v>0</v>
      </c>
    </row>
    <row r="478" spans="1:19">
      <c r="A478" s="491"/>
      <c r="B478" s="348"/>
      <c r="C478" s="313">
        <f t="shared" si="76"/>
        <v>1</v>
      </c>
      <c r="D478" s="1128"/>
      <c r="E478" s="313">
        <f t="shared" si="77"/>
        <v>1</v>
      </c>
      <c r="F478" s="1128"/>
      <c r="G478" s="313">
        <f t="shared" si="78"/>
        <v>1</v>
      </c>
      <c r="H478" s="1128"/>
      <c r="I478" s="313">
        <f t="shared" si="79"/>
        <v>1</v>
      </c>
      <c r="J478" s="1128"/>
      <c r="K478" s="313">
        <f t="shared" si="80"/>
        <v>1</v>
      </c>
      <c r="L478" s="1128"/>
      <c r="M478" s="313">
        <f t="shared" si="81"/>
        <v>1</v>
      </c>
      <c r="N478" s="1128"/>
      <c r="O478" s="313">
        <f t="shared" si="82"/>
        <v>1</v>
      </c>
      <c r="P478" s="1128"/>
      <c r="Q478" s="313">
        <f t="shared" si="83"/>
        <v>1</v>
      </c>
      <c r="R478" s="1124">
        <f t="shared" si="84"/>
        <v>0</v>
      </c>
      <c r="S478" s="698">
        <f t="shared" si="75"/>
        <v>0</v>
      </c>
    </row>
    <row r="479" spans="1:19">
      <c r="A479" s="491"/>
      <c r="B479" s="348"/>
      <c r="C479" s="313">
        <f t="shared" si="76"/>
        <v>1</v>
      </c>
      <c r="D479" s="1128"/>
      <c r="E479" s="313">
        <f t="shared" si="77"/>
        <v>1</v>
      </c>
      <c r="F479" s="1128"/>
      <c r="G479" s="313">
        <f t="shared" si="78"/>
        <v>1</v>
      </c>
      <c r="H479" s="1128"/>
      <c r="I479" s="313">
        <f t="shared" si="79"/>
        <v>1</v>
      </c>
      <c r="J479" s="1128"/>
      <c r="K479" s="313">
        <f t="shared" si="80"/>
        <v>1</v>
      </c>
      <c r="L479" s="1128"/>
      <c r="M479" s="313">
        <f t="shared" si="81"/>
        <v>1</v>
      </c>
      <c r="N479" s="1128"/>
      <c r="O479" s="313">
        <f t="shared" si="82"/>
        <v>1</v>
      </c>
      <c r="P479" s="1128"/>
      <c r="Q479" s="313">
        <f t="shared" si="83"/>
        <v>1</v>
      </c>
      <c r="R479" s="1124">
        <f t="shared" si="84"/>
        <v>0</v>
      </c>
      <c r="S479" s="698">
        <f t="shared" si="75"/>
        <v>0</v>
      </c>
    </row>
    <row r="480" spans="1:19">
      <c r="A480" s="491"/>
      <c r="B480" s="348"/>
      <c r="C480" s="313">
        <f t="shared" si="76"/>
        <v>1</v>
      </c>
      <c r="D480" s="1128"/>
      <c r="E480" s="313">
        <f t="shared" si="77"/>
        <v>1</v>
      </c>
      <c r="F480" s="1128"/>
      <c r="G480" s="313">
        <f t="shared" si="78"/>
        <v>1</v>
      </c>
      <c r="H480" s="1128"/>
      <c r="I480" s="313">
        <f t="shared" si="79"/>
        <v>1</v>
      </c>
      <c r="J480" s="1128"/>
      <c r="K480" s="313">
        <f t="shared" si="80"/>
        <v>1</v>
      </c>
      <c r="L480" s="1128"/>
      <c r="M480" s="313">
        <f t="shared" si="81"/>
        <v>1</v>
      </c>
      <c r="N480" s="1128"/>
      <c r="O480" s="313">
        <f t="shared" si="82"/>
        <v>1</v>
      </c>
      <c r="P480" s="1128"/>
      <c r="Q480" s="313">
        <f t="shared" si="83"/>
        <v>1</v>
      </c>
      <c r="R480" s="1124">
        <f t="shared" si="84"/>
        <v>0</v>
      </c>
      <c r="S480" s="698">
        <f t="shared" si="75"/>
        <v>0</v>
      </c>
    </row>
    <row r="481" spans="1:19">
      <c r="A481" s="491"/>
      <c r="B481" s="348"/>
      <c r="C481" s="313">
        <f t="shared" si="76"/>
        <v>1</v>
      </c>
      <c r="D481" s="1128"/>
      <c r="E481" s="313">
        <f t="shared" si="77"/>
        <v>1</v>
      </c>
      <c r="F481" s="1128"/>
      <c r="G481" s="313">
        <f t="shared" si="78"/>
        <v>1</v>
      </c>
      <c r="H481" s="1128"/>
      <c r="I481" s="313">
        <f t="shared" si="79"/>
        <v>1</v>
      </c>
      <c r="J481" s="1128"/>
      <c r="K481" s="313">
        <f t="shared" si="80"/>
        <v>1</v>
      </c>
      <c r="L481" s="1128"/>
      <c r="M481" s="313">
        <f t="shared" si="81"/>
        <v>1</v>
      </c>
      <c r="N481" s="1128"/>
      <c r="O481" s="313">
        <f t="shared" si="82"/>
        <v>1</v>
      </c>
      <c r="P481" s="1128"/>
      <c r="Q481" s="313">
        <f t="shared" si="83"/>
        <v>1</v>
      </c>
      <c r="R481" s="1124">
        <f t="shared" si="84"/>
        <v>0</v>
      </c>
      <c r="S481" s="698">
        <f t="shared" si="75"/>
        <v>0</v>
      </c>
    </row>
    <row r="482" spans="1:19">
      <c r="A482" s="491"/>
      <c r="B482" s="348"/>
      <c r="C482" s="313">
        <f t="shared" si="76"/>
        <v>1</v>
      </c>
      <c r="D482" s="1128"/>
      <c r="E482" s="313">
        <f t="shared" si="77"/>
        <v>1</v>
      </c>
      <c r="F482" s="1128"/>
      <c r="G482" s="313">
        <f t="shared" si="78"/>
        <v>1</v>
      </c>
      <c r="H482" s="1128"/>
      <c r="I482" s="313">
        <f t="shared" si="79"/>
        <v>1</v>
      </c>
      <c r="J482" s="1128"/>
      <c r="K482" s="313">
        <f t="shared" si="80"/>
        <v>1</v>
      </c>
      <c r="L482" s="1128"/>
      <c r="M482" s="313">
        <f t="shared" si="81"/>
        <v>1</v>
      </c>
      <c r="N482" s="1128"/>
      <c r="O482" s="313">
        <f t="shared" si="82"/>
        <v>1</v>
      </c>
      <c r="P482" s="1128"/>
      <c r="Q482" s="313">
        <f t="shared" si="83"/>
        <v>1</v>
      </c>
      <c r="R482" s="1124">
        <f t="shared" si="84"/>
        <v>0</v>
      </c>
      <c r="S482" s="698">
        <f t="shared" si="75"/>
        <v>0</v>
      </c>
    </row>
    <row r="483" spans="1:19">
      <c r="A483" s="491"/>
      <c r="B483" s="348"/>
      <c r="C483" s="313">
        <f t="shared" si="76"/>
        <v>1</v>
      </c>
      <c r="D483" s="1128"/>
      <c r="E483" s="313">
        <f t="shared" si="77"/>
        <v>1</v>
      </c>
      <c r="F483" s="1128"/>
      <c r="G483" s="313">
        <f t="shared" si="78"/>
        <v>1</v>
      </c>
      <c r="H483" s="1128"/>
      <c r="I483" s="313">
        <f t="shared" si="79"/>
        <v>1</v>
      </c>
      <c r="J483" s="1128"/>
      <c r="K483" s="313">
        <f t="shared" si="80"/>
        <v>1</v>
      </c>
      <c r="L483" s="1128"/>
      <c r="M483" s="313">
        <f t="shared" si="81"/>
        <v>1</v>
      </c>
      <c r="N483" s="1128"/>
      <c r="O483" s="313">
        <f t="shared" si="82"/>
        <v>1</v>
      </c>
      <c r="P483" s="1128"/>
      <c r="Q483" s="313">
        <f t="shared" si="83"/>
        <v>1</v>
      </c>
      <c r="R483" s="1124">
        <f t="shared" si="84"/>
        <v>0</v>
      </c>
      <c r="S483" s="698">
        <f t="shared" si="75"/>
        <v>0</v>
      </c>
    </row>
    <row r="484" spans="1:19">
      <c r="A484" s="491"/>
      <c r="B484" s="348"/>
      <c r="C484" s="313">
        <f t="shared" si="76"/>
        <v>1</v>
      </c>
      <c r="D484" s="1128"/>
      <c r="E484" s="313">
        <f t="shared" si="77"/>
        <v>1</v>
      </c>
      <c r="F484" s="1128"/>
      <c r="G484" s="313">
        <f t="shared" si="78"/>
        <v>1</v>
      </c>
      <c r="H484" s="1128"/>
      <c r="I484" s="313">
        <f t="shared" si="79"/>
        <v>1</v>
      </c>
      <c r="J484" s="1128"/>
      <c r="K484" s="313">
        <f t="shared" si="80"/>
        <v>1</v>
      </c>
      <c r="L484" s="1128"/>
      <c r="M484" s="313">
        <f t="shared" si="81"/>
        <v>1</v>
      </c>
      <c r="N484" s="1128"/>
      <c r="O484" s="313">
        <f t="shared" si="82"/>
        <v>1</v>
      </c>
      <c r="P484" s="1128"/>
      <c r="Q484" s="313">
        <f t="shared" si="83"/>
        <v>1</v>
      </c>
      <c r="R484" s="1124">
        <f t="shared" si="84"/>
        <v>0</v>
      </c>
      <c r="S484" s="698">
        <f t="shared" si="75"/>
        <v>0</v>
      </c>
    </row>
    <row r="485" spans="1:19">
      <c r="A485" s="491"/>
      <c r="B485" s="348"/>
      <c r="C485" s="313">
        <f t="shared" si="76"/>
        <v>1</v>
      </c>
      <c r="D485" s="1128"/>
      <c r="E485" s="313">
        <f t="shared" si="77"/>
        <v>1</v>
      </c>
      <c r="F485" s="1128"/>
      <c r="G485" s="313">
        <f t="shared" si="78"/>
        <v>1</v>
      </c>
      <c r="H485" s="1128"/>
      <c r="I485" s="313">
        <f t="shared" si="79"/>
        <v>1</v>
      </c>
      <c r="J485" s="1128"/>
      <c r="K485" s="313">
        <f t="shared" si="80"/>
        <v>1</v>
      </c>
      <c r="L485" s="1128"/>
      <c r="M485" s="313">
        <f t="shared" si="81"/>
        <v>1</v>
      </c>
      <c r="N485" s="1128"/>
      <c r="O485" s="313">
        <f t="shared" si="82"/>
        <v>1</v>
      </c>
      <c r="P485" s="1128"/>
      <c r="Q485" s="313">
        <f t="shared" si="83"/>
        <v>1</v>
      </c>
      <c r="R485" s="1124">
        <f t="shared" si="84"/>
        <v>0</v>
      </c>
      <c r="S485" s="698">
        <f t="shared" si="75"/>
        <v>0</v>
      </c>
    </row>
    <row r="486" spans="1:19">
      <c r="A486" s="491"/>
      <c r="B486" s="348"/>
      <c r="C486" s="313">
        <f t="shared" si="76"/>
        <v>1</v>
      </c>
      <c r="D486" s="1128"/>
      <c r="E486" s="313">
        <f t="shared" si="77"/>
        <v>1</v>
      </c>
      <c r="F486" s="1128"/>
      <c r="G486" s="313">
        <f t="shared" si="78"/>
        <v>1</v>
      </c>
      <c r="H486" s="1128"/>
      <c r="I486" s="313">
        <f t="shared" si="79"/>
        <v>1</v>
      </c>
      <c r="J486" s="1128"/>
      <c r="K486" s="313">
        <f t="shared" si="80"/>
        <v>1</v>
      </c>
      <c r="L486" s="1128"/>
      <c r="M486" s="313">
        <f t="shared" si="81"/>
        <v>1</v>
      </c>
      <c r="N486" s="1128"/>
      <c r="O486" s="313">
        <f t="shared" si="82"/>
        <v>1</v>
      </c>
      <c r="P486" s="1128"/>
      <c r="Q486" s="313">
        <f t="shared" si="83"/>
        <v>1</v>
      </c>
      <c r="R486" s="1124">
        <f t="shared" si="84"/>
        <v>0</v>
      </c>
      <c r="S486" s="698">
        <f t="shared" si="75"/>
        <v>0</v>
      </c>
    </row>
    <row r="487" spans="1:19">
      <c r="A487" s="491"/>
      <c r="B487" s="348"/>
      <c r="C487" s="313">
        <f t="shared" si="76"/>
        <v>1</v>
      </c>
      <c r="D487" s="1128"/>
      <c r="E487" s="313">
        <f t="shared" si="77"/>
        <v>1</v>
      </c>
      <c r="F487" s="1128"/>
      <c r="G487" s="313">
        <f t="shared" si="78"/>
        <v>1</v>
      </c>
      <c r="H487" s="1128"/>
      <c r="I487" s="313">
        <f t="shared" si="79"/>
        <v>1</v>
      </c>
      <c r="J487" s="1128"/>
      <c r="K487" s="313">
        <f t="shared" si="80"/>
        <v>1</v>
      </c>
      <c r="L487" s="1128"/>
      <c r="M487" s="313">
        <f t="shared" si="81"/>
        <v>1</v>
      </c>
      <c r="N487" s="1128"/>
      <c r="O487" s="313">
        <f t="shared" si="82"/>
        <v>1</v>
      </c>
      <c r="P487" s="1128"/>
      <c r="Q487" s="313">
        <f t="shared" si="83"/>
        <v>1</v>
      </c>
      <c r="R487" s="1124">
        <f t="shared" si="84"/>
        <v>0</v>
      </c>
      <c r="S487" s="698">
        <f t="shared" si="75"/>
        <v>0</v>
      </c>
    </row>
    <row r="488" spans="1:19">
      <c r="A488" s="491"/>
      <c r="B488" s="348"/>
      <c r="C488" s="313">
        <f t="shared" si="76"/>
        <v>1</v>
      </c>
      <c r="D488" s="1128"/>
      <c r="E488" s="313">
        <f t="shared" si="77"/>
        <v>1</v>
      </c>
      <c r="F488" s="1128"/>
      <c r="G488" s="313">
        <f t="shared" si="78"/>
        <v>1</v>
      </c>
      <c r="H488" s="1128"/>
      <c r="I488" s="313">
        <f t="shared" si="79"/>
        <v>1</v>
      </c>
      <c r="J488" s="1128"/>
      <c r="K488" s="313">
        <f t="shared" si="80"/>
        <v>1</v>
      </c>
      <c r="L488" s="1128"/>
      <c r="M488" s="313">
        <f t="shared" si="81"/>
        <v>1</v>
      </c>
      <c r="N488" s="1128"/>
      <c r="O488" s="313">
        <f t="shared" si="82"/>
        <v>1</v>
      </c>
      <c r="P488" s="1128"/>
      <c r="Q488" s="313">
        <f t="shared" si="83"/>
        <v>1</v>
      </c>
      <c r="R488" s="1124">
        <f t="shared" si="84"/>
        <v>0</v>
      </c>
      <c r="S488" s="698">
        <f t="shared" si="75"/>
        <v>0</v>
      </c>
    </row>
    <row r="489" spans="1:19">
      <c r="A489" s="491"/>
      <c r="B489" s="348"/>
      <c r="C489" s="313">
        <f t="shared" si="76"/>
        <v>1</v>
      </c>
      <c r="D489" s="1128"/>
      <c r="E489" s="313">
        <f t="shared" si="77"/>
        <v>1</v>
      </c>
      <c r="F489" s="1128"/>
      <c r="G489" s="313">
        <f t="shared" si="78"/>
        <v>1</v>
      </c>
      <c r="H489" s="1128"/>
      <c r="I489" s="313">
        <f t="shared" si="79"/>
        <v>1</v>
      </c>
      <c r="J489" s="1128"/>
      <c r="K489" s="313">
        <f t="shared" si="80"/>
        <v>1</v>
      </c>
      <c r="L489" s="1128"/>
      <c r="M489" s="313">
        <f t="shared" si="81"/>
        <v>1</v>
      </c>
      <c r="N489" s="1128"/>
      <c r="O489" s="313">
        <f t="shared" si="82"/>
        <v>1</v>
      </c>
      <c r="P489" s="1128"/>
      <c r="Q489" s="313">
        <f t="shared" si="83"/>
        <v>1</v>
      </c>
      <c r="R489" s="1124">
        <f t="shared" si="84"/>
        <v>0</v>
      </c>
      <c r="S489" s="698">
        <f t="shared" si="75"/>
        <v>0</v>
      </c>
    </row>
    <row r="490" spans="1:19">
      <c r="A490" s="491"/>
      <c r="B490" s="348"/>
      <c r="C490" s="313">
        <f t="shared" si="76"/>
        <v>1</v>
      </c>
      <c r="D490" s="1128"/>
      <c r="E490" s="313">
        <f t="shared" si="77"/>
        <v>1</v>
      </c>
      <c r="F490" s="1128"/>
      <c r="G490" s="313">
        <f t="shared" si="78"/>
        <v>1</v>
      </c>
      <c r="H490" s="1128"/>
      <c r="I490" s="313">
        <f t="shared" si="79"/>
        <v>1</v>
      </c>
      <c r="J490" s="1128"/>
      <c r="K490" s="313">
        <f t="shared" si="80"/>
        <v>1</v>
      </c>
      <c r="L490" s="1128"/>
      <c r="M490" s="313">
        <f t="shared" si="81"/>
        <v>1</v>
      </c>
      <c r="N490" s="1128"/>
      <c r="O490" s="313">
        <f t="shared" si="82"/>
        <v>1</v>
      </c>
      <c r="P490" s="1128"/>
      <c r="Q490" s="313">
        <f t="shared" si="83"/>
        <v>1</v>
      </c>
      <c r="R490" s="1124">
        <f t="shared" si="84"/>
        <v>0</v>
      </c>
      <c r="S490" s="698">
        <f t="shared" si="75"/>
        <v>0</v>
      </c>
    </row>
    <row r="491" spans="1:19">
      <c r="A491" s="491"/>
      <c r="B491" s="348"/>
      <c r="C491" s="313">
        <f t="shared" si="76"/>
        <v>1</v>
      </c>
      <c r="D491" s="1128"/>
      <c r="E491" s="313">
        <f t="shared" si="77"/>
        <v>1</v>
      </c>
      <c r="F491" s="1128"/>
      <c r="G491" s="313">
        <f t="shared" si="78"/>
        <v>1</v>
      </c>
      <c r="H491" s="1128"/>
      <c r="I491" s="313">
        <f t="shared" si="79"/>
        <v>1</v>
      </c>
      <c r="J491" s="1128"/>
      <c r="K491" s="313">
        <f t="shared" si="80"/>
        <v>1</v>
      </c>
      <c r="L491" s="1128"/>
      <c r="M491" s="313">
        <f t="shared" si="81"/>
        <v>1</v>
      </c>
      <c r="N491" s="1128"/>
      <c r="O491" s="313">
        <f t="shared" si="82"/>
        <v>1</v>
      </c>
      <c r="P491" s="1128"/>
      <c r="Q491" s="313">
        <f t="shared" si="83"/>
        <v>1</v>
      </c>
      <c r="R491" s="1124">
        <f t="shared" si="84"/>
        <v>0</v>
      </c>
      <c r="S491" s="698">
        <f t="shared" si="75"/>
        <v>0</v>
      </c>
    </row>
    <row r="492" spans="1:19">
      <c r="A492" s="491"/>
      <c r="B492" s="348"/>
      <c r="C492" s="313">
        <f t="shared" si="76"/>
        <v>1</v>
      </c>
      <c r="D492" s="1128"/>
      <c r="E492" s="313">
        <f t="shared" si="77"/>
        <v>1</v>
      </c>
      <c r="F492" s="1128"/>
      <c r="G492" s="313">
        <f t="shared" si="78"/>
        <v>1</v>
      </c>
      <c r="H492" s="1128"/>
      <c r="I492" s="313">
        <f t="shared" si="79"/>
        <v>1</v>
      </c>
      <c r="J492" s="1128"/>
      <c r="K492" s="313">
        <f t="shared" si="80"/>
        <v>1</v>
      </c>
      <c r="L492" s="1128"/>
      <c r="M492" s="313">
        <f t="shared" si="81"/>
        <v>1</v>
      </c>
      <c r="N492" s="1128"/>
      <c r="O492" s="313">
        <f t="shared" si="82"/>
        <v>1</v>
      </c>
      <c r="P492" s="1128"/>
      <c r="Q492" s="313">
        <f t="shared" si="83"/>
        <v>1</v>
      </c>
      <c r="R492" s="1124">
        <f t="shared" si="84"/>
        <v>0</v>
      </c>
      <c r="S492" s="698">
        <f t="shared" si="75"/>
        <v>0</v>
      </c>
    </row>
    <row r="493" spans="1:19">
      <c r="A493" s="491"/>
      <c r="B493" s="348"/>
      <c r="C493" s="313">
        <f t="shared" si="76"/>
        <v>1</v>
      </c>
      <c r="D493" s="1128"/>
      <c r="E493" s="313">
        <f t="shared" si="77"/>
        <v>1</v>
      </c>
      <c r="F493" s="1128"/>
      <c r="G493" s="313">
        <f t="shared" si="78"/>
        <v>1</v>
      </c>
      <c r="H493" s="1128"/>
      <c r="I493" s="313">
        <f t="shared" si="79"/>
        <v>1</v>
      </c>
      <c r="J493" s="1128"/>
      <c r="K493" s="313">
        <f t="shared" si="80"/>
        <v>1</v>
      </c>
      <c r="L493" s="1128"/>
      <c r="M493" s="313">
        <f t="shared" si="81"/>
        <v>1</v>
      </c>
      <c r="N493" s="1128"/>
      <c r="O493" s="313">
        <f t="shared" si="82"/>
        <v>1</v>
      </c>
      <c r="P493" s="1128"/>
      <c r="Q493" s="313">
        <f t="shared" si="83"/>
        <v>1</v>
      </c>
      <c r="R493" s="1124">
        <f t="shared" si="84"/>
        <v>0</v>
      </c>
      <c r="S493" s="698">
        <f t="shared" si="75"/>
        <v>0</v>
      </c>
    </row>
    <row r="494" spans="1:19">
      <c r="A494" s="491"/>
      <c r="B494" s="348"/>
      <c r="C494" s="313">
        <f t="shared" si="76"/>
        <v>1</v>
      </c>
      <c r="D494" s="1128"/>
      <c r="E494" s="313">
        <f t="shared" si="77"/>
        <v>1</v>
      </c>
      <c r="F494" s="1128"/>
      <c r="G494" s="313">
        <f t="shared" si="78"/>
        <v>1</v>
      </c>
      <c r="H494" s="1128"/>
      <c r="I494" s="313">
        <f t="shared" si="79"/>
        <v>1</v>
      </c>
      <c r="J494" s="1128"/>
      <c r="K494" s="313">
        <f t="shared" si="80"/>
        <v>1</v>
      </c>
      <c r="L494" s="1128"/>
      <c r="M494" s="313">
        <f t="shared" si="81"/>
        <v>1</v>
      </c>
      <c r="N494" s="1128"/>
      <c r="O494" s="313">
        <f t="shared" si="82"/>
        <v>1</v>
      </c>
      <c r="P494" s="1128"/>
      <c r="Q494" s="313">
        <f t="shared" si="83"/>
        <v>1</v>
      </c>
      <c r="R494" s="1124">
        <f t="shared" si="84"/>
        <v>0</v>
      </c>
      <c r="S494" s="698">
        <f t="shared" si="75"/>
        <v>0</v>
      </c>
    </row>
    <row r="495" spans="1:19">
      <c r="A495" s="491"/>
      <c r="B495" s="348"/>
      <c r="C495" s="313">
        <f t="shared" si="76"/>
        <v>1</v>
      </c>
      <c r="D495" s="1128"/>
      <c r="E495" s="313">
        <f t="shared" si="77"/>
        <v>1</v>
      </c>
      <c r="F495" s="1128"/>
      <c r="G495" s="313">
        <f t="shared" si="78"/>
        <v>1</v>
      </c>
      <c r="H495" s="1128"/>
      <c r="I495" s="313">
        <f t="shared" si="79"/>
        <v>1</v>
      </c>
      <c r="J495" s="1128"/>
      <c r="K495" s="313">
        <f t="shared" si="80"/>
        <v>1</v>
      </c>
      <c r="L495" s="1128"/>
      <c r="M495" s="313">
        <f t="shared" si="81"/>
        <v>1</v>
      </c>
      <c r="N495" s="1128"/>
      <c r="O495" s="313">
        <f t="shared" si="82"/>
        <v>1</v>
      </c>
      <c r="P495" s="1128"/>
      <c r="Q495" s="313">
        <f t="shared" si="83"/>
        <v>1</v>
      </c>
      <c r="R495" s="1124">
        <f t="shared" si="84"/>
        <v>0</v>
      </c>
      <c r="S495" s="698">
        <f t="shared" si="75"/>
        <v>0</v>
      </c>
    </row>
    <row r="496" spans="1:19">
      <c r="A496" s="491"/>
      <c r="B496" s="348"/>
      <c r="C496" s="313">
        <f t="shared" si="76"/>
        <v>1</v>
      </c>
      <c r="D496" s="1128"/>
      <c r="E496" s="313">
        <f t="shared" si="77"/>
        <v>1</v>
      </c>
      <c r="F496" s="1128"/>
      <c r="G496" s="313">
        <f t="shared" si="78"/>
        <v>1</v>
      </c>
      <c r="H496" s="1128"/>
      <c r="I496" s="313">
        <f t="shared" si="79"/>
        <v>1</v>
      </c>
      <c r="J496" s="1128"/>
      <c r="K496" s="313">
        <f t="shared" si="80"/>
        <v>1</v>
      </c>
      <c r="L496" s="1128"/>
      <c r="M496" s="313">
        <f t="shared" si="81"/>
        <v>1</v>
      </c>
      <c r="N496" s="1128"/>
      <c r="O496" s="313">
        <f t="shared" si="82"/>
        <v>1</v>
      </c>
      <c r="P496" s="1128"/>
      <c r="Q496" s="313">
        <f t="shared" si="83"/>
        <v>1</v>
      </c>
      <c r="R496" s="1124">
        <f t="shared" si="84"/>
        <v>0</v>
      </c>
      <c r="S496" s="698">
        <f t="shared" si="75"/>
        <v>0</v>
      </c>
    </row>
    <row r="497" spans="1:19">
      <c r="A497" s="491"/>
      <c r="B497" s="348"/>
      <c r="C497" s="313">
        <f t="shared" si="76"/>
        <v>1</v>
      </c>
      <c r="D497" s="1128"/>
      <c r="E497" s="313">
        <f t="shared" si="77"/>
        <v>1</v>
      </c>
      <c r="F497" s="1128"/>
      <c r="G497" s="313">
        <f t="shared" si="78"/>
        <v>1</v>
      </c>
      <c r="H497" s="1128"/>
      <c r="I497" s="313">
        <f t="shared" si="79"/>
        <v>1</v>
      </c>
      <c r="J497" s="1128"/>
      <c r="K497" s="313">
        <f t="shared" si="80"/>
        <v>1</v>
      </c>
      <c r="L497" s="1128"/>
      <c r="M497" s="313">
        <f t="shared" si="81"/>
        <v>1</v>
      </c>
      <c r="N497" s="1128"/>
      <c r="O497" s="313">
        <f t="shared" si="82"/>
        <v>1</v>
      </c>
      <c r="P497" s="1128"/>
      <c r="Q497" s="313">
        <f t="shared" si="83"/>
        <v>1</v>
      </c>
      <c r="R497" s="1124">
        <f t="shared" si="84"/>
        <v>0</v>
      </c>
      <c r="S497" s="698">
        <f t="shared" si="75"/>
        <v>0</v>
      </c>
    </row>
    <row r="498" spans="1:19">
      <c r="A498" s="491"/>
      <c r="B498" s="348"/>
      <c r="C498" s="313">
        <f t="shared" si="76"/>
        <v>1</v>
      </c>
      <c r="D498" s="1128"/>
      <c r="E498" s="313">
        <f t="shared" si="77"/>
        <v>1</v>
      </c>
      <c r="F498" s="1128"/>
      <c r="G498" s="313">
        <f t="shared" si="78"/>
        <v>1</v>
      </c>
      <c r="H498" s="1128"/>
      <c r="I498" s="313">
        <f t="shared" si="79"/>
        <v>1</v>
      </c>
      <c r="J498" s="1128"/>
      <c r="K498" s="313">
        <f t="shared" si="80"/>
        <v>1</v>
      </c>
      <c r="L498" s="1128"/>
      <c r="M498" s="313">
        <f t="shared" si="81"/>
        <v>1</v>
      </c>
      <c r="N498" s="1128"/>
      <c r="O498" s="313">
        <f t="shared" si="82"/>
        <v>1</v>
      </c>
      <c r="P498" s="1128"/>
      <c r="Q498" s="313">
        <f t="shared" si="83"/>
        <v>1</v>
      </c>
      <c r="R498" s="1124">
        <f t="shared" si="84"/>
        <v>0</v>
      </c>
      <c r="S498" s="698">
        <f t="shared" si="75"/>
        <v>0</v>
      </c>
    </row>
    <row r="499" spans="1:19">
      <c r="A499" s="491"/>
      <c r="B499" s="348"/>
      <c r="C499" s="313">
        <f t="shared" si="76"/>
        <v>1</v>
      </c>
      <c r="D499" s="1128"/>
      <c r="E499" s="313">
        <f t="shared" si="77"/>
        <v>1</v>
      </c>
      <c r="F499" s="1128"/>
      <c r="G499" s="313">
        <f t="shared" si="78"/>
        <v>1</v>
      </c>
      <c r="H499" s="1128"/>
      <c r="I499" s="313">
        <f t="shared" si="79"/>
        <v>1</v>
      </c>
      <c r="J499" s="1128"/>
      <c r="K499" s="313">
        <f t="shared" si="80"/>
        <v>1</v>
      </c>
      <c r="L499" s="1128"/>
      <c r="M499" s="313">
        <f t="shared" si="81"/>
        <v>1</v>
      </c>
      <c r="N499" s="1128"/>
      <c r="O499" s="313">
        <f t="shared" si="82"/>
        <v>1</v>
      </c>
      <c r="P499" s="1128"/>
      <c r="Q499" s="313">
        <f t="shared" si="83"/>
        <v>1</v>
      </c>
      <c r="R499" s="1124">
        <f t="shared" si="84"/>
        <v>0</v>
      </c>
      <c r="S499" s="698">
        <f t="shared" si="75"/>
        <v>0</v>
      </c>
    </row>
    <row r="500" spans="1:19">
      <c r="A500" s="491"/>
      <c r="B500" s="348"/>
      <c r="C500" s="313">
        <f t="shared" si="76"/>
        <v>1</v>
      </c>
      <c r="D500" s="1128"/>
      <c r="E500" s="313">
        <f t="shared" si="77"/>
        <v>1</v>
      </c>
      <c r="F500" s="1128"/>
      <c r="G500" s="313">
        <f t="shared" si="78"/>
        <v>1</v>
      </c>
      <c r="H500" s="1128"/>
      <c r="I500" s="313">
        <f t="shared" si="79"/>
        <v>1</v>
      </c>
      <c r="J500" s="1128"/>
      <c r="K500" s="313">
        <f t="shared" si="80"/>
        <v>1</v>
      </c>
      <c r="L500" s="1128"/>
      <c r="M500" s="313">
        <f t="shared" si="81"/>
        <v>1</v>
      </c>
      <c r="N500" s="1128"/>
      <c r="O500" s="313">
        <f t="shared" si="82"/>
        <v>1</v>
      </c>
      <c r="P500" s="1128"/>
      <c r="Q500" s="313">
        <f t="shared" si="83"/>
        <v>1</v>
      </c>
      <c r="R500" s="1124">
        <f t="shared" si="84"/>
        <v>0</v>
      </c>
      <c r="S500" s="698">
        <f t="shared" si="75"/>
        <v>0</v>
      </c>
    </row>
    <row r="501" spans="1:19">
      <c r="A501" s="491"/>
      <c r="B501" s="348"/>
      <c r="C501" s="313">
        <f t="shared" si="76"/>
        <v>1</v>
      </c>
      <c r="D501" s="1128"/>
      <c r="E501" s="313">
        <f t="shared" si="77"/>
        <v>1</v>
      </c>
      <c r="F501" s="1128"/>
      <c r="G501" s="313">
        <f t="shared" si="78"/>
        <v>1</v>
      </c>
      <c r="H501" s="1128"/>
      <c r="I501" s="313">
        <f t="shared" si="79"/>
        <v>1</v>
      </c>
      <c r="J501" s="1128"/>
      <c r="K501" s="313">
        <f t="shared" si="80"/>
        <v>1</v>
      </c>
      <c r="L501" s="1128"/>
      <c r="M501" s="313">
        <f t="shared" si="81"/>
        <v>1</v>
      </c>
      <c r="N501" s="1128"/>
      <c r="O501" s="313">
        <f t="shared" si="82"/>
        <v>1</v>
      </c>
      <c r="P501" s="1128"/>
      <c r="Q501" s="313">
        <f t="shared" si="83"/>
        <v>1</v>
      </c>
      <c r="R501" s="1124">
        <f t="shared" si="84"/>
        <v>0</v>
      </c>
      <c r="S501" s="698">
        <f t="shared" si="75"/>
        <v>0</v>
      </c>
    </row>
    <row r="502" spans="1:19">
      <c r="A502" s="491"/>
      <c r="B502" s="348"/>
      <c r="C502" s="313">
        <f t="shared" si="76"/>
        <v>1</v>
      </c>
      <c r="D502" s="1128"/>
      <c r="E502" s="313">
        <f t="shared" si="77"/>
        <v>1</v>
      </c>
      <c r="F502" s="1128"/>
      <c r="G502" s="313">
        <f t="shared" si="78"/>
        <v>1</v>
      </c>
      <c r="H502" s="1128"/>
      <c r="I502" s="313">
        <f t="shared" si="79"/>
        <v>1</v>
      </c>
      <c r="J502" s="1128"/>
      <c r="K502" s="313">
        <f t="shared" si="80"/>
        <v>1</v>
      </c>
      <c r="L502" s="1128"/>
      <c r="M502" s="313">
        <f t="shared" si="81"/>
        <v>1</v>
      </c>
      <c r="N502" s="1128"/>
      <c r="O502" s="313">
        <f t="shared" si="82"/>
        <v>1</v>
      </c>
      <c r="P502" s="1128"/>
      <c r="Q502" s="313">
        <f t="shared" si="83"/>
        <v>1</v>
      </c>
      <c r="R502" s="1124">
        <f t="shared" si="84"/>
        <v>0</v>
      </c>
      <c r="S502" s="698">
        <f t="shared" si="75"/>
        <v>0</v>
      </c>
    </row>
    <row r="503" spans="1:19">
      <c r="A503" s="491"/>
      <c r="B503" s="348"/>
      <c r="C503" s="313">
        <f t="shared" si="76"/>
        <v>1</v>
      </c>
      <c r="D503" s="1128"/>
      <c r="E503" s="313">
        <f t="shared" si="77"/>
        <v>1</v>
      </c>
      <c r="F503" s="1128"/>
      <c r="G503" s="313">
        <f t="shared" si="78"/>
        <v>1</v>
      </c>
      <c r="H503" s="1128"/>
      <c r="I503" s="313">
        <f t="shared" si="79"/>
        <v>1</v>
      </c>
      <c r="J503" s="1128"/>
      <c r="K503" s="313">
        <f t="shared" si="80"/>
        <v>1</v>
      </c>
      <c r="L503" s="1128"/>
      <c r="M503" s="313">
        <f t="shared" si="81"/>
        <v>1</v>
      </c>
      <c r="N503" s="1128"/>
      <c r="O503" s="313">
        <f t="shared" si="82"/>
        <v>1</v>
      </c>
      <c r="P503" s="1128"/>
      <c r="Q503" s="313">
        <f t="shared" si="83"/>
        <v>1</v>
      </c>
      <c r="R503" s="1124">
        <f t="shared" si="84"/>
        <v>0</v>
      </c>
      <c r="S503" s="698">
        <f t="shared" si="75"/>
        <v>0</v>
      </c>
    </row>
    <row r="504" spans="1:19">
      <c r="A504" s="491"/>
      <c r="B504" s="348"/>
      <c r="C504" s="313">
        <f t="shared" si="76"/>
        <v>1</v>
      </c>
      <c r="D504" s="1128"/>
      <c r="E504" s="313">
        <f t="shared" si="77"/>
        <v>1</v>
      </c>
      <c r="F504" s="1128"/>
      <c r="G504" s="313">
        <f t="shared" si="78"/>
        <v>1</v>
      </c>
      <c r="H504" s="1128"/>
      <c r="I504" s="313">
        <f t="shared" si="79"/>
        <v>1</v>
      </c>
      <c r="J504" s="1128"/>
      <c r="K504" s="313">
        <f t="shared" si="80"/>
        <v>1</v>
      </c>
      <c r="L504" s="1128"/>
      <c r="M504" s="313">
        <f t="shared" si="81"/>
        <v>1</v>
      </c>
      <c r="N504" s="1128"/>
      <c r="O504" s="313">
        <f t="shared" si="82"/>
        <v>1</v>
      </c>
      <c r="P504" s="1128"/>
      <c r="Q504" s="313">
        <f t="shared" si="83"/>
        <v>1</v>
      </c>
      <c r="R504" s="1124">
        <f t="shared" si="84"/>
        <v>0</v>
      </c>
      <c r="S504" s="698">
        <f t="shared" si="75"/>
        <v>0</v>
      </c>
    </row>
    <row r="505" spans="1:19">
      <c r="A505" s="491"/>
      <c r="B505" s="348"/>
      <c r="C505" s="313">
        <f t="shared" si="76"/>
        <v>1</v>
      </c>
      <c r="D505" s="1128"/>
      <c r="E505" s="313">
        <f t="shared" si="77"/>
        <v>1</v>
      </c>
      <c r="F505" s="1128"/>
      <c r="G505" s="313">
        <f t="shared" si="78"/>
        <v>1</v>
      </c>
      <c r="H505" s="1128"/>
      <c r="I505" s="313">
        <f t="shared" si="79"/>
        <v>1</v>
      </c>
      <c r="J505" s="1128"/>
      <c r="K505" s="313">
        <f t="shared" si="80"/>
        <v>1</v>
      </c>
      <c r="L505" s="1128"/>
      <c r="M505" s="313">
        <f t="shared" si="81"/>
        <v>1</v>
      </c>
      <c r="N505" s="1128"/>
      <c r="O505" s="313">
        <f t="shared" si="82"/>
        <v>1</v>
      </c>
      <c r="P505" s="1128"/>
      <c r="Q505" s="313">
        <f t="shared" si="83"/>
        <v>1</v>
      </c>
      <c r="R505" s="1124">
        <f t="shared" si="84"/>
        <v>0</v>
      </c>
      <c r="S505" s="698">
        <f t="shared" si="75"/>
        <v>0</v>
      </c>
    </row>
    <row r="506" spans="1:19">
      <c r="A506" s="491"/>
      <c r="B506" s="348"/>
      <c r="C506" s="313">
        <f t="shared" si="76"/>
        <v>1</v>
      </c>
      <c r="D506" s="1128"/>
      <c r="E506" s="313">
        <f t="shared" si="77"/>
        <v>1</v>
      </c>
      <c r="F506" s="1128"/>
      <c r="G506" s="313">
        <f t="shared" si="78"/>
        <v>1</v>
      </c>
      <c r="H506" s="1128"/>
      <c r="I506" s="313">
        <f t="shared" si="79"/>
        <v>1</v>
      </c>
      <c r="J506" s="1128"/>
      <c r="K506" s="313">
        <f t="shared" si="80"/>
        <v>1</v>
      </c>
      <c r="L506" s="1128"/>
      <c r="M506" s="313">
        <f t="shared" si="81"/>
        <v>1</v>
      </c>
      <c r="N506" s="1128"/>
      <c r="O506" s="313">
        <f t="shared" si="82"/>
        <v>1</v>
      </c>
      <c r="P506" s="1128"/>
      <c r="Q506" s="313">
        <f t="shared" si="83"/>
        <v>1</v>
      </c>
      <c r="R506" s="1124">
        <f t="shared" si="84"/>
        <v>0</v>
      </c>
      <c r="S506" s="698">
        <f t="shared" si="75"/>
        <v>0</v>
      </c>
    </row>
    <row r="507" spans="1:19">
      <c r="A507" s="491"/>
      <c r="B507" s="348"/>
      <c r="C507" s="313">
        <f t="shared" si="76"/>
        <v>1</v>
      </c>
      <c r="D507" s="1128"/>
      <c r="E507" s="313">
        <f t="shared" si="77"/>
        <v>1</v>
      </c>
      <c r="F507" s="1128"/>
      <c r="G507" s="313">
        <f t="shared" si="78"/>
        <v>1</v>
      </c>
      <c r="H507" s="1128"/>
      <c r="I507" s="313">
        <f t="shared" si="79"/>
        <v>1</v>
      </c>
      <c r="J507" s="1128"/>
      <c r="K507" s="313">
        <f t="shared" si="80"/>
        <v>1</v>
      </c>
      <c r="L507" s="1128"/>
      <c r="M507" s="313">
        <f t="shared" si="81"/>
        <v>1</v>
      </c>
      <c r="N507" s="1128"/>
      <c r="O507" s="313">
        <f t="shared" si="82"/>
        <v>1</v>
      </c>
      <c r="P507" s="1128"/>
      <c r="Q507" s="313">
        <f t="shared" si="83"/>
        <v>1</v>
      </c>
      <c r="R507" s="1124">
        <f t="shared" si="84"/>
        <v>0</v>
      </c>
      <c r="S507" s="698">
        <f t="shared" si="75"/>
        <v>0</v>
      </c>
    </row>
    <row r="508" spans="1:19">
      <c r="A508" s="491"/>
      <c r="B508" s="348"/>
      <c r="C508" s="313">
        <f t="shared" si="76"/>
        <v>1</v>
      </c>
      <c r="D508" s="1128"/>
      <c r="E508" s="313">
        <f t="shared" si="77"/>
        <v>1</v>
      </c>
      <c r="F508" s="1128"/>
      <c r="G508" s="313">
        <f t="shared" si="78"/>
        <v>1</v>
      </c>
      <c r="H508" s="1128"/>
      <c r="I508" s="313">
        <f t="shared" si="79"/>
        <v>1</v>
      </c>
      <c r="J508" s="1128"/>
      <c r="K508" s="313">
        <f t="shared" si="80"/>
        <v>1</v>
      </c>
      <c r="L508" s="1128"/>
      <c r="M508" s="313">
        <f t="shared" si="81"/>
        <v>1</v>
      </c>
      <c r="N508" s="1128"/>
      <c r="O508" s="313">
        <f t="shared" si="82"/>
        <v>1</v>
      </c>
      <c r="P508" s="1128"/>
      <c r="Q508" s="313">
        <f t="shared" si="83"/>
        <v>1</v>
      </c>
      <c r="R508" s="1124">
        <f t="shared" si="84"/>
        <v>0</v>
      </c>
      <c r="S508" s="698">
        <f t="shared" si="75"/>
        <v>0</v>
      </c>
    </row>
    <row r="509" spans="1:19">
      <c r="A509" s="491"/>
      <c r="B509" s="348"/>
      <c r="C509" s="313">
        <f t="shared" si="76"/>
        <v>1</v>
      </c>
      <c r="D509" s="1128"/>
      <c r="E509" s="313">
        <f t="shared" si="77"/>
        <v>1</v>
      </c>
      <c r="F509" s="1128"/>
      <c r="G509" s="313">
        <f t="shared" si="78"/>
        <v>1</v>
      </c>
      <c r="H509" s="1128"/>
      <c r="I509" s="313">
        <f t="shared" si="79"/>
        <v>1</v>
      </c>
      <c r="J509" s="1128"/>
      <c r="K509" s="313">
        <f t="shared" si="80"/>
        <v>1</v>
      </c>
      <c r="L509" s="1128"/>
      <c r="M509" s="313">
        <f t="shared" si="81"/>
        <v>1</v>
      </c>
      <c r="N509" s="1128"/>
      <c r="O509" s="313">
        <f t="shared" si="82"/>
        <v>1</v>
      </c>
      <c r="P509" s="1128"/>
      <c r="Q509" s="313">
        <f t="shared" si="83"/>
        <v>1</v>
      </c>
      <c r="R509" s="1124">
        <f t="shared" si="84"/>
        <v>0</v>
      </c>
      <c r="S509" s="698">
        <f t="shared" si="75"/>
        <v>0</v>
      </c>
    </row>
    <row r="510" spans="1:19">
      <c r="A510" s="491"/>
      <c r="B510" s="348"/>
      <c r="C510" s="313">
        <f t="shared" si="76"/>
        <v>1</v>
      </c>
      <c r="D510" s="1128"/>
      <c r="E510" s="313">
        <f t="shared" si="77"/>
        <v>1</v>
      </c>
      <c r="F510" s="1128"/>
      <c r="G510" s="313">
        <f t="shared" si="78"/>
        <v>1</v>
      </c>
      <c r="H510" s="1128"/>
      <c r="I510" s="313">
        <f t="shared" si="79"/>
        <v>1</v>
      </c>
      <c r="J510" s="1128"/>
      <c r="K510" s="313">
        <f t="shared" si="80"/>
        <v>1</v>
      </c>
      <c r="L510" s="1128"/>
      <c r="M510" s="313">
        <f t="shared" si="81"/>
        <v>1</v>
      </c>
      <c r="N510" s="1128"/>
      <c r="O510" s="313">
        <f t="shared" si="82"/>
        <v>1</v>
      </c>
      <c r="P510" s="1128"/>
      <c r="Q510" s="313">
        <f t="shared" si="83"/>
        <v>1</v>
      </c>
      <c r="R510" s="1124">
        <f t="shared" si="84"/>
        <v>0</v>
      </c>
      <c r="S510" s="698">
        <f t="shared" si="75"/>
        <v>0</v>
      </c>
    </row>
    <row r="511" spans="1:19">
      <c r="A511" s="491"/>
      <c r="B511" s="348"/>
      <c r="C511" s="313">
        <f t="shared" si="76"/>
        <v>1</v>
      </c>
      <c r="D511" s="1128"/>
      <c r="E511" s="313">
        <f t="shared" si="77"/>
        <v>1</v>
      </c>
      <c r="F511" s="1128"/>
      <c r="G511" s="313">
        <f t="shared" si="78"/>
        <v>1</v>
      </c>
      <c r="H511" s="1128"/>
      <c r="I511" s="313">
        <f t="shared" si="79"/>
        <v>1</v>
      </c>
      <c r="J511" s="1128"/>
      <c r="K511" s="313">
        <f t="shared" si="80"/>
        <v>1</v>
      </c>
      <c r="L511" s="1128"/>
      <c r="M511" s="313">
        <f t="shared" si="81"/>
        <v>1</v>
      </c>
      <c r="N511" s="1128"/>
      <c r="O511" s="313">
        <f t="shared" si="82"/>
        <v>1</v>
      </c>
      <c r="P511" s="1128"/>
      <c r="Q511" s="313">
        <f t="shared" si="83"/>
        <v>1</v>
      </c>
      <c r="R511" s="1124">
        <f t="shared" si="84"/>
        <v>0</v>
      </c>
      <c r="S511" s="698">
        <f t="shared" si="75"/>
        <v>0</v>
      </c>
    </row>
    <row r="512" spans="1:19">
      <c r="A512" s="491"/>
      <c r="B512" s="348"/>
      <c r="C512" s="313">
        <f t="shared" si="76"/>
        <v>1</v>
      </c>
      <c r="D512" s="1128"/>
      <c r="E512" s="313">
        <f t="shared" si="77"/>
        <v>1</v>
      </c>
      <c r="F512" s="1128"/>
      <c r="G512" s="313">
        <f t="shared" si="78"/>
        <v>1</v>
      </c>
      <c r="H512" s="1128"/>
      <c r="I512" s="313">
        <f t="shared" si="79"/>
        <v>1</v>
      </c>
      <c r="J512" s="1128"/>
      <c r="K512" s="313">
        <f t="shared" si="80"/>
        <v>1</v>
      </c>
      <c r="L512" s="1128"/>
      <c r="M512" s="313">
        <f t="shared" si="81"/>
        <v>1</v>
      </c>
      <c r="N512" s="1128"/>
      <c r="O512" s="313">
        <f t="shared" si="82"/>
        <v>1</v>
      </c>
      <c r="P512" s="1128"/>
      <c r="Q512" s="313">
        <f t="shared" si="83"/>
        <v>1</v>
      </c>
      <c r="R512" s="1124">
        <f t="shared" si="84"/>
        <v>0</v>
      </c>
      <c r="S512" s="698">
        <f t="shared" si="75"/>
        <v>0</v>
      </c>
    </row>
    <row r="513" spans="1:19">
      <c r="A513" s="491"/>
      <c r="B513" s="348"/>
      <c r="C513" s="313">
        <f t="shared" si="76"/>
        <v>1</v>
      </c>
      <c r="D513" s="1128"/>
      <c r="E513" s="313">
        <f t="shared" si="77"/>
        <v>1</v>
      </c>
      <c r="F513" s="1128"/>
      <c r="G513" s="313">
        <f t="shared" si="78"/>
        <v>1</v>
      </c>
      <c r="H513" s="1128"/>
      <c r="I513" s="313">
        <f t="shared" si="79"/>
        <v>1</v>
      </c>
      <c r="J513" s="1128"/>
      <c r="K513" s="313">
        <f t="shared" si="80"/>
        <v>1</v>
      </c>
      <c r="L513" s="1128"/>
      <c r="M513" s="313">
        <f t="shared" si="81"/>
        <v>1</v>
      </c>
      <c r="N513" s="1128"/>
      <c r="O513" s="313">
        <f t="shared" si="82"/>
        <v>1</v>
      </c>
      <c r="P513" s="1128"/>
      <c r="Q513" s="313">
        <f t="shared" si="83"/>
        <v>1</v>
      </c>
      <c r="R513" s="1124">
        <f t="shared" si="84"/>
        <v>0</v>
      </c>
      <c r="S513" s="698">
        <f t="shared" si="75"/>
        <v>0</v>
      </c>
    </row>
    <row r="514" spans="1:19">
      <c r="A514" s="491"/>
      <c r="B514" s="348"/>
      <c r="C514" s="313">
        <f t="shared" si="76"/>
        <v>1</v>
      </c>
      <c r="D514" s="1128"/>
      <c r="E514" s="313">
        <f t="shared" si="77"/>
        <v>1</v>
      </c>
      <c r="F514" s="1128"/>
      <c r="G514" s="313">
        <f t="shared" si="78"/>
        <v>1</v>
      </c>
      <c r="H514" s="1128"/>
      <c r="I514" s="313">
        <f t="shared" si="79"/>
        <v>1</v>
      </c>
      <c r="J514" s="1128"/>
      <c r="K514" s="313">
        <f t="shared" si="80"/>
        <v>1</v>
      </c>
      <c r="L514" s="1128"/>
      <c r="M514" s="313">
        <f t="shared" si="81"/>
        <v>1</v>
      </c>
      <c r="N514" s="1128"/>
      <c r="O514" s="313">
        <f t="shared" si="82"/>
        <v>1</v>
      </c>
      <c r="P514" s="1128"/>
      <c r="Q514" s="313">
        <f t="shared" si="83"/>
        <v>1</v>
      </c>
      <c r="R514" s="1124">
        <f t="shared" si="84"/>
        <v>0</v>
      </c>
      <c r="S514" s="698">
        <f t="shared" si="75"/>
        <v>0</v>
      </c>
    </row>
    <row r="515" spans="1:19">
      <c r="A515" s="491"/>
      <c r="B515" s="348"/>
      <c r="C515" s="313">
        <f t="shared" si="76"/>
        <v>1</v>
      </c>
      <c r="D515" s="1128"/>
      <c r="E515" s="313">
        <f t="shared" si="77"/>
        <v>1</v>
      </c>
      <c r="F515" s="1128"/>
      <c r="G515" s="313">
        <f t="shared" si="78"/>
        <v>1</v>
      </c>
      <c r="H515" s="1128"/>
      <c r="I515" s="313">
        <f t="shared" si="79"/>
        <v>1</v>
      </c>
      <c r="J515" s="1128"/>
      <c r="K515" s="313">
        <f t="shared" si="80"/>
        <v>1</v>
      </c>
      <c r="L515" s="1128"/>
      <c r="M515" s="313">
        <f t="shared" si="81"/>
        <v>1</v>
      </c>
      <c r="N515" s="1128"/>
      <c r="O515" s="313">
        <f t="shared" si="82"/>
        <v>1</v>
      </c>
      <c r="P515" s="1128"/>
      <c r="Q515" s="313">
        <f t="shared" si="83"/>
        <v>1</v>
      </c>
      <c r="R515" s="1124">
        <f t="shared" si="84"/>
        <v>0</v>
      </c>
      <c r="S515" s="698">
        <f t="shared" si="75"/>
        <v>0</v>
      </c>
    </row>
    <row r="516" spans="1:19">
      <c r="A516" s="491"/>
      <c r="B516" s="348"/>
      <c r="C516" s="313">
        <f t="shared" si="76"/>
        <v>1</v>
      </c>
      <c r="D516" s="1128"/>
      <c r="E516" s="313">
        <f t="shared" si="77"/>
        <v>1</v>
      </c>
      <c r="F516" s="1128"/>
      <c r="G516" s="313">
        <f t="shared" si="78"/>
        <v>1</v>
      </c>
      <c r="H516" s="1128"/>
      <c r="I516" s="313">
        <f t="shared" si="79"/>
        <v>1</v>
      </c>
      <c r="J516" s="1128"/>
      <c r="K516" s="313">
        <f t="shared" si="80"/>
        <v>1</v>
      </c>
      <c r="L516" s="1128"/>
      <c r="M516" s="313">
        <f t="shared" si="81"/>
        <v>1</v>
      </c>
      <c r="N516" s="1128"/>
      <c r="O516" s="313">
        <f t="shared" si="82"/>
        <v>1</v>
      </c>
      <c r="P516" s="1128"/>
      <c r="Q516" s="313">
        <f t="shared" si="83"/>
        <v>1</v>
      </c>
      <c r="R516" s="1124">
        <f t="shared" si="84"/>
        <v>0</v>
      </c>
      <c r="S516" s="698">
        <f t="shared" si="75"/>
        <v>0</v>
      </c>
    </row>
    <row r="517" spans="1:19">
      <c r="A517" s="491"/>
      <c r="B517" s="348"/>
      <c r="C517" s="313">
        <f t="shared" si="76"/>
        <v>1</v>
      </c>
      <c r="D517" s="1128"/>
      <c r="E517" s="313">
        <f t="shared" si="77"/>
        <v>1</v>
      </c>
      <c r="F517" s="1128"/>
      <c r="G517" s="313">
        <f t="shared" si="78"/>
        <v>1</v>
      </c>
      <c r="H517" s="1128"/>
      <c r="I517" s="313">
        <f t="shared" si="79"/>
        <v>1</v>
      </c>
      <c r="J517" s="1128"/>
      <c r="K517" s="313">
        <f t="shared" si="80"/>
        <v>1</v>
      </c>
      <c r="L517" s="1128"/>
      <c r="M517" s="313">
        <f t="shared" si="81"/>
        <v>1</v>
      </c>
      <c r="N517" s="1128"/>
      <c r="O517" s="313">
        <f t="shared" si="82"/>
        <v>1</v>
      </c>
      <c r="P517" s="1128"/>
      <c r="Q517" s="313">
        <f t="shared" si="83"/>
        <v>1</v>
      </c>
      <c r="R517" s="1124">
        <f t="shared" si="84"/>
        <v>0</v>
      </c>
      <c r="S517" s="698">
        <f t="shared" si="75"/>
        <v>0</v>
      </c>
    </row>
    <row r="518" spans="1:19">
      <c r="A518" s="491"/>
      <c r="B518" s="348"/>
      <c r="C518" s="313">
        <f t="shared" si="76"/>
        <v>1</v>
      </c>
      <c r="D518" s="1128"/>
      <c r="E518" s="313">
        <f t="shared" si="77"/>
        <v>1</v>
      </c>
      <c r="F518" s="1128"/>
      <c r="G518" s="313">
        <f t="shared" si="78"/>
        <v>1</v>
      </c>
      <c r="H518" s="1128"/>
      <c r="I518" s="313">
        <f t="shared" si="79"/>
        <v>1</v>
      </c>
      <c r="J518" s="1128"/>
      <c r="K518" s="313">
        <f t="shared" si="80"/>
        <v>1</v>
      </c>
      <c r="L518" s="1128"/>
      <c r="M518" s="313">
        <f t="shared" si="81"/>
        <v>1</v>
      </c>
      <c r="N518" s="1128"/>
      <c r="O518" s="313">
        <f t="shared" si="82"/>
        <v>1</v>
      </c>
      <c r="P518" s="1128"/>
      <c r="Q518" s="313">
        <f t="shared" si="83"/>
        <v>1</v>
      </c>
      <c r="R518" s="1124">
        <f t="shared" si="84"/>
        <v>0</v>
      </c>
      <c r="S518" s="698">
        <f t="shared" si="75"/>
        <v>0</v>
      </c>
    </row>
    <row r="519" spans="1:19">
      <c r="A519" s="491"/>
      <c r="B519" s="348"/>
      <c r="C519" s="313">
        <f t="shared" si="76"/>
        <v>1</v>
      </c>
      <c r="D519" s="1128"/>
      <c r="E519" s="313">
        <f t="shared" si="77"/>
        <v>1</v>
      </c>
      <c r="F519" s="1128"/>
      <c r="G519" s="313">
        <f t="shared" si="78"/>
        <v>1</v>
      </c>
      <c r="H519" s="1128"/>
      <c r="I519" s="313">
        <f t="shared" si="79"/>
        <v>1</v>
      </c>
      <c r="J519" s="1128"/>
      <c r="K519" s="313">
        <f t="shared" si="80"/>
        <v>1</v>
      </c>
      <c r="L519" s="1128"/>
      <c r="M519" s="313">
        <f t="shared" si="81"/>
        <v>1</v>
      </c>
      <c r="N519" s="1128"/>
      <c r="O519" s="313">
        <f t="shared" si="82"/>
        <v>1</v>
      </c>
      <c r="P519" s="1128"/>
      <c r="Q519" s="313">
        <f t="shared" si="83"/>
        <v>1</v>
      </c>
      <c r="R519" s="1124">
        <f t="shared" si="84"/>
        <v>0</v>
      </c>
      <c r="S519" s="698">
        <f t="shared" si="75"/>
        <v>0</v>
      </c>
    </row>
    <row r="520" spans="1:19">
      <c r="A520" s="491"/>
      <c r="B520" s="348"/>
      <c r="C520" s="313">
        <f t="shared" si="76"/>
        <v>1</v>
      </c>
      <c r="D520" s="1128"/>
      <c r="E520" s="313">
        <f t="shared" si="77"/>
        <v>1</v>
      </c>
      <c r="F520" s="1128"/>
      <c r="G520" s="313">
        <f t="shared" si="78"/>
        <v>1</v>
      </c>
      <c r="H520" s="1128"/>
      <c r="I520" s="313">
        <f t="shared" si="79"/>
        <v>1</v>
      </c>
      <c r="J520" s="1128"/>
      <c r="K520" s="313">
        <f t="shared" si="80"/>
        <v>1</v>
      </c>
      <c r="L520" s="1128"/>
      <c r="M520" s="313">
        <f t="shared" si="81"/>
        <v>1</v>
      </c>
      <c r="N520" s="1128"/>
      <c r="O520" s="313">
        <f t="shared" si="82"/>
        <v>1</v>
      </c>
      <c r="P520" s="1128"/>
      <c r="Q520" s="313">
        <f t="shared" si="83"/>
        <v>1</v>
      </c>
      <c r="R520" s="1124">
        <f t="shared" si="84"/>
        <v>0</v>
      </c>
      <c r="S520" s="698">
        <f t="shared" si="75"/>
        <v>0</v>
      </c>
    </row>
    <row r="521" spans="1:19">
      <c r="A521" s="491"/>
      <c r="B521" s="348"/>
      <c r="C521" s="313">
        <f t="shared" si="76"/>
        <v>1</v>
      </c>
      <c r="D521" s="1128"/>
      <c r="E521" s="313">
        <f t="shared" si="77"/>
        <v>1</v>
      </c>
      <c r="F521" s="1128"/>
      <c r="G521" s="313">
        <f t="shared" si="78"/>
        <v>1</v>
      </c>
      <c r="H521" s="1128"/>
      <c r="I521" s="313">
        <f t="shared" si="79"/>
        <v>1</v>
      </c>
      <c r="J521" s="1128"/>
      <c r="K521" s="313">
        <f t="shared" si="80"/>
        <v>1</v>
      </c>
      <c r="L521" s="1128"/>
      <c r="M521" s="313">
        <f t="shared" si="81"/>
        <v>1</v>
      </c>
      <c r="N521" s="1128"/>
      <c r="O521" s="313">
        <f t="shared" si="82"/>
        <v>1</v>
      </c>
      <c r="P521" s="1128"/>
      <c r="Q521" s="313">
        <f t="shared" si="83"/>
        <v>1</v>
      </c>
      <c r="R521" s="1124">
        <f t="shared" si="84"/>
        <v>0</v>
      </c>
      <c r="S521" s="698">
        <f t="shared" si="75"/>
        <v>0</v>
      </c>
    </row>
    <row r="522" spans="1:19">
      <c r="A522" s="491"/>
      <c r="B522" s="348"/>
      <c r="C522" s="313">
        <f t="shared" si="76"/>
        <v>1</v>
      </c>
      <c r="D522" s="1128"/>
      <c r="E522" s="313">
        <f t="shared" si="77"/>
        <v>1</v>
      </c>
      <c r="F522" s="1128"/>
      <c r="G522" s="313">
        <f t="shared" si="78"/>
        <v>1</v>
      </c>
      <c r="H522" s="1128"/>
      <c r="I522" s="313">
        <f t="shared" si="79"/>
        <v>1</v>
      </c>
      <c r="J522" s="1128"/>
      <c r="K522" s="313">
        <f t="shared" si="80"/>
        <v>1</v>
      </c>
      <c r="L522" s="1128"/>
      <c r="M522" s="313">
        <f t="shared" si="81"/>
        <v>1</v>
      </c>
      <c r="N522" s="1128"/>
      <c r="O522" s="313">
        <f t="shared" si="82"/>
        <v>1</v>
      </c>
      <c r="P522" s="1128"/>
      <c r="Q522" s="313">
        <f t="shared" si="83"/>
        <v>1</v>
      </c>
      <c r="R522" s="1124">
        <f t="shared" si="84"/>
        <v>0</v>
      </c>
      <c r="S522" s="698">
        <f t="shared" si="75"/>
        <v>0</v>
      </c>
    </row>
    <row r="523" spans="1:19">
      <c r="A523" s="491"/>
      <c r="B523" s="348"/>
      <c r="C523" s="313">
        <f t="shared" si="76"/>
        <v>1</v>
      </c>
      <c r="D523" s="1128"/>
      <c r="E523" s="313">
        <f t="shared" si="77"/>
        <v>1</v>
      </c>
      <c r="F523" s="1128"/>
      <c r="G523" s="313">
        <f t="shared" si="78"/>
        <v>1</v>
      </c>
      <c r="H523" s="1128"/>
      <c r="I523" s="313">
        <f t="shared" si="79"/>
        <v>1</v>
      </c>
      <c r="J523" s="1128"/>
      <c r="K523" s="313">
        <f t="shared" si="80"/>
        <v>1</v>
      </c>
      <c r="L523" s="1128"/>
      <c r="M523" s="313">
        <f t="shared" si="81"/>
        <v>1</v>
      </c>
      <c r="N523" s="1128"/>
      <c r="O523" s="313">
        <f t="shared" si="82"/>
        <v>1</v>
      </c>
      <c r="P523" s="1128"/>
      <c r="Q523" s="313">
        <f t="shared" si="83"/>
        <v>1</v>
      </c>
      <c r="R523" s="1124">
        <f t="shared" si="84"/>
        <v>0</v>
      </c>
      <c r="S523" s="698">
        <f t="shared" si="75"/>
        <v>0</v>
      </c>
    </row>
    <row r="524" spans="1:19">
      <c r="A524" s="491"/>
      <c r="B524" s="348"/>
      <c r="C524" s="313">
        <f t="shared" si="76"/>
        <v>1</v>
      </c>
      <c r="D524" s="1128"/>
      <c r="E524" s="313">
        <f t="shared" si="77"/>
        <v>1</v>
      </c>
      <c r="F524" s="1128"/>
      <c r="G524" s="313">
        <f t="shared" si="78"/>
        <v>1</v>
      </c>
      <c r="H524" s="1128"/>
      <c r="I524" s="313">
        <f t="shared" si="79"/>
        <v>1</v>
      </c>
      <c r="J524" s="1128"/>
      <c r="K524" s="313">
        <f t="shared" si="80"/>
        <v>1</v>
      </c>
      <c r="L524" s="1128"/>
      <c r="M524" s="313">
        <f t="shared" si="81"/>
        <v>1</v>
      </c>
      <c r="N524" s="1128"/>
      <c r="O524" s="313">
        <f t="shared" si="82"/>
        <v>1</v>
      </c>
      <c r="P524" s="1128"/>
      <c r="Q524" s="313">
        <f t="shared" si="83"/>
        <v>1</v>
      </c>
      <c r="R524" s="1124">
        <f t="shared" si="84"/>
        <v>0</v>
      </c>
      <c r="S524" s="698">
        <f t="shared" si="75"/>
        <v>0</v>
      </c>
    </row>
  </sheetData>
  <sheetProtection password="C66D" sheet="1" objects="1" scenarios="1"/>
  <mergeCells count="2">
    <mergeCell ref="C1:S1"/>
    <mergeCell ref="C22:Q22"/>
  </mergeCells>
  <phoneticPr fontId="20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sheetPr>
    <tabColor rgb="FFFF0000"/>
  </sheetPr>
  <dimension ref="A1:AI512"/>
  <sheetViews>
    <sheetView workbookViewId="0">
      <selection activeCell="H25" sqref="H25"/>
    </sheetView>
  </sheetViews>
  <sheetFormatPr defaultColWidth="12.625" defaultRowHeight="21.75" customHeight="1"/>
  <cols>
    <col min="1" max="2" width="12.625" style="1243"/>
    <col min="3" max="4" width="12.625" style="1243" customWidth="1"/>
    <col min="5" max="9" width="12.625" style="1243"/>
    <col min="10" max="11" width="12.625" style="1445" customWidth="1"/>
    <col min="12" max="12" width="12.625" style="1445"/>
    <col min="13" max="13" width="14.125" style="1445" bestFit="1" customWidth="1"/>
    <col min="14" max="26" width="12.625" style="1445"/>
    <col min="27" max="35" width="12.625" style="1433"/>
    <col min="36" max="16384" width="12.625" style="1243"/>
  </cols>
  <sheetData>
    <row r="1" spans="1:12" ht="21.75" customHeight="1" thickBot="1">
      <c r="A1" s="17" t="s">
        <v>763</v>
      </c>
      <c r="B1" s="1242"/>
      <c r="C1" s="2094" t="s">
        <v>3257</v>
      </c>
      <c r="D1" s="1242"/>
      <c r="E1" s="1242"/>
      <c r="F1" s="2078" t="s">
        <v>2113</v>
      </c>
      <c r="G1" s="2051" t="s">
        <v>3083</v>
      </c>
      <c r="H1" s="2107" t="str">
        <f>IF(G1="现房","——","估价对象范围")</f>
        <v>——</v>
      </c>
      <c r="I1" s="2084"/>
    </row>
    <row r="2" spans="1:12" ht="21.75" customHeight="1" thickBot="1">
      <c r="A2" s="3606" t="str">
        <f>项目基本情况!S2</f>
        <v>西安市西安市未央区三桥街办昆明路立交以西房地产</v>
      </c>
      <c r="B2" s="3607"/>
      <c r="C2" s="3607"/>
      <c r="D2" s="3607"/>
      <c r="E2" s="3607"/>
      <c r="F2" s="3607"/>
      <c r="G2" s="3607"/>
      <c r="H2" s="3607"/>
      <c r="I2" s="3608"/>
    </row>
    <row r="3" spans="1:12" ht="12">
      <c r="A3" s="3610" t="s">
        <v>10</v>
      </c>
      <c r="B3" s="3611"/>
      <c r="C3" s="3611"/>
      <c r="D3" s="3611"/>
      <c r="E3" s="3611"/>
      <c r="F3" s="3611"/>
      <c r="G3" s="3611"/>
      <c r="H3" s="3611"/>
      <c r="I3" s="3611"/>
    </row>
    <row r="4" spans="1:12" ht="13.5">
      <c r="A4" s="429" t="s">
        <v>11</v>
      </c>
      <c r="B4" s="430" t="s">
        <v>12</v>
      </c>
      <c r="C4" s="431" t="s">
        <v>3266</v>
      </c>
      <c r="D4" s="431" t="s">
        <v>3303</v>
      </c>
      <c r="E4" s="3615" t="s">
        <v>764</v>
      </c>
      <c r="F4" s="3616"/>
      <c r="G4" s="3616"/>
      <c r="H4" s="3616"/>
      <c r="I4" s="3617"/>
      <c r="K4" s="2180" t="str">
        <f>IF(ISNUMBER(FIND("比较法",结果表!C4)),"比较法",IF(ISNUMBER(FIND("成本法",结果表!C4)),"成本法",IF(ISNUMBER(FIND("假设开发法",结果表!C4)),"假设开发法",IF(ISNUMBER(FIND("收益法",结果表!C4)),"收益法","基准地价系数修正法"))))</f>
        <v>比较法</v>
      </c>
      <c r="L4" s="2180" t="str">
        <f>IF(ISNUMBER(FIND("比较法",结果表!D4)),"比较法",IF(ISNUMBER(FIND("成本法",结果表!D4)),"成本法",IF(ISNUMBER(FIND("假设开发法",结果表!D4)),"假设开发法",IF(ISNUMBER(FIND("收益法",结果表!D4)),"收益法","基准地价系数修正法"))))</f>
        <v>收益法</v>
      </c>
    </row>
    <row r="5" spans="1:12" ht="12.75">
      <c r="A5" s="3581" t="s">
        <v>13</v>
      </c>
      <c r="B5" s="3609">
        <v>25</v>
      </c>
      <c r="C5" s="3612"/>
      <c r="D5" s="3599"/>
      <c r="E5" s="471" t="s">
        <v>808</v>
      </c>
      <c r="F5" s="432"/>
      <c r="G5" s="432"/>
      <c r="H5" s="432"/>
      <c r="I5" s="433"/>
    </row>
    <row r="6" spans="1:12" ht="12.75">
      <c r="A6" s="3581"/>
      <c r="B6" s="3609"/>
      <c r="C6" s="3614"/>
      <c r="D6" s="3599"/>
      <c r="E6" s="471" t="s">
        <v>809</v>
      </c>
      <c r="F6" s="432"/>
      <c r="G6" s="432"/>
      <c r="H6" s="432"/>
      <c r="I6" s="433"/>
    </row>
    <row r="7" spans="1:12" ht="12.75">
      <c r="A7" s="3581"/>
      <c r="B7" s="3609"/>
      <c r="C7" s="3613"/>
      <c r="D7" s="3599"/>
      <c r="E7" s="471" t="s">
        <v>810</v>
      </c>
      <c r="F7" s="432"/>
      <c r="G7" s="432"/>
      <c r="H7" s="432"/>
      <c r="I7" s="433"/>
    </row>
    <row r="8" spans="1:12" ht="12.75">
      <c r="A8" s="3581" t="s">
        <v>14</v>
      </c>
      <c r="B8" s="3609">
        <v>15</v>
      </c>
      <c r="C8" s="3612"/>
      <c r="D8" s="3599"/>
      <c r="E8" s="471" t="s">
        <v>811</v>
      </c>
      <c r="F8" s="432"/>
      <c r="G8" s="432"/>
      <c r="H8" s="432"/>
      <c r="I8" s="433"/>
    </row>
    <row r="9" spans="1:12" ht="12.75">
      <c r="A9" s="3581"/>
      <c r="B9" s="3609"/>
      <c r="C9" s="3613"/>
      <c r="D9" s="3599"/>
      <c r="E9" s="471" t="s">
        <v>812</v>
      </c>
      <c r="F9" s="432"/>
      <c r="G9" s="432"/>
      <c r="H9" s="432"/>
      <c r="I9" s="433"/>
    </row>
    <row r="10" spans="1:12" ht="12.75">
      <c r="A10" s="3581" t="s">
        <v>15</v>
      </c>
      <c r="B10" s="3609">
        <v>15</v>
      </c>
      <c r="C10" s="3612"/>
      <c r="D10" s="3599"/>
      <c r="E10" s="471" t="s">
        <v>813</v>
      </c>
      <c r="F10" s="432"/>
      <c r="G10" s="432"/>
      <c r="H10" s="432"/>
      <c r="I10" s="433"/>
    </row>
    <row r="11" spans="1:12" ht="12.75">
      <c r="A11" s="3581"/>
      <c r="B11" s="3609"/>
      <c r="C11" s="3613"/>
      <c r="D11" s="3599"/>
      <c r="E11" s="471" t="s">
        <v>814</v>
      </c>
      <c r="F11" s="432"/>
      <c r="G11" s="432"/>
      <c r="H11" s="432"/>
      <c r="I11" s="433"/>
    </row>
    <row r="12" spans="1:12" ht="12.75">
      <c r="A12" s="3581" t="s">
        <v>16</v>
      </c>
      <c r="B12" s="3609">
        <v>15</v>
      </c>
      <c r="C12" s="3612"/>
      <c r="D12" s="3599"/>
      <c r="E12" s="471" t="s">
        <v>815</v>
      </c>
      <c r="F12" s="432"/>
      <c r="G12" s="432"/>
      <c r="H12" s="432"/>
      <c r="I12" s="433"/>
    </row>
    <row r="13" spans="1:12" ht="12.75">
      <c r="A13" s="3581"/>
      <c r="B13" s="3609"/>
      <c r="C13" s="3613"/>
      <c r="D13" s="3599"/>
      <c r="E13" s="471" t="s">
        <v>816</v>
      </c>
      <c r="F13" s="432"/>
      <c r="G13" s="432"/>
      <c r="H13" s="432"/>
      <c r="I13" s="433"/>
    </row>
    <row r="14" spans="1:12" ht="12.75">
      <c r="A14" s="3581" t="s">
        <v>17</v>
      </c>
      <c r="B14" s="3609">
        <v>30</v>
      </c>
      <c r="C14" s="3612">
        <v>6</v>
      </c>
      <c r="D14" s="3599">
        <v>4</v>
      </c>
      <c r="E14" s="471" t="s">
        <v>817</v>
      </c>
      <c r="F14" s="432"/>
      <c r="G14" s="432"/>
      <c r="H14" s="432"/>
      <c r="I14" s="433"/>
    </row>
    <row r="15" spans="1:12" ht="12.75">
      <c r="A15" s="3581"/>
      <c r="B15" s="3609"/>
      <c r="C15" s="3614"/>
      <c r="D15" s="3599"/>
      <c r="E15" s="471" t="s">
        <v>818</v>
      </c>
      <c r="F15" s="432"/>
      <c r="G15" s="432"/>
      <c r="H15" s="432"/>
      <c r="I15" s="433"/>
    </row>
    <row r="16" spans="1:12" ht="12.75">
      <c r="A16" s="3581"/>
      <c r="B16" s="3609"/>
      <c r="C16" s="3613"/>
      <c r="D16" s="3599"/>
      <c r="E16" s="471" t="s">
        <v>819</v>
      </c>
      <c r="F16" s="432"/>
      <c r="G16" s="432"/>
      <c r="H16" s="432"/>
      <c r="I16" s="433"/>
    </row>
    <row r="17" spans="1:35" ht="14.25">
      <c r="A17" s="434" t="s">
        <v>18</v>
      </c>
      <c r="B17" s="38"/>
      <c r="C17" s="472">
        <f>SUM(C5:C16)</f>
        <v>6</v>
      </c>
      <c r="D17" s="472">
        <f>SUM(D5:D16)</f>
        <v>4</v>
      </c>
      <c r="E17" s="2273"/>
      <c r="F17" s="2273"/>
      <c r="G17" s="2273"/>
      <c r="H17" s="2273"/>
      <c r="I17" s="2273"/>
      <c r="K17" s="2180"/>
      <c r="L17" s="2181" t="s">
        <v>2321</v>
      </c>
      <c r="M17" s="2181" t="s">
        <v>2322</v>
      </c>
    </row>
    <row r="18" spans="1:35" ht="15" thickBot="1">
      <c r="A18" s="435" t="s">
        <v>19</v>
      </c>
      <c r="B18" s="18"/>
      <c r="C18" s="473">
        <f>ROUND(C17/SUM(C17:D17),2)</f>
        <v>0.6</v>
      </c>
      <c r="D18" s="473">
        <f>1-C18</f>
        <v>0.4</v>
      </c>
      <c r="E18" s="2273"/>
      <c r="F18" s="2273"/>
      <c r="G18" s="2273"/>
      <c r="H18" s="2273"/>
      <c r="I18" s="2273"/>
      <c r="K18" s="2180" t="s">
        <v>2135</v>
      </c>
      <c r="L18" s="2180">
        <f>IF(C1="",'数据-汇总表'!E3,SUMIF(项目类型,C1,'数据-汇总表'!E17:E26)+SUMIF(项目类型,C1,'数据-汇总表'!I17:I26))</f>
        <v>29.51</v>
      </c>
      <c r="M18" s="2180">
        <f>IF(C1="",'数据-汇总表'!E3,SUMIF(项目类型,C1,'数据-汇总表'!E17:E26))</f>
        <v>29.51</v>
      </c>
    </row>
    <row r="19" spans="1:35" ht="14.25">
      <c r="A19" s="436" t="s">
        <v>180</v>
      </c>
      <c r="B19" s="437" t="s">
        <v>20</v>
      </c>
      <c r="C19" s="474">
        <f ca="1">SUMIF(INDIRECT("'"&amp;C4&amp;"'"&amp;"!A:A"),结果表!B19,INDIRECT("'"&amp;C4&amp;"'"&amp;"!B:B"))</f>
        <v>122750</v>
      </c>
      <c r="D19" s="475" t="e">
        <f ca="1">SUMIF(INDIRECT("'"&amp;D4&amp;"'"&amp;"!A:A"),结果表!B19,INDIRECT("'"&amp;D4&amp;"'"&amp;"!B:B"))</f>
        <v>#REF!</v>
      </c>
      <c r="E19" s="436" t="s">
        <v>179</v>
      </c>
      <c r="F19" s="437" t="s">
        <v>20</v>
      </c>
      <c r="G19" s="476" t="e">
        <f ca="1">ROUND(C19*$C$18+D19*$D$18,0)</f>
        <v>#REF!</v>
      </c>
      <c r="H19" s="438" t="s">
        <v>228</v>
      </c>
      <c r="I19" s="2273"/>
      <c r="K19" s="2180" t="s">
        <v>2136</v>
      </c>
      <c r="L19" s="2180">
        <f>IF(C1="",'数据-汇总表'!D3,SUMIF(项目类型,C1,'数据-汇总表'!D17:D26)+SUMIF(项目类型,C1,'数据-汇总表'!H17:H27))</f>
        <v>8.89</v>
      </c>
      <c r="M19" s="2180">
        <f>IF(C1="",'数据-汇总表'!D3,SUMIF(项目类型,C1,'数据-汇总表'!D17:D26))</f>
        <v>8.89</v>
      </c>
    </row>
    <row r="20" spans="1:35" ht="14.25">
      <c r="A20" s="439"/>
      <c r="B20" s="440" t="s">
        <v>21</v>
      </c>
      <c r="C20" s="477">
        <f ca="1">SUMIF(INDIRECT("'"&amp;C4&amp;"'"&amp;"!A:A"),结果表!B20,INDIRECT("'"&amp;C4&amp;"'"&amp;"!B:B"))</f>
        <v>4160</v>
      </c>
      <c r="D20" s="478" t="e">
        <f ca="1">SUMIF(INDIRECT("'"&amp;D4&amp;"'"&amp;"!A:A"),结果表!B20,INDIRECT("'"&amp;D4&amp;"'"&amp;"!B:B"))</f>
        <v>#REF!</v>
      </c>
      <c r="E20" s="439"/>
      <c r="F20" s="440" t="s">
        <v>21</v>
      </c>
      <c r="G20" s="479" t="e">
        <f ca="1">ROUND(C20*$C$18+D20*$D$18,0)</f>
        <v>#REF!</v>
      </c>
      <c r="H20" s="441" t="s">
        <v>227</v>
      </c>
      <c r="I20" s="2273"/>
    </row>
    <row r="21" spans="1:35" ht="15" customHeight="1" thickBot="1">
      <c r="A21" s="443"/>
      <c r="B21" s="444" t="s">
        <v>22</v>
      </c>
      <c r="C21" s="1421">
        <f ca="1">ROUND(C19*10000/L19,0)</f>
        <v>138076490</v>
      </c>
      <c r="D21" s="1422" t="e">
        <f ca="1">ROUND(D19*10000/L19,0)</f>
        <v>#REF!</v>
      </c>
      <c r="E21" s="443"/>
      <c r="F21" s="444" t="s">
        <v>22</v>
      </c>
      <c r="G21" s="480" t="e">
        <f ca="1">ROUND(G19*10000/L19,0)</f>
        <v>#REF!</v>
      </c>
      <c r="H21" s="445" t="s">
        <v>227</v>
      </c>
      <c r="I21" s="2273"/>
    </row>
    <row r="22" spans="1:35" ht="15" thickBot="1">
      <c r="A22" s="275" t="s">
        <v>181</v>
      </c>
      <c r="B22" s="1423"/>
      <c r="C22" s="1424"/>
      <c r="D22" s="1425" t="e">
        <f ca="1">IF(C19&lt;D19,D19/C19-1,C19/D19-1)</f>
        <v>#REF!</v>
      </c>
      <c r="E22" s="2273"/>
      <c r="F22" s="2273"/>
      <c r="G22" s="2273"/>
      <c r="H22" s="2273"/>
      <c r="I22" s="2273"/>
    </row>
    <row r="23" spans="1:35" ht="12.75" thickBot="1">
      <c r="A23" s="1242"/>
      <c r="B23" s="1242"/>
      <c r="C23" s="1242"/>
      <c r="D23" s="1242"/>
      <c r="E23" s="2273"/>
      <c r="F23" s="2273"/>
      <c r="G23" s="2273"/>
      <c r="H23" s="2273"/>
      <c r="I23" s="2273"/>
    </row>
    <row r="24" spans="1:35" ht="14.25">
      <c r="A24" s="3624" t="s">
        <v>177</v>
      </c>
      <c r="B24" s="437" t="s">
        <v>20</v>
      </c>
      <c r="C24" s="476">
        <f>IF(B30=0,0,D30)</f>
        <v>0</v>
      </c>
      <c r="D24" s="446"/>
      <c r="E24" s="2273"/>
      <c r="F24" s="2273"/>
      <c r="G24" s="2273"/>
      <c r="H24" s="2273"/>
      <c r="I24" s="2273"/>
    </row>
    <row r="25" spans="1:35" ht="14.25">
      <c r="A25" s="3625"/>
      <c r="B25" s="440" t="s">
        <v>21</v>
      </c>
      <c r="C25" s="481">
        <f>IF(B30=0,0,C30)</f>
        <v>0</v>
      </c>
      <c r="D25" s="447"/>
      <c r="E25" s="2273"/>
      <c r="F25" s="2273"/>
      <c r="G25" s="2273"/>
      <c r="H25" s="2273"/>
      <c r="I25" s="2273"/>
    </row>
    <row r="26" spans="1:35" ht="13.5" customHeight="1">
      <c r="A26" s="448" t="s">
        <v>178</v>
      </c>
      <c r="B26" s="449" t="s">
        <v>120</v>
      </c>
      <c r="C26" s="449" t="s">
        <v>121</v>
      </c>
      <c r="D26" s="450" t="s">
        <v>122</v>
      </c>
      <c r="E26" s="2273"/>
      <c r="F26" s="2273"/>
      <c r="G26" s="2273"/>
      <c r="H26" s="2273"/>
      <c r="I26" s="2273"/>
    </row>
    <row r="27" spans="1:35" ht="14.25">
      <c r="A27" s="448"/>
      <c r="B27" s="482">
        <v>0</v>
      </c>
      <c r="C27" s="482">
        <v>0</v>
      </c>
      <c r="D27" s="483">
        <f>ROUND(C27*B27/10000,0)</f>
        <v>0</v>
      </c>
      <c r="E27" s="2273"/>
      <c r="F27" s="2273"/>
      <c r="G27" s="2273"/>
      <c r="H27" s="2273"/>
      <c r="I27" s="2273"/>
    </row>
    <row r="28" spans="1:35" ht="14.25">
      <c r="A28" s="448"/>
      <c r="B28" s="482"/>
      <c r="C28" s="482"/>
      <c r="D28" s="483"/>
      <c r="E28" s="2273"/>
      <c r="F28" s="2273"/>
      <c r="G28" s="2273"/>
      <c r="H28" s="2273"/>
      <c r="I28" s="2273"/>
    </row>
    <row r="29" spans="1:35" ht="14.25">
      <c r="A29" s="448"/>
      <c r="B29" s="482"/>
      <c r="C29" s="482"/>
      <c r="D29" s="483"/>
      <c r="E29" s="2273"/>
      <c r="F29" s="2273"/>
      <c r="G29" s="2273"/>
      <c r="H29" s="2273"/>
      <c r="I29" s="2273"/>
    </row>
    <row r="30" spans="1:35" ht="14.25">
      <c r="A30" s="451" t="s">
        <v>176</v>
      </c>
      <c r="B30" s="484">
        <f>SUM(B27:B29)</f>
        <v>0</v>
      </c>
      <c r="C30" s="484" t="e">
        <f>ROUND(D30*10000/B30,0)</f>
        <v>#DIV/0!</v>
      </c>
      <c r="D30" s="484">
        <f>SUM(D27:D29)</f>
        <v>0</v>
      </c>
      <c r="E30" s="2273"/>
      <c r="F30" s="2273"/>
      <c r="G30" s="2273"/>
      <c r="H30" s="2273"/>
      <c r="I30" s="2273"/>
    </row>
    <row r="31" spans="1:35" s="1244" customFormat="1" ht="14.25" thickBot="1">
      <c r="A31" s="452"/>
      <c r="B31" s="452"/>
      <c r="C31" s="452"/>
      <c r="D31" s="452"/>
      <c r="E31" s="2273"/>
      <c r="F31" s="2273"/>
      <c r="G31" s="2273"/>
      <c r="H31" s="2273"/>
      <c r="I31" s="2273"/>
      <c r="J31" s="1445"/>
      <c r="K31" s="1445"/>
      <c r="L31" s="1445"/>
      <c r="M31" s="1445"/>
      <c r="N31" s="1445"/>
      <c r="O31" s="1445"/>
      <c r="P31" s="1445"/>
      <c r="Q31" s="1445"/>
      <c r="R31" s="1445"/>
      <c r="S31" s="1445"/>
      <c r="T31" s="1445"/>
      <c r="U31" s="1445"/>
      <c r="V31" s="1445"/>
      <c r="W31" s="1445"/>
      <c r="X31" s="1445"/>
      <c r="Y31" s="1445"/>
      <c r="Z31" s="1445"/>
      <c r="AA31" s="1433"/>
      <c r="AB31" s="1433"/>
      <c r="AC31" s="1433"/>
      <c r="AD31" s="1433"/>
      <c r="AE31" s="1433"/>
      <c r="AF31" s="1433"/>
      <c r="AG31" s="1433"/>
      <c r="AH31" s="1433"/>
      <c r="AI31" s="1433"/>
    </row>
    <row r="32" spans="1:35" ht="15" thickBot="1">
      <c r="A32" s="453" t="s">
        <v>175</v>
      </c>
      <c r="B32" s="454"/>
      <c r="C32" s="485" t="e">
        <f ca="1">IF(D32="总价",G19-C24,G20-C25)</f>
        <v>#REF!</v>
      </c>
      <c r="D32" s="2088" t="s">
        <v>8</v>
      </c>
      <c r="E32" s="2273"/>
      <c r="F32" s="2273"/>
      <c r="G32" s="2273"/>
      <c r="H32" s="2273"/>
      <c r="I32" s="2273"/>
    </row>
    <row r="33" spans="1:15" ht="13.5">
      <c r="A33" s="457" t="s">
        <v>765</v>
      </c>
      <c r="B33" s="2087"/>
      <c r="C33" s="2870"/>
      <c r="D33" s="2873"/>
      <c r="E33" s="2085" t="s">
        <v>2115</v>
      </c>
      <c r="F33" s="3356" t="str">
        <f>IF(D32="楼面单价","取值（单价）","取值（总价）")</f>
        <v>取值（单价）</v>
      </c>
      <c r="G33" s="2273"/>
      <c r="H33" s="2273"/>
      <c r="I33" s="2273"/>
    </row>
    <row r="34" spans="1:15" ht="15">
      <c r="A34" s="458"/>
      <c r="B34" s="459" t="s">
        <v>768</v>
      </c>
      <c r="C34" s="489" t="e">
        <f ca="1">IF(C33="自定义",F34,C32-C35)</f>
        <v>#REF!</v>
      </c>
      <c r="D34" s="2089" t="e">
        <f ca="1">IF(C33="自定义",ROUND(C34/C32,3),IF(C33="收益比率",SUMIF(INDIRECT("'"&amp;D33&amp;"'"&amp;"!b:b"),"土地收益比率",INDIRECT("'"&amp;D33&amp;"'"&amp;"!c:c")),SUMIF(INDIRECT("'"&amp;D33&amp;"'"&amp;"!b:b"),"土地成本比率",INDIRECT("'"&amp;D33&amp;"'"&amp;"!c:c"))))</f>
        <v>#REF!</v>
      </c>
      <c r="E34" s="2871" t="s">
        <v>2116</v>
      </c>
      <c r="F34" s="3245"/>
      <c r="G34" s="2273"/>
      <c r="H34" s="2273"/>
      <c r="I34" s="2273"/>
    </row>
    <row r="35" spans="1:15" ht="15.75" thickBot="1">
      <c r="A35" s="461"/>
      <c r="B35" s="2874" t="s">
        <v>770</v>
      </c>
      <c r="C35" s="2875" t="e">
        <f ca="1">IF(C33="自定义",F35,ROUND(C32*D35,0))</f>
        <v>#REF!</v>
      </c>
      <c r="D35" s="2876" t="e">
        <f ca="1">IF(C33="自定义",ROUND(C35/C32,3),IF(C33="收益比率",SUMIF(INDIRECT("'"&amp;D33&amp;"'"&amp;"!b:b"),"建筑物收益比率",INDIRECT("'"&amp;D33&amp;"'"&amp;"!c:c")),SUMIF(INDIRECT("'"&amp;D33&amp;"'"&amp;"!b:b"),"建筑物成本比率",INDIRECT("'"&amp;D33&amp;"'"&amp;"!c:c"))))</f>
        <v>#REF!</v>
      </c>
      <c r="E35" s="2872" t="s">
        <v>2117</v>
      </c>
      <c r="F35" s="495"/>
      <c r="G35" s="2273"/>
      <c r="H35" s="2273"/>
      <c r="I35" s="2273"/>
    </row>
    <row r="36" spans="1:15" ht="15.75" thickBot="1">
      <c r="A36" s="3600" t="s">
        <v>766</v>
      </c>
      <c r="B36" s="455" t="s">
        <v>767</v>
      </c>
      <c r="C36" s="486"/>
      <c r="D36" s="456"/>
      <c r="E36" s="1245"/>
      <c r="F36" s="2274"/>
      <c r="G36" s="2273"/>
      <c r="H36" s="2273"/>
      <c r="I36" s="2273"/>
    </row>
    <row r="37" spans="1:15" ht="15.75" thickBot="1">
      <c r="A37" s="3601"/>
      <c r="B37" s="13" t="s">
        <v>769</v>
      </c>
      <c r="C37" s="488"/>
      <c r="D37" s="2222"/>
      <c r="E37" s="2222"/>
      <c r="F37" s="2274"/>
      <c r="G37" s="2273"/>
      <c r="H37" s="2273"/>
      <c r="I37" s="2273"/>
    </row>
    <row r="38" spans="1:15" ht="15.75" thickBot="1">
      <c r="A38" s="3602"/>
      <c r="B38" s="460" t="s">
        <v>771</v>
      </c>
      <c r="C38" s="1136"/>
      <c r="D38" s="1246" t="s">
        <v>772</v>
      </c>
      <c r="E38" s="2222"/>
      <c r="F38" s="2274"/>
      <c r="G38" s="2273"/>
      <c r="H38" s="2273"/>
      <c r="I38" s="2273"/>
    </row>
    <row r="39" spans="1:15" ht="13.5">
      <c r="A39" s="439" t="s">
        <v>773</v>
      </c>
      <c r="B39" s="462" t="s">
        <v>774</v>
      </c>
      <c r="C39" s="463" t="s">
        <v>775</v>
      </c>
      <c r="D39" s="463" t="s">
        <v>776</v>
      </c>
      <c r="E39" s="464" t="s">
        <v>777</v>
      </c>
      <c r="F39" s="2274"/>
      <c r="G39" s="2273"/>
      <c r="H39" s="2273"/>
      <c r="I39" s="2273"/>
    </row>
    <row r="40" spans="1:15" ht="13.5">
      <c r="A40" s="1247" t="s">
        <v>778</v>
      </c>
      <c r="B40" s="490"/>
      <c r="C40" s="491"/>
      <c r="D40" s="491"/>
      <c r="E40" s="492"/>
      <c r="F40" s="2274"/>
      <c r="G40" s="2273"/>
      <c r="H40" s="2273"/>
      <c r="I40" s="2273"/>
    </row>
    <row r="41" spans="1:15" ht="13.5">
      <c r="A41" s="1247" t="s">
        <v>779</v>
      </c>
      <c r="B41" s="490"/>
      <c r="C41" s="491"/>
      <c r="D41" s="491"/>
      <c r="E41" s="492"/>
      <c r="F41" s="2274"/>
      <c r="G41" s="2273"/>
      <c r="H41" s="2273"/>
      <c r="I41" s="2273"/>
    </row>
    <row r="42" spans="1:15" ht="14.25" thickBot="1">
      <c r="A42" s="1248"/>
      <c r="B42" s="493"/>
      <c r="C42" s="494"/>
      <c r="D42" s="494"/>
      <c r="E42" s="495"/>
      <c r="F42" s="2274"/>
      <c r="G42" s="2273"/>
      <c r="H42" s="2273"/>
      <c r="I42" s="2273"/>
    </row>
    <row r="43" spans="1:15" ht="12">
      <c r="A43" s="241"/>
      <c r="B43" s="241"/>
      <c r="C43" s="241"/>
      <c r="D43" s="241"/>
      <c r="E43" s="241"/>
      <c r="F43" s="1249"/>
      <c r="G43" s="1249"/>
      <c r="H43" s="1249"/>
      <c r="I43" s="1250"/>
    </row>
    <row r="44" spans="1:15" ht="18.75">
      <c r="A44" s="1251" t="s">
        <v>780</v>
      </c>
      <c r="B44" s="1252"/>
      <c r="C44" s="1252"/>
      <c r="D44" s="1253"/>
      <c r="E44" s="1253"/>
      <c r="F44" s="1254"/>
      <c r="G44" s="1254"/>
      <c r="H44" s="1254"/>
      <c r="I44" s="1254"/>
      <c r="J44" s="3262" t="s">
        <v>214</v>
      </c>
      <c r="K44" s="3263"/>
      <c r="L44" s="3263"/>
      <c r="M44" s="3263"/>
      <c r="N44" s="3263"/>
      <c r="O44" s="3263"/>
    </row>
    <row r="45" spans="1:15" ht="14.25" customHeight="1" thickBot="1">
      <c r="A45" s="3621" t="s">
        <v>800</v>
      </c>
      <c r="B45" s="3622"/>
      <c r="C45" s="3623"/>
      <c r="D45" s="496" t="e">
        <f ca="1">ROUND(H101*F45,0)</f>
        <v>#REF!</v>
      </c>
      <c r="E45" s="497" t="s">
        <v>801</v>
      </c>
      <c r="F45" s="498">
        <v>1</v>
      </c>
      <c r="G45" s="499" t="s">
        <v>802</v>
      </c>
      <c r="H45" s="2273"/>
      <c r="I45" s="2273"/>
      <c r="J45" s="3531" t="s">
        <v>215</v>
      </c>
      <c r="K45" s="3531"/>
      <c r="L45" s="3531"/>
      <c r="M45" s="3531"/>
      <c r="N45" s="3531"/>
      <c r="O45" s="3531"/>
    </row>
    <row r="46" spans="1:15" ht="14.25" customHeight="1">
      <c r="A46" s="3618" t="s">
        <v>287</v>
      </c>
      <c r="B46" s="3619"/>
      <c r="C46" s="3619"/>
      <c r="D46" s="3619"/>
      <c r="E46" s="3619"/>
      <c r="F46" s="3619"/>
      <c r="G46" s="3620"/>
      <c r="H46" s="2275"/>
      <c r="I46" s="2228"/>
      <c r="J46" s="3369">
        <v>1</v>
      </c>
      <c r="K46" s="3531" t="s">
        <v>216</v>
      </c>
      <c r="L46" s="3531"/>
      <c r="M46" s="3532"/>
      <c r="N46" s="3532"/>
      <c r="O46" s="3532"/>
    </row>
    <row r="47" spans="1:15" ht="12" customHeight="1">
      <c r="A47" s="501" t="s">
        <v>288</v>
      </c>
      <c r="B47" s="502"/>
      <c r="C47" s="503"/>
      <c r="D47" s="504" t="s">
        <v>289</v>
      </c>
      <c r="E47" s="313" t="s">
        <v>290</v>
      </c>
      <c r="F47" s="505" t="s">
        <v>803</v>
      </c>
      <c r="G47" s="506" t="s">
        <v>804</v>
      </c>
      <c r="H47" s="2275"/>
      <c r="I47" s="2228"/>
      <c r="J47" s="3369">
        <v>2</v>
      </c>
      <c r="K47" s="3531" t="s">
        <v>217</v>
      </c>
      <c r="L47" s="3531"/>
      <c r="M47" s="3533">
        <f>'数据-取费表'!B2</f>
        <v>42958</v>
      </c>
      <c r="N47" s="3533"/>
      <c r="O47" s="3533"/>
    </row>
    <row r="48" spans="1:15" ht="25.5">
      <c r="A48" s="3604" t="s">
        <v>291</v>
      </c>
      <c r="B48" s="3605"/>
      <c r="C48" s="3605"/>
      <c r="D48" s="471">
        <f>IF(H48="情况1",0,IF(H48="情况2",D52,IF(H48="情况3",D53,IF(H48="情况4",D54))))</f>
        <v>0</v>
      </c>
      <c r="E48" s="3361" t="str">
        <f>IF(H48="情况4","(销售额-原购置价)×税（费）率","销售额×税（费）率")</f>
        <v>销售额×税（费）率</v>
      </c>
      <c r="F48" s="507" t="str">
        <f>IF(H48="情况1","免征",'数据-取费表'!B41)</f>
        <v>免征</v>
      </c>
      <c r="G48" s="465" t="s">
        <v>781</v>
      </c>
      <c r="H48" s="1431" t="s">
        <v>2418</v>
      </c>
      <c r="I48" s="2275"/>
      <c r="J48" s="3369">
        <v>3</v>
      </c>
      <c r="K48" s="3531" t="s">
        <v>782</v>
      </c>
      <c r="L48" s="3531"/>
      <c r="M48" s="3534" t="e">
        <f ca="1">H101</f>
        <v>#REF!</v>
      </c>
      <c r="N48" s="3534"/>
      <c r="O48" s="3534"/>
    </row>
    <row r="49" spans="1:35" ht="25.5" customHeight="1">
      <c r="A49" s="508" t="s">
        <v>805</v>
      </c>
      <c r="B49" s="3584" t="s">
        <v>806</v>
      </c>
      <c r="C49" s="3584"/>
      <c r="D49" s="509">
        <v>0</v>
      </c>
      <c r="E49" s="312" t="s">
        <v>807</v>
      </c>
      <c r="F49" s="317" t="s">
        <v>171</v>
      </c>
      <c r="G49" s="3563"/>
      <c r="H49" s="2273"/>
      <c r="I49" s="2276"/>
      <c r="J49" s="3369">
        <v>4</v>
      </c>
      <c r="K49" s="3531" t="str">
        <f>IF(项目基本情况!E8="房地产抵押价值","房地产抵押价值","抵押担保权已注销时的房地产抵押价值")</f>
        <v>房地产抵押价值</v>
      </c>
      <c r="L49" s="3531"/>
      <c r="M49" s="3534" t="e">
        <f ca="1">IF(项目基本情况!E8="房地产抵押价值",H107,H109)</f>
        <v>#REF!</v>
      </c>
      <c r="N49" s="3534"/>
      <c r="O49" s="3534"/>
    </row>
    <row r="50" spans="1:35" ht="25.5" customHeight="1">
      <c r="A50" s="510"/>
      <c r="B50" s="3584" t="s">
        <v>294</v>
      </c>
      <c r="C50" s="3584"/>
      <c r="D50" s="511"/>
      <c r="E50" s="320"/>
      <c r="F50" s="512"/>
      <c r="G50" s="3564"/>
      <c r="H50" s="2273"/>
      <c r="I50" s="2276"/>
      <c r="J50" s="3531" t="s">
        <v>218</v>
      </c>
      <c r="K50" s="3531"/>
      <c r="L50" s="3531"/>
      <c r="M50" s="3531"/>
      <c r="N50" s="3531"/>
      <c r="O50" s="3531"/>
    </row>
    <row r="51" spans="1:35" ht="12" customHeight="1">
      <c r="A51" s="513"/>
      <c r="B51" s="3584" t="s">
        <v>295</v>
      </c>
      <c r="C51" s="3584"/>
      <c r="D51" s="514"/>
      <c r="E51" s="319"/>
      <c r="F51" s="512"/>
      <c r="G51" s="3565"/>
      <c r="H51" s="2273"/>
      <c r="I51" s="2276"/>
      <c r="J51" s="3367" t="s">
        <v>219</v>
      </c>
      <c r="K51" s="3531" t="s">
        <v>220</v>
      </c>
      <c r="L51" s="3531"/>
      <c r="M51" s="3367" t="s">
        <v>3001</v>
      </c>
      <c r="N51" s="3367" t="s">
        <v>221</v>
      </c>
      <c r="O51" s="3367" t="s">
        <v>222</v>
      </c>
    </row>
    <row r="52" spans="1:35" ht="24" customHeight="1">
      <c r="A52" s="515" t="s">
        <v>296</v>
      </c>
      <c r="B52" s="3584" t="s">
        <v>297</v>
      </c>
      <c r="C52" s="3584"/>
      <c r="D52" s="514" t="e">
        <f ca="1">ROUND(D45*'数据-取费表'!B41/(1+'数据-取费表'!C42),0)</f>
        <v>#REF!</v>
      </c>
      <c r="E52" s="299" t="s">
        <v>298</v>
      </c>
      <c r="F52" s="516">
        <f>'数据-取费表'!B41</f>
        <v>5.6000000000000001E-2</v>
      </c>
      <c r="G52" s="466"/>
      <c r="H52" s="2273"/>
      <c r="I52" s="2276"/>
      <c r="J52" s="3369">
        <v>1</v>
      </c>
      <c r="K52" s="3557" t="s">
        <v>783</v>
      </c>
      <c r="L52" s="3557"/>
      <c r="M52" s="3265">
        <f>D48</f>
        <v>0</v>
      </c>
      <c r="N52" s="3368" t="str">
        <f>E48</f>
        <v>销售额×税（费）率</v>
      </c>
      <c r="O52" s="3266" t="str">
        <f>F48</f>
        <v>免征</v>
      </c>
    </row>
    <row r="53" spans="1:35" ht="12" customHeight="1">
      <c r="A53" s="515" t="s">
        <v>299</v>
      </c>
      <c r="B53" s="3585" t="s">
        <v>300</v>
      </c>
      <c r="C53" s="3586"/>
      <c r="D53" s="514" t="e">
        <f ca="1">ROUND(D45*'数据-取费表'!B41/(1+'数据-取费表'!C42),0)</f>
        <v>#REF!</v>
      </c>
      <c r="E53" s="299" t="s">
        <v>298</v>
      </c>
      <c r="F53" s="516">
        <f>'数据-取费表'!B41</f>
        <v>5.6000000000000001E-2</v>
      </c>
      <c r="G53" s="466"/>
      <c r="H53" s="2273"/>
      <c r="I53" s="2276"/>
      <c r="J53" s="3369">
        <v>2</v>
      </c>
      <c r="K53" s="3557" t="s">
        <v>784</v>
      </c>
      <c r="L53" s="3557"/>
      <c r="M53" s="3265" t="e">
        <f t="shared" ref="M53:O54" ca="1" si="0">D55</f>
        <v>#REF!</v>
      </c>
      <c r="N53" s="3368" t="str">
        <f t="shared" si="0"/>
        <v>销售额×税（费）率</v>
      </c>
      <c r="O53" s="3266">
        <f t="shared" si="0"/>
        <v>5.0000000000000001E-4</v>
      </c>
    </row>
    <row r="54" spans="1:35" ht="12" customHeight="1">
      <c r="A54" s="515" t="s">
        <v>301</v>
      </c>
      <c r="B54" s="3585" t="s">
        <v>302</v>
      </c>
      <c r="C54" s="3586"/>
      <c r="D54" s="514" t="e">
        <f ca="1">C68</f>
        <v>#REF!</v>
      </c>
      <c r="E54" s="319" t="s">
        <v>303</v>
      </c>
      <c r="F54" s="516">
        <f>'数据-取费表'!B41</f>
        <v>5.6000000000000001E-2</v>
      </c>
      <c r="G54" s="466"/>
      <c r="H54" s="2277"/>
      <c r="I54" s="2276"/>
      <c r="J54" s="3369">
        <v>3</v>
      </c>
      <c r="K54" s="3557" t="s">
        <v>785</v>
      </c>
      <c r="L54" s="3557"/>
      <c r="M54" s="3265" t="e">
        <f t="shared" ca="1" si="0"/>
        <v>#REF!</v>
      </c>
      <c r="N54" s="3368" t="str">
        <f t="shared" si="0"/>
        <v>增值额×税（费）率</v>
      </c>
      <c r="O54" s="3267" t="str">
        <f t="shared" si="0"/>
        <v>——</v>
      </c>
    </row>
    <row r="55" spans="1:35" ht="24" customHeight="1">
      <c r="A55" s="3627" t="s">
        <v>304</v>
      </c>
      <c r="B55" s="3605"/>
      <c r="C55" s="3605"/>
      <c r="D55" s="517" t="e">
        <f ca="1">IF(H55="个人住宅",0,ROUND(D45*I55,0))</f>
        <v>#REF!</v>
      </c>
      <c r="E55" s="299" t="s">
        <v>305</v>
      </c>
      <c r="F55" s="516">
        <f>IF(H55="正常",I55,"免征")</f>
        <v>5.0000000000000001E-4</v>
      </c>
      <c r="G55" s="466"/>
      <c r="H55" s="1431" t="s">
        <v>155</v>
      </c>
      <c r="I55" s="518">
        <f>'数据-取费表'!B49</f>
        <v>5.0000000000000001E-4</v>
      </c>
      <c r="J55" s="3369" t="str">
        <f>IF(H59="非个人房产","",4)</f>
        <v/>
      </c>
      <c r="K55" s="3557" t="str">
        <f>IF(H59="非个人房产","——","个人所得税")</f>
        <v>——</v>
      </c>
      <c r="L55" s="3557"/>
      <c r="M55" s="3268" t="str">
        <f>D59</f>
        <v>——</v>
      </c>
      <c r="N55" s="3269" t="str">
        <f>E59</f>
        <v>——</v>
      </c>
      <c r="O55" s="3270" t="str">
        <f>F59</f>
        <v>——</v>
      </c>
    </row>
    <row r="56" spans="1:35" ht="24.75">
      <c r="A56" s="3627" t="s">
        <v>306</v>
      </c>
      <c r="B56" s="3605"/>
      <c r="C56" s="3605"/>
      <c r="D56" s="517" t="e">
        <f ca="1">IF(H56="个人住宅",D57,D58)</f>
        <v>#REF!</v>
      </c>
      <c r="E56" s="299" t="s">
        <v>307</v>
      </c>
      <c r="F56" s="516" t="str">
        <f>IF(H56="正常",F58,"免征")</f>
        <v>——</v>
      </c>
      <c r="G56" s="1255" t="s">
        <v>786</v>
      </c>
      <c r="H56" s="1430" t="s">
        <v>155</v>
      </c>
      <c r="I56" s="2278"/>
      <c r="J56" s="3369" t="str">
        <f>IF(项目基本情况!K6="上海银行",IF(J55="",4,J55+1),"")</f>
        <v/>
      </c>
      <c r="K56" s="3537" t="str">
        <f>IF(项目基本情况!K6="上海银行","其他处置费用","")</f>
        <v/>
      </c>
      <c r="L56" s="3538"/>
      <c r="M56" s="3265" t="str">
        <f>IF(项目基本情况!K6="上海银行",M69,"")</f>
        <v/>
      </c>
      <c r="N56" s="3540" t="str">
        <f>IF(项目基本情况!K6="上海银行","包含处置中涉及的律师、诉讼、拍卖、评估等费用","")</f>
        <v/>
      </c>
      <c r="O56" s="3541"/>
    </row>
    <row r="57" spans="1:35" ht="12.75">
      <c r="A57" s="515" t="s">
        <v>292</v>
      </c>
      <c r="B57" s="3590" t="s">
        <v>308</v>
      </c>
      <c r="C57" s="3591"/>
      <c r="D57" s="519">
        <v>0</v>
      </c>
      <c r="E57" s="312" t="s">
        <v>293</v>
      </c>
      <c r="F57" s="487"/>
      <c r="G57" s="466"/>
      <c r="H57" s="2278"/>
      <c r="I57" s="2278"/>
      <c r="J57" s="3569">
        <f>IF(AND(J55="",J56=""),4,IF(项目基本情况!K6="上海银行",结果表!J56+1,结果表!J55+1))</f>
        <v>4</v>
      </c>
      <c r="K57" s="3557" t="s">
        <v>787</v>
      </c>
      <c r="L57" s="3271" t="s">
        <v>223</v>
      </c>
      <c r="M57" s="3272"/>
      <c r="N57" s="3273">
        <f ca="1">SUMIF(M52:M56,"&lt;9e307")</f>
        <v>0</v>
      </c>
      <c r="O57" s="3274"/>
      <c r="P57" s="3261" t="e">
        <f ca="1">N57/M49</f>
        <v>#REF!</v>
      </c>
    </row>
    <row r="58" spans="1:35" ht="24.75">
      <c r="A58" s="515" t="s">
        <v>296</v>
      </c>
      <c r="B58" s="3590" t="s">
        <v>309</v>
      </c>
      <c r="C58" s="3603"/>
      <c r="D58" s="517" t="e">
        <f ca="1">IF(H58="转让取得",C81,C97)</f>
        <v>#REF!</v>
      </c>
      <c r="E58" s="299" t="s">
        <v>307</v>
      </c>
      <c r="F58" s="313" t="s">
        <v>171</v>
      </c>
      <c r="G58" s="466"/>
      <c r="H58" s="1430" t="s">
        <v>1138</v>
      </c>
      <c r="I58" s="2278"/>
      <c r="J58" s="3569"/>
      <c r="K58" s="3557"/>
      <c r="L58" s="3271" t="s">
        <v>224</v>
      </c>
      <c r="M58" s="3275"/>
      <c r="N58" s="3276" t="str">
        <f ca="1">NUMBERSTRING(INT(N57*10000),2)&amp;"元整"</f>
        <v>元整</v>
      </c>
      <c r="O58" s="3277"/>
    </row>
    <row r="59" spans="1:35" ht="24.75" thickBot="1">
      <c r="A59" s="3561" t="s">
        <v>310</v>
      </c>
      <c r="B59" s="3562"/>
      <c r="C59" s="3562"/>
      <c r="D59" s="520" t="str">
        <f>IF(H59="非个人房产","——",IF(H59="个人住宅",0,ROUND(D45*I59,0)))</f>
        <v>——</v>
      </c>
      <c r="E59" s="521" t="str">
        <f>IF(H59="非个人房产","——","销售额×税（费）率")</f>
        <v>——</v>
      </c>
      <c r="F59" s="522" t="str">
        <f>IF(H59="非个人房产","——",IF(H59="个人住宅","免征",I59))</f>
        <v>——</v>
      </c>
      <c r="G59" s="1256" t="s">
        <v>170</v>
      </c>
      <c r="H59" s="1430" t="s">
        <v>1137</v>
      </c>
      <c r="I59" s="523">
        <v>0.01</v>
      </c>
      <c r="J59" s="3559">
        <f>J57+1</f>
        <v>5</v>
      </c>
      <c r="K59" s="3557" t="s">
        <v>172</v>
      </c>
      <c r="L59" s="3368" t="s">
        <v>223</v>
      </c>
      <c r="M59" s="3278"/>
      <c r="N59" s="3279" t="e">
        <f ca="1">M49-N57</f>
        <v>#REF!</v>
      </c>
      <c r="O59" s="3280"/>
    </row>
    <row r="60" spans="1:35" ht="12" customHeight="1">
      <c r="A60" s="1257"/>
      <c r="B60" s="1242"/>
      <c r="C60" s="1242"/>
      <c r="D60" s="1242"/>
      <c r="E60" s="229"/>
      <c r="F60" s="2278"/>
      <c r="G60" s="2278"/>
      <c r="H60" s="2279"/>
      <c r="I60" s="2273"/>
      <c r="J60" s="3560"/>
      <c r="K60" s="3557"/>
      <c r="L60" s="3271" t="s">
        <v>224</v>
      </c>
      <c r="M60" s="3275"/>
      <c r="N60" s="3276" t="e">
        <f ca="1">NUMBERSTRING(INT(N59*10000),2)&amp;"元整"</f>
        <v>#REF!</v>
      </c>
      <c r="O60" s="3277"/>
    </row>
    <row r="61" spans="1:35" ht="13.5" thickBot="1">
      <c r="A61" s="3626" t="s">
        <v>311</v>
      </c>
      <c r="B61" s="3626"/>
      <c r="C61" s="3626"/>
      <c r="D61" s="3626"/>
      <c r="E61" s="3626"/>
      <c r="F61" s="2278"/>
      <c r="G61" s="2278"/>
      <c r="H61" s="2279"/>
      <c r="I61" s="2273"/>
      <c r="J61" s="3369">
        <f>J59+1</f>
        <v>6</v>
      </c>
      <c r="K61" s="3557" t="s">
        <v>225</v>
      </c>
      <c r="L61" s="3557"/>
      <c r="M61" s="3281"/>
      <c r="N61" s="3282" t="e">
        <f ca="1">ROUND(N59*10000/'数据-汇总表'!E3,0)</f>
        <v>#REF!</v>
      </c>
      <c r="O61" s="3283"/>
    </row>
    <row r="62" spans="1:35" ht="12.75">
      <c r="A62" s="3578" t="s">
        <v>312</v>
      </c>
      <c r="B62" s="3579"/>
      <c r="C62" s="3364"/>
      <c r="D62" s="3364" t="s">
        <v>320</v>
      </c>
      <c r="E62" s="524" t="s">
        <v>321</v>
      </c>
      <c r="F62" s="2278"/>
      <c r="G62" s="2278"/>
      <c r="H62" s="2279"/>
      <c r="I62" s="2273"/>
    </row>
    <row r="63" spans="1:35" ht="12.75">
      <c r="A63" s="535" t="s">
        <v>1900</v>
      </c>
      <c r="B63" s="525" t="s">
        <v>313</v>
      </c>
      <c r="C63" s="526" t="e">
        <f ca="1">ROUND((C64+C65)/(1+'数据-取费表'!C42),0)</f>
        <v>#REF!</v>
      </c>
      <c r="D63" s="527"/>
      <c r="E63" s="528"/>
      <c r="F63" s="2278"/>
      <c r="G63" s="2278"/>
      <c r="H63" s="2279"/>
      <c r="I63" s="2273"/>
      <c r="J63" s="3539" t="s">
        <v>2994</v>
      </c>
      <c r="K63" s="3370" t="s">
        <v>2995</v>
      </c>
      <c r="L63" s="3258" t="e">
        <f ca="1">IF(M49&gt;10000,M49*0.5%,IF(AND(M49&gt;1000,M49&lt;=10000),M49*1%,IF(AND(M49&gt;100,M49&lt;=1000),M49*3%,IF(AND(M49&gt;10,M49&lt;=100),M49*5%,M49*8%))))</f>
        <v>#REF!</v>
      </c>
      <c r="M63" s="313" t="e">
        <f ca="1">ROUND(L63,1)</f>
        <v>#REF!</v>
      </c>
      <c r="Z63" s="1433"/>
      <c r="AI63" s="1243"/>
    </row>
    <row r="64" spans="1:35" ht="14.25" customHeight="1">
      <c r="A64" s="529" t="s">
        <v>1895</v>
      </c>
      <c r="B64" s="530" t="s">
        <v>314</v>
      </c>
      <c r="C64" s="531" t="e">
        <f ca="1">D45</f>
        <v>#REF!</v>
      </c>
      <c r="D64" s="532" t="s">
        <v>167</v>
      </c>
      <c r="E64" s="533"/>
      <c r="F64" s="2278"/>
      <c r="G64" s="2278"/>
      <c r="H64" s="2279"/>
      <c r="I64" s="2273"/>
      <c r="J64" s="3539"/>
      <c r="K64" s="3370" t="s">
        <v>2996</v>
      </c>
      <c r="L64" s="3258" t="e">
        <f ca="1">IF(M49&gt;2000,M49*0.5%,IF(AND(M49&gt;1000,M49&lt;=2000),M49*0.6%,IF(AND(M49&gt;500,M49&lt;=1000),M49*0.7%,IF(AND(M49&gt;200,M49&lt;=500),M49*0.8%,IF(AND(M49&gt;100,M49&lt;=200),M49*0.9%,IF(AND(M49&gt;50,M49&lt;=100),M49*1%,IF(AND(M49&gt;20,M49&lt;=50),M49*1.5%,IF(AND(M49&gt;10,M49&lt;=20),M49*2%,IF(AND(M49&gt;1,M49&lt;=10),M49*2.5%)))))))))</f>
        <v>#REF!</v>
      </c>
      <c r="M64" s="313" t="e">
        <f ca="1">ROUND(L64,1)</f>
        <v>#REF!</v>
      </c>
      <c r="N64" s="469" t="s">
        <v>3002</v>
      </c>
      <c r="Z64" s="1433"/>
      <c r="AI64" s="1243"/>
    </row>
    <row r="65" spans="1:35" ht="14.25" customHeight="1">
      <c r="A65" s="529" t="s">
        <v>1896</v>
      </c>
      <c r="B65" s="530" t="s">
        <v>315</v>
      </c>
      <c r="C65" s="534"/>
      <c r="D65" s="532"/>
      <c r="E65" s="533"/>
      <c r="F65" s="2278"/>
      <c r="G65" s="2278"/>
      <c r="H65" s="2279"/>
      <c r="I65" s="2273"/>
      <c r="J65" s="3539"/>
      <c r="K65" s="3370" t="s">
        <v>2997</v>
      </c>
      <c r="L65" s="3258" t="e">
        <f ca="1">IF(M49&gt;1000,M49*0.1%,IF(AND(M49&gt;500,M49&lt;=1000),M49*0.5%,IF(AND(M49&gt;50,M49&lt;=500),M49*1%,IF(AND(M49&gt;1,M49&lt;=50),M49*1.5%))))</f>
        <v>#REF!</v>
      </c>
      <c r="M65" s="313" t="e">
        <f ca="1">ROUND(L65,1)</f>
        <v>#REF!</v>
      </c>
      <c r="N65" s="469" t="s">
        <v>3003</v>
      </c>
      <c r="Z65" s="1433"/>
      <c r="AI65" s="1243"/>
    </row>
    <row r="66" spans="1:35" ht="14.25" customHeight="1">
      <c r="A66" s="535" t="s">
        <v>1897</v>
      </c>
      <c r="B66" s="536" t="s">
        <v>316</v>
      </c>
      <c r="C66" s="537"/>
      <c r="D66" s="538" t="s">
        <v>167</v>
      </c>
      <c r="E66" s="3312" t="s">
        <v>3035</v>
      </c>
      <c r="F66" s="2278"/>
      <c r="G66" s="2278"/>
      <c r="H66" s="2279"/>
      <c r="I66" s="2273"/>
      <c r="J66" s="3539"/>
      <c r="K66" s="3370" t="s">
        <v>2998</v>
      </c>
      <c r="L66" s="3258" t="e">
        <f ca="1">M49*0.5%</f>
        <v>#REF!</v>
      </c>
      <c r="M66" s="313" t="e">
        <f ca="1">IF(L66&gt;0.5,0.5,ROUND(L66,0))</f>
        <v>#REF!</v>
      </c>
      <c r="N66" s="469" t="s">
        <v>3004</v>
      </c>
      <c r="Z66" s="1433"/>
      <c r="AI66" s="1243"/>
    </row>
    <row r="67" spans="1:35" ht="14.25" customHeight="1">
      <c r="A67" s="535" t="s">
        <v>1898</v>
      </c>
      <c r="B67" s="536" t="s">
        <v>317</v>
      </c>
      <c r="C67" s="539" t="e">
        <f ca="1">C63-C66</f>
        <v>#REF!</v>
      </c>
      <c r="D67" s="532" t="s">
        <v>167</v>
      </c>
      <c r="E67" s="533"/>
      <c r="F67" s="2278"/>
      <c r="G67" s="2278"/>
      <c r="H67" s="2279"/>
      <c r="I67" s="2273"/>
      <c r="J67" s="3539"/>
      <c r="K67" s="3370" t="s">
        <v>2999</v>
      </c>
      <c r="L67" s="3258" t="e">
        <f ca="1">IF(M49&gt;=10000,(8.25+(M49-10000)*0.01%),IF(AND(M49&gt;=8000,M49&lt;10000),(7.85+(M49-8000)*0.02%),IF(AND(M49&gt;=5000,M49&lt;8000),(6.65+(M49-5000)*0.04%),IF(AND(M49&gt;=2000,M49&lt;5000),(4.25+(PM49-2000)*0.08%),IF(AND(M49&gt;=1000,M49&lt;2000),(2.75+(M49-1000)*0.15%),IF(AND(M49&gt;=100,M49&lt;1000),(0.5+(M49-100)*0.25%),IF(AND(M49&gt;0,M49&lt;100),M49*0.5%)))))))</f>
        <v>#REF!</v>
      </c>
      <c r="M67" s="313" t="e">
        <f ca="1">ROUND(L67*0.9,1)</f>
        <v>#REF!</v>
      </c>
      <c r="Z67" s="1433"/>
      <c r="AI67" s="1243"/>
    </row>
    <row r="68" spans="1:35" ht="14.25" customHeight="1" thickBot="1">
      <c r="A68" s="540" t="s">
        <v>1899</v>
      </c>
      <c r="B68" s="541" t="s">
        <v>318</v>
      </c>
      <c r="C68" s="542" t="e">
        <f ca="1">IF(C67&lt;=0,0,ROUND(C67*D68,0))</f>
        <v>#REF!</v>
      </c>
      <c r="D68" s="543">
        <f>'数据-取费表'!B41</f>
        <v>5.6000000000000001E-2</v>
      </c>
      <c r="E68" s="544"/>
      <c r="F68" s="2278"/>
      <c r="G68" s="2278"/>
      <c r="H68" s="2279"/>
      <c r="I68" s="2273"/>
      <c r="J68" s="3539"/>
      <c r="K68" s="3370" t="s">
        <v>3000</v>
      </c>
      <c r="L68" s="3258" t="e">
        <f ca="1">IF(M49&gt;10000,M49*0.5%,IF(AND(M49&gt;5000,M49&lt;=10000),M49*1%,IF(AND(M49&gt;1000,M49&lt;=5000),M49*2%,IF(AND(M49&gt;200,M49&lt;=1000),M49*3%,M49*5%))))</f>
        <v>#REF!</v>
      </c>
      <c r="M68" s="313" t="e">
        <f ca="1">ROUND(L68,1)</f>
        <v>#REF!</v>
      </c>
      <c r="Z68" s="1433"/>
      <c r="AI68" s="1243"/>
    </row>
    <row r="69" spans="1:35" s="1244" customFormat="1" ht="16.5" customHeight="1">
      <c r="A69" s="1258"/>
      <c r="B69" s="1259"/>
      <c r="C69" s="1260"/>
      <c r="D69" s="1261"/>
      <c r="E69" s="1262"/>
      <c r="F69" s="229"/>
      <c r="G69" s="229"/>
      <c r="H69" s="241"/>
      <c r="I69" s="1242"/>
      <c r="J69" s="3539"/>
      <c r="K69" s="3370" t="s">
        <v>187</v>
      </c>
      <c r="L69" s="3259"/>
      <c r="M69" s="313" t="e">
        <f ca="1">ROUND(SUM(M63:M68),0)</f>
        <v>#REF!</v>
      </c>
      <c r="N69" s="3261" t="e">
        <f ca="1">M69/M49</f>
        <v>#REF!</v>
      </c>
      <c r="O69" s="1445"/>
      <c r="P69" s="1445"/>
      <c r="Q69" s="1445"/>
      <c r="R69" s="1445"/>
      <c r="S69" s="1445"/>
      <c r="T69" s="1445"/>
      <c r="U69" s="1445"/>
      <c r="V69" s="1445"/>
      <c r="W69" s="1445"/>
      <c r="X69" s="1445"/>
      <c r="Y69" s="1445"/>
      <c r="Z69" s="1433"/>
      <c r="AA69" s="1433"/>
      <c r="AB69" s="1433"/>
      <c r="AC69" s="1433"/>
      <c r="AD69" s="1433"/>
      <c r="AE69" s="1433"/>
      <c r="AF69" s="1433"/>
      <c r="AG69" s="1433"/>
      <c r="AH69" s="1433"/>
    </row>
    <row r="70" spans="1:35" s="1264" customFormat="1" ht="14.25" thickBot="1">
      <c r="A70" s="3588" t="s">
        <v>319</v>
      </c>
      <c r="B70" s="3589"/>
      <c r="C70" s="3589"/>
      <c r="D70" s="3589"/>
      <c r="E70" s="3589"/>
      <c r="F70" s="3589"/>
      <c r="G70" s="3589"/>
      <c r="H70" s="3589"/>
      <c r="I70" s="1263"/>
      <c r="N70" s="2131"/>
      <c r="O70" s="2131"/>
      <c r="P70" s="2131"/>
      <c r="Q70" s="2131"/>
      <c r="R70" s="2131"/>
      <c r="S70" s="2131"/>
      <c r="T70" s="2131"/>
      <c r="U70" s="2131"/>
      <c r="V70" s="2131"/>
      <c r="W70" s="2131"/>
      <c r="X70" s="2131"/>
      <c r="Y70" s="2131"/>
      <c r="Z70" s="2131"/>
      <c r="AA70" s="1434"/>
      <c r="AB70" s="1434"/>
      <c r="AC70" s="1434"/>
      <c r="AD70" s="1434"/>
      <c r="AE70" s="1434"/>
      <c r="AF70" s="1434"/>
      <c r="AG70" s="1434"/>
      <c r="AH70" s="1434"/>
      <c r="AI70" s="1434"/>
    </row>
    <row r="71" spans="1:35" s="1264" customFormat="1" ht="14.25">
      <c r="A71" s="3578" t="s">
        <v>312</v>
      </c>
      <c r="B71" s="3579"/>
      <c r="C71" s="3364"/>
      <c r="D71" s="3364" t="s">
        <v>320</v>
      </c>
      <c r="E71" s="545" t="s">
        <v>321</v>
      </c>
      <c r="F71" s="546"/>
      <c r="G71" s="546"/>
      <c r="H71" s="547"/>
      <c r="I71" s="2280"/>
      <c r="N71" s="2131"/>
      <c r="O71" s="2131"/>
      <c r="P71" s="2131"/>
      <c r="Q71" s="2131"/>
      <c r="R71" s="2131"/>
      <c r="S71" s="2131"/>
      <c r="T71" s="2131"/>
      <c r="U71" s="2131"/>
      <c r="V71" s="2131"/>
      <c r="W71" s="2131"/>
      <c r="X71" s="2131"/>
      <c r="Y71" s="2131"/>
      <c r="Z71" s="2131"/>
      <c r="AA71" s="1434"/>
      <c r="AB71" s="1434"/>
      <c r="AC71" s="1434"/>
      <c r="AD71" s="1434"/>
      <c r="AE71" s="1434"/>
      <c r="AF71" s="1434"/>
      <c r="AG71" s="1434"/>
      <c r="AH71" s="1434"/>
      <c r="AI71" s="1434"/>
    </row>
    <row r="72" spans="1:35" s="1264" customFormat="1" ht="14.25">
      <c r="A72" s="535" t="s">
        <v>1900</v>
      </c>
      <c r="B72" s="536" t="s">
        <v>322</v>
      </c>
      <c r="C72" s="539" t="e">
        <f ca="1">ROUND(D45/(1+'数据-取费表'!C42),0)</f>
        <v>#REF!</v>
      </c>
      <c r="D72" s="532" t="s">
        <v>167</v>
      </c>
      <c r="E72" s="3363"/>
      <c r="F72" s="3357"/>
      <c r="G72" s="3357"/>
      <c r="H72" s="548"/>
      <c r="I72" s="2280"/>
      <c r="N72" s="2131"/>
      <c r="O72" s="2131"/>
      <c r="P72" s="2131"/>
      <c r="Q72" s="2131"/>
      <c r="R72" s="2131"/>
      <c r="S72" s="2131"/>
      <c r="T72" s="2131"/>
      <c r="U72" s="2131"/>
      <c r="V72" s="2131"/>
      <c r="W72" s="2131"/>
      <c r="X72" s="2131"/>
      <c r="Y72" s="2131"/>
      <c r="Z72" s="2131"/>
      <c r="AA72" s="1434"/>
      <c r="AB72" s="1434"/>
      <c r="AC72" s="1434"/>
      <c r="AD72" s="1434"/>
      <c r="AE72" s="1434"/>
      <c r="AF72" s="1434"/>
      <c r="AG72" s="1434"/>
      <c r="AH72" s="1434"/>
      <c r="AI72" s="1434"/>
    </row>
    <row r="73" spans="1:35" s="1264" customFormat="1" ht="14.25">
      <c r="A73" s="535" t="s">
        <v>1897</v>
      </c>
      <c r="B73" s="505" t="s">
        <v>323</v>
      </c>
      <c r="C73" s="539" t="e">
        <f ca="1">C74+C78</f>
        <v>#REF!</v>
      </c>
      <c r="D73" s="532" t="s">
        <v>167</v>
      </c>
      <c r="E73" s="3363"/>
      <c r="F73" s="3357"/>
      <c r="G73" s="3357"/>
      <c r="H73" s="548"/>
      <c r="I73" s="2280"/>
      <c r="J73" s="2131"/>
      <c r="K73" s="2131"/>
      <c r="L73" s="2131"/>
      <c r="M73" s="2131"/>
      <c r="N73" s="2131"/>
      <c r="O73" s="2131"/>
      <c r="P73" s="2131"/>
      <c r="Q73" s="2131"/>
      <c r="R73" s="2131"/>
      <c r="S73" s="2131"/>
      <c r="T73" s="2131"/>
      <c r="U73" s="2131"/>
      <c r="V73" s="2131"/>
      <c r="W73" s="2131"/>
      <c r="X73" s="2131"/>
      <c r="Y73" s="2131"/>
      <c r="Z73" s="2131"/>
      <c r="AA73" s="1434"/>
      <c r="AB73" s="1434"/>
      <c r="AC73" s="1434"/>
      <c r="AD73" s="1434"/>
      <c r="AE73" s="1434"/>
      <c r="AF73" s="1434"/>
      <c r="AG73" s="1434"/>
      <c r="AH73" s="1434"/>
      <c r="AI73" s="1434"/>
    </row>
    <row r="74" spans="1:35" s="1264" customFormat="1" ht="24">
      <c r="A74" s="549" t="s">
        <v>1901</v>
      </c>
      <c r="B74" s="530" t="s">
        <v>324</v>
      </c>
      <c r="C74" s="532">
        <f>ROUND(IF(G77="2016年5月1日后购买",C75/(1+'数据-取费表'!C42)+C76+C77,C75+C76+C77),0)</f>
        <v>0</v>
      </c>
      <c r="D74" s="532" t="s">
        <v>167</v>
      </c>
      <c r="E74" s="3363"/>
      <c r="F74" s="3357"/>
      <c r="G74" s="3357"/>
      <c r="H74" s="548"/>
      <c r="I74" s="2280"/>
      <c r="J74" s="2131"/>
      <c r="K74" s="2131"/>
      <c r="L74" s="2131"/>
      <c r="M74" s="2131"/>
      <c r="N74" s="2131"/>
      <c r="O74" s="2131"/>
      <c r="P74" s="2131"/>
      <c r="Q74" s="2131"/>
      <c r="R74" s="2131"/>
      <c r="S74" s="2131"/>
      <c r="T74" s="2131"/>
      <c r="U74" s="2131"/>
      <c r="V74" s="2131"/>
      <c r="W74" s="2131"/>
      <c r="X74" s="2131"/>
      <c r="Y74" s="2131"/>
      <c r="Z74" s="2131"/>
      <c r="AA74" s="1434"/>
      <c r="AB74" s="1434"/>
      <c r="AC74" s="1434"/>
      <c r="AD74" s="1434"/>
      <c r="AE74" s="1434"/>
      <c r="AF74" s="1434"/>
      <c r="AG74" s="1434"/>
      <c r="AH74" s="1434"/>
      <c r="AI74" s="1434"/>
    </row>
    <row r="75" spans="1:35" s="1264" customFormat="1" ht="13.5">
      <c r="A75" s="549" t="s">
        <v>1902</v>
      </c>
      <c r="B75" s="530" t="s">
        <v>325</v>
      </c>
      <c r="C75" s="550"/>
      <c r="D75" s="532" t="s">
        <v>167</v>
      </c>
      <c r="E75" s="551" t="s">
        <v>326</v>
      </c>
      <c r="F75" s="1426" t="s">
        <v>2419</v>
      </c>
      <c r="G75" s="551" t="s">
        <v>797</v>
      </c>
      <c r="H75" s="552"/>
      <c r="I75" s="2281"/>
      <c r="J75" s="2131"/>
      <c r="K75" s="2131"/>
      <c r="L75" s="2131"/>
      <c r="M75" s="2131"/>
      <c r="N75" s="2131"/>
      <c r="O75" s="2131"/>
      <c r="P75" s="2131"/>
      <c r="Q75" s="2131"/>
      <c r="R75" s="2131"/>
      <c r="S75" s="2131"/>
      <c r="T75" s="2131"/>
      <c r="U75" s="2131"/>
      <c r="V75" s="2131"/>
      <c r="W75" s="2131"/>
      <c r="X75" s="2131"/>
      <c r="Y75" s="2131"/>
      <c r="Z75" s="2131"/>
      <c r="AA75" s="1434"/>
      <c r="AB75" s="1434"/>
      <c r="AC75" s="1434"/>
      <c r="AD75" s="1434"/>
      <c r="AE75" s="1434"/>
      <c r="AF75" s="1434"/>
      <c r="AG75" s="1434"/>
      <c r="AH75" s="1434"/>
      <c r="AI75" s="1434"/>
    </row>
    <row r="76" spans="1:35" s="1264" customFormat="1" ht="24.75" customHeight="1">
      <c r="A76" s="549" t="s">
        <v>1904</v>
      </c>
      <c r="B76" s="553" t="s">
        <v>327</v>
      </c>
      <c r="C76" s="532">
        <f>IF(F75="购房发票",ROUND(C75*H75*D76,0),0)</f>
        <v>0</v>
      </c>
      <c r="D76" s="554">
        <v>0.05</v>
      </c>
      <c r="E76" s="3585" t="s">
        <v>328</v>
      </c>
      <c r="F76" s="3584"/>
      <c r="G76" s="3584"/>
      <c r="H76" s="3587"/>
      <c r="I76" s="2280"/>
      <c r="J76" s="2131"/>
      <c r="K76" s="2131"/>
      <c r="L76" s="2131"/>
      <c r="M76" s="2131"/>
      <c r="N76" s="2131"/>
      <c r="O76" s="2131"/>
      <c r="P76" s="2131"/>
      <c r="Q76" s="2131"/>
      <c r="R76" s="2131"/>
      <c r="S76" s="2131"/>
      <c r="T76" s="2131"/>
      <c r="U76" s="2131"/>
      <c r="V76" s="2131"/>
      <c r="W76" s="2131"/>
      <c r="X76" s="2131"/>
      <c r="Y76" s="2131"/>
      <c r="Z76" s="2131"/>
      <c r="AA76" s="1434"/>
      <c r="AB76" s="1434"/>
      <c r="AC76" s="1434"/>
      <c r="AD76" s="1434"/>
      <c r="AE76" s="1434"/>
      <c r="AF76" s="1434"/>
      <c r="AG76" s="1434"/>
      <c r="AH76" s="1434"/>
      <c r="AI76" s="1434"/>
    </row>
    <row r="77" spans="1:35" s="1264" customFormat="1" ht="24.75" customHeight="1">
      <c r="A77" s="549" t="s">
        <v>1905</v>
      </c>
      <c r="B77" s="530" t="s">
        <v>329</v>
      </c>
      <c r="C77" s="532">
        <f>ROUND(IF(G77="个人住宅",0,IF(G77="2016年5月1日前购买",C75*D77,C75*D77/(1+'数据-取费表'!C42))),0)</f>
        <v>0</v>
      </c>
      <c r="D77" s="555">
        <f>'数据-取费表'!B48+'数据-取费表'!B49</f>
        <v>3.0499999999999999E-2</v>
      </c>
      <c r="E77" s="303" t="s">
        <v>798</v>
      </c>
      <c r="F77" s="556"/>
      <c r="G77" s="1427" t="s">
        <v>2510</v>
      </c>
      <c r="H77" s="3365" t="str">
        <f>IF(G77="个人买卖住房","免征印花税"," ")</f>
        <v/>
      </c>
      <c r="I77" s="2280"/>
      <c r="J77" s="2131"/>
      <c r="K77" s="2131"/>
      <c r="L77" s="2131"/>
      <c r="M77" s="2131"/>
      <c r="N77" s="2131"/>
      <c r="O77" s="2131"/>
      <c r="P77" s="2131"/>
      <c r="Q77" s="2131"/>
      <c r="R77" s="2131"/>
      <c r="S77" s="2131"/>
      <c r="T77" s="2131"/>
      <c r="U77" s="2131"/>
      <c r="V77" s="2131"/>
      <c r="W77" s="2131"/>
      <c r="X77" s="2131"/>
      <c r="Y77" s="2131"/>
      <c r="Z77" s="2131"/>
      <c r="AA77" s="1434"/>
      <c r="AB77" s="1434"/>
      <c r="AC77" s="1434"/>
      <c r="AD77" s="1434"/>
      <c r="AE77" s="1434"/>
      <c r="AF77" s="1434"/>
      <c r="AG77" s="1434"/>
      <c r="AH77" s="1434"/>
      <c r="AI77" s="1434"/>
    </row>
    <row r="78" spans="1:35" s="1264" customFormat="1" ht="24.75" customHeight="1">
      <c r="A78" s="549" t="s">
        <v>1903</v>
      </c>
      <c r="B78" s="530" t="s">
        <v>330</v>
      </c>
      <c r="C78" s="557" t="e">
        <f ca="1">ROUND(D45*D78/(1+'数据-取费表'!C42),0)</f>
        <v>#REF!</v>
      </c>
      <c r="D78" s="558">
        <f>'数据-取费表'!B43</f>
        <v>6.000000000000001E-3</v>
      </c>
      <c r="E78" s="3580" t="s">
        <v>2511</v>
      </c>
      <c r="F78" s="3576"/>
      <c r="G78" s="3576"/>
      <c r="H78" s="3577"/>
      <c r="I78" s="2282"/>
      <c r="J78" s="2131"/>
      <c r="K78" s="2131"/>
      <c r="L78" s="2131"/>
      <c r="M78" s="2131"/>
      <c r="N78" s="2131"/>
      <c r="O78" s="2131"/>
      <c r="P78" s="2131"/>
      <c r="Q78" s="2131"/>
      <c r="R78" s="2131"/>
      <c r="S78" s="2131"/>
      <c r="T78" s="2131"/>
      <c r="U78" s="2131"/>
      <c r="V78" s="2131"/>
      <c r="W78" s="2131"/>
      <c r="X78" s="2131"/>
      <c r="Y78" s="2131"/>
      <c r="Z78" s="2131"/>
      <c r="AA78" s="1434"/>
      <c r="AB78" s="1434"/>
      <c r="AC78" s="1434"/>
      <c r="AD78" s="1434"/>
      <c r="AE78" s="1434"/>
      <c r="AF78" s="1434"/>
      <c r="AG78" s="1434"/>
      <c r="AH78" s="1434"/>
      <c r="AI78" s="1434"/>
    </row>
    <row r="79" spans="1:35" s="1264" customFormat="1" ht="14.25">
      <c r="A79" s="1796" t="s">
        <v>1898</v>
      </c>
      <c r="B79" s="536" t="s">
        <v>331</v>
      </c>
      <c r="C79" s="539" t="e">
        <f ca="1">C72-C73</f>
        <v>#REF!</v>
      </c>
      <c r="D79" s="532" t="s">
        <v>167</v>
      </c>
      <c r="E79" s="3363"/>
      <c r="F79" s="3357"/>
      <c r="G79" s="3357"/>
      <c r="H79" s="548"/>
      <c r="I79" s="2280"/>
      <c r="J79" s="2131"/>
      <c r="K79" s="2131"/>
      <c r="L79" s="2131"/>
      <c r="M79" s="2131"/>
      <c r="N79" s="2131"/>
      <c r="O79" s="2131"/>
      <c r="P79" s="2131"/>
      <c r="Q79" s="2131"/>
      <c r="R79" s="2131"/>
      <c r="S79" s="2131"/>
      <c r="T79" s="2131"/>
      <c r="U79" s="2131"/>
      <c r="V79" s="2131"/>
      <c r="W79" s="2131"/>
      <c r="X79" s="2131"/>
      <c r="Y79" s="2131"/>
      <c r="Z79" s="2131"/>
      <c r="AA79" s="1434"/>
      <c r="AB79" s="1434"/>
      <c r="AC79" s="1434"/>
      <c r="AD79" s="1434"/>
      <c r="AE79" s="1434"/>
      <c r="AF79" s="1434"/>
      <c r="AG79" s="1434"/>
      <c r="AH79" s="1434"/>
      <c r="AI79" s="1434"/>
    </row>
    <row r="80" spans="1:35" s="1264" customFormat="1" ht="24">
      <c r="A80" s="1796" t="s">
        <v>1907</v>
      </c>
      <c r="B80" s="536" t="s">
        <v>332</v>
      </c>
      <c r="C80" s="559" t="e">
        <f ca="1">IF(C79&lt;=0,0,C79/C73)</f>
        <v>#REF!</v>
      </c>
      <c r="D80" s="532" t="s">
        <v>167</v>
      </c>
      <c r="E80" s="303" t="e">
        <f ca="1">IF(C80&gt;=200%,"增值额超过扣除项目金额200%",IF(C80&gt;=100%,"增值额超过扣除项目金额100%，未超过200%",IF(C80&gt;=50%,"增值额超过扣除项目金额50%，未超过100%",IF(C80&lt;50%,"增值额未超过扣除项目金额50%"))))</f>
        <v>#REF!</v>
      </c>
      <c r="F80" s="3357"/>
      <c r="G80" s="3357"/>
      <c r="H80" s="548"/>
      <c r="I80" s="2280"/>
      <c r="J80" s="2131"/>
      <c r="K80" s="2131"/>
      <c r="L80" s="2131"/>
      <c r="M80" s="2131"/>
      <c r="N80" s="2131"/>
      <c r="O80" s="2131"/>
      <c r="P80" s="2131"/>
      <c r="Q80" s="2131"/>
      <c r="R80" s="2131"/>
      <c r="S80" s="2131"/>
      <c r="T80" s="2131"/>
      <c r="U80" s="2131"/>
      <c r="V80" s="2131"/>
      <c r="W80" s="2131"/>
      <c r="X80" s="2131"/>
      <c r="Y80" s="2131"/>
      <c r="Z80" s="2131"/>
      <c r="AA80" s="1434"/>
      <c r="AB80" s="1434"/>
      <c r="AC80" s="1434"/>
      <c r="AD80" s="1434"/>
      <c r="AE80" s="1434"/>
      <c r="AF80" s="1434"/>
      <c r="AG80" s="1434"/>
      <c r="AH80" s="1434"/>
      <c r="AI80" s="1434"/>
    </row>
    <row r="81" spans="1:35" s="1264" customFormat="1" ht="24.75" thickBot="1">
      <c r="A81" s="1797" t="s">
        <v>1908</v>
      </c>
      <c r="B81" s="541" t="s">
        <v>333</v>
      </c>
      <c r="C81" s="560" t="e">
        <f ca="1">ROUND(IF(C79&lt;=0,0,IF(C80&gt;=200%,C79*60%-C73*35%,IF(C80&gt;=100%,C79*50%-C73*15%,IF(C80&gt;=50%,C79*40%-C73*5%,IF(C80&lt;50%,C79*30%,0))))),0)</f>
        <v>#REF!</v>
      </c>
      <c r="D81" s="561" t="s">
        <v>167</v>
      </c>
      <c r="E81" s="56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563"/>
      <c r="G81" s="563"/>
      <c r="H81" s="564"/>
      <c r="I81" s="2280"/>
      <c r="J81" s="2131"/>
      <c r="K81" s="2131"/>
      <c r="L81" s="2131"/>
      <c r="M81" s="2131"/>
      <c r="N81" s="2131"/>
      <c r="O81" s="2131"/>
      <c r="P81" s="2131"/>
      <c r="Q81" s="2131"/>
      <c r="R81" s="2131"/>
      <c r="S81" s="2131"/>
      <c r="T81" s="2131"/>
      <c r="U81" s="2131"/>
      <c r="V81" s="2131"/>
      <c r="W81" s="2131"/>
      <c r="X81" s="2131"/>
      <c r="Y81" s="2131"/>
      <c r="Z81" s="2131"/>
      <c r="AA81" s="1434"/>
      <c r="AB81" s="1434"/>
      <c r="AC81" s="1434"/>
      <c r="AD81" s="1434"/>
      <c r="AE81" s="1434"/>
      <c r="AF81" s="1434"/>
      <c r="AG81" s="1434"/>
      <c r="AH81" s="1434"/>
      <c r="AI81" s="1434"/>
    </row>
    <row r="82" spans="1:35" s="1264" customFormat="1" ht="7.5" customHeight="1">
      <c r="A82" s="1231"/>
      <c r="B82" s="1232"/>
      <c r="C82" s="294"/>
      <c r="D82" s="294"/>
      <c r="E82" s="1232"/>
      <c r="F82" s="1232"/>
      <c r="G82" s="1232"/>
      <c r="H82" s="1233"/>
      <c r="I82" s="2282"/>
      <c r="J82" s="2131"/>
      <c r="K82" s="2131"/>
      <c r="L82" s="2131"/>
      <c r="M82" s="2131"/>
      <c r="N82" s="2131"/>
      <c r="O82" s="2131"/>
      <c r="P82" s="2131"/>
      <c r="Q82" s="2131"/>
      <c r="R82" s="2131"/>
      <c r="S82" s="2131"/>
      <c r="T82" s="2131"/>
      <c r="U82" s="2131"/>
      <c r="V82" s="2131"/>
      <c r="W82" s="2131"/>
      <c r="X82" s="2131"/>
      <c r="Y82" s="2131"/>
      <c r="Z82" s="2131"/>
      <c r="AA82" s="1434"/>
      <c r="AB82" s="1434"/>
      <c r="AC82" s="1434"/>
      <c r="AD82" s="1434"/>
      <c r="AE82" s="1434"/>
      <c r="AF82" s="1434"/>
      <c r="AG82" s="1434"/>
      <c r="AH82" s="1434"/>
      <c r="AI82" s="1434"/>
    </row>
    <row r="83" spans="1:35" s="1264" customFormat="1" ht="14.25" thickBot="1">
      <c r="A83" s="3588" t="s">
        <v>334</v>
      </c>
      <c r="B83" s="3589"/>
      <c r="C83" s="3589"/>
      <c r="D83" s="3589"/>
      <c r="E83" s="3589"/>
      <c r="F83" s="3589"/>
      <c r="G83" s="3589"/>
      <c r="H83" s="3589"/>
      <c r="I83" s="2281"/>
      <c r="J83" s="2131"/>
      <c r="K83" s="2131"/>
      <c r="L83" s="2131"/>
      <c r="M83" s="2131"/>
      <c r="N83" s="2131"/>
      <c r="O83" s="2131"/>
      <c r="P83" s="2131"/>
      <c r="Q83" s="2131"/>
      <c r="R83" s="2131"/>
      <c r="S83" s="2131"/>
      <c r="T83" s="2131"/>
      <c r="U83" s="2131"/>
      <c r="V83" s="2131"/>
      <c r="W83" s="2131"/>
      <c r="X83" s="2131"/>
      <c r="Y83" s="2131"/>
      <c r="Z83" s="2131"/>
      <c r="AA83" s="1434"/>
      <c r="AB83" s="1434"/>
      <c r="AC83" s="1434"/>
      <c r="AD83" s="1434"/>
      <c r="AE83" s="1434"/>
      <c r="AF83" s="1434"/>
      <c r="AG83" s="1434"/>
      <c r="AH83" s="1434"/>
      <c r="AI83" s="1434"/>
    </row>
    <row r="84" spans="1:35" s="1264" customFormat="1" ht="13.5">
      <c r="A84" s="3578" t="s">
        <v>312</v>
      </c>
      <c r="B84" s="3579"/>
      <c r="C84" s="3364"/>
      <c r="D84" s="3364" t="s">
        <v>320</v>
      </c>
      <c r="E84" s="545" t="s">
        <v>321</v>
      </c>
      <c r="F84" s="546"/>
      <c r="G84" s="546"/>
      <c r="H84" s="565"/>
      <c r="I84" s="2281"/>
      <c r="J84" s="2131"/>
      <c r="K84" s="2131"/>
      <c r="L84" s="2131"/>
      <c r="M84" s="2131"/>
      <c r="N84" s="2131"/>
      <c r="O84" s="2131"/>
      <c r="P84" s="2131"/>
      <c r="Q84" s="2131"/>
      <c r="R84" s="2131"/>
      <c r="S84" s="2131"/>
      <c r="T84" s="2131"/>
      <c r="U84" s="2131"/>
      <c r="V84" s="2131"/>
      <c r="W84" s="2131"/>
      <c r="X84" s="2131"/>
      <c r="Y84" s="2131"/>
      <c r="Z84" s="2131"/>
      <c r="AA84" s="1434"/>
      <c r="AB84" s="1434"/>
      <c r="AC84" s="1434"/>
      <c r="AD84" s="1434"/>
      <c r="AE84" s="1434"/>
      <c r="AF84" s="1434"/>
      <c r="AG84" s="1434"/>
      <c r="AH84" s="1434"/>
      <c r="AI84" s="1434"/>
    </row>
    <row r="85" spans="1:35" s="1264" customFormat="1" ht="13.5">
      <c r="A85" s="535" t="s">
        <v>1900</v>
      </c>
      <c r="B85" s="536" t="s">
        <v>322</v>
      </c>
      <c r="C85" s="539" t="e">
        <f ca="1">ROUND(D45/(1+'数据-取费表'!C42),0)</f>
        <v>#REF!</v>
      </c>
      <c r="D85" s="532" t="s">
        <v>167</v>
      </c>
      <c r="E85" s="3363"/>
      <c r="F85" s="3357"/>
      <c r="G85" s="3357"/>
      <c r="H85" s="566"/>
      <c r="I85" s="2281"/>
      <c r="J85" s="2131"/>
      <c r="K85" s="2131"/>
      <c r="L85" s="2131"/>
      <c r="M85" s="2131"/>
      <c r="N85" s="2131"/>
      <c r="O85" s="2131"/>
      <c r="P85" s="2131"/>
      <c r="Q85" s="2131"/>
      <c r="R85" s="2131"/>
      <c r="S85" s="2131"/>
      <c r="T85" s="2131"/>
      <c r="U85" s="2131"/>
      <c r="V85" s="2131"/>
      <c r="W85" s="2131"/>
      <c r="X85" s="2131"/>
      <c r="Y85" s="2131"/>
      <c r="Z85" s="2131"/>
      <c r="AA85" s="1434"/>
      <c r="AB85" s="1434"/>
      <c r="AC85" s="1434"/>
      <c r="AD85" s="1434"/>
      <c r="AE85" s="1434"/>
      <c r="AF85" s="1434"/>
      <c r="AG85" s="1434"/>
      <c r="AH85" s="1434"/>
      <c r="AI85" s="1434"/>
    </row>
    <row r="86" spans="1:35" s="1264" customFormat="1" ht="13.5">
      <c r="A86" s="535" t="s">
        <v>1897</v>
      </c>
      <c r="B86" s="505" t="s">
        <v>323</v>
      </c>
      <c r="C86" s="539" t="e">
        <f ca="1">IF(H88="仅含出让金",C87+C90+C91+C92+C93+C94,C87+C91+C92+C93+C94)</f>
        <v>#REF!</v>
      </c>
      <c r="D86" s="567"/>
      <c r="E86" s="3363"/>
      <c r="F86" s="3357"/>
      <c r="G86" s="3357"/>
      <c r="H86" s="566"/>
      <c r="I86" s="2281"/>
      <c r="J86" s="2131"/>
      <c r="K86" s="2131"/>
      <c r="L86" s="2131"/>
      <c r="M86" s="2131"/>
      <c r="N86" s="2131"/>
      <c r="O86" s="2131"/>
      <c r="P86" s="2131"/>
      <c r="Q86" s="2131"/>
      <c r="R86" s="2131"/>
      <c r="S86" s="2131"/>
      <c r="T86" s="2131"/>
      <c r="U86" s="2131"/>
      <c r="V86" s="2131"/>
      <c r="W86" s="2131"/>
      <c r="X86" s="2131"/>
      <c r="Y86" s="2131"/>
      <c r="Z86" s="2131"/>
      <c r="AA86" s="1434"/>
      <c r="AB86" s="1434"/>
      <c r="AC86" s="1434"/>
      <c r="AD86" s="1434"/>
      <c r="AE86" s="1434"/>
      <c r="AF86" s="1434"/>
      <c r="AG86" s="1434"/>
      <c r="AH86" s="1434"/>
      <c r="AI86" s="1434"/>
    </row>
    <row r="87" spans="1:35" s="1264" customFormat="1" ht="13.5">
      <c r="A87" s="549" t="s">
        <v>1901</v>
      </c>
      <c r="B87" s="530" t="s">
        <v>335</v>
      </c>
      <c r="C87" s="557">
        <f>C88+C89</f>
        <v>0</v>
      </c>
      <c r="D87" s="558"/>
      <c r="E87" s="3359"/>
      <c r="F87" s="3360"/>
      <c r="G87" s="3360"/>
      <c r="H87" s="3362"/>
      <c r="I87" s="2281"/>
      <c r="J87" s="2131"/>
      <c r="K87" s="2131"/>
      <c r="L87" s="2131"/>
      <c r="M87" s="2131"/>
      <c r="N87" s="2131"/>
      <c r="O87" s="2131"/>
      <c r="P87" s="2131"/>
      <c r="Q87" s="2131"/>
      <c r="R87" s="2131"/>
      <c r="S87" s="2131"/>
      <c r="T87" s="2131"/>
      <c r="U87" s="2131"/>
      <c r="V87" s="2131"/>
      <c r="W87" s="2131"/>
      <c r="X87" s="2131"/>
      <c r="Y87" s="2131"/>
      <c r="Z87" s="2131"/>
      <c r="AA87" s="1434"/>
      <c r="AB87" s="1434"/>
      <c r="AC87" s="1434"/>
      <c r="AD87" s="1434"/>
      <c r="AE87" s="1434"/>
      <c r="AF87" s="1434"/>
      <c r="AG87" s="1434"/>
      <c r="AH87" s="1434"/>
      <c r="AI87" s="1434"/>
    </row>
    <row r="88" spans="1:35" s="1264" customFormat="1" ht="13.5">
      <c r="A88" s="549" t="s">
        <v>1902</v>
      </c>
      <c r="B88" s="530" t="s">
        <v>336</v>
      </c>
      <c r="C88" s="568"/>
      <c r="D88" s="558"/>
      <c r="E88" s="569" t="s">
        <v>337</v>
      </c>
      <c r="F88" s="3360"/>
      <c r="G88" s="570" t="s">
        <v>338</v>
      </c>
      <c r="H88" s="1428"/>
      <c r="I88" s="2281"/>
      <c r="J88" s="2131"/>
      <c r="K88" s="2131"/>
      <c r="L88" s="2131"/>
      <c r="M88" s="2131"/>
      <c r="N88" s="2131"/>
      <c r="O88" s="2131"/>
      <c r="P88" s="2131"/>
      <c r="Q88" s="2131"/>
      <c r="R88" s="2131"/>
      <c r="S88" s="2131"/>
      <c r="T88" s="2131"/>
      <c r="U88" s="2131"/>
      <c r="V88" s="2131"/>
      <c r="W88" s="2131"/>
      <c r="X88" s="2131"/>
      <c r="Y88" s="2131"/>
      <c r="Z88" s="2131"/>
      <c r="AA88" s="1434"/>
      <c r="AB88" s="1434"/>
      <c r="AC88" s="1434"/>
      <c r="AD88" s="1434"/>
      <c r="AE88" s="1434"/>
      <c r="AF88" s="1434"/>
      <c r="AG88" s="1434"/>
      <c r="AH88" s="1434"/>
      <c r="AI88" s="1434"/>
    </row>
    <row r="89" spans="1:35" s="1264" customFormat="1" ht="13.5">
      <c r="A89" s="549" t="s">
        <v>1904</v>
      </c>
      <c r="B89" s="530" t="s">
        <v>329</v>
      </c>
      <c r="C89" s="557">
        <f>ROUND(C88*D89,0)</f>
        <v>0</v>
      </c>
      <c r="D89" s="558">
        <f>'数据-取费表'!B48+'数据-取费表'!B49</f>
        <v>3.0499999999999999E-2</v>
      </c>
      <c r="E89" s="569" t="s">
        <v>339</v>
      </c>
      <c r="F89" s="3360"/>
      <c r="G89" s="3360"/>
      <c r="H89" s="3362"/>
      <c r="I89" s="2281"/>
      <c r="J89" s="2131"/>
      <c r="K89" s="2131"/>
      <c r="L89" s="2131"/>
      <c r="M89" s="2131"/>
      <c r="N89" s="2131"/>
      <c r="O89" s="2131"/>
      <c r="P89" s="2131"/>
      <c r="Q89" s="2131"/>
      <c r="R89" s="2131"/>
      <c r="S89" s="2131"/>
      <c r="T89" s="2131"/>
      <c r="U89" s="2131"/>
      <c r="V89" s="2131"/>
      <c r="W89" s="2131"/>
      <c r="X89" s="2131"/>
      <c r="Y89" s="2131"/>
      <c r="Z89" s="2131"/>
      <c r="AA89" s="1434"/>
      <c r="AB89" s="1434"/>
      <c r="AC89" s="1434"/>
      <c r="AD89" s="1434"/>
      <c r="AE89" s="1434"/>
      <c r="AF89" s="1434"/>
      <c r="AG89" s="1434"/>
      <c r="AH89" s="1434"/>
      <c r="AI89" s="1434"/>
    </row>
    <row r="90" spans="1:35" s="1264" customFormat="1" ht="13.5">
      <c r="A90" s="549" t="s">
        <v>1903</v>
      </c>
      <c r="B90" s="530" t="s">
        <v>340</v>
      </c>
      <c r="C90" s="568"/>
      <c r="D90" s="558"/>
      <c r="E90" s="569" t="str">
        <f>IF(H88="-","土地取得成本中已包含该笔费用"," ")</f>
        <v/>
      </c>
      <c r="F90" s="3360"/>
      <c r="G90" s="3360"/>
      <c r="H90" s="3362"/>
      <c r="I90" s="2281"/>
      <c r="J90" s="2131"/>
      <c r="K90" s="2131"/>
      <c r="L90" s="2131"/>
      <c r="M90" s="2131"/>
      <c r="N90" s="2131"/>
      <c r="O90" s="2131"/>
      <c r="P90" s="2131"/>
      <c r="Q90" s="2131"/>
      <c r="R90" s="2131"/>
      <c r="S90" s="2131"/>
      <c r="T90" s="2131"/>
      <c r="U90" s="2131"/>
      <c r="V90" s="2131"/>
      <c r="W90" s="2131"/>
      <c r="X90" s="2131"/>
      <c r="Y90" s="2131"/>
      <c r="Z90" s="2131"/>
      <c r="AA90" s="1434"/>
      <c r="AB90" s="1434"/>
      <c r="AC90" s="1434"/>
      <c r="AD90" s="1434"/>
      <c r="AE90" s="1434"/>
      <c r="AF90" s="1434"/>
      <c r="AG90" s="1434"/>
      <c r="AH90" s="1434"/>
      <c r="AI90" s="1434"/>
    </row>
    <row r="91" spans="1:35" s="1264" customFormat="1" ht="27.75" customHeight="1">
      <c r="A91" s="1798" t="s">
        <v>1909</v>
      </c>
      <c r="B91" s="530" t="s">
        <v>341</v>
      </c>
      <c r="C91" s="557">
        <f>IF(H91="——",成本法!C33,I91)</f>
        <v>0</v>
      </c>
      <c r="D91" s="558"/>
      <c r="E91" s="3575" t="s">
        <v>799</v>
      </c>
      <c r="F91" s="3576"/>
      <c r="G91" s="3576"/>
      <c r="H91" s="1429" t="s">
        <v>2320</v>
      </c>
      <c r="I91" s="2178"/>
      <c r="J91" s="2131"/>
      <c r="K91" s="2131"/>
      <c r="L91" s="2131"/>
      <c r="M91" s="2131"/>
      <c r="N91" s="2131"/>
      <c r="O91" s="2131"/>
      <c r="P91" s="2131"/>
      <c r="Q91" s="2131"/>
      <c r="R91" s="2131"/>
      <c r="S91" s="2131"/>
      <c r="T91" s="2131"/>
      <c r="U91" s="2131"/>
      <c r="V91" s="2131"/>
      <c r="W91" s="2131"/>
      <c r="X91" s="2131"/>
      <c r="Y91" s="2131"/>
      <c r="Z91" s="2131"/>
      <c r="AA91" s="1434"/>
      <c r="AB91" s="1434"/>
      <c r="AC91" s="1434"/>
      <c r="AD91" s="1434"/>
      <c r="AE91" s="1434"/>
      <c r="AF91" s="1434"/>
      <c r="AG91" s="1434"/>
      <c r="AH91" s="1434"/>
      <c r="AI91" s="1434"/>
    </row>
    <row r="92" spans="1:35" s="1264" customFormat="1" ht="25.5" customHeight="1">
      <c r="A92" s="1798" t="s">
        <v>1910</v>
      </c>
      <c r="B92" s="530" t="s">
        <v>342</v>
      </c>
      <c r="C92" s="557">
        <f>ROUND((C87+C90+C91)*D92,0)</f>
        <v>0</v>
      </c>
      <c r="D92" s="558">
        <v>0.1</v>
      </c>
      <c r="E92" s="3575" t="s">
        <v>343</v>
      </c>
      <c r="F92" s="3576"/>
      <c r="G92" s="3576"/>
      <c r="H92" s="3577"/>
      <c r="I92" s="2281"/>
      <c r="J92" s="2131"/>
      <c r="K92" s="2131"/>
      <c r="L92" s="2131"/>
      <c r="M92" s="2131"/>
      <c r="N92" s="2131"/>
      <c r="O92" s="2131"/>
      <c r="P92" s="2131"/>
      <c r="Q92" s="2131"/>
      <c r="R92" s="2131"/>
      <c r="S92" s="2131"/>
      <c r="T92" s="2131"/>
      <c r="U92" s="2131"/>
      <c r="V92" s="2131"/>
      <c r="W92" s="2131"/>
      <c r="X92" s="2131"/>
      <c r="Y92" s="2131"/>
      <c r="Z92" s="2131"/>
      <c r="AA92" s="1434"/>
      <c r="AB92" s="1434"/>
      <c r="AC92" s="1434"/>
      <c r="AD92" s="1434"/>
      <c r="AE92" s="1434"/>
      <c r="AF92" s="1434"/>
      <c r="AG92" s="1434"/>
      <c r="AH92" s="1434"/>
      <c r="AI92" s="1434"/>
    </row>
    <row r="93" spans="1:35" s="1264" customFormat="1" ht="25.5" customHeight="1">
      <c r="A93" s="1798" t="s">
        <v>1911</v>
      </c>
      <c r="B93" s="530" t="s">
        <v>330</v>
      </c>
      <c r="C93" s="557" t="e">
        <f ca="1">ROUND(D45*D93/(1+'数据-取费表'!C42),0)</f>
        <v>#REF!</v>
      </c>
      <c r="D93" s="558">
        <f>'数据-取费表'!B43</f>
        <v>6.000000000000001E-3</v>
      </c>
      <c r="E93" s="3580" t="s">
        <v>2511</v>
      </c>
      <c r="F93" s="3576"/>
      <c r="G93" s="3576"/>
      <c r="H93" s="3577"/>
      <c r="I93" s="2281"/>
      <c r="J93" s="2131"/>
      <c r="K93" s="2131"/>
      <c r="L93" s="2131"/>
      <c r="M93" s="2131"/>
      <c r="N93" s="2131"/>
      <c r="O93" s="2131"/>
      <c r="P93" s="2131"/>
      <c r="Q93" s="2131"/>
      <c r="R93" s="2131"/>
      <c r="S93" s="2131"/>
      <c r="T93" s="2131"/>
      <c r="U93" s="2131"/>
      <c r="V93" s="2131"/>
      <c r="W93" s="2131"/>
      <c r="X93" s="2131"/>
      <c r="Y93" s="2131"/>
      <c r="Z93" s="2131"/>
      <c r="AA93" s="1434"/>
      <c r="AB93" s="1434"/>
      <c r="AC93" s="1434"/>
      <c r="AD93" s="1434"/>
      <c r="AE93" s="1434"/>
      <c r="AF93" s="1434"/>
      <c r="AG93" s="1434"/>
      <c r="AH93" s="1434"/>
      <c r="AI93" s="1434"/>
    </row>
    <row r="94" spans="1:35" s="1264" customFormat="1" ht="36.75" customHeight="1">
      <c r="A94" s="1798" t="s">
        <v>1912</v>
      </c>
      <c r="B94" s="530" t="s">
        <v>344</v>
      </c>
      <c r="C94" s="568">
        <f>ROUND((C87+C90+C91)*D94,0)</f>
        <v>0</v>
      </c>
      <c r="D94" s="558">
        <v>0.2</v>
      </c>
      <c r="E94" s="3628" t="s">
        <v>3050</v>
      </c>
      <c r="F94" s="3629"/>
      <c r="G94" s="3629"/>
      <c r="H94" s="3630"/>
      <c r="I94" s="2281"/>
      <c r="J94" s="2131"/>
      <c r="K94" s="2131"/>
      <c r="L94" s="2131"/>
      <c r="M94" s="2131"/>
      <c r="N94" s="2131"/>
      <c r="O94" s="2131"/>
      <c r="P94" s="2131"/>
      <c r="Q94" s="2131"/>
      <c r="R94" s="2131"/>
      <c r="S94" s="2131"/>
      <c r="T94" s="2131"/>
      <c r="U94" s="2131"/>
      <c r="V94" s="2131"/>
      <c r="W94" s="2131"/>
      <c r="X94" s="2131"/>
      <c r="Y94" s="2131"/>
      <c r="Z94" s="2131"/>
      <c r="AA94" s="1434"/>
      <c r="AB94" s="1434"/>
      <c r="AC94" s="1434"/>
      <c r="AD94" s="1434"/>
      <c r="AE94" s="1434"/>
      <c r="AF94" s="1434"/>
      <c r="AG94" s="1434"/>
      <c r="AH94" s="1434"/>
      <c r="AI94" s="1434"/>
    </row>
    <row r="95" spans="1:35" s="1264" customFormat="1" ht="13.5">
      <c r="A95" s="1796" t="s">
        <v>1898</v>
      </c>
      <c r="B95" s="536" t="s">
        <v>331</v>
      </c>
      <c r="C95" s="539" t="e">
        <f ca="1">ROUND(C85-C86,0)</f>
        <v>#REF!</v>
      </c>
      <c r="D95" s="532" t="s">
        <v>167</v>
      </c>
      <c r="E95" s="3363"/>
      <c r="F95" s="3357"/>
      <c r="G95" s="3357"/>
      <c r="H95" s="566"/>
      <c r="I95" s="2281"/>
      <c r="J95" s="2131"/>
      <c r="K95" s="2131"/>
      <c r="L95" s="2131"/>
      <c r="M95" s="2131"/>
      <c r="N95" s="2131"/>
      <c r="O95" s="2131"/>
      <c r="P95" s="2131"/>
      <c r="Q95" s="2131"/>
      <c r="R95" s="2131"/>
      <c r="S95" s="2131"/>
      <c r="T95" s="2131"/>
      <c r="U95" s="2131"/>
      <c r="V95" s="2131"/>
      <c r="W95" s="2131"/>
      <c r="X95" s="2131"/>
      <c r="Y95" s="2131"/>
      <c r="Z95" s="2131"/>
      <c r="AA95" s="1434"/>
      <c r="AB95" s="1434"/>
      <c r="AC95" s="1434"/>
      <c r="AD95" s="1434"/>
      <c r="AE95" s="1434"/>
      <c r="AF95" s="1434"/>
      <c r="AG95" s="1434"/>
      <c r="AH95" s="1434"/>
      <c r="AI95" s="1434"/>
    </row>
    <row r="96" spans="1:35" s="1264" customFormat="1" ht="24">
      <c r="A96" s="1796" t="s">
        <v>1907</v>
      </c>
      <c r="B96" s="536" t="s">
        <v>332</v>
      </c>
      <c r="C96" s="559" t="e">
        <f ca="1">IF(C95&lt;=0,0,C95/C86)</f>
        <v>#REF!</v>
      </c>
      <c r="D96" s="532" t="s">
        <v>167</v>
      </c>
      <c r="E96" s="303" t="e">
        <f ca="1">IF(C96&gt;=200%,"增值额超过扣除项目金额200%",IF(C96&gt;=100%,"增值额超过扣除项目金额100%，未超过200%",IF(C96&gt;=50%,"增值额超过扣除项目金额50%，未超过100%",IF(C96&lt;50%,"增值额未超过扣除项目金额50%"))))</f>
        <v>#REF!</v>
      </c>
      <c r="F96" s="3357"/>
      <c r="G96" s="3357"/>
      <c r="H96" s="566"/>
      <c r="I96" s="2281"/>
      <c r="J96" s="2131"/>
      <c r="K96" s="2131"/>
      <c r="L96" s="2131"/>
      <c r="M96" s="2131"/>
      <c r="N96" s="2131"/>
      <c r="O96" s="2131"/>
      <c r="P96" s="2131"/>
      <c r="Q96" s="2131"/>
      <c r="R96" s="2131"/>
      <c r="S96" s="2131"/>
      <c r="T96" s="2131"/>
      <c r="U96" s="2131"/>
      <c r="V96" s="2131"/>
      <c r="W96" s="2131"/>
      <c r="X96" s="2131"/>
      <c r="Y96" s="2131"/>
      <c r="Z96" s="2131"/>
      <c r="AA96" s="1434"/>
      <c r="AB96" s="1434"/>
      <c r="AC96" s="1434"/>
      <c r="AD96" s="1434"/>
      <c r="AE96" s="1434"/>
      <c r="AF96" s="1434"/>
      <c r="AG96" s="1434"/>
      <c r="AH96" s="1434"/>
      <c r="AI96" s="1434"/>
    </row>
    <row r="97" spans="1:35" s="1264" customFormat="1" ht="24.75" thickBot="1">
      <c r="A97" s="1797" t="s">
        <v>1908</v>
      </c>
      <c r="B97" s="541" t="s">
        <v>333</v>
      </c>
      <c r="C97" s="560" t="e">
        <f ca="1">ROUND(IF(C95&lt;=0,0,IF(C96&gt;=200%,C95*60%-C86*35%,IF(C96&gt;=100%,C95*50%-C86*15%,IF(C96&gt;=50%,C95*40%-C86*5%,IF(C96&lt;50%,C95*30%,0))))),0)</f>
        <v>#REF!</v>
      </c>
      <c r="D97" s="561" t="s">
        <v>167</v>
      </c>
      <c r="E97" s="56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563"/>
      <c r="G97" s="563"/>
      <c r="H97" s="571"/>
      <c r="I97" s="2281"/>
      <c r="J97" s="2131"/>
      <c r="K97" s="2131"/>
      <c r="L97" s="2131"/>
      <c r="M97" s="2131"/>
      <c r="N97" s="2131"/>
      <c r="O97" s="2131"/>
      <c r="P97" s="2131"/>
      <c r="Q97" s="2131"/>
      <c r="R97" s="2131"/>
      <c r="S97" s="2131"/>
      <c r="T97" s="2131"/>
      <c r="U97" s="2131"/>
      <c r="V97" s="2131"/>
      <c r="W97" s="2131"/>
      <c r="X97" s="2131"/>
      <c r="Y97" s="2131"/>
      <c r="Z97" s="2131"/>
      <c r="AA97" s="1434"/>
      <c r="AB97" s="1434"/>
      <c r="AC97" s="1434"/>
      <c r="AD97" s="1434"/>
      <c r="AE97" s="1434"/>
      <c r="AF97" s="1434"/>
      <c r="AG97" s="1434"/>
      <c r="AH97" s="1434"/>
      <c r="AI97" s="1434"/>
    </row>
    <row r="98" spans="1:35" ht="21.75" customHeight="1">
      <c r="A98" s="1257"/>
      <c r="B98" s="1242"/>
      <c r="C98" s="1242"/>
      <c r="D98" s="1242"/>
      <c r="E98" s="229"/>
      <c r="F98" s="229"/>
      <c r="G98" s="229"/>
      <c r="H98" s="241"/>
      <c r="I98" s="2273"/>
    </row>
    <row r="99" spans="1:35" ht="21.75" customHeight="1" thickBot="1">
      <c r="A99" s="1251" t="s">
        <v>229</v>
      </c>
      <c r="B99" s="1242"/>
      <c r="C99" s="1242"/>
      <c r="D99" s="1242"/>
      <c r="E99" s="229"/>
      <c r="F99" s="229"/>
      <c r="G99" s="229"/>
      <c r="H99" s="241"/>
      <c r="I99" s="2273"/>
    </row>
    <row r="100" spans="1:35" ht="18.75" customHeight="1">
      <c r="A100" s="3523" t="s">
        <v>230</v>
      </c>
      <c r="B100" s="3524"/>
      <c r="C100" s="3524"/>
      <c r="D100" s="3558"/>
      <c r="E100" s="3524" t="s">
        <v>2907</v>
      </c>
      <c r="F100" s="3524"/>
      <c r="G100" s="3524"/>
      <c r="H100" s="3558"/>
      <c r="I100" s="2273"/>
    </row>
    <row r="101" spans="1:35" ht="18.75" customHeight="1">
      <c r="A101" s="3566" t="s">
        <v>208</v>
      </c>
      <c r="B101" s="3567"/>
      <c r="C101" s="1265" t="str">
        <f>C4</f>
        <v>比较法-车位</v>
      </c>
      <c r="D101" s="1266" t="str">
        <f>D4</f>
        <v>收益法-住宅 (2)</v>
      </c>
      <c r="E101" s="3535" t="s">
        <v>1914</v>
      </c>
      <c r="F101" s="3536"/>
      <c r="G101" s="1267" t="s">
        <v>210</v>
      </c>
      <c r="H101" s="1981" t="e">
        <f ca="1">H118</f>
        <v>#REF!</v>
      </c>
      <c r="I101" s="2273"/>
    </row>
    <row r="102" spans="1:35" ht="18.75" customHeight="1">
      <c r="A102" s="3568" t="s">
        <v>209</v>
      </c>
      <c r="B102" s="1267" t="s">
        <v>210</v>
      </c>
      <c r="C102" s="1234">
        <f ca="1">C19</f>
        <v>122750</v>
      </c>
      <c r="D102" s="1235" t="e">
        <f ca="1">D19</f>
        <v>#REF!</v>
      </c>
      <c r="E102" s="3535"/>
      <c r="F102" s="3536"/>
      <c r="G102" s="1267" t="s">
        <v>211</v>
      </c>
      <c r="H102" s="711" t="e">
        <f ca="1">I118</f>
        <v>#REF!</v>
      </c>
      <c r="I102" s="2273"/>
    </row>
    <row r="103" spans="1:35" ht="42.75" customHeight="1">
      <c r="A103" s="3568"/>
      <c r="B103" s="1267" t="s">
        <v>211</v>
      </c>
      <c r="C103" s="1236">
        <f ca="1">C20</f>
        <v>4160</v>
      </c>
      <c r="D103" s="1237" t="e">
        <f ca="1">D20</f>
        <v>#REF!</v>
      </c>
      <c r="E103" s="3529" t="s">
        <v>3016</v>
      </c>
      <c r="F103" s="3530"/>
      <c r="G103" s="1268" t="s">
        <v>213</v>
      </c>
      <c r="H103" s="1981">
        <f>IF(D36="正常操作",H104+H105+H106,H105+H106)</f>
        <v>0</v>
      </c>
      <c r="I103" s="2273"/>
    </row>
    <row r="104" spans="1:35" ht="18.75" customHeight="1">
      <c r="A104" s="3568" t="s">
        <v>212</v>
      </c>
      <c r="B104" s="1269" t="s">
        <v>210</v>
      </c>
      <c r="C104" s="1238" t="e">
        <f ca="1">H118</f>
        <v>#REF!</v>
      </c>
      <c r="D104" s="1239"/>
      <c r="E104" s="13" t="s">
        <v>1913</v>
      </c>
      <c r="F104" s="6"/>
      <c r="G104" s="1268" t="s">
        <v>213</v>
      </c>
      <c r="H104" s="1982">
        <f>IF(D36="同一抵押权人同一抵押物续贷",C36&amp;"（未扣减，详见特别提示）",C36)</f>
        <v>0</v>
      </c>
      <c r="I104" s="2273"/>
    </row>
    <row r="105" spans="1:35" ht="18.75" customHeight="1" thickBot="1">
      <c r="A105" s="3582"/>
      <c r="B105" s="1270" t="s">
        <v>211</v>
      </c>
      <c r="C105" s="1240" t="e">
        <f ca="1">I118</f>
        <v>#REF!</v>
      </c>
      <c r="D105" s="1241"/>
      <c r="E105" s="13" t="s">
        <v>1915</v>
      </c>
      <c r="F105" s="6"/>
      <c r="G105" s="1268" t="s">
        <v>213</v>
      </c>
      <c r="H105" s="1982">
        <f>C37</f>
        <v>0</v>
      </c>
      <c r="I105" s="2273"/>
    </row>
    <row r="106" spans="1:35" ht="18.75" customHeight="1">
      <c r="A106" s="1242" t="s">
        <v>2011</v>
      </c>
      <c r="B106" s="1242"/>
      <c r="C106" s="1242"/>
      <c r="D106" s="1242"/>
      <c r="E106" s="467" t="s">
        <v>1916</v>
      </c>
      <c r="F106" s="6"/>
      <c r="G106" s="1268" t="s">
        <v>213</v>
      </c>
      <c r="H106" s="1982">
        <f>C38</f>
        <v>0</v>
      </c>
      <c r="I106" s="2273"/>
    </row>
    <row r="107" spans="1:35" ht="18.75" customHeight="1">
      <c r="A107" s="2273"/>
      <c r="B107" s="2273"/>
      <c r="C107" s="2273"/>
      <c r="D107" s="2273"/>
      <c r="E107" s="3570" t="str">
        <f>IF(项目基本情况!E8="已注销","——","3.房地产抵押价值")</f>
        <v>3.房地产抵押价值</v>
      </c>
      <c r="F107" s="3536"/>
      <c r="G107" s="1267" t="s">
        <v>210</v>
      </c>
      <c r="H107" s="1981" t="e">
        <f ca="1">IF(E107="——","——",H101-H103)</f>
        <v>#REF!</v>
      </c>
      <c r="I107" s="2273"/>
    </row>
    <row r="108" spans="1:35" ht="18.75" customHeight="1">
      <c r="A108" s="2273"/>
      <c r="B108" s="2273"/>
      <c r="C108" s="2273"/>
      <c r="D108" s="2273"/>
      <c r="E108" s="3570"/>
      <c r="F108" s="3536"/>
      <c r="G108" s="1267" t="s">
        <v>211</v>
      </c>
      <c r="H108" s="711" t="e">
        <f ca="1">ROUND(H107*10000/'数据-汇总表'!E3,0)</f>
        <v>#REF!</v>
      </c>
      <c r="I108" s="2273"/>
    </row>
    <row r="109" spans="1:35" ht="18.75" customHeight="1">
      <c r="A109" s="2273"/>
      <c r="B109" s="2273"/>
      <c r="C109" s="2273"/>
      <c r="D109" s="2273"/>
      <c r="E109" s="3570" t="str">
        <f>IF(项目基本情况!E8="已注销及未注销","4.抵押担保权已注销时的房地产抵押价值",IF(项目基本情况!E8="已注销","3.抵押担保权已注销时的房地产抵押价值","——"))</f>
        <v>——</v>
      </c>
      <c r="F109" s="3536"/>
      <c r="G109" s="1267" t="s">
        <v>210</v>
      </c>
      <c r="H109" s="685" t="str">
        <f>IF(E109="——","——",H101-H105-H106)</f>
        <v>——</v>
      </c>
      <c r="I109" s="2273"/>
    </row>
    <row r="110" spans="1:35" ht="18.75" customHeight="1">
      <c r="A110" s="2273"/>
      <c r="B110" s="2273"/>
      <c r="C110" s="2273"/>
      <c r="D110" s="2273"/>
      <c r="E110" s="3570"/>
      <c r="F110" s="3536"/>
      <c r="G110" s="1267" t="s">
        <v>211</v>
      </c>
      <c r="H110" s="711" t="str">
        <f>IF(H109="——","——",ROUND(H109*10000/'数据-汇总表'!E3,0))</f>
        <v>——</v>
      </c>
      <c r="I110" s="2273"/>
    </row>
    <row r="111" spans="1:35" ht="18.75" customHeight="1">
      <c r="A111" s="2273"/>
      <c r="B111" s="2273"/>
      <c r="C111" s="2273"/>
      <c r="D111" s="2273"/>
      <c r="E111" s="3571" t="str">
        <f>IF(项目基本情况!E9="抵押净值",IF(OR(项目基本情况!E8="已注销",项目基本情况!E8="房地产抵押价值"),"4.抵押净值","5.抵押净值"),"——")</f>
        <v>4.抵押净值</v>
      </c>
      <c r="F111" s="3572"/>
      <c r="G111" s="1267" t="s">
        <v>210</v>
      </c>
      <c r="H111" s="1981" t="e">
        <f ca="1">IF(E111="——","——",N59)</f>
        <v>#REF!</v>
      </c>
      <c r="I111" s="2273"/>
    </row>
    <row r="112" spans="1:35" ht="18.75" customHeight="1" thickBot="1">
      <c r="A112" s="2273"/>
      <c r="B112" s="2273"/>
      <c r="C112" s="2273"/>
      <c r="D112" s="2273"/>
      <c r="E112" s="3573"/>
      <c r="F112" s="3574"/>
      <c r="G112" s="1271" t="s">
        <v>211</v>
      </c>
      <c r="H112" s="1422" t="e">
        <f ca="1">IF(E111="——","——",N61)</f>
        <v>#REF!</v>
      </c>
      <c r="I112" s="2273"/>
    </row>
    <row r="113" spans="1:11" ht="18.75" customHeight="1">
      <c r="A113" s="2273"/>
      <c r="B113" s="2273"/>
      <c r="C113" s="2273"/>
      <c r="D113" s="2273"/>
      <c r="E113" s="3583" t="s">
        <v>2011</v>
      </c>
      <c r="F113" s="3583"/>
      <c r="G113" s="3583"/>
      <c r="H113" s="3583"/>
      <c r="I113" s="2273"/>
    </row>
    <row r="114" spans="1:11" ht="3.75" customHeight="1">
      <c r="A114" s="1242"/>
      <c r="B114" s="1242"/>
      <c r="C114" s="1242"/>
      <c r="D114" s="1242"/>
      <c r="E114" s="1257"/>
      <c r="F114" s="1257"/>
      <c r="G114" s="1257"/>
      <c r="H114" s="1257"/>
      <c r="I114" s="1242"/>
    </row>
    <row r="115" spans="1:11" ht="18.75" customHeight="1">
      <c r="A115" s="3596" t="s">
        <v>226</v>
      </c>
      <c r="B115" s="3597"/>
      <c r="C115" s="3597"/>
      <c r="D115" s="3597"/>
      <c r="E115" s="3597"/>
      <c r="F115" s="3597"/>
      <c r="G115" s="3597"/>
      <c r="H115" s="3597"/>
      <c r="I115" s="3598"/>
    </row>
    <row r="116" spans="1:11" ht="27" customHeight="1">
      <c r="A116" s="3503" t="s">
        <v>5</v>
      </c>
      <c r="B116" s="3545" t="s">
        <v>788</v>
      </c>
      <c r="C116" s="3545" t="s">
        <v>789</v>
      </c>
      <c r="D116" s="3554" t="s">
        <v>206</v>
      </c>
      <c r="E116" s="3555"/>
      <c r="F116" s="3592" t="s">
        <v>2388</v>
      </c>
      <c r="G116" s="3592"/>
      <c r="H116" s="3503" t="s">
        <v>6</v>
      </c>
      <c r="I116" s="3503"/>
    </row>
    <row r="117" spans="1:11" ht="18.75" customHeight="1">
      <c r="A117" s="3503"/>
      <c r="B117" s="3546"/>
      <c r="C117" s="3546"/>
      <c r="D117" s="3355" t="s">
        <v>7</v>
      </c>
      <c r="E117" s="3355" t="s">
        <v>790</v>
      </c>
      <c r="F117" s="3355" t="s">
        <v>7</v>
      </c>
      <c r="G117" s="3355" t="s">
        <v>8</v>
      </c>
      <c r="H117" s="3355" t="s">
        <v>7</v>
      </c>
      <c r="I117" s="3355" t="s">
        <v>8</v>
      </c>
    </row>
    <row r="118" spans="1:11" ht="24.75" customHeight="1">
      <c r="A118" s="2028" t="str">
        <f>项目基本情况!S2</f>
        <v>西安市西安市未央区三桥街办昆明路立交以西房地产</v>
      </c>
      <c r="B118" s="3358">
        <f>M18</f>
        <v>29.51</v>
      </c>
      <c r="C118" s="3358">
        <f>M19</f>
        <v>8.89</v>
      </c>
      <c r="D118" s="3358" t="e">
        <f ca="1">ROUND(IF(D32="总价",C34,E118*B118/10000),0)</f>
        <v>#REF!</v>
      </c>
      <c r="E118" s="3358" t="e">
        <f ca="1">ROUND(IF(C33="自定义",IF(D32="楼面单价",C34,D118*10000/B118),I118-G118),0)</f>
        <v>#REF!</v>
      </c>
      <c r="F118" s="3358" t="e">
        <f ca="1">ROUND(IF(D32="总价",C35,G118*B118/10000),0)</f>
        <v>#REF!</v>
      </c>
      <c r="G118" s="3358" t="e">
        <f ca="1">ROUND(IF(D32="楼面单价",C35,F118*10000/B118),0)</f>
        <v>#REF!</v>
      </c>
      <c r="H118" s="3358" t="e">
        <f ca="1">ROUND(IF(D32="总价",C32,I118*B118/10000),0)</f>
        <v>#REF!</v>
      </c>
      <c r="I118" s="3358" t="e">
        <f ca="1">ROUND(IF(D32="楼面单价",C32,H118*10000/B118),0)</f>
        <v>#REF!</v>
      </c>
    </row>
    <row r="119" spans="1:11" ht="18.75" customHeight="1">
      <c r="A119" s="3503" t="s">
        <v>9</v>
      </c>
      <c r="B119" s="3503"/>
      <c r="C119" s="3503"/>
      <c r="D119" s="3547" t="e">
        <f ca="1">NUMBERSTRING(INT(D118*10000),2)&amp;"元整"</f>
        <v>#REF!</v>
      </c>
      <c r="E119" s="3548"/>
      <c r="F119" s="3547" t="e">
        <f ca="1">NUMBERSTRING(INT(F118*10000),2)&amp;"元整"</f>
        <v>#REF!</v>
      </c>
      <c r="G119" s="3548"/>
      <c r="H119" s="3547" t="e">
        <f ca="1">NUMBERSTRING(INT(H118*10000),2)&amp;"元整"</f>
        <v>#REF!</v>
      </c>
      <c r="I119" s="3548"/>
    </row>
    <row r="120" spans="1:11" ht="18.75" customHeight="1">
      <c r="A120" s="3549" t="str">
        <f>IF(项目基本情况!B9="房地产市场价值","",MID(E103,3,LEN(E103)-2))</f>
        <v>估价师知悉的法定优先受偿款</v>
      </c>
      <c r="B120" s="3550"/>
      <c r="C120" s="3551"/>
      <c r="D120" s="3542">
        <f>H103</f>
        <v>0</v>
      </c>
      <c r="E120" s="3543"/>
      <c r="F120" s="3543"/>
      <c r="G120" s="3543"/>
      <c r="H120" s="3543"/>
      <c r="I120" s="3544"/>
      <c r="K120" s="1433" t="str">
        <f>IF(D120=0,"故，本次评估不存在"&amp;A120,"故，本次评估"&amp;A120&amp;"为人民币"&amp;D120&amp;"万元整。")</f>
        <v>故，本次评估不存在估价师知悉的法定优先受偿款</v>
      </c>
    </row>
    <row r="121" spans="1:11" ht="18.75" customHeight="1">
      <c r="A121" s="3593" t="s">
        <v>9</v>
      </c>
      <c r="B121" s="3594"/>
      <c r="C121" s="3595"/>
      <c r="D121" s="3547" t="str">
        <f>IF(D120=0,"零元整",NUMBERSTRING(INT(D120*10000),2)&amp;"元整")</f>
        <v>零元整</v>
      </c>
      <c r="E121" s="3552"/>
      <c r="F121" s="3552"/>
      <c r="G121" s="3552"/>
      <c r="H121" s="3552"/>
      <c r="I121" s="3548"/>
    </row>
    <row r="122" spans="1:11" ht="18.75" customHeight="1">
      <c r="A122" s="3556" t="str">
        <f>IF(项目基本情况!B9="房地产市场价值","",MID(E107,3,LEN(E107)-2))</f>
        <v>房地产抵押价值</v>
      </c>
      <c r="B122" s="3556"/>
      <c r="C122" s="3556"/>
      <c r="D122" s="3542" t="e">
        <f ca="1">H107</f>
        <v>#REF!</v>
      </c>
      <c r="E122" s="3543"/>
      <c r="F122" s="3543"/>
      <c r="G122" s="3543"/>
      <c r="H122" s="3543"/>
      <c r="I122" s="3544"/>
    </row>
    <row r="123" spans="1:11" ht="18.75" customHeight="1">
      <c r="A123" s="3503" t="s">
        <v>9</v>
      </c>
      <c r="B123" s="3503"/>
      <c r="C123" s="3503"/>
      <c r="D123" s="3547" t="e">
        <f ca="1">NUMBERSTRING(INT(D122*10000),2)&amp;"元整"</f>
        <v>#REF!</v>
      </c>
      <c r="E123" s="3552"/>
      <c r="F123" s="3552"/>
      <c r="G123" s="3552"/>
      <c r="H123" s="3552"/>
      <c r="I123" s="3548"/>
    </row>
    <row r="124" spans="1:11" ht="18.75" customHeight="1">
      <c r="A124" s="3556" t="str">
        <f>IF(项目基本情况!B9="房地产市场价值","",MID(E109,3,LEN(E109)-2))</f>
        <v/>
      </c>
      <c r="B124" s="3556"/>
      <c r="C124" s="3556"/>
      <c r="D124" s="3542" t="str">
        <f>H109</f>
        <v>——</v>
      </c>
      <c r="E124" s="3543"/>
      <c r="F124" s="3543"/>
      <c r="G124" s="3543"/>
      <c r="H124" s="3543"/>
      <c r="I124" s="3544"/>
    </row>
    <row r="125" spans="1:11" ht="18.75" customHeight="1">
      <c r="A125" s="3503" t="s">
        <v>9</v>
      </c>
      <c r="B125" s="3503"/>
      <c r="C125" s="3503"/>
      <c r="D125" s="3547" t="e">
        <f>NUMBERSTRING(INT(D124*10000),2)&amp;"元整"</f>
        <v>#VALUE!</v>
      </c>
      <c r="E125" s="3552"/>
      <c r="F125" s="3552"/>
      <c r="G125" s="3552"/>
      <c r="H125" s="3552"/>
      <c r="I125" s="3548"/>
    </row>
    <row r="126" spans="1:11" ht="18.75" customHeight="1">
      <c r="A126" s="3556" t="str">
        <f>IF(项目基本情况!B9="房地产市场价值","",MID(E111,3,LEN(E111)-2))</f>
        <v>抵押净值</v>
      </c>
      <c r="B126" s="3556"/>
      <c r="C126" s="3556"/>
      <c r="D126" s="3542" t="e">
        <f ca="1">H111</f>
        <v>#REF!</v>
      </c>
      <c r="E126" s="3543"/>
      <c r="F126" s="3543"/>
      <c r="G126" s="3543"/>
      <c r="H126" s="3543"/>
      <c r="I126" s="3544"/>
    </row>
    <row r="127" spans="1:11" ht="18.75" customHeight="1">
      <c r="A127" s="3503" t="s">
        <v>9</v>
      </c>
      <c r="B127" s="3503"/>
      <c r="C127" s="3503"/>
      <c r="D127" s="3547" t="e">
        <f ca="1">NUMBERSTRING(INT(D126*10000),2)&amp;"元整"</f>
        <v>#REF!</v>
      </c>
      <c r="E127" s="3552"/>
      <c r="F127" s="3552"/>
      <c r="G127" s="3552"/>
      <c r="H127" s="3552"/>
      <c r="I127" s="3548"/>
    </row>
    <row r="128" spans="1:11" ht="21.75" customHeight="1">
      <c r="A128" s="3553" t="s">
        <v>2010</v>
      </c>
      <c r="B128" s="3553"/>
      <c r="C128" s="3553"/>
      <c r="D128" s="3553"/>
      <c r="E128" s="3553"/>
      <c r="F128" s="3553"/>
      <c r="G128" s="3553"/>
      <c r="H128" s="3553"/>
      <c r="I128" s="3553"/>
    </row>
    <row r="129" spans="1:35" ht="21.75" customHeight="1">
      <c r="A129" s="2023" t="s">
        <v>791</v>
      </c>
      <c r="B129" s="2024"/>
      <c r="C129" s="468" t="s">
        <v>150</v>
      </c>
      <c r="D129" s="2025"/>
      <c r="E129" s="2025"/>
      <c r="F129" s="2025"/>
      <c r="G129" s="2025"/>
      <c r="H129" s="2026"/>
      <c r="I129" s="2027"/>
    </row>
    <row r="130" spans="1:35" ht="21.75" customHeight="1">
      <c r="A130" s="1435">
        <v>1</v>
      </c>
      <c r="B130" s="1436"/>
      <c r="C130" s="1436"/>
      <c r="D130" s="1437"/>
      <c r="E130" s="1437"/>
      <c r="F130" s="1437"/>
      <c r="G130" s="1437"/>
      <c r="H130" s="1438"/>
      <c r="I130" s="1439"/>
    </row>
    <row r="131" spans="1:35" ht="21.75" customHeight="1">
      <c r="A131" s="1435">
        <v>2</v>
      </c>
      <c r="B131" s="1436"/>
      <c r="C131" s="1436"/>
      <c r="D131" s="1437"/>
      <c r="E131" s="1437"/>
      <c r="F131" s="1437"/>
      <c r="G131" s="1437"/>
      <c r="H131" s="1438"/>
      <c r="I131" s="1439"/>
    </row>
    <row r="132" spans="1:35" ht="21.75" customHeight="1">
      <c r="A132" s="1435">
        <v>3</v>
      </c>
      <c r="B132" s="1436"/>
      <c r="C132" s="1436"/>
      <c r="D132" s="1437"/>
      <c r="E132" s="1437"/>
      <c r="F132" s="1437"/>
      <c r="G132" s="1437"/>
      <c r="H132" s="1438"/>
      <c r="I132" s="1439"/>
    </row>
    <row r="133" spans="1:35" ht="21.75" customHeight="1">
      <c r="A133" s="1440"/>
      <c r="B133" s="1441"/>
      <c r="C133" s="1441"/>
      <c r="D133" s="1442"/>
      <c r="E133" s="1442"/>
      <c r="F133" s="1442"/>
      <c r="G133" s="1442"/>
      <c r="H133" s="1443"/>
      <c r="I133" s="1444"/>
    </row>
    <row r="134" spans="1:35" ht="21.75" customHeight="1">
      <c r="A134" s="1436"/>
      <c r="B134" s="1436"/>
      <c r="C134" s="1436"/>
      <c r="D134" s="1437"/>
      <c r="E134" s="1437"/>
      <c r="F134" s="1437"/>
      <c r="G134" s="1437"/>
      <c r="H134" s="1438"/>
      <c r="I134" s="1445"/>
    </row>
    <row r="135" spans="1:35" ht="21.75" customHeight="1">
      <c r="A135" s="1445"/>
      <c r="B135" s="1445"/>
      <c r="C135" s="1445"/>
      <c r="D135" s="1445"/>
      <c r="E135" s="1445"/>
      <c r="F135" s="1446" t="s">
        <v>792</v>
      </c>
      <c r="G135" s="1447"/>
      <c r="H135" s="1447"/>
      <c r="I135" s="1448" t="s">
        <v>793</v>
      </c>
    </row>
    <row r="136" spans="1:35" ht="21.75" customHeight="1">
      <c r="A136" s="1445"/>
      <c r="B136" s="1449" t="s">
        <v>794</v>
      </c>
      <c r="C136" s="1445"/>
      <c r="D136" s="1445"/>
      <c r="E136" s="1445"/>
      <c r="F136" s="1445"/>
      <c r="G136" s="1445"/>
      <c r="H136" s="1445"/>
      <c r="I136" s="1445"/>
    </row>
    <row r="137" spans="1:35" ht="21.75" customHeight="1">
      <c r="A137" s="1445"/>
      <c r="B137" s="1445"/>
      <c r="C137" s="1445"/>
      <c r="D137" s="1445"/>
      <c r="E137" s="1445"/>
      <c r="F137" s="1445"/>
      <c r="G137" s="1445"/>
      <c r="H137" s="1445"/>
      <c r="I137" s="1445"/>
    </row>
    <row r="138" spans="1:35" ht="21.75" customHeight="1">
      <c r="A138" s="1445"/>
      <c r="B138" s="1447"/>
      <c r="C138" s="1447"/>
      <c r="D138" s="1447"/>
      <c r="E138" s="1447"/>
      <c r="F138" s="1447"/>
      <c r="G138" s="1447"/>
      <c r="H138" s="1447"/>
      <c r="I138" s="1448" t="s">
        <v>795</v>
      </c>
    </row>
    <row r="139" spans="1:35" ht="21.75" customHeight="1">
      <c r="A139" s="1445"/>
      <c r="B139" s="1449" t="s">
        <v>796</v>
      </c>
      <c r="C139" s="1445"/>
      <c r="D139" s="1445"/>
      <c r="E139" s="1445"/>
      <c r="F139" s="1445"/>
      <c r="G139" s="1445"/>
      <c r="H139" s="1445"/>
      <c r="I139" s="1445"/>
    </row>
    <row r="140" spans="1:35" ht="21.75" customHeight="1">
      <c r="A140" s="1445"/>
      <c r="B140" s="1449"/>
      <c r="C140" s="1445"/>
      <c r="D140" s="1445"/>
      <c r="E140" s="1445"/>
      <c r="F140" s="1445"/>
      <c r="G140" s="1445"/>
      <c r="H140" s="1445"/>
      <c r="I140" s="1445"/>
    </row>
    <row r="141" spans="1:35" ht="21.75" customHeight="1">
      <c r="A141" s="1445"/>
      <c r="B141" s="1447"/>
      <c r="C141" s="1447"/>
      <c r="D141" s="1447"/>
      <c r="E141" s="1447"/>
      <c r="F141" s="1447"/>
      <c r="G141" s="1447"/>
      <c r="H141" s="1447"/>
      <c r="I141" s="1448" t="s">
        <v>795</v>
      </c>
    </row>
    <row r="142" spans="1:35" ht="21.75" customHeight="1">
      <c r="A142" s="1445"/>
      <c r="B142" s="1449"/>
      <c r="C142" s="1450"/>
      <c r="D142" s="1451"/>
      <c r="E142" s="1451"/>
      <c r="F142" s="1452"/>
      <c r="G142" s="1445"/>
      <c r="H142" s="1445"/>
      <c r="I142" s="1445"/>
    </row>
    <row r="143" spans="1:35" s="428" customFormat="1" ht="21.75" customHeight="1">
      <c r="A143" s="1445"/>
      <c r="B143" s="1449"/>
      <c r="C143" s="1450"/>
      <c r="D143" s="1451"/>
      <c r="E143" s="1451"/>
      <c r="F143" s="1452"/>
      <c r="G143" s="1445"/>
      <c r="H143" s="1445"/>
      <c r="I143" s="1445"/>
      <c r="J143" s="1445"/>
      <c r="K143" s="1445"/>
      <c r="L143" s="1445"/>
      <c r="M143" s="1445"/>
      <c r="N143" s="1445"/>
      <c r="O143" s="1445"/>
      <c r="P143" s="1445"/>
      <c r="Q143" s="1445"/>
      <c r="R143" s="1445"/>
      <c r="S143" s="1445"/>
      <c r="T143" s="1445"/>
      <c r="U143" s="1445"/>
      <c r="V143" s="1445"/>
      <c r="W143" s="1445"/>
      <c r="X143" s="1445"/>
      <c r="Y143" s="1445"/>
      <c r="Z143" s="1445"/>
      <c r="AA143" s="1445"/>
      <c r="AB143" s="1445"/>
      <c r="AC143" s="1445"/>
      <c r="AD143" s="1445"/>
      <c r="AE143" s="1445"/>
      <c r="AF143" s="1445"/>
      <c r="AG143" s="1445"/>
      <c r="AH143" s="1445"/>
      <c r="AI143" s="1445"/>
    </row>
    <row r="144" spans="1:35" s="428" customFormat="1" ht="21.75" customHeight="1">
      <c r="A144" s="1445"/>
      <c r="B144" s="1445"/>
      <c r="C144" s="1445"/>
      <c r="D144" s="1445"/>
      <c r="E144" s="1445"/>
      <c r="F144" s="1445"/>
      <c r="G144" s="1445"/>
      <c r="H144" s="1445"/>
      <c r="I144" s="1445"/>
      <c r="J144" s="1445"/>
      <c r="K144" s="1445"/>
      <c r="L144" s="1445"/>
      <c r="M144" s="1445"/>
      <c r="N144" s="1445"/>
      <c r="O144" s="1445"/>
      <c r="P144" s="1445"/>
      <c r="Q144" s="1445"/>
      <c r="R144" s="1445"/>
      <c r="S144" s="1445"/>
      <c r="T144" s="1445"/>
      <c r="U144" s="1445"/>
      <c r="V144" s="1445"/>
      <c r="W144" s="1445"/>
      <c r="X144" s="1445"/>
      <c r="Y144" s="1445"/>
      <c r="Z144" s="1445"/>
      <c r="AA144" s="1445"/>
      <c r="AB144" s="1445"/>
      <c r="AC144" s="1445"/>
      <c r="AD144" s="1445"/>
      <c r="AE144" s="1445"/>
      <c r="AF144" s="1445"/>
      <c r="AG144" s="1445"/>
      <c r="AH144" s="1445"/>
      <c r="AI144" s="1445"/>
    </row>
    <row r="145" spans="1:35" s="428" customFormat="1" ht="21.75" customHeight="1">
      <c r="A145" s="1445"/>
      <c r="B145" s="1445"/>
      <c r="C145" s="1445"/>
      <c r="D145" s="1445"/>
      <c r="E145" s="1445"/>
      <c r="F145" s="1445"/>
      <c r="G145" s="1445"/>
      <c r="H145" s="1445"/>
      <c r="I145" s="1445"/>
      <c r="J145" s="1445"/>
      <c r="K145" s="1445"/>
      <c r="L145" s="1445"/>
      <c r="M145" s="1445"/>
      <c r="N145" s="1445"/>
      <c r="O145" s="1445"/>
      <c r="P145" s="1445"/>
      <c r="Q145" s="1445"/>
      <c r="R145" s="1445"/>
      <c r="S145" s="1445"/>
      <c r="T145" s="1445"/>
      <c r="U145" s="1445"/>
      <c r="V145" s="1445"/>
      <c r="W145" s="1445"/>
      <c r="X145" s="1445"/>
      <c r="Y145" s="1445"/>
      <c r="Z145" s="1445"/>
      <c r="AA145" s="1445"/>
      <c r="AB145" s="1445"/>
      <c r="AC145" s="1445"/>
      <c r="AD145" s="1445"/>
      <c r="AE145" s="1445"/>
      <c r="AF145" s="1445"/>
      <c r="AG145" s="1445"/>
      <c r="AH145" s="1445"/>
      <c r="AI145" s="1445"/>
    </row>
    <row r="146" spans="1:35" s="1445" customFormat="1" ht="21.75" customHeight="1"/>
    <row r="147" spans="1:35" s="1445" customFormat="1" ht="21.75" customHeight="1"/>
    <row r="148" spans="1:35" s="1445" customFormat="1" ht="21.75" customHeight="1"/>
    <row r="149" spans="1:35" s="1445" customFormat="1" ht="21.75" customHeight="1"/>
    <row r="150" spans="1:35" s="1445" customFormat="1" ht="21.75" customHeight="1"/>
    <row r="151" spans="1:35" s="1445" customFormat="1" ht="21.75" customHeight="1"/>
    <row r="152" spans="1:35" s="1445" customFormat="1" ht="21.75" customHeight="1"/>
    <row r="153" spans="1:35" s="1445" customFormat="1" ht="21.75" customHeight="1"/>
    <row r="154" spans="1:35" s="1445" customFormat="1" ht="21.75" customHeight="1"/>
    <row r="155" spans="1:35" s="1445" customFormat="1" ht="21.75" customHeight="1"/>
    <row r="156" spans="1:35" s="1445" customFormat="1" ht="21.75" customHeight="1"/>
    <row r="157" spans="1:35" s="1445" customFormat="1" ht="21.75" customHeight="1"/>
    <row r="158" spans="1:35" s="1445" customFormat="1" ht="21.75" customHeight="1"/>
    <row r="159" spans="1:35" s="1445" customFormat="1" ht="21.75" customHeight="1"/>
    <row r="160" spans="1:35" s="1445" customFormat="1" ht="21.75" customHeight="1"/>
    <row r="161" s="1445" customFormat="1" ht="12"/>
    <row r="162" s="1445" customFormat="1" ht="12"/>
    <row r="163" s="1445" customFormat="1" ht="12"/>
    <row r="164" s="1445" customFormat="1" ht="12"/>
    <row r="165" s="1445" customFormat="1" ht="12"/>
    <row r="166" s="1445" customFormat="1" ht="12"/>
    <row r="167" s="1445" customFormat="1" ht="12"/>
    <row r="168" s="1445" customFormat="1" ht="12"/>
    <row r="169" s="1445" customFormat="1" ht="12"/>
    <row r="170" s="1445" customFormat="1" ht="12"/>
    <row r="171" s="1445" customFormat="1" ht="12"/>
    <row r="172" s="1445" customFormat="1" ht="12"/>
    <row r="173" s="1445" customFormat="1" ht="12"/>
    <row r="174" s="1445" customFormat="1" ht="12"/>
    <row r="175" s="1445" customFormat="1" ht="12"/>
    <row r="176" s="1445" customFormat="1" ht="12"/>
    <row r="177" s="1445" customFormat="1" ht="12"/>
    <row r="178" s="1445" customFormat="1" ht="12"/>
    <row r="179" s="1445" customFormat="1" ht="12"/>
    <row r="180" s="1445" customFormat="1" ht="12"/>
    <row r="181" s="1445" customFormat="1" ht="12"/>
    <row r="182" s="1445" customFormat="1" ht="12"/>
    <row r="183" s="1445" customFormat="1" ht="12"/>
    <row r="184" s="1445" customFormat="1" ht="12"/>
    <row r="185" s="1445" customFormat="1" ht="12"/>
    <row r="186" s="1445" customFormat="1" ht="12"/>
    <row r="187" s="1445" customFormat="1" ht="12"/>
    <row r="188" s="1445" customFormat="1" ht="12"/>
    <row r="189" s="1445" customFormat="1" ht="12"/>
    <row r="190" s="1445" customFormat="1" ht="12"/>
    <row r="191" s="1445" customFormat="1" ht="12"/>
    <row r="192" s="1445" customFormat="1" ht="12"/>
    <row r="193" s="1445" customFormat="1" ht="12"/>
    <row r="194" s="1445" customFormat="1" ht="12"/>
    <row r="195" s="1445" customFormat="1" ht="12"/>
    <row r="196" s="1445" customFormat="1" ht="12"/>
    <row r="197" s="1445" customFormat="1" ht="12"/>
    <row r="198" s="1445" customFormat="1" ht="12"/>
    <row r="199" s="1445" customFormat="1" ht="12"/>
    <row r="200" s="1445" customFormat="1" ht="12"/>
    <row r="201" s="1445" customFormat="1" ht="12"/>
    <row r="202" s="1445" customFormat="1" ht="12"/>
    <row r="203" s="1445" customFormat="1" ht="12"/>
    <row r="204" s="1445" customFormat="1" ht="12"/>
    <row r="205" s="1445" customFormat="1" ht="12"/>
    <row r="206" s="1445" customFormat="1" ht="12"/>
    <row r="207" s="1445" customFormat="1" ht="12"/>
    <row r="208" s="1445" customFormat="1" ht="12"/>
    <row r="209" s="1445" customFormat="1" ht="12"/>
    <row r="210" s="1445" customFormat="1" ht="12"/>
    <row r="211" s="1445" customFormat="1" ht="12"/>
    <row r="212" s="1445" customFormat="1" ht="12"/>
    <row r="213" s="1445" customFormat="1" ht="12"/>
    <row r="214" s="1445" customFormat="1" ht="12"/>
    <row r="215" s="1445" customFormat="1" ht="12"/>
    <row r="216" s="1445" customFormat="1" ht="12"/>
    <row r="217" s="1445" customFormat="1" ht="12"/>
    <row r="218" s="1445" customFormat="1" ht="12"/>
    <row r="219" s="1445" customFormat="1" ht="12"/>
    <row r="220" s="1445" customFormat="1" ht="12"/>
    <row r="221" s="1445" customFormat="1" ht="12"/>
    <row r="222" s="1445" customFormat="1" ht="12"/>
    <row r="223" s="1445" customFormat="1" ht="12"/>
    <row r="224" s="1445" customFormat="1" ht="12"/>
    <row r="225" s="1445" customFormat="1" ht="12"/>
    <row r="226" s="1445" customFormat="1" ht="12"/>
    <row r="227" s="1445" customFormat="1" ht="12"/>
    <row r="228" s="1445" customFormat="1" ht="12"/>
    <row r="229" s="1445" customFormat="1" ht="12"/>
    <row r="230" s="1445" customFormat="1" ht="12"/>
    <row r="231" s="1445" customFormat="1" ht="12"/>
    <row r="232" s="1445" customFormat="1" ht="12"/>
    <row r="233" s="1445" customFormat="1" ht="12"/>
    <row r="234" s="1445" customFormat="1" ht="12"/>
    <row r="235" s="1445" customFormat="1" ht="12"/>
    <row r="236" s="1445" customFormat="1" ht="12"/>
    <row r="237" s="1445" customFormat="1" ht="12"/>
    <row r="238" s="1445" customFormat="1" ht="12"/>
    <row r="239" s="1445" customFormat="1" ht="12"/>
    <row r="240" s="1445" customFormat="1" ht="12"/>
    <row r="241" s="1445" customFormat="1" ht="12"/>
    <row r="242" s="1445" customFormat="1" ht="12"/>
    <row r="243" s="1445" customFormat="1" ht="12"/>
    <row r="244" s="1445" customFormat="1" ht="12"/>
    <row r="245" s="1445" customFormat="1" ht="12"/>
    <row r="246" s="1445" customFormat="1" ht="12"/>
    <row r="247" s="1445" customFormat="1" ht="12"/>
    <row r="248" s="1445" customFormat="1" ht="12"/>
    <row r="249" s="1445" customFormat="1" ht="12"/>
    <row r="250" s="1445" customFormat="1" ht="12"/>
    <row r="251" s="1445" customFormat="1" ht="12"/>
    <row r="252" s="1445" customFormat="1" ht="12"/>
    <row r="253" s="1445" customFormat="1" ht="12"/>
    <row r="254" s="1445" customFormat="1" ht="12"/>
    <row r="255" s="1445" customFormat="1" ht="12"/>
    <row r="256" s="1445" customFormat="1" ht="12"/>
    <row r="257" s="1445" customFormat="1" ht="12"/>
    <row r="258" s="1445" customFormat="1" ht="12"/>
    <row r="259" s="1445" customFormat="1" ht="12"/>
    <row r="260" s="1445" customFormat="1" ht="12"/>
    <row r="261" s="1445" customFormat="1" ht="12"/>
    <row r="262" s="1445" customFormat="1" ht="12"/>
    <row r="263" s="1445" customFormat="1" ht="12"/>
    <row r="264" s="1445" customFormat="1" ht="12"/>
    <row r="265" s="1445" customFormat="1" ht="12"/>
    <row r="266" s="1445" customFormat="1" ht="12"/>
    <row r="267" s="1445" customFormat="1" ht="12"/>
    <row r="268" s="1445" customFormat="1" ht="12"/>
    <row r="269" s="1445" customFormat="1" ht="12"/>
    <row r="270" s="1445" customFormat="1" ht="12"/>
    <row r="271" s="1445" customFormat="1" ht="12"/>
    <row r="272" s="1445" customFormat="1" ht="12"/>
    <row r="273" s="1445" customFormat="1" ht="12"/>
    <row r="274" s="1445" customFormat="1" ht="12"/>
    <row r="275" s="1445" customFormat="1" ht="12"/>
    <row r="276" s="1445" customFormat="1" ht="12"/>
    <row r="277" s="1445" customFormat="1" ht="12"/>
    <row r="278" s="1445" customFormat="1" ht="12"/>
    <row r="279" s="1445" customFormat="1" ht="12"/>
    <row r="280" s="1445" customFormat="1" ht="12"/>
    <row r="281" s="1445" customFormat="1" ht="12"/>
    <row r="282" s="1445" customFormat="1" ht="12"/>
    <row r="283" s="1445" customFormat="1" ht="12"/>
    <row r="284" s="1445" customFormat="1" ht="12"/>
    <row r="285" s="1445" customFormat="1" ht="12"/>
    <row r="286" s="1445" customFormat="1" ht="12"/>
    <row r="287" s="1445" customFormat="1" ht="12"/>
    <row r="288" s="1445" customFormat="1" ht="12"/>
    <row r="289" s="1445" customFormat="1" ht="12"/>
    <row r="290" s="1445" customFormat="1" ht="12"/>
    <row r="291" s="1445" customFormat="1" ht="12"/>
    <row r="292" s="1445" customFormat="1" ht="12"/>
    <row r="293" s="1445" customFormat="1" ht="12"/>
    <row r="294" s="1445" customFormat="1" ht="12"/>
    <row r="295" s="1445" customFormat="1" ht="12"/>
    <row r="296" s="1445" customFormat="1" ht="12"/>
    <row r="297" s="1445" customFormat="1" ht="12"/>
    <row r="298" s="1445" customFormat="1" ht="12"/>
    <row r="299" s="1445" customFormat="1" ht="12"/>
    <row r="300" s="1445" customFormat="1" ht="12"/>
    <row r="301" s="1445" customFormat="1" ht="12"/>
    <row r="302" s="1445" customFormat="1" ht="12"/>
    <row r="303" s="1445" customFormat="1" ht="12"/>
    <row r="304" s="1445" customFormat="1" ht="12"/>
    <row r="305" s="1445" customFormat="1" ht="12"/>
    <row r="306" s="1445" customFormat="1" ht="12"/>
    <row r="307" s="1445" customFormat="1" ht="12"/>
    <row r="308" s="1445" customFormat="1" ht="12"/>
    <row r="309" s="1445" customFormat="1" ht="12"/>
    <row r="310" s="1445" customFormat="1" ht="12"/>
    <row r="311" s="1445" customFormat="1" ht="12"/>
    <row r="312" s="1445" customFormat="1" ht="12"/>
    <row r="313" s="1445" customFormat="1" ht="12"/>
    <row r="314" s="1445" customFormat="1" ht="12"/>
    <row r="315" s="1445" customFormat="1" ht="12"/>
    <row r="316" s="1445" customFormat="1" ht="12"/>
    <row r="317" s="1445" customFormat="1" ht="12"/>
    <row r="318" s="1445" customFormat="1" ht="12"/>
    <row r="319" s="1445" customFormat="1" ht="12"/>
    <row r="320" s="1445" customFormat="1" ht="12"/>
    <row r="321" s="1445" customFormat="1" ht="12"/>
    <row r="322" s="1445" customFormat="1" ht="12"/>
    <row r="323" s="1445" customFormat="1" ht="12"/>
    <row r="324" s="1445" customFormat="1" ht="12"/>
    <row r="325" s="1445" customFormat="1" ht="12"/>
    <row r="326" s="1445" customFormat="1" ht="12"/>
    <row r="327" s="1445" customFormat="1" ht="12"/>
    <row r="328" s="1445" customFormat="1" ht="12"/>
    <row r="329" s="1445" customFormat="1" ht="12"/>
    <row r="330" s="1445" customFormat="1" ht="12"/>
    <row r="331" s="1445" customFormat="1" ht="12"/>
    <row r="332" s="1445" customFormat="1" ht="12"/>
    <row r="333" s="1445" customFormat="1" ht="12"/>
    <row r="334" s="1445" customFormat="1" ht="12"/>
    <row r="335" s="1445" customFormat="1" ht="12"/>
    <row r="336" s="1445" customFormat="1" ht="12"/>
    <row r="337" s="1445" customFormat="1" ht="12"/>
    <row r="338" s="1445" customFormat="1" ht="12"/>
    <row r="339" s="1445" customFormat="1" ht="12"/>
    <row r="340" s="1445" customFormat="1" ht="12"/>
    <row r="341" s="1445" customFormat="1" ht="12"/>
    <row r="342" s="1445" customFormat="1" ht="12"/>
    <row r="343" s="1445" customFormat="1" ht="12"/>
    <row r="344" s="1445" customFormat="1" ht="12"/>
    <row r="345" s="1445" customFormat="1" ht="12"/>
    <row r="346" s="1445" customFormat="1" ht="12"/>
    <row r="347" s="1445" customFormat="1" ht="12"/>
    <row r="348" s="1445" customFormat="1" ht="12"/>
    <row r="349" s="1445" customFormat="1" ht="12"/>
    <row r="350" s="1445" customFormat="1" ht="12"/>
    <row r="351" s="1445" customFormat="1" ht="12"/>
    <row r="352" s="1445" customFormat="1" ht="12"/>
    <row r="353" s="1445" customFormat="1" ht="12"/>
    <row r="354" s="1445" customFormat="1" ht="12"/>
    <row r="355" s="1445" customFormat="1" ht="12"/>
    <row r="356" s="1445" customFormat="1" ht="12"/>
    <row r="357" s="1445" customFormat="1" ht="12"/>
    <row r="358" s="1445" customFormat="1" ht="12"/>
    <row r="359" s="1445" customFormat="1" ht="12"/>
    <row r="360" s="1445" customFormat="1" ht="12"/>
    <row r="361" s="1445" customFormat="1" ht="12"/>
    <row r="362" s="1445" customFormat="1" ht="12"/>
    <row r="363" s="1445" customFormat="1" ht="12"/>
    <row r="364" s="1445" customFormat="1" ht="12"/>
    <row r="365" s="1445" customFormat="1" ht="12"/>
    <row r="366" s="1445" customFormat="1" ht="12"/>
    <row r="367" s="1445" customFormat="1" ht="12"/>
    <row r="368" s="1445" customFormat="1" ht="12"/>
    <row r="369" s="1445" customFormat="1" ht="12"/>
    <row r="370" s="1445" customFormat="1" ht="12"/>
    <row r="371" s="1445" customFormat="1" ht="12"/>
    <row r="372" s="1445" customFormat="1" ht="12"/>
    <row r="373" s="1445" customFormat="1" ht="12"/>
    <row r="374" s="1445" customFormat="1" ht="12"/>
    <row r="375" s="1445" customFormat="1" ht="12"/>
    <row r="376" s="1445" customFormat="1" ht="12"/>
    <row r="377" s="1445" customFormat="1" ht="12"/>
    <row r="378" s="1445" customFormat="1" ht="12"/>
    <row r="379" s="1445" customFormat="1" ht="12"/>
    <row r="380" s="1445" customFormat="1" ht="12"/>
    <row r="381" s="1445" customFormat="1" ht="12"/>
    <row r="382" s="1445" customFormat="1" ht="12"/>
    <row r="383" s="1445" customFormat="1" ht="12"/>
    <row r="384" s="1445" customFormat="1" ht="12"/>
    <row r="385" s="1445" customFormat="1" ht="12"/>
    <row r="386" s="1445" customFormat="1" ht="12"/>
    <row r="387" s="1445" customFormat="1" ht="12"/>
    <row r="388" s="1445" customFormat="1" ht="12"/>
    <row r="389" s="1445" customFormat="1" ht="12"/>
    <row r="390" s="1445" customFormat="1" ht="12"/>
    <row r="391" s="1445" customFormat="1" ht="12"/>
    <row r="392" s="1445" customFormat="1" ht="12"/>
    <row r="393" s="1445" customFormat="1" ht="12"/>
    <row r="394" s="1445" customFormat="1" ht="12"/>
    <row r="395" s="1445" customFormat="1" ht="12"/>
    <row r="396" s="1445" customFormat="1" ht="12"/>
    <row r="397" s="1445" customFormat="1" ht="12"/>
    <row r="398" s="1445" customFormat="1" ht="12"/>
    <row r="399" s="1445" customFormat="1" ht="12"/>
    <row r="400" s="1445" customFormat="1" ht="12"/>
    <row r="401" spans="10:26" s="1445" customFormat="1" ht="12"/>
    <row r="402" spans="10:26" s="1445" customFormat="1" ht="12"/>
    <row r="403" spans="10:26" s="1445" customFormat="1" ht="12"/>
    <row r="404" spans="10:26" s="1445" customFormat="1" ht="12"/>
    <row r="405" spans="10:26" s="1445" customFormat="1" ht="12"/>
    <row r="406" spans="10:26" s="1445" customFormat="1" ht="12"/>
    <row r="407" spans="10:26" s="1445" customFormat="1" ht="12"/>
    <row r="408" spans="10:26" s="1445" customFormat="1" ht="12"/>
    <row r="409" spans="10:26" s="1433" customFormat="1" ht="12">
      <c r="J409" s="1445"/>
      <c r="K409" s="1445"/>
      <c r="L409" s="1445"/>
      <c r="M409" s="1445"/>
      <c r="N409" s="1445"/>
      <c r="O409" s="1445"/>
      <c r="P409" s="1445"/>
      <c r="Q409" s="1445"/>
      <c r="R409" s="1445"/>
      <c r="S409" s="1445"/>
      <c r="T409" s="1445"/>
      <c r="U409" s="1445"/>
      <c r="V409" s="1445"/>
      <c r="W409" s="1445"/>
      <c r="X409" s="1445"/>
      <c r="Y409" s="1445"/>
      <c r="Z409" s="1445"/>
    </row>
    <row r="410" spans="10:26" s="1433" customFormat="1" ht="12">
      <c r="J410" s="1445"/>
      <c r="K410" s="1445"/>
      <c r="L410" s="1445"/>
      <c r="M410" s="1445"/>
      <c r="N410" s="1445"/>
      <c r="O410" s="1445"/>
      <c r="P410" s="1445"/>
      <c r="Q410" s="1445"/>
      <c r="R410" s="1445"/>
      <c r="S410" s="1445"/>
      <c r="T410" s="1445"/>
      <c r="U410" s="1445"/>
      <c r="V410" s="1445"/>
      <c r="W410" s="1445"/>
      <c r="X410" s="1445"/>
      <c r="Y410" s="1445"/>
      <c r="Z410" s="1445"/>
    </row>
    <row r="411" spans="10:26" s="1433" customFormat="1" ht="12">
      <c r="J411" s="1445"/>
      <c r="K411" s="1445"/>
      <c r="L411" s="1445"/>
      <c r="M411" s="1445"/>
      <c r="N411" s="1445"/>
      <c r="O411" s="1445"/>
      <c r="P411" s="1445"/>
      <c r="Q411" s="1445"/>
      <c r="R411" s="1445"/>
      <c r="S411" s="1445"/>
      <c r="T411" s="1445"/>
      <c r="U411" s="1445"/>
      <c r="V411" s="1445"/>
      <c r="W411" s="1445"/>
      <c r="X411" s="1445"/>
      <c r="Y411" s="1445"/>
      <c r="Z411" s="1445"/>
    </row>
    <row r="412" spans="10:26" s="1433" customFormat="1" ht="12">
      <c r="J412" s="1445"/>
      <c r="K412" s="1445"/>
      <c r="L412" s="1445"/>
      <c r="M412" s="1445"/>
      <c r="N412" s="1445"/>
      <c r="O412" s="1445"/>
      <c r="P412" s="1445"/>
      <c r="Q412" s="1445"/>
      <c r="R412" s="1445"/>
      <c r="S412" s="1445"/>
      <c r="T412" s="1445"/>
      <c r="U412" s="1445"/>
      <c r="V412" s="1445"/>
      <c r="W412" s="1445"/>
      <c r="X412" s="1445"/>
      <c r="Y412" s="1445"/>
      <c r="Z412" s="1445"/>
    </row>
    <row r="413" spans="10:26" s="1433" customFormat="1" ht="12">
      <c r="J413" s="1445"/>
      <c r="K413" s="1445"/>
      <c r="L413" s="1445"/>
      <c r="M413" s="1445"/>
      <c r="N413" s="1445"/>
      <c r="O413" s="1445"/>
      <c r="P413" s="1445"/>
      <c r="Q413" s="1445"/>
      <c r="R413" s="1445"/>
      <c r="S413" s="1445"/>
      <c r="T413" s="1445"/>
      <c r="U413" s="1445"/>
      <c r="V413" s="1445"/>
      <c r="W413" s="1445"/>
      <c r="X413" s="1445"/>
      <c r="Y413" s="1445"/>
      <c r="Z413" s="1445"/>
    </row>
    <row r="414" spans="10:26" s="1433" customFormat="1" ht="12">
      <c r="J414" s="1445"/>
      <c r="K414" s="1445"/>
      <c r="L414" s="1445"/>
      <c r="M414" s="1445"/>
      <c r="N414" s="1445"/>
      <c r="O414" s="1445"/>
      <c r="P414" s="1445"/>
      <c r="Q414" s="1445"/>
      <c r="R414" s="1445"/>
      <c r="S414" s="1445"/>
      <c r="T414" s="1445"/>
      <c r="U414" s="1445"/>
      <c r="V414" s="1445"/>
      <c r="W414" s="1445"/>
      <c r="X414" s="1445"/>
      <c r="Y414" s="1445"/>
      <c r="Z414" s="1445"/>
    </row>
    <row r="415" spans="10:26" s="1433" customFormat="1" ht="12">
      <c r="J415" s="1445"/>
      <c r="K415" s="1445"/>
      <c r="L415" s="1445"/>
      <c r="M415" s="1445"/>
      <c r="N415" s="1445"/>
      <c r="O415" s="1445"/>
      <c r="P415" s="1445"/>
      <c r="Q415" s="1445"/>
      <c r="R415" s="1445"/>
      <c r="S415" s="1445"/>
      <c r="T415" s="1445"/>
      <c r="U415" s="1445"/>
      <c r="V415" s="1445"/>
      <c r="W415" s="1445"/>
      <c r="X415" s="1445"/>
      <c r="Y415" s="1445"/>
      <c r="Z415" s="1445"/>
    </row>
    <row r="416" spans="10:26" s="1433" customFormat="1" ht="12">
      <c r="J416" s="1445"/>
      <c r="K416" s="1445"/>
      <c r="L416" s="1445"/>
      <c r="M416" s="1445"/>
      <c r="N416" s="1445"/>
      <c r="O416" s="1445"/>
      <c r="P416" s="1445"/>
      <c r="Q416" s="1445"/>
      <c r="R416" s="1445"/>
      <c r="S416" s="1445"/>
      <c r="T416" s="1445"/>
      <c r="U416" s="1445"/>
      <c r="V416" s="1445"/>
      <c r="W416" s="1445"/>
      <c r="X416" s="1445"/>
      <c r="Y416" s="1445"/>
      <c r="Z416" s="1445"/>
    </row>
    <row r="417" spans="10:26" s="1433" customFormat="1" ht="12">
      <c r="J417" s="1445"/>
      <c r="K417" s="1445"/>
      <c r="L417" s="1445"/>
      <c r="M417" s="1445"/>
      <c r="N417" s="1445"/>
      <c r="O417" s="1445"/>
      <c r="P417" s="1445"/>
      <c r="Q417" s="1445"/>
      <c r="R417" s="1445"/>
      <c r="S417" s="1445"/>
      <c r="T417" s="1445"/>
      <c r="U417" s="1445"/>
      <c r="V417" s="1445"/>
      <c r="W417" s="1445"/>
      <c r="X417" s="1445"/>
      <c r="Y417" s="1445"/>
      <c r="Z417" s="1445"/>
    </row>
    <row r="418" spans="10:26" s="1433" customFormat="1" ht="12">
      <c r="J418" s="1445"/>
      <c r="K418" s="1445"/>
      <c r="L418" s="1445"/>
      <c r="M418" s="1445"/>
      <c r="N418" s="1445"/>
      <c r="O418" s="1445"/>
      <c r="P418" s="1445"/>
      <c r="Q418" s="1445"/>
      <c r="R418" s="1445"/>
      <c r="S418" s="1445"/>
      <c r="T418" s="1445"/>
      <c r="U418" s="1445"/>
      <c r="V418" s="1445"/>
      <c r="W418" s="1445"/>
      <c r="X418" s="1445"/>
      <c r="Y418" s="1445"/>
      <c r="Z418" s="1445"/>
    </row>
    <row r="419" spans="10:26" s="1433" customFormat="1" ht="12">
      <c r="J419" s="1445"/>
      <c r="K419" s="1445"/>
      <c r="L419" s="1445"/>
      <c r="M419" s="1445"/>
      <c r="N419" s="1445"/>
      <c r="O419" s="1445"/>
      <c r="P419" s="1445"/>
      <c r="Q419" s="1445"/>
      <c r="R419" s="1445"/>
      <c r="S419" s="1445"/>
      <c r="T419" s="1445"/>
      <c r="U419" s="1445"/>
      <c r="V419" s="1445"/>
      <c r="W419" s="1445"/>
      <c r="X419" s="1445"/>
      <c r="Y419" s="1445"/>
      <c r="Z419" s="1445"/>
    </row>
    <row r="420" spans="10:26" s="1433" customFormat="1" ht="12">
      <c r="J420" s="1445"/>
      <c r="K420" s="1445"/>
      <c r="L420" s="1445"/>
      <c r="M420" s="1445"/>
      <c r="N420" s="1445"/>
      <c r="O420" s="1445"/>
      <c r="P420" s="1445"/>
      <c r="Q420" s="1445"/>
      <c r="R420" s="1445"/>
      <c r="S420" s="1445"/>
      <c r="T420" s="1445"/>
      <c r="U420" s="1445"/>
      <c r="V420" s="1445"/>
      <c r="W420" s="1445"/>
      <c r="X420" s="1445"/>
      <c r="Y420" s="1445"/>
      <c r="Z420" s="1445"/>
    </row>
    <row r="421" spans="10:26" s="1433" customFormat="1" ht="12">
      <c r="J421" s="1445"/>
      <c r="K421" s="1445"/>
      <c r="L421" s="1445"/>
      <c r="M421" s="1445"/>
      <c r="N421" s="1445"/>
      <c r="O421" s="1445"/>
      <c r="P421" s="1445"/>
      <c r="Q421" s="1445"/>
      <c r="R421" s="1445"/>
      <c r="S421" s="1445"/>
      <c r="T421" s="1445"/>
      <c r="U421" s="1445"/>
      <c r="V421" s="1445"/>
      <c r="W421" s="1445"/>
      <c r="X421" s="1445"/>
      <c r="Y421" s="1445"/>
      <c r="Z421" s="1445"/>
    </row>
    <row r="422" spans="10:26" s="1433" customFormat="1" ht="12">
      <c r="J422" s="1445"/>
      <c r="K422" s="1445"/>
      <c r="L422" s="1445"/>
      <c r="M422" s="1445"/>
      <c r="N422" s="1445"/>
      <c r="O422" s="1445"/>
      <c r="P422" s="1445"/>
      <c r="Q422" s="1445"/>
      <c r="R422" s="1445"/>
      <c r="S422" s="1445"/>
      <c r="T422" s="1445"/>
      <c r="U422" s="1445"/>
      <c r="V422" s="1445"/>
      <c r="W422" s="1445"/>
      <c r="X422" s="1445"/>
      <c r="Y422" s="1445"/>
      <c r="Z422" s="1445"/>
    </row>
    <row r="423" spans="10:26" s="1433" customFormat="1" ht="12">
      <c r="J423" s="1445"/>
      <c r="K423" s="1445"/>
      <c r="L423" s="1445"/>
      <c r="M423" s="1445"/>
      <c r="N423" s="1445"/>
      <c r="O423" s="1445"/>
      <c r="P423" s="1445"/>
      <c r="Q423" s="1445"/>
      <c r="R423" s="1445"/>
      <c r="S423" s="1445"/>
      <c r="T423" s="1445"/>
      <c r="U423" s="1445"/>
      <c r="V423" s="1445"/>
      <c r="W423" s="1445"/>
      <c r="X423" s="1445"/>
      <c r="Y423" s="1445"/>
      <c r="Z423" s="1445"/>
    </row>
    <row r="424" spans="10:26" s="1433" customFormat="1" ht="12">
      <c r="J424" s="1445"/>
      <c r="K424" s="1445"/>
      <c r="L424" s="1445"/>
      <c r="M424" s="1445"/>
      <c r="N424" s="1445"/>
      <c r="O424" s="1445"/>
      <c r="P424" s="1445"/>
      <c r="Q424" s="1445"/>
      <c r="R424" s="1445"/>
      <c r="S424" s="1445"/>
      <c r="T424" s="1445"/>
      <c r="U424" s="1445"/>
      <c r="V424" s="1445"/>
      <c r="W424" s="1445"/>
      <c r="X424" s="1445"/>
      <c r="Y424" s="1445"/>
      <c r="Z424" s="1445"/>
    </row>
    <row r="425" spans="10:26" s="1433" customFormat="1" ht="12">
      <c r="J425" s="1445"/>
      <c r="K425" s="1445"/>
      <c r="L425" s="1445"/>
      <c r="M425" s="1445"/>
      <c r="N425" s="1445"/>
      <c r="O425" s="1445"/>
      <c r="P425" s="1445"/>
      <c r="Q425" s="1445"/>
      <c r="R425" s="1445"/>
      <c r="S425" s="1445"/>
      <c r="T425" s="1445"/>
      <c r="U425" s="1445"/>
      <c r="V425" s="1445"/>
      <c r="W425" s="1445"/>
      <c r="X425" s="1445"/>
      <c r="Y425" s="1445"/>
      <c r="Z425" s="1445"/>
    </row>
    <row r="426" spans="10:26" s="1433" customFormat="1" ht="12">
      <c r="J426" s="1445"/>
      <c r="K426" s="1445"/>
      <c r="L426" s="1445"/>
      <c r="M426" s="1445"/>
      <c r="N426" s="1445"/>
      <c r="O426" s="1445"/>
      <c r="P426" s="1445"/>
      <c r="Q426" s="1445"/>
      <c r="R426" s="1445"/>
      <c r="S426" s="1445"/>
      <c r="T426" s="1445"/>
      <c r="U426" s="1445"/>
      <c r="V426" s="1445"/>
      <c r="W426" s="1445"/>
      <c r="X426" s="1445"/>
      <c r="Y426" s="1445"/>
      <c r="Z426" s="1445"/>
    </row>
    <row r="427" spans="10:26" s="1433" customFormat="1" ht="12">
      <c r="J427" s="1445"/>
      <c r="K427" s="1445"/>
      <c r="L427" s="1445"/>
      <c r="M427" s="1445"/>
      <c r="N427" s="1445"/>
      <c r="O427" s="1445"/>
      <c r="P427" s="1445"/>
      <c r="Q427" s="1445"/>
      <c r="R427" s="1445"/>
      <c r="S427" s="1445"/>
      <c r="T427" s="1445"/>
      <c r="U427" s="1445"/>
      <c r="V427" s="1445"/>
      <c r="W427" s="1445"/>
      <c r="X427" s="1445"/>
      <c r="Y427" s="1445"/>
      <c r="Z427" s="1445"/>
    </row>
    <row r="428" spans="10:26" s="1433" customFormat="1" ht="12">
      <c r="J428" s="1445"/>
      <c r="K428" s="1445"/>
      <c r="L428" s="1445"/>
      <c r="M428" s="1445"/>
      <c r="N428" s="1445"/>
      <c r="O428" s="1445"/>
      <c r="P428" s="1445"/>
      <c r="Q428" s="1445"/>
      <c r="R428" s="1445"/>
      <c r="S428" s="1445"/>
      <c r="T428" s="1445"/>
      <c r="U428" s="1445"/>
      <c r="V428" s="1445"/>
      <c r="W428" s="1445"/>
      <c r="X428" s="1445"/>
      <c r="Y428" s="1445"/>
      <c r="Z428" s="1445"/>
    </row>
    <row r="429" spans="10:26" s="1433" customFormat="1" ht="12">
      <c r="J429" s="1445"/>
      <c r="K429" s="1445"/>
      <c r="L429" s="1445"/>
      <c r="M429" s="1445"/>
      <c r="N429" s="1445"/>
      <c r="O429" s="1445"/>
      <c r="P429" s="1445"/>
      <c r="Q429" s="1445"/>
      <c r="R429" s="1445"/>
      <c r="S429" s="1445"/>
      <c r="T429" s="1445"/>
      <c r="U429" s="1445"/>
      <c r="V429" s="1445"/>
      <c r="W429" s="1445"/>
      <c r="X429" s="1445"/>
      <c r="Y429" s="1445"/>
      <c r="Z429" s="1445"/>
    </row>
    <row r="430" spans="10:26" s="1433" customFormat="1" ht="12">
      <c r="J430" s="1445"/>
      <c r="K430" s="1445"/>
      <c r="L430" s="1445"/>
      <c r="M430" s="1445"/>
      <c r="N430" s="1445"/>
      <c r="O430" s="1445"/>
      <c r="P430" s="1445"/>
      <c r="Q430" s="1445"/>
      <c r="R430" s="1445"/>
      <c r="S430" s="1445"/>
      <c r="T430" s="1445"/>
      <c r="U430" s="1445"/>
      <c r="V430" s="1445"/>
      <c r="W430" s="1445"/>
      <c r="X430" s="1445"/>
      <c r="Y430" s="1445"/>
      <c r="Z430" s="1445"/>
    </row>
    <row r="431" spans="10:26" s="1433" customFormat="1" ht="12">
      <c r="J431" s="1445"/>
      <c r="K431" s="1445"/>
      <c r="L431" s="1445"/>
      <c r="M431" s="1445"/>
      <c r="N431" s="1445"/>
      <c r="O431" s="1445"/>
      <c r="P431" s="1445"/>
      <c r="Q431" s="1445"/>
      <c r="R431" s="1445"/>
      <c r="S431" s="1445"/>
      <c r="T431" s="1445"/>
      <c r="U431" s="1445"/>
      <c r="V431" s="1445"/>
      <c r="W431" s="1445"/>
      <c r="X431" s="1445"/>
      <c r="Y431" s="1445"/>
      <c r="Z431" s="1445"/>
    </row>
    <row r="432" spans="10:26" s="1433" customFormat="1" ht="12">
      <c r="J432" s="1445"/>
      <c r="K432" s="1445"/>
      <c r="L432" s="1445"/>
      <c r="M432" s="1445"/>
      <c r="N432" s="1445"/>
      <c r="O432" s="1445"/>
      <c r="P432" s="1445"/>
      <c r="Q432" s="1445"/>
      <c r="R432" s="1445"/>
      <c r="S432" s="1445"/>
      <c r="T432" s="1445"/>
      <c r="U432" s="1445"/>
      <c r="V432" s="1445"/>
      <c r="W432" s="1445"/>
      <c r="X432" s="1445"/>
      <c r="Y432" s="1445"/>
      <c r="Z432" s="1445"/>
    </row>
    <row r="433" spans="10:26" s="1433" customFormat="1" ht="12">
      <c r="J433" s="1445"/>
      <c r="K433" s="1445"/>
      <c r="L433" s="1445"/>
      <c r="M433" s="1445"/>
      <c r="N433" s="1445"/>
      <c r="O433" s="1445"/>
      <c r="P433" s="1445"/>
      <c r="Q433" s="1445"/>
      <c r="R433" s="1445"/>
      <c r="S433" s="1445"/>
      <c r="T433" s="1445"/>
      <c r="U433" s="1445"/>
      <c r="V433" s="1445"/>
      <c r="W433" s="1445"/>
      <c r="X433" s="1445"/>
      <c r="Y433" s="1445"/>
      <c r="Z433" s="1445"/>
    </row>
    <row r="434" spans="10:26" s="1433" customFormat="1" ht="12">
      <c r="J434" s="1445"/>
      <c r="K434" s="1445"/>
      <c r="L434" s="1445"/>
      <c r="M434" s="1445"/>
      <c r="N434" s="1445"/>
      <c r="O434" s="1445"/>
      <c r="P434" s="1445"/>
      <c r="Q434" s="1445"/>
      <c r="R434" s="1445"/>
      <c r="S434" s="1445"/>
      <c r="T434" s="1445"/>
      <c r="U434" s="1445"/>
      <c r="V434" s="1445"/>
      <c r="W434" s="1445"/>
      <c r="X434" s="1445"/>
      <c r="Y434" s="1445"/>
      <c r="Z434" s="1445"/>
    </row>
    <row r="435" spans="10:26" s="1433" customFormat="1" ht="12">
      <c r="J435" s="1445"/>
      <c r="K435" s="1445"/>
      <c r="L435" s="1445"/>
      <c r="M435" s="1445"/>
      <c r="N435" s="1445"/>
      <c r="O435" s="1445"/>
      <c r="P435" s="1445"/>
      <c r="Q435" s="1445"/>
      <c r="R435" s="1445"/>
      <c r="S435" s="1445"/>
      <c r="T435" s="1445"/>
      <c r="U435" s="1445"/>
      <c r="V435" s="1445"/>
      <c r="W435" s="1445"/>
      <c r="X435" s="1445"/>
      <c r="Y435" s="1445"/>
      <c r="Z435" s="1445"/>
    </row>
    <row r="436" spans="10:26" s="1433" customFormat="1" ht="12">
      <c r="J436" s="1445"/>
      <c r="K436" s="1445"/>
      <c r="L436" s="1445"/>
      <c r="M436" s="1445"/>
      <c r="N436" s="1445"/>
      <c r="O436" s="1445"/>
      <c r="P436" s="1445"/>
      <c r="Q436" s="1445"/>
      <c r="R436" s="1445"/>
      <c r="S436" s="1445"/>
      <c r="T436" s="1445"/>
      <c r="U436" s="1445"/>
      <c r="V436" s="1445"/>
      <c r="W436" s="1445"/>
      <c r="X436" s="1445"/>
      <c r="Y436" s="1445"/>
      <c r="Z436" s="1445"/>
    </row>
    <row r="437" spans="10:26" s="1433" customFormat="1" ht="12">
      <c r="J437" s="1445"/>
      <c r="K437" s="1445"/>
      <c r="L437" s="1445"/>
      <c r="M437" s="1445"/>
      <c r="N437" s="1445"/>
      <c r="O437" s="1445"/>
      <c r="P437" s="1445"/>
      <c r="Q437" s="1445"/>
      <c r="R437" s="1445"/>
      <c r="S437" s="1445"/>
      <c r="T437" s="1445"/>
      <c r="U437" s="1445"/>
      <c r="V437" s="1445"/>
      <c r="W437" s="1445"/>
      <c r="X437" s="1445"/>
      <c r="Y437" s="1445"/>
      <c r="Z437" s="1445"/>
    </row>
    <row r="438" spans="10:26" s="1433" customFormat="1" ht="12">
      <c r="J438" s="1445"/>
      <c r="K438" s="1445"/>
      <c r="L438" s="1445"/>
      <c r="M438" s="1445"/>
      <c r="N438" s="1445"/>
      <c r="O438" s="1445"/>
      <c r="P438" s="1445"/>
      <c r="Q438" s="1445"/>
      <c r="R438" s="1445"/>
      <c r="S438" s="1445"/>
      <c r="T438" s="1445"/>
      <c r="U438" s="1445"/>
      <c r="V438" s="1445"/>
      <c r="W438" s="1445"/>
      <c r="X438" s="1445"/>
      <c r="Y438" s="1445"/>
      <c r="Z438" s="1445"/>
    </row>
    <row r="439" spans="10:26" s="1433" customFormat="1" ht="12">
      <c r="J439" s="1445"/>
      <c r="K439" s="1445"/>
      <c r="L439" s="1445"/>
      <c r="M439" s="1445"/>
      <c r="N439" s="1445"/>
      <c r="O439" s="1445"/>
      <c r="P439" s="1445"/>
      <c r="Q439" s="1445"/>
      <c r="R439" s="1445"/>
      <c r="S439" s="1445"/>
      <c r="T439" s="1445"/>
      <c r="U439" s="1445"/>
      <c r="V439" s="1445"/>
      <c r="W439" s="1445"/>
      <c r="X439" s="1445"/>
      <c r="Y439" s="1445"/>
      <c r="Z439" s="1445"/>
    </row>
    <row r="440" spans="10:26" s="1433" customFormat="1" ht="12">
      <c r="J440" s="1445"/>
      <c r="K440" s="1445"/>
      <c r="L440" s="1445"/>
      <c r="M440" s="1445"/>
      <c r="N440" s="1445"/>
      <c r="O440" s="1445"/>
      <c r="P440" s="1445"/>
      <c r="Q440" s="1445"/>
      <c r="R440" s="1445"/>
      <c r="S440" s="1445"/>
      <c r="T440" s="1445"/>
      <c r="U440" s="1445"/>
      <c r="V440" s="1445"/>
      <c r="W440" s="1445"/>
      <c r="X440" s="1445"/>
      <c r="Y440" s="1445"/>
      <c r="Z440" s="1445"/>
    </row>
    <row r="441" spans="10:26" s="1433" customFormat="1" ht="12">
      <c r="J441" s="1445"/>
      <c r="K441" s="1445"/>
      <c r="L441" s="1445"/>
      <c r="M441" s="1445"/>
      <c r="N441" s="1445"/>
      <c r="O441" s="1445"/>
      <c r="P441" s="1445"/>
      <c r="Q441" s="1445"/>
      <c r="R441" s="1445"/>
      <c r="S441" s="1445"/>
      <c r="T441" s="1445"/>
      <c r="U441" s="1445"/>
      <c r="V441" s="1445"/>
      <c r="W441" s="1445"/>
      <c r="X441" s="1445"/>
      <c r="Y441" s="1445"/>
      <c r="Z441" s="1445"/>
    </row>
    <row r="442" spans="10:26" s="1433" customFormat="1" ht="12">
      <c r="J442" s="1445"/>
      <c r="K442" s="1445"/>
      <c r="L442" s="1445"/>
      <c r="M442" s="1445"/>
      <c r="N442" s="1445"/>
      <c r="O442" s="1445"/>
      <c r="P442" s="1445"/>
      <c r="Q442" s="1445"/>
      <c r="R442" s="1445"/>
      <c r="S442" s="1445"/>
      <c r="T442" s="1445"/>
      <c r="U442" s="1445"/>
      <c r="V442" s="1445"/>
      <c r="W442" s="1445"/>
      <c r="X442" s="1445"/>
      <c r="Y442" s="1445"/>
      <c r="Z442" s="1445"/>
    </row>
    <row r="443" spans="10:26" s="1433" customFormat="1" ht="12">
      <c r="J443" s="1445"/>
      <c r="K443" s="1445"/>
      <c r="L443" s="1445"/>
      <c r="M443" s="1445"/>
      <c r="N443" s="1445"/>
      <c r="O443" s="1445"/>
      <c r="P443" s="1445"/>
      <c r="Q443" s="1445"/>
      <c r="R443" s="1445"/>
      <c r="S443" s="1445"/>
      <c r="T443" s="1445"/>
      <c r="U443" s="1445"/>
      <c r="V443" s="1445"/>
      <c r="W443" s="1445"/>
      <c r="X443" s="1445"/>
      <c r="Y443" s="1445"/>
      <c r="Z443" s="1445"/>
    </row>
    <row r="444" spans="10:26" s="1433" customFormat="1" ht="12">
      <c r="J444" s="1445"/>
      <c r="K444" s="1445"/>
      <c r="L444" s="1445"/>
      <c r="M444" s="1445"/>
      <c r="N444" s="1445"/>
      <c r="O444" s="1445"/>
      <c r="P444" s="1445"/>
      <c r="Q444" s="1445"/>
      <c r="R444" s="1445"/>
      <c r="S444" s="1445"/>
      <c r="T444" s="1445"/>
      <c r="U444" s="1445"/>
      <c r="V444" s="1445"/>
      <c r="W444" s="1445"/>
      <c r="X444" s="1445"/>
      <c r="Y444" s="1445"/>
      <c r="Z444" s="1445"/>
    </row>
    <row r="445" spans="10:26" s="1433" customFormat="1" ht="12">
      <c r="J445" s="1445"/>
      <c r="K445" s="1445"/>
      <c r="L445" s="1445"/>
      <c r="M445" s="1445"/>
      <c r="N445" s="1445"/>
      <c r="O445" s="1445"/>
      <c r="P445" s="1445"/>
      <c r="Q445" s="1445"/>
      <c r="R445" s="1445"/>
      <c r="S445" s="1445"/>
      <c r="T445" s="1445"/>
      <c r="U445" s="1445"/>
      <c r="V445" s="1445"/>
      <c r="W445" s="1445"/>
      <c r="X445" s="1445"/>
      <c r="Y445" s="1445"/>
      <c r="Z445" s="1445"/>
    </row>
    <row r="446" spans="10:26" s="1433" customFormat="1" ht="12">
      <c r="J446" s="1445"/>
      <c r="K446" s="1445"/>
      <c r="L446" s="1445"/>
      <c r="M446" s="1445"/>
      <c r="N446" s="1445"/>
      <c r="O446" s="1445"/>
      <c r="P446" s="1445"/>
      <c r="Q446" s="1445"/>
      <c r="R446" s="1445"/>
      <c r="S446" s="1445"/>
      <c r="T446" s="1445"/>
      <c r="U446" s="1445"/>
      <c r="V446" s="1445"/>
      <c r="W446" s="1445"/>
      <c r="X446" s="1445"/>
      <c r="Y446" s="1445"/>
      <c r="Z446" s="1445"/>
    </row>
    <row r="447" spans="10:26" s="1433" customFormat="1" ht="12">
      <c r="J447" s="1445"/>
      <c r="K447" s="1445"/>
      <c r="L447" s="1445"/>
      <c r="M447" s="1445"/>
      <c r="N447" s="1445"/>
      <c r="O447" s="1445"/>
      <c r="P447" s="1445"/>
      <c r="Q447" s="1445"/>
      <c r="R447" s="1445"/>
      <c r="S447" s="1445"/>
      <c r="T447" s="1445"/>
      <c r="U447" s="1445"/>
      <c r="V447" s="1445"/>
      <c r="W447" s="1445"/>
      <c r="X447" s="1445"/>
      <c r="Y447" s="1445"/>
      <c r="Z447" s="1445"/>
    </row>
    <row r="448" spans="10:26" s="1433" customFormat="1" ht="12">
      <c r="J448" s="1445"/>
      <c r="K448" s="1445"/>
      <c r="L448" s="1445"/>
      <c r="M448" s="1445"/>
      <c r="N448" s="1445"/>
      <c r="O448" s="1445"/>
      <c r="P448" s="1445"/>
      <c r="Q448" s="1445"/>
      <c r="R448" s="1445"/>
      <c r="S448" s="1445"/>
      <c r="T448" s="1445"/>
      <c r="U448" s="1445"/>
      <c r="V448" s="1445"/>
      <c r="W448" s="1445"/>
      <c r="X448" s="1445"/>
      <c r="Y448" s="1445"/>
      <c r="Z448" s="1445"/>
    </row>
    <row r="449" spans="10:26" s="1433" customFormat="1" ht="12">
      <c r="J449" s="1445"/>
      <c r="K449" s="1445"/>
      <c r="L449" s="1445"/>
      <c r="M449" s="1445"/>
      <c r="N449" s="1445"/>
      <c r="O449" s="1445"/>
      <c r="P449" s="1445"/>
      <c r="Q449" s="1445"/>
      <c r="R449" s="1445"/>
      <c r="S449" s="1445"/>
      <c r="T449" s="1445"/>
      <c r="U449" s="1445"/>
      <c r="V449" s="1445"/>
      <c r="W449" s="1445"/>
      <c r="X449" s="1445"/>
      <c r="Y449" s="1445"/>
      <c r="Z449" s="1445"/>
    </row>
    <row r="450" spans="10:26" s="1433" customFormat="1" ht="12">
      <c r="J450" s="1445"/>
      <c r="K450" s="1445"/>
      <c r="L450" s="1445"/>
      <c r="M450" s="1445"/>
      <c r="N450" s="1445"/>
      <c r="O450" s="1445"/>
      <c r="P450" s="1445"/>
      <c r="Q450" s="1445"/>
      <c r="R450" s="1445"/>
      <c r="S450" s="1445"/>
      <c r="T450" s="1445"/>
      <c r="U450" s="1445"/>
      <c r="V450" s="1445"/>
      <c r="W450" s="1445"/>
      <c r="X450" s="1445"/>
      <c r="Y450" s="1445"/>
      <c r="Z450" s="1445"/>
    </row>
    <row r="451" spans="10:26" s="1433" customFormat="1" ht="12">
      <c r="J451" s="1445"/>
      <c r="K451" s="1445"/>
      <c r="L451" s="1445"/>
      <c r="M451" s="1445"/>
      <c r="N451" s="1445"/>
      <c r="O451" s="1445"/>
      <c r="P451" s="1445"/>
      <c r="Q451" s="1445"/>
      <c r="R451" s="1445"/>
      <c r="S451" s="1445"/>
      <c r="T451" s="1445"/>
      <c r="U451" s="1445"/>
      <c r="V451" s="1445"/>
      <c r="W451" s="1445"/>
      <c r="X451" s="1445"/>
      <c r="Y451" s="1445"/>
      <c r="Z451" s="1445"/>
    </row>
    <row r="452" spans="10:26" s="1433" customFormat="1" ht="12">
      <c r="J452" s="1445"/>
      <c r="K452" s="1445"/>
      <c r="L452" s="1445"/>
      <c r="M452" s="1445"/>
      <c r="N452" s="1445"/>
      <c r="O452" s="1445"/>
      <c r="P452" s="1445"/>
      <c r="Q452" s="1445"/>
      <c r="R452" s="1445"/>
      <c r="S452" s="1445"/>
      <c r="T452" s="1445"/>
      <c r="U452" s="1445"/>
      <c r="V452" s="1445"/>
      <c r="W452" s="1445"/>
      <c r="X452" s="1445"/>
      <c r="Y452" s="1445"/>
      <c r="Z452" s="1445"/>
    </row>
    <row r="453" spans="10:26" s="1433" customFormat="1" ht="12">
      <c r="J453" s="1445"/>
      <c r="K453" s="1445"/>
      <c r="L453" s="1445"/>
      <c r="M453" s="1445"/>
      <c r="N453" s="1445"/>
      <c r="O453" s="1445"/>
      <c r="P453" s="1445"/>
      <c r="Q453" s="1445"/>
      <c r="R453" s="1445"/>
      <c r="S453" s="1445"/>
      <c r="T453" s="1445"/>
      <c r="U453" s="1445"/>
      <c r="V453" s="1445"/>
      <c r="W453" s="1445"/>
      <c r="X453" s="1445"/>
      <c r="Y453" s="1445"/>
      <c r="Z453" s="1445"/>
    </row>
    <row r="454" spans="10:26" s="1433" customFormat="1" ht="12">
      <c r="J454" s="1445"/>
      <c r="K454" s="1445"/>
      <c r="L454" s="1445"/>
      <c r="M454" s="1445"/>
      <c r="N454" s="1445"/>
      <c r="O454" s="1445"/>
      <c r="P454" s="1445"/>
      <c r="Q454" s="1445"/>
      <c r="R454" s="1445"/>
      <c r="S454" s="1445"/>
      <c r="T454" s="1445"/>
      <c r="U454" s="1445"/>
      <c r="V454" s="1445"/>
      <c r="W454" s="1445"/>
      <c r="X454" s="1445"/>
      <c r="Y454" s="1445"/>
      <c r="Z454" s="1445"/>
    </row>
    <row r="455" spans="10:26" s="1433" customFormat="1" ht="12">
      <c r="J455" s="1445"/>
      <c r="K455" s="1445"/>
      <c r="L455" s="1445"/>
      <c r="M455" s="1445"/>
      <c r="N455" s="1445"/>
      <c r="O455" s="1445"/>
      <c r="P455" s="1445"/>
      <c r="Q455" s="1445"/>
      <c r="R455" s="1445"/>
      <c r="S455" s="1445"/>
      <c r="T455" s="1445"/>
      <c r="U455" s="1445"/>
      <c r="V455" s="1445"/>
      <c r="W455" s="1445"/>
      <c r="X455" s="1445"/>
      <c r="Y455" s="1445"/>
      <c r="Z455" s="1445"/>
    </row>
    <row r="456" spans="10:26" s="1433" customFormat="1" ht="12">
      <c r="J456" s="1445"/>
      <c r="K456" s="1445"/>
      <c r="L456" s="1445"/>
      <c r="M456" s="1445"/>
      <c r="N456" s="1445"/>
      <c r="O456" s="1445"/>
      <c r="P456" s="1445"/>
      <c r="Q456" s="1445"/>
      <c r="R456" s="1445"/>
      <c r="S456" s="1445"/>
      <c r="T456" s="1445"/>
      <c r="U456" s="1445"/>
      <c r="V456" s="1445"/>
      <c r="W456" s="1445"/>
      <c r="X456" s="1445"/>
      <c r="Y456" s="1445"/>
      <c r="Z456" s="1445"/>
    </row>
    <row r="457" spans="10:26" s="1433" customFormat="1" ht="12">
      <c r="J457" s="1445"/>
      <c r="K457" s="1445"/>
      <c r="L457" s="1445"/>
      <c r="M457" s="1445"/>
      <c r="N457" s="1445"/>
      <c r="O457" s="1445"/>
      <c r="P457" s="1445"/>
      <c r="Q457" s="1445"/>
      <c r="R457" s="1445"/>
      <c r="S457" s="1445"/>
      <c r="T457" s="1445"/>
      <c r="U457" s="1445"/>
      <c r="V457" s="1445"/>
      <c r="W457" s="1445"/>
      <c r="X457" s="1445"/>
      <c r="Y457" s="1445"/>
      <c r="Z457" s="1445"/>
    </row>
    <row r="458" spans="10:26" s="1433" customFormat="1" ht="12">
      <c r="J458" s="1445"/>
      <c r="K458" s="1445"/>
      <c r="L458" s="1445"/>
      <c r="M458" s="1445"/>
      <c r="N458" s="1445"/>
      <c r="O458" s="1445"/>
      <c r="P458" s="1445"/>
      <c r="Q458" s="1445"/>
      <c r="R458" s="1445"/>
      <c r="S458" s="1445"/>
      <c r="T458" s="1445"/>
      <c r="U458" s="1445"/>
      <c r="V458" s="1445"/>
      <c r="W458" s="1445"/>
      <c r="X458" s="1445"/>
      <c r="Y458" s="1445"/>
      <c r="Z458" s="1445"/>
    </row>
    <row r="459" spans="10:26" s="1433" customFormat="1" ht="12">
      <c r="J459" s="1445"/>
      <c r="K459" s="1445"/>
      <c r="L459" s="1445"/>
      <c r="M459" s="1445"/>
      <c r="N459" s="1445"/>
      <c r="O459" s="1445"/>
      <c r="P459" s="1445"/>
      <c r="Q459" s="1445"/>
      <c r="R459" s="1445"/>
      <c r="S459" s="1445"/>
      <c r="T459" s="1445"/>
      <c r="U459" s="1445"/>
      <c r="V459" s="1445"/>
      <c r="W459" s="1445"/>
      <c r="X459" s="1445"/>
      <c r="Y459" s="1445"/>
      <c r="Z459" s="1445"/>
    </row>
    <row r="460" spans="10:26" s="1433" customFormat="1" ht="12">
      <c r="J460" s="1445"/>
      <c r="K460" s="1445"/>
      <c r="L460" s="1445"/>
      <c r="M460" s="1445"/>
      <c r="N460" s="1445"/>
      <c r="O460" s="1445"/>
      <c r="P460" s="1445"/>
      <c r="Q460" s="1445"/>
      <c r="R460" s="1445"/>
      <c r="S460" s="1445"/>
      <c r="T460" s="1445"/>
      <c r="U460" s="1445"/>
      <c r="V460" s="1445"/>
      <c r="W460" s="1445"/>
      <c r="X460" s="1445"/>
      <c r="Y460" s="1445"/>
      <c r="Z460" s="1445"/>
    </row>
    <row r="461" spans="10:26" s="1433" customFormat="1" ht="12">
      <c r="J461" s="1445"/>
      <c r="K461" s="1445"/>
      <c r="L461" s="1445"/>
      <c r="M461" s="1445"/>
      <c r="N461" s="1445"/>
      <c r="O461" s="1445"/>
      <c r="P461" s="1445"/>
      <c r="Q461" s="1445"/>
      <c r="R461" s="1445"/>
      <c r="S461" s="1445"/>
      <c r="T461" s="1445"/>
      <c r="U461" s="1445"/>
      <c r="V461" s="1445"/>
      <c r="W461" s="1445"/>
      <c r="X461" s="1445"/>
      <c r="Y461" s="1445"/>
      <c r="Z461" s="1445"/>
    </row>
    <row r="462" spans="10:26" s="1433" customFormat="1" ht="12">
      <c r="J462" s="1445"/>
      <c r="K462" s="1445"/>
      <c r="L462" s="1445"/>
      <c r="M462" s="1445"/>
      <c r="N462" s="1445"/>
      <c r="O462" s="1445"/>
      <c r="P462" s="1445"/>
      <c r="Q462" s="1445"/>
      <c r="R462" s="1445"/>
      <c r="S462" s="1445"/>
      <c r="T462" s="1445"/>
      <c r="U462" s="1445"/>
      <c r="V462" s="1445"/>
      <c r="W462" s="1445"/>
      <c r="X462" s="1445"/>
      <c r="Y462" s="1445"/>
      <c r="Z462" s="1445"/>
    </row>
    <row r="463" spans="10:26" s="1433" customFormat="1" ht="12">
      <c r="J463" s="1445"/>
      <c r="K463" s="1445"/>
      <c r="L463" s="1445"/>
      <c r="M463" s="1445"/>
      <c r="N463" s="1445"/>
      <c r="O463" s="1445"/>
      <c r="P463" s="1445"/>
      <c r="Q463" s="1445"/>
      <c r="R463" s="1445"/>
      <c r="S463" s="1445"/>
      <c r="T463" s="1445"/>
      <c r="U463" s="1445"/>
      <c r="V463" s="1445"/>
      <c r="W463" s="1445"/>
      <c r="X463" s="1445"/>
      <c r="Y463" s="1445"/>
      <c r="Z463" s="1445"/>
    </row>
    <row r="464" spans="10:26" s="1433" customFormat="1" ht="12">
      <c r="J464" s="1445"/>
      <c r="K464" s="1445"/>
      <c r="L464" s="1445"/>
      <c r="M464" s="1445"/>
      <c r="N464" s="1445"/>
      <c r="O464" s="1445"/>
      <c r="P464" s="1445"/>
      <c r="Q464" s="1445"/>
      <c r="R464" s="1445"/>
      <c r="S464" s="1445"/>
      <c r="T464" s="1445"/>
      <c r="U464" s="1445"/>
      <c r="V464" s="1445"/>
      <c r="W464" s="1445"/>
      <c r="X464" s="1445"/>
      <c r="Y464" s="1445"/>
      <c r="Z464" s="1445"/>
    </row>
    <row r="465" spans="10:26" s="1433" customFormat="1" ht="12">
      <c r="J465" s="1445"/>
      <c r="K465" s="1445"/>
      <c r="L465" s="1445"/>
      <c r="M465" s="1445"/>
      <c r="N465" s="1445"/>
      <c r="O465" s="1445"/>
      <c r="P465" s="1445"/>
      <c r="Q465" s="1445"/>
      <c r="R465" s="1445"/>
      <c r="S465" s="1445"/>
      <c r="T465" s="1445"/>
      <c r="U465" s="1445"/>
      <c r="V465" s="1445"/>
      <c r="W465" s="1445"/>
      <c r="X465" s="1445"/>
      <c r="Y465" s="1445"/>
      <c r="Z465" s="1445"/>
    </row>
    <row r="466" spans="10:26" s="1433" customFormat="1" ht="12">
      <c r="J466" s="1445"/>
      <c r="K466" s="1445"/>
      <c r="L466" s="1445"/>
      <c r="M466" s="1445"/>
      <c r="N466" s="1445"/>
      <c r="O466" s="1445"/>
      <c r="P466" s="1445"/>
      <c r="Q466" s="1445"/>
      <c r="R466" s="1445"/>
      <c r="S466" s="1445"/>
      <c r="T466" s="1445"/>
      <c r="U466" s="1445"/>
      <c r="V466" s="1445"/>
      <c r="W466" s="1445"/>
      <c r="X466" s="1445"/>
      <c r="Y466" s="1445"/>
      <c r="Z466" s="1445"/>
    </row>
    <row r="467" spans="10:26" s="1433" customFormat="1" ht="12">
      <c r="J467" s="1445"/>
      <c r="K467" s="1445"/>
      <c r="L467" s="1445"/>
      <c r="M467" s="1445"/>
      <c r="N467" s="1445"/>
      <c r="O467" s="1445"/>
      <c r="P467" s="1445"/>
      <c r="Q467" s="1445"/>
      <c r="R467" s="1445"/>
      <c r="S467" s="1445"/>
      <c r="T467" s="1445"/>
      <c r="U467" s="1445"/>
      <c r="V467" s="1445"/>
      <c r="W467" s="1445"/>
      <c r="X467" s="1445"/>
      <c r="Y467" s="1445"/>
      <c r="Z467" s="1445"/>
    </row>
    <row r="468" spans="10:26" s="1433" customFormat="1" ht="12">
      <c r="J468" s="1445"/>
      <c r="K468" s="1445"/>
      <c r="L468" s="1445"/>
      <c r="M468" s="1445"/>
      <c r="N468" s="1445"/>
      <c r="O468" s="1445"/>
      <c r="P468" s="1445"/>
      <c r="Q468" s="1445"/>
      <c r="R468" s="1445"/>
      <c r="S468" s="1445"/>
      <c r="T468" s="1445"/>
      <c r="U468" s="1445"/>
      <c r="V468" s="1445"/>
      <c r="W468" s="1445"/>
      <c r="X468" s="1445"/>
      <c r="Y468" s="1445"/>
      <c r="Z468" s="1445"/>
    </row>
    <row r="469" spans="10:26" s="1433" customFormat="1" ht="12">
      <c r="J469" s="1445"/>
      <c r="K469" s="1445"/>
      <c r="L469" s="1445"/>
      <c r="M469" s="1445"/>
      <c r="N469" s="1445"/>
      <c r="O469" s="1445"/>
      <c r="P469" s="1445"/>
      <c r="Q469" s="1445"/>
      <c r="R469" s="1445"/>
      <c r="S469" s="1445"/>
      <c r="T469" s="1445"/>
      <c r="U469" s="1445"/>
      <c r="V469" s="1445"/>
      <c r="W469" s="1445"/>
      <c r="X469" s="1445"/>
      <c r="Y469" s="1445"/>
      <c r="Z469" s="1445"/>
    </row>
    <row r="470" spans="10:26" s="1433" customFormat="1" ht="12">
      <c r="J470" s="1445"/>
      <c r="K470" s="1445"/>
      <c r="L470" s="1445"/>
      <c r="M470" s="1445"/>
      <c r="N470" s="1445"/>
      <c r="O470" s="1445"/>
      <c r="P470" s="1445"/>
      <c r="Q470" s="1445"/>
      <c r="R470" s="1445"/>
      <c r="S470" s="1445"/>
      <c r="T470" s="1445"/>
      <c r="U470" s="1445"/>
      <c r="V470" s="1445"/>
      <c r="W470" s="1445"/>
      <c r="X470" s="1445"/>
      <c r="Y470" s="1445"/>
      <c r="Z470" s="1445"/>
    </row>
    <row r="471" spans="10:26" s="1433" customFormat="1" ht="12">
      <c r="J471" s="1445"/>
      <c r="K471" s="1445"/>
      <c r="L471" s="1445"/>
      <c r="M471" s="1445"/>
      <c r="N471" s="1445"/>
      <c r="O471" s="1445"/>
      <c r="P471" s="1445"/>
      <c r="Q471" s="1445"/>
      <c r="R471" s="1445"/>
      <c r="S471" s="1445"/>
      <c r="T471" s="1445"/>
      <c r="U471" s="1445"/>
      <c r="V471" s="1445"/>
      <c r="W471" s="1445"/>
      <c r="X471" s="1445"/>
      <c r="Y471" s="1445"/>
      <c r="Z471" s="1445"/>
    </row>
    <row r="472" spans="10:26" s="1433" customFormat="1" ht="12">
      <c r="J472" s="1445"/>
      <c r="K472" s="1445"/>
      <c r="L472" s="1445"/>
      <c r="M472" s="1445"/>
      <c r="N472" s="1445"/>
      <c r="O472" s="1445"/>
      <c r="P472" s="1445"/>
      <c r="Q472" s="1445"/>
      <c r="R472" s="1445"/>
      <c r="S472" s="1445"/>
      <c r="T472" s="1445"/>
      <c r="U472" s="1445"/>
      <c r="V472" s="1445"/>
      <c r="W472" s="1445"/>
      <c r="X472" s="1445"/>
      <c r="Y472" s="1445"/>
      <c r="Z472" s="1445"/>
    </row>
    <row r="473" spans="10:26" s="1433" customFormat="1" ht="12">
      <c r="J473" s="1445"/>
      <c r="K473" s="1445"/>
      <c r="L473" s="1445"/>
      <c r="M473" s="1445"/>
      <c r="N473" s="1445"/>
      <c r="O473" s="1445"/>
      <c r="P473" s="1445"/>
      <c r="Q473" s="1445"/>
      <c r="R473" s="1445"/>
      <c r="S473" s="1445"/>
      <c r="T473" s="1445"/>
      <c r="U473" s="1445"/>
      <c r="V473" s="1445"/>
      <c r="W473" s="1445"/>
      <c r="X473" s="1445"/>
      <c r="Y473" s="1445"/>
      <c r="Z473" s="1445"/>
    </row>
    <row r="474" spans="10:26" s="1433" customFormat="1" ht="12">
      <c r="J474" s="1445"/>
      <c r="K474" s="1445"/>
      <c r="L474" s="1445"/>
      <c r="M474" s="1445"/>
      <c r="N474" s="1445"/>
      <c r="O474" s="1445"/>
      <c r="P474" s="1445"/>
      <c r="Q474" s="1445"/>
      <c r="R474" s="1445"/>
      <c r="S474" s="1445"/>
      <c r="T474" s="1445"/>
      <c r="U474" s="1445"/>
      <c r="V474" s="1445"/>
      <c r="W474" s="1445"/>
      <c r="X474" s="1445"/>
      <c r="Y474" s="1445"/>
      <c r="Z474" s="1445"/>
    </row>
    <row r="475" spans="10:26" s="1433" customFormat="1" ht="12">
      <c r="J475" s="1445"/>
      <c r="K475" s="1445"/>
      <c r="L475" s="1445"/>
      <c r="M475" s="1445"/>
      <c r="N475" s="1445"/>
      <c r="O475" s="1445"/>
      <c r="P475" s="1445"/>
      <c r="Q475" s="1445"/>
      <c r="R475" s="1445"/>
      <c r="S475" s="1445"/>
      <c r="T475" s="1445"/>
      <c r="U475" s="1445"/>
      <c r="V475" s="1445"/>
      <c r="W475" s="1445"/>
      <c r="X475" s="1445"/>
      <c r="Y475" s="1445"/>
      <c r="Z475" s="1445"/>
    </row>
    <row r="476" spans="10:26" s="1433" customFormat="1" ht="12">
      <c r="J476" s="1445"/>
      <c r="K476" s="1445"/>
      <c r="L476" s="1445"/>
      <c r="M476" s="1445"/>
      <c r="N476" s="1445"/>
      <c r="O476" s="1445"/>
      <c r="P476" s="1445"/>
      <c r="Q476" s="1445"/>
      <c r="R476" s="1445"/>
      <c r="S476" s="1445"/>
      <c r="T476" s="1445"/>
      <c r="U476" s="1445"/>
      <c r="V476" s="1445"/>
      <c r="W476" s="1445"/>
      <c r="X476" s="1445"/>
      <c r="Y476" s="1445"/>
      <c r="Z476" s="1445"/>
    </row>
    <row r="477" spans="10:26" s="1433" customFormat="1" ht="12">
      <c r="J477" s="1445"/>
      <c r="K477" s="1445"/>
      <c r="L477" s="1445"/>
      <c r="M477" s="1445"/>
      <c r="N477" s="1445"/>
      <c r="O477" s="1445"/>
      <c r="P477" s="1445"/>
      <c r="Q477" s="1445"/>
      <c r="R477" s="1445"/>
      <c r="S477" s="1445"/>
      <c r="T477" s="1445"/>
      <c r="U477" s="1445"/>
      <c r="V477" s="1445"/>
      <c r="W477" s="1445"/>
      <c r="X477" s="1445"/>
      <c r="Y477" s="1445"/>
      <c r="Z477" s="1445"/>
    </row>
    <row r="478" spans="10:26" s="1433" customFormat="1" ht="12">
      <c r="J478" s="1445"/>
      <c r="K478" s="1445"/>
      <c r="L478" s="1445"/>
      <c r="M478" s="1445"/>
      <c r="N478" s="1445"/>
      <c r="O478" s="1445"/>
      <c r="P478" s="1445"/>
      <c r="Q478" s="1445"/>
      <c r="R478" s="1445"/>
      <c r="S478" s="1445"/>
      <c r="T478" s="1445"/>
      <c r="U478" s="1445"/>
      <c r="V478" s="1445"/>
      <c r="W478" s="1445"/>
      <c r="X478" s="1445"/>
      <c r="Y478" s="1445"/>
      <c r="Z478" s="1445"/>
    </row>
    <row r="479" spans="10:26" s="1433" customFormat="1" ht="12">
      <c r="J479" s="1445"/>
      <c r="K479" s="1445"/>
      <c r="L479" s="1445"/>
      <c r="M479" s="1445"/>
      <c r="N479" s="1445"/>
      <c r="O479" s="1445"/>
      <c r="P479" s="1445"/>
      <c r="Q479" s="1445"/>
      <c r="R479" s="1445"/>
      <c r="S479" s="1445"/>
      <c r="T479" s="1445"/>
      <c r="U479" s="1445"/>
      <c r="V479" s="1445"/>
      <c r="W479" s="1445"/>
      <c r="X479" s="1445"/>
      <c r="Y479" s="1445"/>
      <c r="Z479" s="1445"/>
    </row>
    <row r="480" spans="10:26" s="1433" customFormat="1" ht="12">
      <c r="J480" s="1445"/>
      <c r="K480" s="1445"/>
      <c r="L480" s="1445"/>
      <c r="M480" s="1445"/>
      <c r="N480" s="1445"/>
      <c r="O480" s="1445"/>
      <c r="P480" s="1445"/>
      <c r="Q480" s="1445"/>
      <c r="R480" s="1445"/>
      <c r="S480" s="1445"/>
      <c r="T480" s="1445"/>
      <c r="U480" s="1445"/>
      <c r="V480" s="1445"/>
      <c r="W480" s="1445"/>
      <c r="X480" s="1445"/>
      <c r="Y480" s="1445"/>
      <c r="Z480" s="1445"/>
    </row>
    <row r="481" spans="10:26" s="1433" customFormat="1" ht="12">
      <c r="J481" s="1445"/>
      <c r="K481" s="1445"/>
      <c r="L481" s="1445"/>
      <c r="M481" s="1445"/>
      <c r="N481" s="1445"/>
      <c r="O481" s="1445"/>
      <c r="P481" s="1445"/>
      <c r="Q481" s="1445"/>
      <c r="R481" s="1445"/>
      <c r="S481" s="1445"/>
      <c r="T481" s="1445"/>
      <c r="U481" s="1445"/>
      <c r="V481" s="1445"/>
      <c r="W481" s="1445"/>
      <c r="X481" s="1445"/>
      <c r="Y481" s="1445"/>
      <c r="Z481" s="1445"/>
    </row>
    <row r="482" spans="10:26" s="1433" customFormat="1" ht="12">
      <c r="J482" s="1445"/>
      <c r="K482" s="1445"/>
      <c r="L482" s="1445"/>
      <c r="M482" s="1445"/>
      <c r="N482" s="1445"/>
      <c r="O482" s="1445"/>
      <c r="P482" s="1445"/>
      <c r="Q482" s="1445"/>
      <c r="R482" s="1445"/>
      <c r="S482" s="1445"/>
      <c r="T482" s="1445"/>
      <c r="U482" s="1445"/>
      <c r="V482" s="1445"/>
      <c r="W482" s="1445"/>
      <c r="X482" s="1445"/>
      <c r="Y482" s="1445"/>
      <c r="Z482" s="1445"/>
    </row>
    <row r="483" spans="10:26" s="1433" customFormat="1" ht="12">
      <c r="J483" s="1445"/>
      <c r="K483" s="1445"/>
      <c r="L483" s="1445"/>
      <c r="M483" s="1445"/>
      <c r="N483" s="1445"/>
      <c r="O483" s="1445"/>
      <c r="P483" s="1445"/>
      <c r="Q483" s="1445"/>
      <c r="R483" s="1445"/>
      <c r="S483" s="1445"/>
      <c r="T483" s="1445"/>
      <c r="U483" s="1445"/>
      <c r="V483" s="1445"/>
      <c r="W483" s="1445"/>
      <c r="X483" s="1445"/>
      <c r="Y483" s="1445"/>
      <c r="Z483" s="1445"/>
    </row>
    <row r="484" spans="10:26" s="1433" customFormat="1" ht="12">
      <c r="J484" s="1445"/>
      <c r="K484" s="1445"/>
      <c r="L484" s="1445"/>
      <c r="M484" s="1445"/>
      <c r="N484" s="1445"/>
      <c r="O484" s="1445"/>
      <c r="P484" s="1445"/>
      <c r="Q484" s="1445"/>
      <c r="R484" s="1445"/>
      <c r="S484" s="1445"/>
      <c r="T484" s="1445"/>
      <c r="U484" s="1445"/>
      <c r="V484" s="1445"/>
      <c r="W484" s="1445"/>
      <c r="X484" s="1445"/>
      <c r="Y484" s="1445"/>
      <c r="Z484" s="1445"/>
    </row>
    <row r="485" spans="10:26" s="1433" customFormat="1" ht="12">
      <c r="J485" s="1445"/>
      <c r="K485" s="1445"/>
      <c r="L485" s="1445"/>
      <c r="M485" s="1445"/>
      <c r="N485" s="1445"/>
      <c r="O485" s="1445"/>
      <c r="P485" s="1445"/>
      <c r="Q485" s="1445"/>
      <c r="R485" s="1445"/>
      <c r="S485" s="1445"/>
      <c r="T485" s="1445"/>
      <c r="U485" s="1445"/>
      <c r="V485" s="1445"/>
      <c r="W485" s="1445"/>
      <c r="X485" s="1445"/>
      <c r="Y485" s="1445"/>
      <c r="Z485" s="1445"/>
    </row>
    <row r="486" spans="10:26" s="1433" customFormat="1" ht="12">
      <c r="J486" s="1445"/>
      <c r="K486" s="1445"/>
      <c r="L486" s="1445"/>
      <c r="M486" s="1445"/>
      <c r="N486" s="1445"/>
      <c r="O486" s="1445"/>
      <c r="P486" s="1445"/>
      <c r="Q486" s="1445"/>
      <c r="R486" s="1445"/>
      <c r="S486" s="1445"/>
      <c r="T486" s="1445"/>
      <c r="U486" s="1445"/>
      <c r="V486" s="1445"/>
      <c r="W486" s="1445"/>
      <c r="X486" s="1445"/>
      <c r="Y486" s="1445"/>
      <c r="Z486" s="1445"/>
    </row>
    <row r="487" spans="10:26" s="1433" customFormat="1" ht="12">
      <c r="J487" s="1445"/>
      <c r="K487" s="1445"/>
      <c r="L487" s="1445"/>
      <c r="M487" s="1445"/>
      <c r="N487" s="1445"/>
      <c r="O487" s="1445"/>
      <c r="P487" s="1445"/>
      <c r="Q487" s="1445"/>
      <c r="R487" s="1445"/>
      <c r="S487" s="1445"/>
      <c r="T487" s="1445"/>
      <c r="U487" s="1445"/>
      <c r="V487" s="1445"/>
      <c r="W487" s="1445"/>
      <c r="X487" s="1445"/>
      <c r="Y487" s="1445"/>
      <c r="Z487" s="1445"/>
    </row>
    <row r="488" spans="10:26" s="1433" customFormat="1" ht="12">
      <c r="J488" s="1445"/>
      <c r="K488" s="1445"/>
      <c r="L488" s="1445"/>
      <c r="M488" s="1445"/>
      <c r="N488" s="1445"/>
      <c r="O488" s="1445"/>
      <c r="P488" s="1445"/>
      <c r="Q488" s="1445"/>
      <c r="R488" s="1445"/>
      <c r="S488" s="1445"/>
      <c r="T488" s="1445"/>
      <c r="U488" s="1445"/>
      <c r="V488" s="1445"/>
      <c r="W488" s="1445"/>
      <c r="X488" s="1445"/>
      <c r="Y488" s="1445"/>
      <c r="Z488" s="1445"/>
    </row>
    <row r="489" spans="10:26" s="1433" customFormat="1" ht="12">
      <c r="J489" s="1445"/>
      <c r="K489" s="1445"/>
      <c r="L489" s="1445"/>
      <c r="M489" s="1445"/>
      <c r="N489" s="1445"/>
      <c r="O489" s="1445"/>
      <c r="P489" s="1445"/>
      <c r="Q489" s="1445"/>
      <c r="R489" s="1445"/>
      <c r="S489" s="1445"/>
      <c r="T489" s="1445"/>
      <c r="U489" s="1445"/>
      <c r="V489" s="1445"/>
      <c r="W489" s="1445"/>
      <c r="X489" s="1445"/>
      <c r="Y489" s="1445"/>
      <c r="Z489" s="1445"/>
    </row>
    <row r="490" spans="10:26" s="1433" customFormat="1" ht="12">
      <c r="J490" s="1445"/>
      <c r="K490" s="1445"/>
      <c r="L490" s="1445"/>
      <c r="M490" s="1445"/>
      <c r="N490" s="1445"/>
      <c r="O490" s="1445"/>
      <c r="P490" s="1445"/>
      <c r="Q490" s="1445"/>
      <c r="R490" s="1445"/>
      <c r="S490" s="1445"/>
      <c r="T490" s="1445"/>
      <c r="U490" s="1445"/>
      <c r="V490" s="1445"/>
      <c r="W490" s="1445"/>
      <c r="X490" s="1445"/>
      <c r="Y490" s="1445"/>
      <c r="Z490" s="1445"/>
    </row>
    <row r="491" spans="10:26" s="1433" customFormat="1" ht="12">
      <c r="J491" s="1445"/>
      <c r="K491" s="1445"/>
      <c r="L491" s="1445"/>
      <c r="M491" s="1445"/>
      <c r="N491" s="1445"/>
      <c r="O491" s="1445"/>
      <c r="P491" s="1445"/>
      <c r="Q491" s="1445"/>
      <c r="R491" s="1445"/>
      <c r="S491" s="1445"/>
      <c r="T491" s="1445"/>
      <c r="U491" s="1445"/>
      <c r="V491" s="1445"/>
      <c r="W491" s="1445"/>
      <c r="X491" s="1445"/>
      <c r="Y491" s="1445"/>
      <c r="Z491" s="1445"/>
    </row>
    <row r="492" spans="10:26" s="1433" customFormat="1" ht="12">
      <c r="J492" s="1445"/>
      <c r="K492" s="1445"/>
      <c r="L492" s="1445"/>
      <c r="M492" s="1445"/>
      <c r="N492" s="1445"/>
      <c r="O492" s="1445"/>
      <c r="P492" s="1445"/>
      <c r="Q492" s="1445"/>
      <c r="R492" s="1445"/>
      <c r="S492" s="1445"/>
      <c r="T492" s="1445"/>
      <c r="U492" s="1445"/>
      <c r="V492" s="1445"/>
      <c r="W492" s="1445"/>
      <c r="X492" s="1445"/>
      <c r="Y492" s="1445"/>
      <c r="Z492" s="1445"/>
    </row>
    <row r="493" spans="10:26" s="1433" customFormat="1" ht="12">
      <c r="J493" s="1445"/>
      <c r="K493" s="1445"/>
      <c r="L493" s="1445"/>
      <c r="M493" s="1445"/>
      <c r="N493" s="1445"/>
      <c r="O493" s="1445"/>
      <c r="P493" s="1445"/>
      <c r="Q493" s="1445"/>
      <c r="R493" s="1445"/>
      <c r="S493" s="1445"/>
      <c r="T493" s="1445"/>
      <c r="U493" s="1445"/>
      <c r="V493" s="1445"/>
      <c r="W493" s="1445"/>
      <c r="X493" s="1445"/>
      <c r="Y493" s="1445"/>
      <c r="Z493" s="1445"/>
    </row>
    <row r="494" spans="10:26" s="1433" customFormat="1" ht="12">
      <c r="J494" s="1445"/>
      <c r="K494" s="1445"/>
      <c r="L494" s="1445"/>
      <c r="M494" s="1445"/>
      <c r="N494" s="1445"/>
      <c r="O494" s="1445"/>
      <c r="P494" s="1445"/>
      <c r="Q494" s="1445"/>
      <c r="R494" s="1445"/>
      <c r="S494" s="1445"/>
      <c r="T494" s="1445"/>
      <c r="U494" s="1445"/>
      <c r="V494" s="1445"/>
      <c r="W494" s="1445"/>
      <c r="X494" s="1445"/>
      <c r="Y494" s="1445"/>
      <c r="Z494" s="1445"/>
    </row>
    <row r="495" spans="10:26" s="1433" customFormat="1" ht="12">
      <c r="J495" s="1445"/>
      <c r="K495" s="1445"/>
      <c r="L495" s="1445"/>
      <c r="M495" s="1445"/>
      <c r="N495" s="1445"/>
      <c r="O495" s="1445"/>
      <c r="P495" s="1445"/>
      <c r="Q495" s="1445"/>
      <c r="R495" s="1445"/>
      <c r="S495" s="1445"/>
      <c r="T495" s="1445"/>
      <c r="U495" s="1445"/>
      <c r="V495" s="1445"/>
      <c r="W495" s="1445"/>
      <c r="X495" s="1445"/>
      <c r="Y495" s="1445"/>
      <c r="Z495" s="1445"/>
    </row>
    <row r="496" spans="10:26" s="1433" customFormat="1" ht="12">
      <c r="J496" s="1445"/>
      <c r="K496" s="1445"/>
      <c r="L496" s="1445"/>
      <c r="M496" s="1445"/>
      <c r="N496" s="1445"/>
      <c r="O496" s="1445"/>
      <c r="P496" s="1445"/>
      <c r="Q496" s="1445"/>
      <c r="R496" s="1445"/>
      <c r="S496" s="1445"/>
      <c r="T496" s="1445"/>
      <c r="U496" s="1445"/>
      <c r="V496" s="1445"/>
      <c r="W496" s="1445"/>
      <c r="X496" s="1445"/>
      <c r="Y496" s="1445"/>
      <c r="Z496" s="1445"/>
    </row>
    <row r="497" spans="10:26" s="1433" customFormat="1" ht="12">
      <c r="J497" s="1445"/>
      <c r="K497" s="1445"/>
      <c r="L497" s="1445"/>
      <c r="M497" s="1445"/>
      <c r="N497" s="1445"/>
      <c r="O497" s="1445"/>
      <c r="P497" s="1445"/>
      <c r="Q497" s="1445"/>
      <c r="R497" s="1445"/>
      <c r="S497" s="1445"/>
      <c r="T497" s="1445"/>
      <c r="U497" s="1445"/>
      <c r="V497" s="1445"/>
      <c r="W497" s="1445"/>
      <c r="X497" s="1445"/>
      <c r="Y497" s="1445"/>
      <c r="Z497" s="1445"/>
    </row>
    <row r="498" spans="10:26" s="1433" customFormat="1" ht="12">
      <c r="J498" s="1445"/>
      <c r="K498" s="1445"/>
      <c r="L498" s="1445"/>
      <c r="M498" s="1445"/>
      <c r="N498" s="1445"/>
      <c r="O498" s="1445"/>
      <c r="P498" s="1445"/>
      <c r="Q498" s="1445"/>
      <c r="R498" s="1445"/>
      <c r="S498" s="1445"/>
      <c r="T498" s="1445"/>
      <c r="U498" s="1445"/>
      <c r="V498" s="1445"/>
      <c r="W498" s="1445"/>
      <c r="X498" s="1445"/>
      <c r="Y498" s="1445"/>
      <c r="Z498" s="1445"/>
    </row>
    <row r="499" spans="10:26" s="1433" customFormat="1" ht="12">
      <c r="J499" s="1445"/>
      <c r="K499" s="1445"/>
      <c r="L499" s="1445"/>
      <c r="M499" s="1445"/>
      <c r="N499" s="1445"/>
      <c r="O499" s="1445"/>
      <c r="P499" s="1445"/>
      <c r="Q499" s="1445"/>
      <c r="R499" s="1445"/>
      <c r="S499" s="1445"/>
      <c r="T499" s="1445"/>
      <c r="U499" s="1445"/>
      <c r="V499" s="1445"/>
      <c r="W499" s="1445"/>
      <c r="X499" s="1445"/>
      <c r="Y499" s="1445"/>
      <c r="Z499" s="1445"/>
    </row>
    <row r="500" spans="10:26" s="1433" customFormat="1" ht="12">
      <c r="J500" s="1445"/>
      <c r="K500" s="1445"/>
      <c r="L500" s="1445"/>
      <c r="M500" s="1445"/>
      <c r="N500" s="1445"/>
      <c r="O500" s="1445"/>
      <c r="P500" s="1445"/>
      <c r="Q500" s="1445"/>
      <c r="R500" s="1445"/>
      <c r="S500" s="1445"/>
      <c r="T500" s="1445"/>
      <c r="U500" s="1445"/>
      <c r="V500" s="1445"/>
      <c r="W500" s="1445"/>
      <c r="X500" s="1445"/>
      <c r="Y500" s="1445"/>
      <c r="Z500" s="1445"/>
    </row>
    <row r="501" spans="10:26" s="1433" customFormat="1" ht="12">
      <c r="J501" s="1445"/>
      <c r="K501" s="1445"/>
      <c r="L501" s="1445"/>
      <c r="M501" s="1445"/>
      <c r="N501" s="1445"/>
      <c r="O501" s="1445"/>
      <c r="P501" s="1445"/>
      <c r="Q501" s="1445"/>
      <c r="R501" s="1445"/>
      <c r="S501" s="1445"/>
      <c r="T501" s="1445"/>
      <c r="U501" s="1445"/>
      <c r="V501" s="1445"/>
      <c r="W501" s="1445"/>
      <c r="X501" s="1445"/>
      <c r="Y501" s="1445"/>
      <c r="Z501" s="1445"/>
    </row>
    <row r="502" spans="10:26" s="1433" customFormat="1" ht="12">
      <c r="J502" s="1445"/>
      <c r="K502" s="1445"/>
      <c r="L502" s="1445"/>
      <c r="M502" s="1445"/>
      <c r="N502" s="1445"/>
      <c r="O502" s="1445"/>
      <c r="P502" s="1445"/>
      <c r="Q502" s="1445"/>
      <c r="R502" s="1445"/>
      <c r="S502" s="1445"/>
      <c r="T502" s="1445"/>
      <c r="U502" s="1445"/>
      <c r="V502" s="1445"/>
      <c r="W502" s="1445"/>
      <c r="X502" s="1445"/>
      <c r="Y502" s="1445"/>
      <c r="Z502" s="1445"/>
    </row>
    <row r="503" spans="10:26" s="1433" customFormat="1" ht="12">
      <c r="J503" s="1445"/>
      <c r="K503" s="1445"/>
      <c r="L503" s="1445"/>
      <c r="M503" s="1445"/>
      <c r="N503" s="1445"/>
      <c r="O503" s="1445"/>
      <c r="P503" s="1445"/>
      <c r="Q503" s="1445"/>
      <c r="R503" s="1445"/>
      <c r="S503" s="1445"/>
      <c r="T503" s="1445"/>
      <c r="U503" s="1445"/>
      <c r="V503" s="1445"/>
      <c r="W503" s="1445"/>
      <c r="X503" s="1445"/>
      <c r="Y503" s="1445"/>
      <c r="Z503" s="1445"/>
    </row>
    <row r="504" spans="10:26" s="1433" customFormat="1" ht="12">
      <c r="J504" s="1445"/>
      <c r="K504" s="1445"/>
      <c r="L504" s="1445"/>
      <c r="M504" s="1445"/>
      <c r="N504" s="1445"/>
      <c r="O504" s="1445"/>
      <c r="P504" s="1445"/>
      <c r="Q504" s="1445"/>
      <c r="R504" s="1445"/>
      <c r="S504" s="1445"/>
      <c r="T504" s="1445"/>
      <c r="U504" s="1445"/>
      <c r="V504" s="1445"/>
      <c r="W504" s="1445"/>
      <c r="X504" s="1445"/>
      <c r="Y504" s="1445"/>
      <c r="Z504" s="1445"/>
    </row>
    <row r="505" spans="10:26" s="1433" customFormat="1" ht="12">
      <c r="J505" s="1445"/>
      <c r="K505" s="1445"/>
      <c r="L505" s="1445"/>
      <c r="M505" s="1445"/>
      <c r="N505" s="1445"/>
      <c r="O505" s="1445"/>
      <c r="P505" s="1445"/>
      <c r="Q505" s="1445"/>
      <c r="R505" s="1445"/>
      <c r="S505" s="1445"/>
      <c r="T505" s="1445"/>
      <c r="U505" s="1445"/>
      <c r="V505" s="1445"/>
      <c r="W505" s="1445"/>
      <c r="X505" s="1445"/>
      <c r="Y505" s="1445"/>
      <c r="Z505" s="1445"/>
    </row>
    <row r="506" spans="10:26" s="1433" customFormat="1" ht="12">
      <c r="J506" s="1445"/>
      <c r="K506" s="1445"/>
      <c r="L506" s="1445"/>
      <c r="M506" s="1445"/>
      <c r="N506" s="1445"/>
      <c r="O506" s="1445"/>
      <c r="P506" s="1445"/>
      <c r="Q506" s="1445"/>
      <c r="R506" s="1445"/>
      <c r="S506" s="1445"/>
      <c r="T506" s="1445"/>
      <c r="U506" s="1445"/>
      <c r="V506" s="1445"/>
      <c r="W506" s="1445"/>
      <c r="X506" s="1445"/>
      <c r="Y506" s="1445"/>
      <c r="Z506" s="1445"/>
    </row>
    <row r="507" spans="10:26" s="1433" customFormat="1" ht="12">
      <c r="J507" s="1445"/>
      <c r="K507" s="1445"/>
      <c r="L507" s="1445"/>
      <c r="M507" s="1445"/>
      <c r="N507" s="1445"/>
      <c r="O507" s="1445"/>
      <c r="P507" s="1445"/>
      <c r="Q507" s="1445"/>
      <c r="R507" s="1445"/>
      <c r="S507" s="1445"/>
      <c r="T507" s="1445"/>
      <c r="U507" s="1445"/>
      <c r="V507" s="1445"/>
      <c r="W507" s="1445"/>
      <c r="X507" s="1445"/>
      <c r="Y507" s="1445"/>
      <c r="Z507" s="1445"/>
    </row>
    <row r="508" spans="10:26" s="1433" customFormat="1" ht="12">
      <c r="J508" s="1445"/>
      <c r="K508" s="1445"/>
      <c r="L508" s="1445"/>
      <c r="M508" s="1445"/>
      <c r="N508" s="1445"/>
      <c r="O508" s="1445"/>
      <c r="P508" s="1445"/>
      <c r="Q508" s="1445"/>
      <c r="R508" s="1445"/>
      <c r="S508" s="1445"/>
      <c r="T508" s="1445"/>
      <c r="U508" s="1445"/>
      <c r="V508" s="1445"/>
      <c r="W508" s="1445"/>
      <c r="X508" s="1445"/>
      <c r="Y508" s="1445"/>
      <c r="Z508" s="1445"/>
    </row>
    <row r="509" spans="10:26" s="1433" customFormat="1" ht="12">
      <c r="J509" s="1445"/>
      <c r="K509" s="1445"/>
      <c r="L509" s="1445"/>
      <c r="M509" s="1445"/>
      <c r="N509" s="1445"/>
      <c r="O509" s="1445"/>
      <c r="P509" s="1445"/>
      <c r="Q509" s="1445"/>
      <c r="R509" s="1445"/>
      <c r="S509" s="1445"/>
      <c r="T509" s="1445"/>
      <c r="U509" s="1445"/>
      <c r="V509" s="1445"/>
      <c r="W509" s="1445"/>
      <c r="X509" s="1445"/>
      <c r="Y509" s="1445"/>
      <c r="Z509" s="1445"/>
    </row>
    <row r="510" spans="10:26" s="1433" customFormat="1" ht="12">
      <c r="J510" s="1445"/>
      <c r="K510" s="1445"/>
      <c r="L510" s="1445"/>
      <c r="M510" s="1445"/>
      <c r="N510" s="1445"/>
      <c r="O510" s="1445"/>
      <c r="P510" s="1445"/>
      <c r="Q510" s="1445"/>
      <c r="R510" s="1445"/>
      <c r="S510" s="1445"/>
      <c r="T510" s="1445"/>
      <c r="U510" s="1445"/>
      <c r="V510" s="1445"/>
      <c r="W510" s="1445"/>
      <c r="X510" s="1445"/>
      <c r="Y510" s="1445"/>
      <c r="Z510" s="1445"/>
    </row>
    <row r="511" spans="10:26" s="1433" customFormat="1" ht="12">
      <c r="J511" s="1445"/>
      <c r="K511" s="1445"/>
      <c r="L511" s="1445"/>
      <c r="M511" s="1445"/>
      <c r="N511" s="1445"/>
      <c r="O511" s="1445"/>
      <c r="P511" s="1445"/>
      <c r="Q511" s="1445"/>
      <c r="R511" s="1445"/>
      <c r="S511" s="1445"/>
      <c r="T511" s="1445"/>
      <c r="U511" s="1445"/>
      <c r="V511" s="1445"/>
      <c r="W511" s="1445"/>
      <c r="X511" s="1445"/>
      <c r="Y511" s="1445"/>
      <c r="Z511" s="1445"/>
    </row>
    <row r="512" spans="10:26" s="1433" customFormat="1" ht="12">
      <c r="J512" s="1445"/>
      <c r="K512" s="1445"/>
      <c r="L512" s="1445"/>
      <c r="M512" s="1445"/>
      <c r="N512" s="1445"/>
      <c r="O512" s="1445"/>
      <c r="P512" s="1445"/>
      <c r="Q512" s="1445"/>
      <c r="R512" s="1445"/>
      <c r="S512" s="1445"/>
      <c r="T512" s="1445"/>
      <c r="U512" s="1445"/>
      <c r="V512" s="1445"/>
      <c r="W512" s="1445"/>
      <c r="X512" s="1445"/>
      <c r="Y512" s="1445"/>
      <c r="Z512" s="1445"/>
    </row>
  </sheetData>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05" type="noConversion"/>
  <conditionalFormatting sqref="C5:C7">
    <cfRule type="cellIs" dxfId="97" priority="10" stopIfTrue="1" operator="equal">
      <formula>25</formula>
    </cfRule>
  </conditionalFormatting>
  <conditionalFormatting sqref="C8:C9">
    <cfRule type="cellIs" dxfId="96" priority="9" stopIfTrue="1" operator="equal">
      <formula>15</formula>
    </cfRule>
  </conditionalFormatting>
  <conditionalFormatting sqref="C14:C16">
    <cfRule type="cellIs" dxfId="95" priority="8" stopIfTrue="1" operator="equal">
      <formula>30</formula>
    </cfRule>
  </conditionalFormatting>
  <conditionalFormatting sqref="D5:D7">
    <cfRule type="cellIs" dxfId="94" priority="7" stopIfTrue="1" operator="equal">
      <formula>25</formula>
    </cfRule>
  </conditionalFormatting>
  <conditionalFormatting sqref="D8:D9">
    <cfRule type="cellIs" dxfId="93" priority="6" stopIfTrue="1" operator="equal">
      <formula>15</formula>
    </cfRule>
  </conditionalFormatting>
  <conditionalFormatting sqref="C10:D13">
    <cfRule type="cellIs" dxfId="92" priority="5" stopIfTrue="1" operator="equal">
      <formula>15</formula>
    </cfRule>
  </conditionalFormatting>
  <conditionalFormatting sqref="D14:D16">
    <cfRule type="cellIs" dxfId="91" priority="4" stopIfTrue="1" operator="equal">
      <formula>30</formula>
    </cfRule>
  </conditionalFormatting>
  <conditionalFormatting sqref="C90">
    <cfRule type="expression" dxfId="90" priority="3" stopIfTrue="1">
      <formula>$H$88&lt;&gt;"仅含出让金"</formula>
    </cfRule>
  </conditionalFormatting>
  <conditionalFormatting sqref="C91">
    <cfRule type="expression" dxfId="89" priority="2" stopIfTrue="1">
      <formula>$H$91="由企业提供"</formula>
    </cfRule>
  </conditionalFormatting>
  <conditionalFormatting sqref="E36">
    <cfRule type="expression" dxfId="88"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activeCell="C40" sqref="C40"/>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7" customWidth="1"/>
    <col min="12" max="12" width="12.25" style="838" customWidth="1"/>
    <col min="13" max="15" width="12.25" style="746" customWidth="1"/>
    <col min="16" max="16" width="4.75" style="2218"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27" customFormat="1" ht="28.5" customHeight="1" thickBot="1">
      <c r="A1" s="3116" t="s">
        <v>388</v>
      </c>
      <c r="B1" s="3117" t="s">
        <v>3089</v>
      </c>
      <c r="C1" s="3118" t="s">
        <v>444</v>
      </c>
      <c r="D1" s="3119" t="s">
        <v>3257</v>
      </c>
      <c r="E1" s="3120"/>
      <c r="F1" s="3101" t="s">
        <v>2700</v>
      </c>
      <c r="G1" s="3121" t="s">
        <v>445</v>
      </c>
      <c r="H1" s="3120"/>
      <c r="I1" s="3120"/>
      <c r="J1" s="3120"/>
      <c r="K1" s="3122"/>
      <c r="L1" s="3123"/>
      <c r="M1" s="3124"/>
      <c r="N1" s="3124"/>
      <c r="O1" s="3124"/>
      <c r="P1" s="3125"/>
      <c r="Q1" s="3118"/>
      <c r="R1" s="3118"/>
      <c r="S1" s="3118"/>
      <c r="T1" s="3118"/>
      <c r="U1" s="3118"/>
      <c r="V1" s="3118"/>
      <c r="W1" s="3118"/>
      <c r="X1" s="3118"/>
      <c r="Y1" s="3118"/>
      <c r="Z1" s="3118"/>
      <c r="AA1" s="3118"/>
      <c r="AB1" s="3118"/>
      <c r="AC1" s="3126"/>
    </row>
    <row r="2" spans="1:29" s="741" customFormat="1" ht="28.5" customHeight="1" thickTop="1">
      <c r="A2" s="3115" t="s">
        <v>446</v>
      </c>
      <c r="B2" s="3423">
        <f>C39</f>
        <v>122750</v>
      </c>
      <c r="C2" s="3093" t="s">
        <v>530</v>
      </c>
      <c r="D2" s="2338" t="e">
        <f ca="1">SUMIF(INDIRECT("'"&amp;F2&amp;"'"&amp;"!A:A"),"承租人权益价值",INDIRECT("'"&amp;F2&amp;"'"&amp;"!c:c"))</f>
        <v>#REF!</v>
      </c>
      <c r="E2" s="3094" t="s">
        <v>870</v>
      </c>
      <c r="F2" s="3095"/>
      <c r="G2" s="2339"/>
      <c r="H2" s="2339"/>
      <c r="I2" s="2339"/>
      <c r="J2" s="2339"/>
      <c r="K2" s="2341"/>
      <c r="L2" s="2342"/>
      <c r="M2" s="2343"/>
      <c r="N2" s="2343"/>
      <c r="O2" s="2343"/>
      <c r="P2" s="2841"/>
      <c r="Q2" s="1315"/>
      <c r="R2" s="1315"/>
      <c r="S2" s="1315"/>
      <c r="T2" s="1315"/>
      <c r="U2" s="1315"/>
      <c r="V2" s="1315"/>
      <c r="W2" s="1315"/>
      <c r="X2" s="1315"/>
      <c r="Y2" s="1315"/>
      <c r="Z2" s="1315"/>
      <c r="AA2" s="1315"/>
      <c r="AB2" s="1315"/>
      <c r="AC2" s="1316"/>
    </row>
    <row r="3" spans="1:29" s="741" customFormat="1" ht="28.5" customHeight="1" thickBot="1">
      <c r="A3" s="579" t="s">
        <v>447</v>
      </c>
      <c r="B3" s="3421">
        <f>ROUND(B2/D3,0)</f>
        <v>4160</v>
      </c>
      <c r="C3" s="743" t="s">
        <v>448</v>
      </c>
      <c r="D3" s="742">
        <f>SUMIF('数据-汇总表'!$C19:$C33,D1,'数据-汇总表'!$E19:$E33)</f>
        <v>29.51</v>
      </c>
      <c r="E3" s="743" t="s">
        <v>2137</v>
      </c>
      <c r="F3" s="742">
        <f>SUMIF('数据-取费表'!A5:A15,D1,'数据-取费表'!AH5:AH15)</f>
        <v>1</v>
      </c>
      <c r="G3" s="2339"/>
      <c r="H3" s="2339"/>
      <c r="I3" s="2339"/>
      <c r="J3" s="2339"/>
      <c r="K3" s="2341"/>
      <c r="L3" s="2342"/>
      <c r="M3" s="2343"/>
      <c r="N3" s="2343"/>
      <c r="O3" s="2343"/>
      <c r="P3" s="2841"/>
      <c r="Q3" s="1315"/>
      <c r="R3" s="1315"/>
      <c r="S3" s="1315"/>
      <c r="T3" s="1315"/>
      <c r="U3" s="1315"/>
      <c r="V3" s="1315"/>
      <c r="W3" s="1315"/>
      <c r="X3" s="1315"/>
      <c r="Y3" s="1315"/>
      <c r="Z3" s="1315"/>
      <c r="AA3" s="1315"/>
      <c r="AB3" s="1408"/>
      <c r="AC3" s="1398"/>
    </row>
    <row r="4" spans="1:29" ht="15">
      <c r="A4" s="744" t="s">
        <v>449</v>
      </c>
      <c r="B4" s="745"/>
      <c r="C4" s="3745" t="s">
        <v>450</v>
      </c>
      <c r="D4" s="3746"/>
      <c r="E4" s="3747" t="s">
        <v>451</v>
      </c>
      <c r="F4" s="3748"/>
      <c r="G4" s="3745" t="s">
        <v>452</v>
      </c>
      <c r="H4" s="3746"/>
      <c r="I4" s="3745" t="s">
        <v>453</v>
      </c>
      <c r="J4" s="3746"/>
      <c r="K4" s="952" t="s">
        <v>454</v>
      </c>
      <c r="L4" s="2344"/>
      <c r="M4" s="2345"/>
      <c r="N4" s="2345"/>
      <c r="O4" s="2345"/>
      <c r="P4" s="3749" t="s">
        <v>455</v>
      </c>
      <c r="Q4" s="3750"/>
      <c r="R4" s="3735" t="s">
        <v>451</v>
      </c>
      <c r="S4" s="3736"/>
      <c r="T4" s="3735" t="s">
        <v>452</v>
      </c>
      <c r="U4" s="3736"/>
      <c r="V4" s="3757" t="s">
        <v>453</v>
      </c>
      <c r="W4" s="3757"/>
      <c r="X4" s="2826"/>
      <c r="Y4" s="3735" t="s">
        <v>455</v>
      </c>
      <c r="Z4" s="3736"/>
      <c r="AA4" s="3730" t="s">
        <v>451</v>
      </c>
      <c r="AB4" s="3731" t="s">
        <v>452</v>
      </c>
      <c r="AC4" s="3730" t="s">
        <v>453</v>
      </c>
    </row>
    <row r="5" spans="1:29" ht="15">
      <c r="A5" s="747"/>
      <c r="B5" s="748"/>
      <c r="C5" s="3651" t="s">
        <v>3245</v>
      </c>
      <c r="D5" s="3740"/>
      <c r="E5" s="3649" t="s">
        <v>3246</v>
      </c>
      <c r="F5" s="3739"/>
      <c r="G5" s="3651" t="s">
        <v>3247</v>
      </c>
      <c r="H5" s="3740"/>
      <c r="I5" s="3651" t="s">
        <v>3248</v>
      </c>
      <c r="J5" s="3740"/>
      <c r="K5" s="952"/>
      <c r="L5" s="2344"/>
      <c r="M5" s="2345"/>
      <c r="N5" s="2345"/>
      <c r="O5" s="2345"/>
      <c r="P5" s="3751"/>
      <c r="Q5" s="3752"/>
      <c r="R5" s="3737"/>
      <c r="S5" s="3738"/>
      <c r="T5" s="3737"/>
      <c r="U5" s="3738"/>
      <c r="V5" s="3757"/>
      <c r="W5" s="3757"/>
      <c r="X5" s="2826"/>
      <c r="Y5" s="3737"/>
      <c r="Z5" s="3738"/>
      <c r="AA5" s="3731"/>
      <c r="AB5" s="3731"/>
      <c r="AC5" s="3731"/>
    </row>
    <row r="6" spans="1:29" ht="15.75" thickBot="1">
      <c r="A6" s="749"/>
      <c r="B6" s="750"/>
      <c r="C6" s="3741" t="str">
        <f>[1]项目基本情况!F10</f>
        <v>西安市未央区三桥街办昆明路立交以西</v>
      </c>
      <c r="D6" s="3742"/>
      <c r="E6" s="3655" t="s">
        <v>3249</v>
      </c>
      <c r="F6" s="3743"/>
      <c r="G6" s="3653" t="s">
        <v>3250</v>
      </c>
      <c r="H6" s="3742"/>
      <c r="I6" s="3653" t="s">
        <v>3251</v>
      </c>
      <c r="J6" s="3742"/>
      <c r="K6" s="952" t="s">
        <v>397</v>
      </c>
      <c r="L6" s="2344"/>
      <c r="M6" s="2345"/>
      <c r="N6" s="2345"/>
      <c r="O6" s="2345"/>
      <c r="P6" s="3753"/>
      <c r="Q6" s="3754"/>
      <c r="R6" s="3737"/>
      <c r="S6" s="3738"/>
      <c r="T6" s="3755"/>
      <c r="U6" s="3756"/>
      <c r="V6" s="3757"/>
      <c r="W6" s="3757"/>
      <c r="X6" s="2826"/>
      <c r="Y6" s="3755"/>
      <c r="Z6" s="3756"/>
      <c r="AA6" s="3732"/>
      <c r="AB6" s="3732"/>
      <c r="AC6" s="3732"/>
    </row>
    <row r="7" spans="1:29" s="407" customFormat="1" ht="15.75" thickBot="1">
      <c r="A7" s="751" t="s">
        <v>398</v>
      </c>
      <c r="B7" s="752"/>
      <c r="C7" s="753">
        <f>'数据-取费表'!B2</f>
        <v>42958</v>
      </c>
      <c r="D7" s="754">
        <v>100</v>
      </c>
      <c r="E7" s="755">
        <v>42958</v>
      </c>
      <c r="F7" s="756">
        <f>SUMIF(48:48,YEAR(E7)&amp;"-"&amp;MONTH(E7),49:49)</f>
        <v>100</v>
      </c>
      <c r="G7" s="755">
        <v>42958</v>
      </c>
      <c r="H7" s="754">
        <f>SUMIF(48:48,YEAR(G7)&amp;"-"&amp;MONTH(G7),49:49)</f>
        <v>100</v>
      </c>
      <c r="I7" s="755">
        <v>42958</v>
      </c>
      <c r="J7" s="754">
        <f>SUMIF(48:48,YEAR(I7)&amp;"-"&amp;MONTH(I7),49:49)</f>
        <v>100</v>
      </c>
      <c r="K7" s="953"/>
      <c r="L7" s="2346"/>
      <c r="M7" s="2347"/>
      <c r="N7" s="2347"/>
      <c r="O7" s="2347"/>
      <c r="P7" s="3733" t="s">
        <v>399</v>
      </c>
      <c r="Q7" s="3758"/>
      <c r="R7" s="1318" t="s">
        <v>65</v>
      </c>
      <c r="S7" s="1319">
        <f t="shared" ref="S7:S14" si="0">F7</f>
        <v>100</v>
      </c>
      <c r="T7" s="1318" t="s">
        <v>65</v>
      </c>
      <c r="U7" s="1319">
        <f t="shared" ref="U7:U14" si="1">H7</f>
        <v>100</v>
      </c>
      <c r="V7" s="1318" t="s">
        <v>65</v>
      </c>
      <c r="W7" s="1319">
        <f t="shared" ref="W7:W14" si="2">J7</f>
        <v>100</v>
      </c>
      <c r="X7" s="1320"/>
      <c r="Y7" s="3733" t="s">
        <v>399</v>
      </c>
      <c r="Z7" s="3734"/>
      <c r="AA7" s="1321">
        <f>D7/F7</f>
        <v>1</v>
      </c>
      <c r="AB7" s="1321">
        <f>D7/H7</f>
        <v>1</v>
      </c>
      <c r="AC7" s="1321">
        <f>D7/J7</f>
        <v>1</v>
      </c>
    </row>
    <row r="8" spans="1:29" s="407" customFormat="1" ht="15.75" thickBot="1">
      <c r="A8" s="751" t="s">
        <v>400</v>
      </c>
      <c r="B8" s="752"/>
      <c r="C8" s="757" t="s">
        <v>417</v>
      </c>
      <c r="D8" s="754">
        <v>100</v>
      </c>
      <c r="E8" s="757" t="s">
        <v>155</v>
      </c>
      <c r="F8" s="756">
        <f>SUMIF(51:51,E8,52:52)-SUMIF(51:51,C8,52:52)+100</f>
        <v>100</v>
      </c>
      <c r="G8" s="757" t="s">
        <v>155</v>
      </c>
      <c r="H8" s="754">
        <f>SUMIF(51:51,G8,52:52)-SUMIF(51:51,C8,52:52)+100</f>
        <v>100</v>
      </c>
      <c r="I8" s="757" t="s">
        <v>155</v>
      </c>
      <c r="J8" s="754">
        <f>SUMIF(51:51,I8,52:52)-SUMIF(51:51,C8,52:52)+100</f>
        <v>100</v>
      </c>
      <c r="K8" s="953"/>
      <c r="L8" s="2346"/>
      <c r="M8" s="2347"/>
      <c r="N8" s="2347"/>
      <c r="O8" s="2347"/>
      <c r="P8" s="3733" t="s">
        <v>435</v>
      </c>
      <c r="Q8" s="3734"/>
      <c r="R8" s="1318" t="s">
        <v>65</v>
      </c>
      <c r="S8" s="1319">
        <f t="shared" si="0"/>
        <v>100</v>
      </c>
      <c r="T8" s="1318" t="s">
        <v>65</v>
      </c>
      <c r="U8" s="1319">
        <f t="shared" si="1"/>
        <v>100</v>
      </c>
      <c r="V8" s="1318" t="s">
        <v>65</v>
      </c>
      <c r="W8" s="1319">
        <f t="shared" si="2"/>
        <v>100</v>
      </c>
      <c r="X8" s="1320"/>
      <c r="Y8" s="3733" t="s">
        <v>435</v>
      </c>
      <c r="Z8" s="3734"/>
      <c r="AA8" s="1321">
        <f t="shared" ref="AA8:AA36" si="3">D8/F8</f>
        <v>1</v>
      </c>
      <c r="AB8" s="1321">
        <f t="shared" ref="AB8:AB36" si="4">D8/H8</f>
        <v>1</v>
      </c>
      <c r="AC8" s="1321">
        <f t="shared" ref="AC8:AC36" si="5">D8/J8</f>
        <v>1</v>
      </c>
    </row>
    <row r="9" spans="1:29" s="407" customFormat="1">
      <c r="A9" s="358" t="s">
        <v>401</v>
      </c>
      <c r="B9" s="982" t="s">
        <v>419</v>
      </c>
      <c r="C9" s="3395" t="s">
        <v>3252</v>
      </c>
      <c r="D9" s="425">
        <v>100</v>
      </c>
      <c r="E9" s="761" t="s">
        <v>195</v>
      </c>
      <c r="F9" s="425">
        <f>SUMIF(53:53,E9,54:54)-SUMIF(53:53,C9,54:54)+100</f>
        <v>100</v>
      </c>
      <c r="G9" s="759" t="s">
        <v>195</v>
      </c>
      <c r="H9" s="425">
        <f>SUMIF(53:53,G9,54:54)-SUMIF(53:53,C9,54:54)+100</f>
        <v>100</v>
      </c>
      <c r="I9" s="759" t="s">
        <v>195</v>
      </c>
      <c r="J9" s="425">
        <f>SUMIF(53:53,I9,54:54)-SUMIF(53:53,C9,54:54)+100</f>
        <v>100</v>
      </c>
      <c r="K9" s="953"/>
      <c r="L9" s="2346"/>
      <c r="M9" s="2347"/>
      <c r="N9" s="2347"/>
      <c r="O9" s="2347"/>
      <c r="P9" s="3744" t="s">
        <v>402</v>
      </c>
      <c r="Q9" s="2825" t="str">
        <f t="shared" ref="Q9:Q14" si="6">B9</f>
        <v>用途</v>
      </c>
      <c r="R9" s="1318" t="s">
        <v>65</v>
      </c>
      <c r="S9" s="1319">
        <f t="shared" si="0"/>
        <v>100</v>
      </c>
      <c r="T9" s="1318" t="s">
        <v>65</v>
      </c>
      <c r="U9" s="1319">
        <f t="shared" si="1"/>
        <v>100</v>
      </c>
      <c r="V9" s="1318" t="s">
        <v>65</v>
      </c>
      <c r="W9" s="1319">
        <f t="shared" si="2"/>
        <v>100</v>
      </c>
      <c r="X9" s="1320"/>
      <c r="Y9" s="3609" t="s">
        <v>403</v>
      </c>
      <c r="Z9" s="344" t="str">
        <f t="shared" ref="Z9:Z14" si="7">Q9</f>
        <v>用途</v>
      </c>
      <c r="AA9" s="1321">
        <f t="shared" si="3"/>
        <v>1</v>
      </c>
      <c r="AB9" s="1321">
        <f t="shared" si="4"/>
        <v>1</v>
      </c>
      <c r="AC9" s="1321">
        <f t="shared" si="5"/>
        <v>1</v>
      </c>
    </row>
    <row r="10" spans="1:29" s="769" customFormat="1" ht="27.75" thickBot="1">
      <c r="A10" s="983"/>
      <c r="B10" s="984" t="s">
        <v>404</v>
      </c>
      <c r="C10" s="765" t="s">
        <v>3253</v>
      </c>
      <c r="D10" s="426">
        <v>100</v>
      </c>
      <c r="E10" s="765" t="s">
        <v>3253</v>
      </c>
      <c r="F10" s="426">
        <f>SUMIF(55:55,E10,56:56)-SUMIF(55:55,C10,56:56)+100</f>
        <v>100</v>
      </c>
      <c r="G10" s="766" t="s">
        <v>3253</v>
      </c>
      <c r="H10" s="426">
        <f>SUMIF(55:55,G10,56:56)-SUMIF(55:55,C10,56:56)+100</f>
        <v>100</v>
      </c>
      <c r="I10" s="765" t="s">
        <v>3253</v>
      </c>
      <c r="J10" s="426">
        <f>SUMIF(55:55,I10,56:56)-SUMIF(55:55,C10,56:56)+100</f>
        <v>100</v>
      </c>
      <c r="K10" s="954"/>
      <c r="L10" s="2349"/>
      <c r="M10" s="2350"/>
      <c r="N10" s="2350"/>
      <c r="O10" s="2350"/>
      <c r="P10" s="3744"/>
      <c r="Q10" s="2825" t="str">
        <f t="shared" si="6"/>
        <v>土地使用年限（年）</v>
      </c>
      <c r="R10" s="1318" t="s">
        <v>65</v>
      </c>
      <c r="S10" s="1319">
        <f t="shared" si="0"/>
        <v>100</v>
      </c>
      <c r="T10" s="1318" t="s">
        <v>65</v>
      </c>
      <c r="U10" s="1319">
        <f t="shared" si="1"/>
        <v>100</v>
      </c>
      <c r="V10" s="1318" t="s">
        <v>65</v>
      </c>
      <c r="W10" s="1319">
        <f t="shared" si="2"/>
        <v>100</v>
      </c>
      <c r="X10" s="1320"/>
      <c r="Y10" s="3609"/>
      <c r="Z10" s="344" t="str">
        <f t="shared" si="7"/>
        <v>土地使用年限（年）</v>
      </c>
      <c r="AA10" s="1321">
        <f t="shared" si="3"/>
        <v>1</v>
      </c>
      <c r="AB10" s="1321">
        <f t="shared" si="4"/>
        <v>1</v>
      </c>
      <c r="AC10" s="1321">
        <f t="shared" si="5"/>
        <v>1</v>
      </c>
    </row>
    <row r="11" spans="1:29" ht="15" hidden="1">
      <c r="A11" s="985"/>
      <c r="B11" s="986">
        <v>111</v>
      </c>
      <c r="C11" s="774"/>
      <c r="D11" s="426">
        <v>100</v>
      </c>
      <c r="E11" s="774"/>
      <c r="F11" s="426">
        <f>SUMIF(57:57,E11,58:58)-SUMIF(57:57,C11,58:58)+100</f>
        <v>100</v>
      </c>
      <c r="G11" s="774"/>
      <c r="H11" s="426">
        <f>SUMIF(57:57,G11,58:58)-SUMIF(57:57,C11,58:58)+100</f>
        <v>100</v>
      </c>
      <c r="I11" s="774"/>
      <c r="J11" s="426">
        <f>SUMIF(57:57,I11,58:58)-SUMIF(57:57,C11,58:58)+100</f>
        <v>100</v>
      </c>
      <c r="K11" s="955"/>
      <c r="L11" s="2352"/>
      <c r="M11" s="2345"/>
      <c r="N11" s="2345"/>
      <c r="O11" s="2345"/>
      <c r="P11" s="3744"/>
      <c r="Q11" s="2825">
        <f t="shared" si="6"/>
        <v>111</v>
      </c>
      <c r="R11" s="1318" t="s">
        <v>65</v>
      </c>
      <c r="S11" s="1319">
        <f t="shared" si="0"/>
        <v>100</v>
      </c>
      <c r="T11" s="1318" t="s">
        <v>65</v>
      </c>
      <c r="U11" s="1319">
        <f t="shared" si="1"/>
        <v>100</v>
      </c>
      <c r="V11" s="1318" t="s">
        <v>65</v>
      </c>
      <c r="W11" s="1319">
        <f t="shared" si="2"/>
        <v>100</v>
      </c>
      <c r="X11" s="1320"/>
      <c r="Y11" s="3609"/>
      <c r="Z11" s="344">
        <f t="shared" si="7"/>
        <v>111</v>
      </c>
      <c r="AA11" s="1321">
        <f t="shared" si="3"/>
        <v>1</v>
      </c>
      <c r="AB11" s="1321">
        <f t="shared" si="4"/>
        <v>1</v>
      </c>
      <c r="AC11" s="1321">
        <f t="shared" si="5"/>
        <v>1</v>
      </c>
    </row>
    <row r="12" spans="1:29" s="407" customFormat="1" ht="15" hidden="1">
      <c r="A12" s="987"/>
      <c r="B12" s="986">
        <v>111</v>
      </c>
      <c r="C12" s="774"/>
      <c r="D12" s="775">
        <v>100</v>
      </c>
      <c r="E12" s="774"/>
      <c r="F12" s="426">
        <f>SUMIF(59:59,E12,60:60)-SUMIF(59:59,C12,60:60)+100</f>
        <v>100</v>
      </c>
      <c r="G12" s="774"/>
      <c r="H12" s="426">
        <f>SUMIF(59:59,G12,60:60)-SUMIF(59:59,C12,60:60)+100</f>
        <v>100</v>
      </c>
      <c r="I12" s="774"/>
      <c r="J12" s="426">
        <f>SUMIF(59:59,I12,60:60)-SUMIF(59:59,C12,60:60)+100</f>
        <v>100</v>
      </c>
      <c r="K12" s="955"/>
      <c r="L12" s="2346"/>
      <c r="M12" s="2347"/>
      <c r="N12" s="2347"/>
      <c r="O12" s="2347"/>
      <c r="P12" s="3744"/>
      <c r="Q12" s="2825">
        <f t="shared" si="6"/>
        <v>111</v>
      </c>
      <c r="R12" s="1318" t="s">
        <v>65</v>
      </c>
      <c r="S12" s="1319">
        <f t="shared" si="0"/>
        <v>100</v>
      </c>
      <c r="T12" s="1318" t="s">
        <v>65</v>
      </c>
      <c r="U12" s="1319">
        <f t="shared" si="1"/>
        <v>100</v>
      </c>
      <c r="V12" s="1318" t="s">
        <v>65</v>
      </c>
      <c r="W12" s="1319">
        <f t="shared" si="2"/>
        <v>100</v>
      </c>
      <c r="X12" s="1320"/>
      <c r="Y12" s="3609"/>
      <c r="Z12" s="344">
        <f t="shared" si="7"/>
        <v>111</v>
      </c>
      <c r="AA12" s="1321">
        <f>D12/F12</f>
        <v>1</v>
      </c>
      <c r="AB12" s="1321">
        <f>D12/H12</f>
        <v>1</v>
      </c>
      <c r="AC12" s="1321">
        <f>D12/J12</f>
        <v>1</v>
      </c>
    </row>
    <row r="13" spans="1:29" ht="15.75" hidden="1" thickBot="1">
      <c r="A13" s="988"/>
      <c r="B13" s="986">
        <v>111</v>
      </c>
      <c r="C13" s="776"/>
      <c r="D13" s="777">
        <v>100</v>
      </c>
      <c r="E13" s="774"/>
      <c r="F13" s="426">
        <f>SUMIF(61:61,E13,62:62)-SUMIF(61:61,C13,62:62)+100</f>
        <v>100</v>
      </c>
      <c r="G13" s="774"/>
      <c r="H13" s="777">
        <f>SUMIF(61:61,G13,62:62)-SUMIF(61:61,C13,62:62)+100</f>
        <v>100</v>
      </c>
      <c r="I13" s="774"/>
      <c r="J13" s="777">
        <f>SUMIF(61:61,I13,62:62)-SUMIF(61:61,C13,62:62)+100</f>
        <v>100</v>
      </c>
      <c r="K13" s="955"/>
      <c r="L13" s="2354"/>
      <c r="M13" s="2345"/>
      <c r="N13" s="2345"/>
      <c r="O13" s="2345"/>
      <c r="P13" s="3744"/>
      <c r="Q13" s="2825">
        <f t="shared" si="6"/>
        <v>111</v>
      </c>
      <c r="R13" s="1318" t="s">
        <v>65</v>
      </c>
      <c r="S13" s="1319">
        <f t="shared" si="0"/>
        <v>100</v>
      </c>
      <c r="T13" s="1318" t="s">
        <v>65</v>
      </c>
      <c r="U13" s="1319">
        <f t="shared" si="1"/>
        <v>100</v>
      </c>
      <c r="V13" s="1318" t="s">
        <v>65</v>
      </c>
      <c r="W13" s="1319">
        <f t="shared" si="2"/>
        <v>100</v>
      </c>
      <c r="X13" s="1320"/>
      <c r="Y13" s="3609"/>
      <c r="Z13" s="344">
        <f t="shared" si="7"/>
        <v>111</v>
      </c>
      <c r="AA13" s="1321">
        <f t="shared" si="3"/>
        <v>1</v>
      </c>
      <c r="AB13" s="1321">
        <f t="shared" si="4"/>
        <v>1</v>
      </c>
      <c r="AC13" s="1321">
        <f t="shared" si="5"/>
        <v>1</v>
      </c>
    </row>
    <row r="14" spans="1:29" ht="94.5">
      <c r="A14" s="744" t="s">
        <v>406</v>
      </c>
      <c r="B14" s="971" t="s">
        <v>456</v>
      </c>
      <c r="C14" s="212" t="str">
        <f>IF(B1="工业",估价对象房地状况!G4,估价对象房地状况!C6)</f>
        <v>估价对象周边道路状况、公共交通通达情况、停车便捷程度，综合评价交通便捷度较好</v>
      </c>
      <c r="D14" s="783">
        <v>100</v>
      </c>
      <c r="E14" s="784"/>
      <c r="F14" s="785">
        <f>SUMIF(63:63,E15,64:64)-SUMIF(63:63,C15,64:64)+100</f>
        <v>100</v>
      </c>
      <c r="G14" s="786"/>
      <c r="H14" s="783">
        <f>SUMIF(63:63,G15,64:64)-SUMIF(63:63,C15,64:64)+100</f>
        <v>100</v>
      </c>
      <c r="I14" s="784"/>
      <c r="J14" s="783">
        <f>SUMIF(63:63,I15,64:64)-SUMIF(63:63,C15,64:64)+100</f>
        <v>100</v>
      </c>
      <c r="K14" s="956"/>
      <c r="L14" s="2354"/>
      <c r="M14" s="2345"/>
      <c r="N14" s="2345"/>
      <c r="O14" s="2345"/>
      <c r="P14" s="3759" t="s">
        <v>407</v>
      </c>
      <c r="Q14" s="2827" t="str">
        <f t="shared" si="6"/>
        <v>交通便捷度</v>
      </c>
      <c r="R14" s="1323" t="s">
        <v>65</v>
      </c>
      <c r="S14" s="1324">
        <f t="shared" si="0"/>
        <v>100</v>
      </c>
      <c r="T14" s="1323" t="s">
        <v>65</v>
      </c>
      <c r="U14" s="1324">
        <f t="shared" si="1"/>
        <v>100</v>
      </c>
      <c r="V14" s="1323" t="s">
        <v>65</v>
      </c>
      <c r="W14" s="1324">
        <f t="shared" si="2"/>
        <v>100</v>
      </c>
      <c r="X14" s="2826"/>
      <c r="Y14" s="3759" t="s">
        <v>407</v>
      </c>
      <c r="Z14" s="2828" t="str">
        <f t="shared" si="7"/>
        <v>交通便捷度</v>
      </c>
      <c r="AA14" s="1326">
        <f t="shared" si="3"/>
        <v>1</v>
      </c>
      <c r="AB14" s="1326">
        <f t="shared" si="4"/>
        <v>1</v>
      </c>
      <c r="AC14" s="1326">
        <f t="shared" si="5"/>
        <v>1</v>
      </c>
    </row>
    <row r="15" spans="1:29" ht="15">
      <c r="A15" s="747"/>
      <c r="B15" s="989"/>
      <c r="C15" s="97" t="s">
        <v>3254</v>
      </c>
      <c r="D15" s="790"/>
      <c r="E15" s="789" t="s">
        <v>3254</v>
      </c>
      <c r="F15" s="791"/>
      <c r="G15" s="789" t="s">
        <v>3254</v>
      </c>
      <c r="H15" s="792"/>
      <c r="I15" s="789" t="s">
        <v>3254</v>
      </c>
      <c r="J15" s="790"/>
      <c r="K15" s="957"/>
      <c r="L15" s="2354"/>
      <c r="M15" s="2345"/>
      <c r="N15" s="2345"/>
      <c r="O15" s="2345"/>
      <c r="P15" s="3760"/>
      <c r="Q15" s="2827"/>
      <c r="R15" s="1323"/>
      <c r="S15" s="1324"/>
      <c r="T15" s="1323"/>
      <c r="U15" s="1324"/>
      <c r="V15" s="1323"/>
      <c r="W15" s="1324"/>
      <c r="X15" s="2826"/>
      <c r="Y15" s="3760"/>
      <c r="Z15" s="2828"/>
      <c r="AA15" s="1326">
        <v>1</v>
      </c>
      <c r="AB15" s="1326">
        <v>1</v>
      </c>
      <c r="AC15" s="1326">
        <v>1</v>
      </c>
    </row>
    <row r="16" spans="1:29" ht="40.5">
      <c r="A16" s="747"/>
      <c r="B16" s="1033" t="s">
        <v>2670</v>
      </c>
      <c r="C16" s="158" t="str">
        <f>IF(B1="工业",估价对象房地状况!G5,估价对象房地状况!C7)</f>
        <v>估价对象所在区域公共配套设施齐备情况</v>
      </c>
      <c r="D16" s="797">
        <v>100</v>
      </c>
      <c r="E16" s="799"/>
      <c r="F16" s="800">
        <f>SUMIF(65:65,E17,66:66)-SUMIF(65:65,C17,66:66)+100</f>
        <v>100</v>
      </c>
      <c r="G16" s="801"/>
      <c r="H16" s="797">
        <f>SUMIF(65:65,G17,66:66)-SUMIF(65:65,C17,66:66)+100</f>
        <v>100</v>
      </c>
      <c r="I16" s="799"/>
      <c r="J16" s="797">
        <f>SUMIF(65:65,I17,66:66)-SUMIF(65:65,C17,66:66)+100</f>
        <v>100</v>
      </c>
      <c r="K16" s="956"/>
      <c r="L16" s="2354"/>
      <c r="M16" s="2345"/>
      <c r="N16" s="2345"/>
      <c r="O16" s="2345"/>
      <c r="P16" s="3760"/>
      <c r="Q16" s="2827" t="str">
        <f>B16</f>
        <v>公共配套设施</v>
      </c>
      <c r="R16" s="1323" t="s">
        <v>65</v>
      </c>
      <c r="S16" s="1324">
        <f>F16</f>
        <v>100</v>
      </c>
      <c r="T16" s="1323" t="s">
        <v>65</v>
      </c>
      <c r="U16" s="1324">
        <f>H16</f>
        <v>100</v>
      </c>
      <c r="V16" s="1323" t="s">
        <v>65</v>
      </c>
      <c r="W16" s="1324">
        <f>J16</f>
        <v>100</v>
      </c>
      <c r="X16" s="2826"/>
      <c r="Y16" s="3760"/>
      <c r="Z16" s="2828" t="str">
        <f>Q16</f>
        <v>公共配套设施</v>
      </c>
      <c r="AA16" s="1326">
        <f t="shared" si="3"/>
        <v>1</v>
      </c>
      <c r="AB16" s="1326">
        <f t="shared" si="4"/>
        <v>1</v>
      </c>
      <c r="AC16" s="1326">
        <f t="shared" si="5"/>
        <v>1</v>
      </c>
    </row>
    <row r="17" spans="1:29" ht="15">
      <c r="A17" s="747"/>
      <c r="B17" s="974"/>
      <c r="C17" s="102" t="s">
        <v>3255</v>
      </c>
      <c r="D17" s="790"/>
      <c r="E17" s="789" t="s">
        <v>3255</v>
      </c>
      <c r="F17" s="791"/>
      <c r="G17" s="789" t="s">
        <v>3255</v>
      </c>
      <c r="H17" s="790"/>
      <c r="I17" s="789" t="s">
        <v>3255</v>
      </c>
      <c r="J17" s="790"/>
      <c r="K17" s="957"/>
      <c r="L17" s="2354"/>
      <c r="M17" s="2345"/>
      <c r="N17" s="2345"/>
      <c r="O17" s="2345"/>
      <c r="P17" s="3760"/>
      <c r="Q17" s="2827"/>
      <c r="R17" s="1323"/>
      <c r="S17" s="1324"/>
      <c r="T17" s="1323"/>
      <c r="U17" s="1324"/>
      <c r="V17" s="1323"/>
      <c r="W17" s="1324"/>
      <c r="X17" s="2826"/>
      <c r="Y17" s="3760"/>
      <c r="Z17" s="2828"/>
      <c r="AA17" s="1326">
        <v>1</v>
      </c>
      <c r="AB17" s="1326">
        <v>1</v>
      </c>
      <c r="AC17" s="1326">
        <v>1</v>
      </c>
    </row>
    <row r="18" spans="1:29" ht="40.5">
      <c r="A18" s="747"/>
      <c r="B18" s="1035" t="s">
        <v>2669</v>
      </c>
      <c r="C18" s="158" t="str">
        <f>IF(B1="工业",估价对象房地状况!G6,估价对象房地状况!C8)</f>
        <v>估价对象所在区域基础设施水平</v>
      </c>
      <c r="D18" s="792">
        <v>100</v>
      </c>
      <c r="E18" s="794"/>
      <c r="F18" s="800">
        <f>SUMIF(67:67,E19,68:68)-SUMIF(67:67,C19,68:68)+100</f>
        <v>100</v>
      </c>
      <c r="G18" s="796"/>
      <c r="H18" s="797">
        <f>SUMIF(67:67,G19,68:68)-SUMIF(67:67,C19,68:68)+100</f>
        <v>100</v>
      </c>
      <c r="I18" s="794"/>
      <c r="J18" s="797">
        <f>SUMIF(67:67,I19,68:68)-SUMIF(67:67,C19,68:68)+100</f>
        <v>100</v>
      </c>
      <c r="K18" s="956"/>
      <c r="L18" s="2354"/>
      <c r="M18" s="2345"/>
      <c r="N18" s="2345"/>
      <c r="O18" s="2345"/>
      <c r="P18" s="3760"/>
      <c r="Q18" s="2827" t="str">
        <f>B18</f>
        <v>基础设施水平</v>
      </c>
      <c r="R18" s="1323" t="s">
        <v>65</v>
      </c>
      <c r="S18" s="1324">
        <f>F18</f>
        <v>100</v>
      </c>
      <c r="T18" s="1323" t="s">
        <v>65</v>
      </c>
      <c r="U18" s="1324">
        <f>H18</f>
        <v>100</v>
      </c>
      <c r="V18" s="1323" t="s">
        <v>65</v>
      </c>
      <c r="W18" s="1324">
        <f>J18</f>
        <v>100</v>
      </c>
      <c r="X18" s="2826"/>
      <c r="Y18" s="3760"/>
      <c r="Z18" s="2828" t="str">
        <f>Q18</f>
        <v>基础设施水平</v>
      </c>
      <c r="AA18" s="1326">
        <f>D18/F18</f>
        <v>1</v>
      </c>
      <c r="AB18" s="1326">
        <f>D18/H18</f>
        <v>1</v>
      </c>
      <c r="AC18" s="1326">
        <f>D18/J18</f>
        <v>1</v>
      </c>
    </row>
    <row r="19" spans="1:29" ht="15">
      <c r="A19" s="747"/>
      <c r="B19" s="975"/>
      <c r="C19" s="102" t="s">
        <v>3256</v>
      </c>
      <c r="D19" s="792"/>
      <c r="E19" s="102" t="s">
        <v>3256</v>
      </c>
      <c r="F19" s="795"/>
      <c r="G19" s="102" t="s">
        <v>3256</v>
      </c>
      <c r="H19" s="790"/>
      <c r="I19" s="97" t="s">
        <v>3256</v>
      </c>
      <c r="J19" s="790"/>
      <c r="K19" s="2763"/>
      <c r="L19" s="2354"/>
      <c r="M19" s="2345"/>
      <c r="N19" s="2345"/>
      <c r="O19" s="2345"/>
      <c r="P19" s="3760"/>
      <c r="Q19" s="2827"/>
      <c r="R19" s="1323"/>
      <c r="S19" s="1324"/>
      <c r="T19" s="1323"/>
      <c r="U19" s="1324"/>
      <c r="V19" s="1323"/>
      <c r="W19" s="1324"/>
      <c r="X19" s="2826"/>
      <c r="Y19" s="3760"/>
      <c r="Z19" s="2828"/>
      <c r="AA19" s="1326">
        <v>1</v>
      </c>
      <c r="AB19" s="1326">
        <v>1</v>
      </c>
      <c r="AC19" s="1326">
        <v>1</v>
      </c>
    </row>
    <row r="20" spans="1:29" ht="54">
      <c r="A20" s="747"/>
      <c r="B20" s="973" t="s">
        <v>457</v>
      </c>
      <c r="C20" s="158" t="str">
        <f>IF(B1="工业",估价对象房地状况!G7,估价对象房地状况!C9)</f>
        <v>区域自然环境：；人文环境；综合评价环境状况一般</v>
      </c>
      <c r="D20" s="797">
        <v>100</v>
      </c>
      <c r="E20" s="799"/>
      <c r="F20" s="800">
        <f>SUMIF(69:69,E21,70:70)-SUMIF(69:69,C21,70:70)+100</f>
        <v>100</v>
      </c>
      <c r="G20" s="801"/>
      <c r="H20" s="792">
        <f>SUMIF(69:69,G21,70:70)-SUMIF(69:69,C21,70:70)+100</f>
        <v>100</v>
      </c>
      <c r="I20" s="794"/>
      <c r="J20" s="792">
        <f>SUMIF(69:69,I21,70:70)-SUMIF(69:69,C21,70:70)+100</f>
        <v>100</v>
      </c>
      <c r="K20" s="956"/>
      <c r="L20" s="2354"/>
      <c r="M20" s="2345"/>
      <c r="N20" s="2345"/>
      <c r="O20" s="2345"/>
      <c r="P20" s="3760"/>
      <c r="Q20" s="2827" t="str">
        <f>B20</f>
        <v>自然及人文环境</v>
      </c>
      <c r="R20" s="1323" t="s">
        <v>65</v>
      </c>
      <c r="S20" s="1324">
        <f>F20</f>
        <v>100</v>
      </c>
      <c r="T20" s="1323" t="s">
        <v>65</v>
      </c>
      <c r="U20" s="1324">
        <f>H20</f>
        <v>100</v>
      </c>
      <c r="V20" s="1323" t="s">
        <v>65</v>
      </c>
      <c r="W20" s="1324">
        <f>J20</f>
        <v>100</v>
      </c>
      <c r="X20" s="2826"/>
      <c r="Y20" s="3760"/>
      <c r="Z20" s="2828" t="str">
        <f>Q20</f>
        <v>自然及人文环境</v>
      </c>
      <c r="AA20" s="1326">
        <f t="shared" si="3"/>
        <v>1</v>
      </c>
      <c r="AB20" s="1326">
        <f t="shared" si="4"/>
        <v>1</v>
      </c>
      <c r="AC20" s="1326">
        <f t="shared" si="5"/>
        <v>1</v>
      </c>
    </row>
    <row r="21" spans="1:29" ht="15.75" thickBot="1">
      <c r="A21" s="747"/>
      <c r="B21" s="974"/>
      <c r="C21" s="789" t="s">
        <v>3255</v>
      </c>
      <c r="D21" s="790"/>
      <c r="E21" s="789" t="s">
        <v>3255</v>
      </c>
      <c r="F21" s="791"/>
      <c r="G21" s="789" t="s">
        <v>3255</v>
      </c>
      <c r="H21" s="790"/>
      <c r="I21" s="789" t="s">
        <v>3255</v>
      </c>
      <c r="J21" s="790"/>
      <c r="K21" s="957"/>
      <c r="L21" s="2354"/>
      <c r="M21" s="2345"/>
      <c r="N21" s="2345"/>
      <c r="O21" s="2345"/>
      <c r="P21" s="3760"/>
      <c r="Q21" s="2827"/>
      <c r="R21" s="1323"/>
      <c r="S21" s="1324"/>
      <c r="T21" s="1323"/>
      <c r="U21" s="1324"/>
      <c r="V21" s="1323"/>
      <c r="W21" s="1324"/>
      <c r="X21" s="2826"/>
      <c r="Y21" s="3760"/>
      <c r="Z21" s="2828"/>
      <c r="AA21" s="1326">
        <v>1</v>
      </c>
      <c r="AB21" s="1326">
        <v>1</v>
      </c>
      <c r="AC21" s="1326">
        <v>1</v>
      </c>
    </row>
    <row r="22" spans="1:29" ht="15" hidden="1">
      <c r="A22" s="747"/>
      <c r="B22" s="973" t="s">
        <v>458</v>
      </c>
      <c r="C22" s="958"/>
      <c r="D22" s="792">
        <v>100</v>
      </c>
      <c r="E22" s="958"/>
      <c r="F22" s="803">
        <f>SUMIF(71:71,E22,72:72)-SUMIF(71:71,C22,72:72)+100</f>
        <v>100</v>
      </c>
      <c r="G22" s="958"/>
      <c r="H22" s="777">
        <f>SUMIF(71:71,G22,72:72)-SUMIF(71:71,C22,72:72)+100</f>
        <v>100</v>
      </c>
      <c r="I22" s="958"/>
      <c r="J22" s="777">
        <f>SUMIF(71:71,I22,72:72)-SUMIF(71:71,C22,72:72)+100</f>
        <v>100</v>
      </c>
      <c r="K22" s="954"/>
      <c r="L22" s="2354"/>
      <c r="M22" s="2345"/>
      <c r="N22" s="2345"/>
      <c r="O22" s="2345"/>
      <c r="P22" s="3760"/>
      <c r="Q22" s="2827" t="str">
        <f>B22</f>
        <v>楼层</v>
      </c>
      <c r="R22" s="1323" t="s">
        <v>65</v>
      </c>
      <c r="S22" s="1324">
        <f>F22</f>
        <v>100</v>
      </c>
      <c r="T22" s="1323" t="s">
        <v>65</v>
      </c>
      <c r="U22" s="1324">
        <f>H22</f>
        <v>100</v>
      </c>
      <c r="V22" s="1323" t="s">
        <v>65</v>
      </c>
      <c r="W22" s="1324">
        <f>J22</f>
        <v>100</v>
      </c>
      <c r="X22" s="2826"/>
      <c r="Y22" s="3760"/>
      <c r="Z22" s="2828" t="str">
        <f>Q22</f>
        <v>楼层</v>
      </c>
      <c r="AA22" s="1326">
        <f t="shared" si="3"/>
        <v>1</v>
      </c>
      <c r="AB22" s="1326">
        <f t="shared" si="4"/>
        <v>1</v>
      </c>
      <c r="AC22" s="1326">
        <f t="shared" si="5"/>
        <v>1</v>
      </c>
    </row>
    <row r="23" spans="1:29" ht="15" hidden="1">
      <c r="A23" s="747"/>
      <c r="B23" s="990">
        <v>111</v>
      </c>
      <c r="C23" s="774"/>
      <c r="D23" s="777">
        <v>100</v>
      </c>
      <c r="E23" s="774"/>
      <c r="F23" s="803">
        <f>SUMIF(73:73,E23,74:74)-SUMIF(73:73,C23,74:74)+100</f>
        <v>100</v>
      </c>
      <c r="G23" s="774"/>
      <c r="H23" s="777">
        <f>SUMIF(73:73,G23,74:74)-SUMIF(73:73,C23,74:74)+100</f>
        <v>100</v>
      </c>
      <c r="I23" s="774"/>
      <c r="J23" s="777">
        <f>SUMIF(73:73,I23,74:74)-SUMIF(73:73,C23,74:74)+100</f>
        <v>100</v>
      </c>
      <c r="K23" s="955"/>
      <c r="L23" s="2354"/>
      <c r="M23" s="2345"/>
      <c r="N23" s="2345"/>
      <c r="O23" s="2345"/>
      <c r="P23" s="3760"/>
      <c r="Q23" s="2827">
        <f>B23</f>
        <v>111</v>
      </c>
      <c r="R23" s="1323" t="s">
        <v>65</v>
      </c>
      <c r="S23" s="1324">
        <f>F23</f>
        <v>100</v>
      </c>
      <c r="T23" s="1323" t="s">
        <v>65</v>
      </c>
      <c r="U23" s="1324">
        <f>H23</f>
        <v>100</v>
      </c>
      <c r="V23" s="1323" t="s">
        <v>65</v>
      </c>
      <c r="W23" s="1324">
        <f>J23</f>
        <v>100</v>
      </c>
      <c r="X23" s="2826"/>
      <c r="Y23" s="3760"/>
      <c r="Z23" s="2828">
        <f>Q23</f>
        <v>111</v>
      </c>
      <c r="AA23" s="1326">
        <f t="shared" si="3"/>
        <v>1</v>
      </c>
      <c r="AB23" s="1326">
        <f t="shared" si="4"/>
        <v>1</v>
      </c>
      <c r="AC23" s="1326">
        <f t="shared" si="5"/>
        <v>1</v>
      </c>
    </row>
    <row r="24" spans="1:29" ht="15" hidden="1">
      <c r="A24" s="747"/>
      <c r="B24" s="990">
        <v>111</v>
      </c>
      <c r="C24" s="774"/>
      <c r="D24" s="777">
        <v>100</v>
      </c>
      <c r="E24" s="774"/>
      <c r="F24" s="803">
        <f>SUMIF(75:75,E24,76:76)-SUMIF(75:75,C24,76:76)+100</f>
        <v>100</v>
      </c>
      <c r="G24" s="774"/>
      <c r="H24" s="777">
        <f>SUMIF(75:75,G24,76:76)-SUMIF(75:75,C24,76:76)+100</f>
        <v>100</v>
      </c>
      <c r="I24" s="774"/>
      <c r="J24" s="777">
        <f>SUMIF(75:75,I24,76:76)-SUMIF(75:75,C24,76:76)+100</f>
        <v>100</v>
      </c>
      <c r="K24" s="955"/>
      <c r="L24" s="2354"/>
      <c r="M24" s="2345"/>
      <c r="N24" s="2345"/>
      <c r="O24" s="2345"/>
      <c r="P24" s="3760"/>
      <c r="Q24" s="2827">
        <f t="shared" ref="Q24:Q36" si="8">B24</f>
        <v>111</v>
      </c>
      <c r="R24" s="1323" t="s">
        <v>65</v>
      </c>
      <c r="S24" s="1324">
        <f>F24</f>
        <v>100</v>
      </c>
      <c r="T24" s="1323" t="s">
        <v>65</v>
      </c>
      <c r="U24" s="1324">
        <f>H24</f>
        <v>100</v>
      </c>
      <c r="V24" s="1323" t="s">
        <v>65</v>
      </c>
      <c r="W24" s="1324">
        <f>J24</f>
        <v>100</v>
      </c>
      <c r="X24" s="2826"/>
      <c r="Y24" s="3760"/>
      <c r="Z24" s="2828">
        <f>Q24</f>
        <v>111</v>
      </c>
      <c r="AA24" s="1326">
        <f t="shared" si="3"/>
        <v>1</v>
      </c>
      <c r="AB24" s="1326">
        <f t="shared" si="4"/>
        <v>1</v>
      </c>
      <c r="AC24" s="1326">
        <f t="shared" si="5"/>
        <v>1</v>
      </c>
    </row>
    <row r="25" spans="1:29" s="407" customFormat="1" ht="15.75" hidden="1" thickBot="1">
      <c r="A25" s="991"/>
      <c r="B25" s="977">
        <v>111</v>
      </c>
      <c r="C25" s="779"/>
      <c r="D25" s="992">
        <v>100</v>
      </c>
      <c r="E25" s="970"/>
      <c r="F25" s="993">
        <f>SUMIF(77:77,E25,78:78)-SUMIF(77:77,C25,78:78)+100</f>
        <v>100</v>
      </c>
      <c r="G25" s="970"/>
      <c r="H25" s="992">
        <f>SUMIF(77:77,G25,78:78)-SUMIF(77:77,C25,78:78)+100</f>
        <v>100</v>
      </c>
      <c r="I25" s="970"/>
      <c r="J25" s="992">
        <f>SUMIF(77:77,I25,78:78)-SUMIF(77:77,C25,78:78)+100</f>
        <v>100</v>
      </c>
      <c r="K25" s="955"/>
      <c r="L25" s="2346"/>
      <c r="M25" s="2347"/>
      <c r="N25" s="2347"/>
      <c r="O25" s="2347"/>
      <c r="P25" s="3760"/>
      <c r="Q25" s="2825">
        <f t="shared" si="8"/>
        <v>111</v>
      </c>
      <c r="R25" s="1318" t="s">
        <v>65</v>
      </c>
      <c r="S25" s="1319">
        <f>F25</f>
        <v>100</v>
      </c>
      <c r="T25" s="1318" t="s">
        <v>65</v>
      </c>
      <c r="U25" s="1319">
        <f>H25</f>
        <v>100</v>
      </c>
      <c r="V25" s="1318" t="s">
        <v>65</v>
      </c>
      <c r="W25" s="1319">
        <f>J25</f>
        <v>100</v>
      </c>
      <c r="X25" s="1320"/>
      <c r="Y25" s="3760"/>
      <c r="Z25" s="344">
        <f>Q25</f>
        <v>111</v>
      </c>
      <c r="AA25" s="1326">
        <f>D25/F25</f>
        <v>1</v>
      </c>
      <c r="AB25" s="1326">
        <f>D25/H25</f>
        <v>1</v>
      </c>
      <c r="AC25" s="1326">
        <f>D25/J25</f>
        <v>1</v>
      </c>
    </row>
    <row r="26" spans="1:29" ht="15">
      <c r="A26" s="994" t="s">
        <v>408</v>
      </c>
      <c r="B26" s="360" t="s">
        <v>459</v>
      </c>
      <c r="C26" s="2764" t="str">
        <f>B1</f>
        <v>车库</v>
      </c>
      <c r="D26" s="790">
        <v>100</v>
      </c>
      <c r="E26" s="789" t="s">
        <v>40</v>
      </c>
      <c r="F26" s="791">
        <f>SUMIF(79:79,E26,80:80)-SUMIF(79:79,C26,80:80)+100</f>
        <v>100</v>
      </c>
      <c r="G26" s="789" t="s">
        <v>40</v>
      </c>
      <c r="H26" s="790">
        <f>SUMIF(79:79,G26,80:80)-SUMIF(79:79,C26,80:80)+100</f>
        <v>100</v>
      </c>
      <c r="I26" s="789" t="s">
        <v>40</v>
      </c>
      <c r="J26" s="790">
        <f>SUMIF(79:79,I26,80:80)-SUMIF(79:79,C26,80:80)+100</f>
        <v>100</v>
      </c>
      <c r="K26" s="954"/>
      <c r="L26" s="2354"/>
      <c r="M26" s="2345"/>
      <c r="N26" s="2345"/>
      <c r="O26" s="2345"/>
      <c r="P26" s="3761" t="s">
        <v>409</v>
      </c>
      <c r="Q26" s="2827" t="str">
        <f t="shared" si="8"/>
        <v>配套类型</v>
      </c>
      <c r="R26" s="1323" t="s">
        <v>65</v>
      </c>
      <c r="S26" s="1324">
        <f t="shared" ref="S26:S36" si="9">F26</f>
        <v>100</v>
      </c>
      <c r="T26" s="1323" t="s">
        <v>65</v>
      </c>
      <c r="U26" s="1324">
        <f t="shared" ref="U26:U36" si="10">H26</f>
        <v>100</v>
      </c>
      <c r="V26" s="1323" t="s">
        <v>65</v>
      </c>
      <c r="W26" s="1324">
        <f t="shared" ref="W26:W36" si="11">J26</f>
        <v>100</v>
      </c>
      <c r="X26" s="2826"/>
      <c r="Y26" s="3762" t="s">
        <v>409</v>
      </c>
      <c r="Z26" s="2828" t="str">
        <f t="shared" ref="Z26:Z36" si="12">Q26</f>
        <v>配套类型</v>
      </c>
      <c r="AA26" s="1326">
        <f t="shared" si="3"/>
        <v>1</v>
      </c>
      <c r="AB26" s="1326">
        <f t="shared" si="4"/>
        <v>1</v>
      </c>
      <c r="AC26" s="1326">
        <f t="shared" si="5"/>
        <v>1</v>
      </c>
    </row>
    <row r="27" spans="1:29" s="813" customFormat="1" ht="15" hidden="1">
      <c r="A27" s="995"/>
      <c r="B27" s="996" t="s">
        <v>460</v>
      </c>
      <c r="C27" s="997"/>
      <c r="D27" s="426">
        <v>100</v>
      </c>
      <c r="E27" s="997"/>
      <c r="F27" s="803">
        <f>SUMIF(81:81,E27,82:82)-SUMIF(81:81,C27,82:82)+100</f>
        <v>100</v>
      </c>
      <c r="G27" s="997"/>
      <c r="H27" s="777">
        <f>SUMIF(81:81,G27,82:82)-SUMIF(81:81,C27,82:82)+100</f>
        <v>100</v>
      </c>
      <c r="I27" s="997"/>
      <c r="J27" s="777">
        <f>SUMIF(81:81,I27,82:82)-SUMIF(81:81,C27,82:82)+100</f>
        <v>100</v>
      </c>
      <c r="K27" s="955"/>
      <c r="L27" s="2352"/>
      <c r="M27" s="2355"/>
      <c r="N27" s="2355"/>
      <c r="O27" s="2355"/>
      <c r="P27" s="3762"/>
      <c r="Q27" s="1327" t="str">
        <f t="shared" si="8"/>
        <v>项目停车位配比</v>
      </c>
      <c r="R27" s="1328" t="s">
        <v>65</v>
      </c>
      <c r="S27" s="1329">
        <f t="shared" si="9"/>
        <v>100</v>
      </c>
      <c r="T27" s="1328" t="s">
        <v>65</v>
      </c>
      <c r="U27" s="1329">
        <f t="shared" si="10"/>
        <v>100</v>
      </c>
      <c r="V27" s="1328" t="s">
        <v>65</v>
      </c>
      <c r="W27" s="1329">
        <f t="shared" si="11"/>
        <v>100</v>
      </c>
      <c r="X27" s="1330"/>
      <c r="Y27" s="3762"/>
      <c r="Z27" s="1331" t="str">
        <f t="shared" si="12"/>
        <v>项目停车位配比</v>
      </c>
      <c r="AA27" s="1326">
        <f t="shared" si="3"/>
        <v>1</v>
      </c>
      <c r="AB27" s="1326">
        <f t="shared" si="4"/>
        <v>1</v>
      </c>
      <c r="AC27" s="1326">
        <f t="shared" si="5"/>
        <v>1</v>
      </c>
    </row>
    <row r="28" spans="1:29" ht="15" hidden="1">
      <c r="A28" s="998"/>
      <c r="B28" s="996" t="s">
        <v>461</v>
      </c>
      <c r="C28" s="802"/>
      <c r="D28" s="777">
        <v>100</v>
      </c>
      <c r="E28" s="802"/>
      <c r="F28" s="803">
        <f>SUMIF(83:83,E28,84:84)-SUMIF(83:83,C28,84:84)+100</f>
        <v>100</v>
      </c>
      <c r="G28" s="802"/>
      <c r="H28" s="777">
        <f>SUMIF(83:83,G28,84:84)-SUMIF(83:83,C28,84:84)+100</f>
        <v>100</v>
      </c>
      <c r="I28" s="802"/>
      <c r="J28" s="777">
        <f>SUMIF(83:83,I28,84:84)-SUMIF(83:83,C28,84:84)+100</f>
        <v>100</v>
      </c>
      <c r="K28" s="954"/>
      <c r="L28" s="2354"/>
      <c r="M28" s="2345"/>
      <c r="N28" s="2345"/>
      <c r="O28" s="2345"/>
      <c r="P28" s="3762"/>
      <c r="Q28" s="2827" t="str">
        <f t="shared" si="8"/>
        <v>公共部分装修</v>
      </c>
      <c r="R28" s="1323" t="s">
        <v>65</v>
      </c>
      <c r="S28" s="1324">
        <f t="shared" si="9"/>
        <v>100</v>
      </c>
      <c r="T28" s="1323" t="s">
        <v>65</v>
      </c>
      <c r="U28" s="1324">
        <f t="shared" si="10"/>
        <v>100</v>
      </c>
      <c r="V28" s="1323" t="s">
        <v>65</v>
      </c>
      <c r="W28" s="1324">
        <f t="shared" si="11"/>
        <v>100</v>
      </c>
      <c r="X28" s="2826"/>
      <c r="Y28" s="3762"/>
      <c r="Z28" s="2828" t="str">
        <f t="shared" si="12"/>
        <v>公共部分装修</v>
      </c>
      <c r="AA28" s="1326">
        <f t="shared" si="3"/>
        <v>1</v>
      </c>
      <c r="AB28" s="1326">
        <f t="shared" si="4"/>
        <v>1</v>
      </c>
      <c r="AC28" s="1326">
        <f t="shared" si="5"/>
        <v>1</v>
      </c>
    </row>
    <row r="29" spans="1:29" ht="15">
      <c r="A29" s="998"/>
      <c r="B29" s="996" t="s">
        <v>462</v>
      </c>
      <c r="C29" s="816">
        <v>0.95</v>
      </c>
      <c r="D29" s="777">
        <v>100</v>
      </c>
      <c r="E29" s="816">
        <v>0.95</v>
      </c>
      <c r="F29" s="803">
        <f>LOOKUP(E29,86:86,87:87)-LOOKUP(C29,86:86,87:87)+100</f>
        <v>100</v>
      </c>
      <c r="G29" s="816">
        <v>0.95</v>
      </c>
      <c r="H29" s="803">
        <f>LOOKUP(G29,86:86,87:87)-LOOKUP(C29,86:86,87:87)+100</f>
        <v>100</v>
      </c>
      <c r="I29" s="816">
        <v>0.95</v>
      </c>
      <c r="J29" s="777">
        <f>LOOKUP(I29,86:86,87:87)-LOOKUP(C29,86:86,87:87)+100</f>
        <v>100</v>
      </c>
      <c r="K29" s="954"/>
      <c r="L29" s="2354"/>
      <c r="M29" s="2345"/>
      <c r="N29" s="2345"/>
      <c r="O29" s="2345"/>
      <c r="P29" s="3762"/>
      <c r="Q29" s="2827" t="str">
        <f t="shared" si="8"/>
        <v>成新率</v>
      </c>
      <c r="R29" s="1323" t="s">
        <v>65</v>
      </c>
      <c r="S29" s="1324">
        <f t="shared" si="9"/>
        <v>100</v>
      </c>
      <c r="T29" s="1323" t="s">
        <v>65</v>
      </c>
      <c r="U29" s="1324">
        <f t="shared" si="10"/>
        <v>100</v>
      </c>
      <c r="V29" s="1323" t="s">
        <v>65</v>
      </c>
      <c r="W29" s="1324">
        <f t="shared" si="11"/>
        <v>100</v>
      </c>
      <c r="X29" s="2826"/>
      <c r="Y29" s="3762"/>
      <c r="Z29" s="2828" t="str">
        <f t="shared" si="12"/>
        <v>成新率</v>
      </c>
      <c r="AA29" s="1326">
        <f t="shared" si="3"/>
        <v>1</v>
      </c>
      <c r="AB29" s="1326">
        <f t="shared" si="4"/>
        <v>1</v>
      </c>
      <c r="AC29" s="1326">
        <f t="shared" si="5"/>
        <v>1</v>
      </c>
    </row>
    <row r="30" spans="1:29" ht="15">
      <c r="A30" s="998"/>
      <c r="B30" s="996" t="s">
        <v>463</v>
      </c>
      <c r="C30" s="999" t="s">
        <v>3259</v>
      </c>
      <c r="D30" s="777">
        <v>100</v>
      </c>
      <c r="E30" s="999" t="s">
        <v>3259</v>
      </c>
      <c r="F30" s="803">
        <f>SUMIF(88:88,E30,89:89)-SUMIF(88:88,C30,89:89)+100</f>
        <v>100</v>
      </c>
      <c r="G30" s="999" t="s">
        <v>3259</v>
      </c>
      <c r="H30" s="777">
        <f>SUMIF(88:88,E30,89:89)-SUMIF(88:88,C30,89:89)+100</f>
        <v>100</v>
      </c>
      <c r="I30" s="999" t="s">
        <v>3259</v>
      </c>
      <c r="J30" s="777">
        <f>SUMIF(88:88,E30,89:89)-SUMIF(88:88,C30,89:89)+100</f>
        <v>100</v>
      </c>
      <c r="K30" s="954"/>
      <c r="L30" s="2354"/>
      <c r="M30" s="2345"/>
      <c r="N30" s="2345"/>
      <c r="O30" s="2345"/>
      <c r="P30" s="3762"/>
      <c r="Q30" s="2827" t="str">
        <f t="shared" si="8"/>
        <v>物业等级</v>
      </c>
      <c r="R30" s="1323" t="s">
        <v>65</v>
      </c>
      <c r="S30" s="1324">
        <f t="shared" si="9"/>
        <v>100</v>
      </c>
      <c r="T30" s="1323" t="s">
        <v>65</v>
      </c>
      <c r="U30" s="1324">
        <f t="shared" si="10"/>
        <v>100</v>
      </c>
      <c r="V30" s="1323" t="s">
        <v>65</v>
      </c>
      <c r="W30" s="1324">
        <f t="shared" si="11"/>
        <v>100</v>
      </c>
      <c r="X30" s="2826"/>
      <c r="Y30" s="3762"/>
      <c r="Z30" s="2828" t="str">
        <f t="shared" si="12"/>
        <v>物业等级</v>
      </c>
      <c r="AA30" s="1326">
        <f t="shared" si="3"/>
        <v>1</v>
      </c>
      <c r="AB30" s="1326">
        <f t="shared" si="4"/>
        <v>1</v>
      </c>
      <c r="AC30" s="1326">
        <f t="shared" si="5"/>
        <v>1</v>
      </c>
    </row>
    <row r="31" spans="1:29" s="407" customFormat="1" ht="15">
      <c r="A31" s="1000"/>
      <c r="B31" s="996" t="s">
        <v>464</v>
      </c>
      <c r="C31" s="811">
        <f>D3</f>
        <v>29.51</v>
      </c>
      <c r="D31" s="426">
        <v>100</v>
      </c>
      <c r="E31" s="811">
        <v>30</v>
      </c>
      <c r="F31" s="803">
        <f>LOOKUP(E31,91:91,92:92)-LOOKUP(C31,91:91,92:92)+100</f>
        <v>100</v>
      </c>
      <c r="G31" s="811">
        <v>30</v>
      </c>
      <c r="H31" s="777">
        <f>LOOKUP(G31,91:91,92:92)-LOOKUP(C31,91:91,92:92)+100</f>
        <v>100</v>
      </c>
      <c r="I31" s="811">
        <v>30</v>
      </c>
      <c r="J31" s="777">
        <f>LOOKUP(I31,91:91,92:92)-LOOKUP(C31,91:91,92:92)+100</f>
        <v>100</v>
      </c>
      <c r="K31" s="954"/>
      <c r="L31" s="2346"/>
      <c r="M31" s="2347"/>
      <c r="N31" s="2347"/>
      <c r="O31" s="2347"/>
      <c r="P31" s="3762"/>
      <c r="Q31" s="2825" t="str">
        <f t="shared" si="8"/>
        <v>停车位面积</v>
      </c>
      <c r="R31" s="1318" t="s">
        <v>65</v>
      </c>
      <c r="S31" s="1319">
        <f t="shared" si="9"/>
        <v>100</v>
      </c>
      <c r="T31" s="1318" t="s">
        <v>65</v>
      </c>
      <c r="U31" s="1319">
        <f t="shared" si="10"/>
        <v>100</v>
      </c>
      <c r="V31" s="1318" t="s">
        <v>65</v>
      </c>
      <c r="W31" s="1319">
        <f t="shared" si="11"/>
        <v>100</v>
      </c>
      <c r="X31" s="1320"/>
      <c r="Y31" s="3762"/>
      <c r="Z31" s="344" t="str">
        <f t="shared" si="12"/>
        <v>停车位面积</v>
      </c>
      <c r="AA31" s="1321">
        <f t="shared" si="3"/>
        <v>1</v>
      </c>
      <c r="AB31" s="1321">
        <f t="shared" si="4"/>
        <v>1</v>
      </c>
      <c r="AC31" s="1321">
        <f t="shared" si="5"/>
        <v>1</v>
      </c>
    </row>
    <row r="32" spans="1:29" ht="15">
      <c r="A32" s="998"/>
      <c r="B32" s="996" t="s">
        <v>465</v>
      </c>
      <c r="C32" s="802" t="s">
        <v>3261</v>
      </c>
      <c r="D32" s="777">
        <v>100</v>
      </c>
      <c r="E32" s="802" t="s">
        <v>3261</v>
      </c>
      <c r="F32" s="803">
        <f>SUMIF(93:93,E32,94:94)-SUMIF(93:93,C32,94:94)+100</f>
        <v>100</v>
      </c>
      <c r="G32" s="802" t="s">
        <v>3261</v>
      </c>
      <c r="H32" s="777">
        <f>SUMIF(93:93,G32,94:94)-SUMIF(93:93,C32,94:94)+100</f>
        <v>100</v>
      </c>
      <c r="I32" s="802" t="s">
        <v>3261</v>
      </c>
      <c r="J32" s="777">
        <f>SUMIF(93:93,I32,94:94)-SUMIF(93:93,C32,94:94)+100</f>
        <v>100</v>
      </c>
      <c r="K32" s="954">
        <v>2</v>
      </c>
      <c r="L32" s="2354"/>
      <c r="M32" s="2345"/>
      <c r="N32" s="2345"/>
      <c r="O32" s="2345"/>
      <c r="P32" s="3762" t="s">
        <v>409</v>
      </c>
      <c r="Q32" s="2827" t="str">
        <f t="shared" si="8"/>
        <v>车位类型</v>
      </c>
      <c r="R32" s="1323" t="s">
        <v>65</v>
      </c>
      <c r="S32" s="1324">
        <f t="shared" si="9"/>
        <v>100</v>
      </c>
      <c r="T32" s="1323" t="s">
        <v>65</v>
      </c>
      <c r="U32" s="1324">
        <f t="shared" si="10"/>
        <v>100</v>
      </c>
      <c r="V32" s="1323" t="s">
        <v>65</v>
      </c>
      <c r="W32" s="1324">
        <f t="shared" si="11"/>
        <v>100</v>
      </c>
      <c r="X32" s="2826"/>
      <c r="Y32" s="3762" t="s">
        <v>409</v>
      </c>
      <c r="Z32" s="2828" t="str">
        <f t="shared" si="12"/>
        <v>车位类型</v>
      </c>
      <c r="AA32" s="1326">
        <f t="shared" si="3"/>
        <v>1</v>
      </c>
      <c r="AB32" s="1326">
        <f t="shared" si="4"/>
        <v>1</v>
      </c>
      <c r="AC32" s="1326">
        <f t="shared" si="5"/>
        <v>1</v>
      </c>
    </row>
    <row r="33" spans="1:29" ht="15.75" thickBot="1">
      <c r="A33" s="998"/>
      <c r="B33" s="996" t="s">
        <v>466</v>
      </c>
      <c r="C33" s="802" t="s">
        <v>3053</v>
      </c>
      <c r="D33" s="777">
        <v>100</v>
      </c>
      <c r="E33" s="802" t="s">
        <v>3053</v>
      </c>
      <c r="F33" s="803">
        <f>SUMIF(95:95,E33,96:96)-SUMIF(95:95,C33,96:96)+100</f>
        <v>100</v>
      </c>
      <c r="G33" s="802" t="s">
        <v>3053</v>
      </c>
      <c r="H33" s="777">
        <f>SUMIF(95:95,G33,96:96)-SUMIF(95:95,C33,96:96)+100</f>
        <v>100</v>
      </c>
      <c r="I33" s="802" t="s">
        <v>3053</v>
      </c>
      <c r="J33" s="777">
        <f>SUMIF(95:95,I33,96:96)-SUMIF(95:95,C33,96:96)+100</f>
        <v>100</v>
      </c>
      <c r="K33" s="954">
        <v>2</v>
      </c>
      <c r="L33" s="2354"/>
      <c r="M33" s="2345"/>
      <c r="N33" s="2345"/>
      <c r="O33" s="2345"/>
      <c r="P33" s="3762"/>
      <c r="Q33" s="2827" t="str">
        <f t="shared" si="8"/>
        <v>是否直接入户</v>
      </c>
      <c r="R33" s="1323" t="s">
        <v>65</v>
      </c>
      <c r="S33" s="1324">
        <f t="shared" si="9"/>
        <v>100</v>
      </c>
      <c r="T33" s="1323" t="s">
        <v>65</v>
      </c>
      <c r="U33" s="1324">
        <f t="shared" si="10"/>
        <v>100</v>
      </c>
      <c r="V33" s="1323" t="s">
        <v>65</v>
      </c>
      <c r="W33" s="1324">
        <f t="shared" si="11"/>
        <v>100</v>
      </c>
      <c r="X33" s="2826"/>
      <c r="Y33" s="3762"/>
      <c r="Z33" s="2828" t="str">
        <f t="shared" si="12"/>
        <v>是否直接入户</v>
      </c>
      <c r="AA33" s="1326">
        <f t="shared" si="3"/>
        <v>1</v>
      </c>
      <c r="AB33" s="1326">
        <f t="shared" si="4"/>
        <v>1</v>
      </c>
      <c r="AC33" s="1326">
        <f t="shared" si="5"/>
        <v>1</v>
      </c>
    </row>
    <row r="34" spans="1:29" ht="15" hidden="1">
      <c r="A34" s="998"/>
      <c r="B34" s="990">
        <v>111</v>
      </c>
      <c r="C34" s="774"/>
      <c r="D34" s="777">
        <v>100</v>
      </c>
      <c r="E34" s="774"/>
      <c r="F34" s="803">
        <f>SUMIF(97:97,E34,98:98)-SUMIF(97:97,C34,98:98)+100</f>
        <v>100</v>
      </c>
      <c r="G34" s="774"/>
      <c r="H34" s="777">
        <f>SUMIF(97:97,G34,98:98)-SUMIF(97:97,C34,98:98)+100</f>
        <v>100</v>
      </c>
      <c r="I34" s="774"/>
      <c r="J34" s="777">
        <f>SUMIF(97:97,I34,98:98)-SUMIF(97:97,C34,98:98)+100</f>
        <v>100</v>
      </c>
      <c r="K34" s="955"/>
      <c r="L34" s="2354"/>
      <c r="M34" s="2345"/>
      <c r="N34" s="2345"/>
      <c r="O34" s="2345"/>
      <c r="P34" s="3762"/>
      <c r="Q34" s="2827">
        <f t="shared" si="8"/>
        <v>111</v>
      </c>
      <c r="R34" s="1323" t="s">
        <v>65</v>
      </c>
      <c r="S34" s="1324">
        <f t="shared" si="9"/>
        <v>100</v>
      </c>
      <c r="T34" s="1323" t="s">
        <v>65</v>
      </c>
      <c r="U34" s="1324">
        <f t="shared" si="10"/>
        <v>100</v>
      </c>
      <c r="V34" s="1323" t="s">
        <v>65</v>
      </c>
      <c r="W34" s="1324">
        <f t="shared" si="11"/>
        <v>100</v>
      </c>
      <c r="X34" s="2826"/>
      <c r="Y34" s="3762"/>
      <c r="Z34" s="2828">
        <f t="shared" si="12"/>
        <v>111</v>
      </c>
      <c r="AA34" s="1326">
        <f t="shared" si="3"/>
        <v>1</v>
      </c>
      <c r="AB34" s="1326">
        <f t="shared" si="4"/>
        <v>1</v>
      </c>
      <c r="AC34" s="1326">
        <f t="shared" si="5"/>
        <v>1</v>
      </c>
    </row>
    <row r="35" spans="1:29" s="813" customFormat="1" ht="15" hidden="1">
      <c r="A35" s="995"/>
      <c r="B35" s="990">
        <v>111</v>
      </c>
      <c r="C35" s="774"/>
      <c r="D35" s="777">
        <v>100</v>
      </c>
      <c r="E35" s="774"/>
      <c r="F35" s="803">
        <f>SUMIF(99:99,E35,100:100)-SUMIF(99:99,C35,100:100)+100</f>
        <v>100</v>
      </c>
      <c r="G35" s="774"/>
      <c r="H35" s="777">
        <f>SUMIF(99:99,G35,100:100)-SUMIF(99:99,C35,100:100)+100</f>
        <v>100</v>
      </c>
      <c r="I35" s="774"/>
      <c r="J35" s="777">
        <f>SUMIF(99:99,I35,100:100)-SUMIF(99:99,C35,100:100)+100</f>
        <v>100</v>
      </c>
      <c r="K35" s="955"/>
      <c r="L35" s="2352"/>
      <c r="M35" s="2355"/>
      <c r="N35" s="2355"/>
      <c r="O35" s="2355"/>
      <c r="P35" s="3762"/>
      <c r="Q35" s="1327">
        <f t="shared" si="8"/>
        <v>111</v>
      </c>
      <c r="R35" s="1328" t="s">
        <v>65</v>
      </c>
      <c r="S35" s="1329">
        <f t="shared" si="9"/>
        <v>100</v>
      </c>
      <c r="T35" s="1328" t="s">
        <v>65</v>
      </c>
      <c r="U35" s="1329">
        <f t="shared" si="10"/>
        <v>100</v>
      </c>
      <c r="V35" s="1328" t="s">
        <v>65</v>
      </c>
      <c r="W35" s="1329">
        <f t="shared" si="11"/>
        <v>100</v>
      </c>
      <c r="X35" s="1330"/>
      <c r="Y35" s="3762"/>
      <c r="Z35" s="1331">
        <f t="shared" si="12"/>
        <v>111</v>
      </c>
      <c r="AA35" s="1326">
        <f t="shared" si="3"/>
        <v>1</v>
      </c>
      <c r="AB35" s="1326">
        <f t="shared" si="4"/>
        <v>1</v>
      </c>
      <c r="AC35" s="1326">
        <f t="shared" si="5"/>
        <v>1</v>
      </c>
    </row>
    <row r="36" spans="1:29" ht="15.75" hidden="1" thickBot="1">
      <c r="A36" s="1001"/>
      <c r="B36" s="977">
        <v>111</v>
      </c>
      <c r="C36" s="776"/>
      <c r="D36" s="777">
        <v>100</v>
      </c>
      <c r="E36" s="774"/>
      <c r="F36" s="803">
        <f>SUMIF(101:101,E36,102:102)-SUMIF(101:101,C36,102:102)+100</f>
        <v>100</v>
      </c>
      <c r="G36" s="774"/>
      <c r="H36" s="777">
        <f>SUMIF(101:101,G36,102:102)-SUMIF(101:101,C36,102:102)+100</f>
        <v>100</v>
      </c>
      <c r="I36" s="774"/>
      <c r="J36" s="777">
        <f>SUMIF(101:101,I36,102:102)-SUMIF(101:101,C36,102:102)+100</f>
        <v>100</v>
      </c>
      <c r="K36" s="955"/>
      <c r="L36" s="2354"/>
      <c r="M36" s="2345"/>
      <c r="N36" s="2345"/>
      <c r="O36" s="2345"/>
      <c r="P36" s="3762"/>
      <c r="Q36" s="2827">
        <f t="shared" si="8"/>
        <v>111</v>
      </c>
      <c r="R36" s="1323" t="s">
        <v>65</v>
      </c>
      <c r="S36" s="1324">
        <f t="shared" si="9"/>
        <v>100</v>
      </c>
      <c r="T36" s="1323" t="s">
        <v>65</v>
      </c>
      <c r="U36" s="1324">
        <f t="shared" si="10"/>
        <v>100</v>
      </c>
      <c r="V36" s="1323" t="s">
        <v>65</v>
      </c>
      <c r="W36" s="1324">
        <f t="shared" si="11"/>
        <v>100</v>
      </c>
      <c r="X36" s="2826"/>
      <c r="Y36" s="3762"/>
      <c r="Z36" s="2828">
        <f t="shared" si="12"/>
        <v>111</v>
      </c>
      <c r="AA36" s="1326">
        <f t="shared" si="3"/>
        <v>1</v>
      </c>
      <c r="AB36" s="1326">
        <f t="shared" si="4"/>
        <v>1</v>
      </c>
      <c r="AC36" s="1326">
        <f t="shared" si="5"/>
        <v>1</v>
      </c>
    </row>
    <row r="37" spans="1:29" ht="15">
      <c r="A37" s="163" t="s">
        <v>2138</v>
      </c>
      <c r="B37" s="2095" t="s">
        <v>2139</v>
      </c>
      <c r="C37" s="2829" t="s">
        <v>23</v>
      </c>
      <c r="D37" s="2830"/>
      <c r="E37" s="2831">
        <f>ROUND(140000*0.9,0)</f>
        <v>126000</v>
      </c>
      <c r="F37" s="2832"/>
      <c r="G37" s="2833">
        <f>ROUND(125000*0.95,0)</f>
        <v>118750</v>
      </c>
      <c r="H37" s="2834"/>
      <c r="I37" s="2831">
        <f>ROUND(130000*0.95,0)</f>
        <v>123500</v>
      </c>
      <c r="J37" s="2834"/>
      <c r="K37" s="961"/>
      <c r="L37" s="2357"/>
      <c r="M37" s="2358"/>
      <c r="N37" s="2345"/>
      <c r="O37" s="2358"/>
      <c r="P37" s="3744" t="str">
        <f>A37</f>
        <v>成交单价</v>
      </c>
      <c r="Q37" s="3744"/>
      <c r="R37" s="3763">
        <f>E37</f>
        <v>126000</v>
      </c>
      <c r="S37" s="3763"/>
      <c r="T37" s="3763">
        <f>G37</f>
        <v>118750</v>
      </c>
      <c r="U37" s="3763"/>
      <c r="V37" s="3763">
        <f>I37</f>
        <v>123500</v>
      </c>
      <c r="W37" s="3763"/>
      <c r="X37" s="1306"/>
      <c r="Y37" s="1332"/>
      <c r="Z37" s="1306"/>
      <c r="AA37" s="1306"/>
      <c r="AB37" s="1306"/>
      <c r="AC37" s="1306"/>
    </row>
    <row r="38" spans="1:29" ht="15.75" thickBot="1">
      <c r="A38" s="828" t="s">
        <v>411</v>
      </c>
      <c r="B38" s="166" t="str">
        <f>B37</f>
        <v>元/车位</v>
      </c>
      <c r="C38" s="2835">
        <f>R39</f>
        <v>122750</v>
      </c>
      <c r="D38" s="2836"/>
      <c r="E38" s="2837">
        <f>R38</f>
        <v>126000</v>
      </c>
      <c r="F38" s="2837"/>
      <c r="G38" s="2835">
        <f>T38</f>
        <v>118750</v>
      </c>
      <c r="H38" s="2836"/>
      <c r="I38" s="2837">
        <f>V38</f>
        <v>123500</v>
      </c>
      <c r="J38" s="2836"/>
      <c r="K38" s="962"/>
      <c r="L38" s="2357"/>
      <c r="M38" s="2358"/>
      <c r="N38" s="2358"/>
      <c r="O38" s="2358"/>
      <c r="P38" s="3744" t="str">
        <f>A38</f>
        <v>比较价值（元/平方米）</v>
      </c>
      <c r="Q38" s="3744"/>
      <c r="R38" s="3763">
        <f>IF(F1="售价",ROUND(PRODUCT(R37,AA7:AA36),0),ROUND(PRODUCT(R37,AA7:AA36),1))</f>
        <v>126000</v>
      </c>
      <c r="S38" s="3763"/>
      <c r="T38" s="3763">
        <f>IF(F1="售价",ROUND(PRODUCT(T37,AB7:AB36),0),ROUND(PRODUCT(T37,AB7:AB36),1))</f>
        <v>118750</v>
      </c>
      <c r="U38" s="3763"/>
      <c r="V38" s="3763">
        <f>IF(F1="售价",ROUND(PRODUCT(V37,AC7:AC36),0),ROUND(PRODUCT(V37,AC7:AC36),1))</f>
        <v>123500</v>
      </c>
      <c r="W38" s="3763"/>
      <c r="X38" s="1306"/>
      <c r="Y38" s="1306"/>
      <c r="Z38" s="1306"/>
      <c r="AA38" s="1306"/>
      <c r="AB38" s="1306"/>
      <c r="AC38" s="1306"/>
    </row>
    <row r="39" spans="1:29" ht="15.75" thickBot="1">
      <c r="A39" s="834" t="s">
        <v>3020</v>
      </c>
      <c r="B39" s="835"/>
      <c r="C39" s="2839">
        <f>R39</f>
        <v>122750</v>
      </c>
      <c r="D39" s="2839"/>
      <c r="E39" s="2839"/>
      <c r="F39" s="2839"/>
      <c r="G39" s="2839"/>
      <c r="H39" s="2839"/>
      <c r="I39" s="2839"/>
      <c r="J39" s="2839"/>
      <c r="K39" s="963"/>
      <c r="L39" s="2357"/>
      <c r="M39" s="2358"/>
      <c r="N39" s="2358"/>
      <c r="O39" s="2358"/>
      <c r="P39" s="3764" t="str">
        <f>A39</f>
        <v>估价对象XX用房的比较价值（楼面单价，元/平方米）</v>
      </c>
      <c r="Q39" s="3765"/>
      <c r="R39" s="3766">
        <f>IF(F1="售价",ROUND(AVERAGE(R38:V38),0),ROUND(AVERAGE(R38:V38),1))</f>
        <v>122750</v>
      </c>
      <c r="S39" s="3766"/>
      <c r="T39" s="3766"/>
      <c r="U39" s="3766"/>
      <c r="V39" s="3766"/>
      <c r="W39" s="3766"/>
      <c r="X39" s="1306"/>
      <c r="Y39" s="1306"/>
      <c r="Z39" s="1306"/>
      <c r="AA39" s="1306"/>
      <c r="AB39" s="1306"/>
      <c r="AC39" s="1306"/>
    </row>
    <row r="40" spans="1:29">
      <c r="A40" s="2358"/>
      <c r="B40" s="2358"/>
      <c r="C40" s="2358">
        <f>ROUND(B3*'数据-基础表'!K14/10000,0)</f>
        <v>994</v>
      </c>
      <c r="D40" s="2358"/>
      <c r="E40" s="2358"/>
      <c r="F40" s="2358"/>
      <c r="G40" s="2361"/>
      <c r="H40" s="2358"/>
      <c r="I40" s="2358"/>
      <c r="J40" s="2358"/>
      <c r="K40" s="2184"/>
      <c r="L40" s="2185"/>
      <c r="M40" s="2358"/>
      <c r="N40" s="2358"/>
      <c r="O40" s="2358"/>
      <c r="P40" s="2842"/>
      <c r="Q40" s="2358"/>
      <c r="R40" s="2358"/>
      <c r="S40" s="2358"/>
      <c r="T40" s="2358"/>
      <c r="U40" s="2358"/>
      <c r="V40" s="2358"/>
      <c r="W40" s="2358"/>
      <c r="X40" s="2358"/>
      <c r="Y40" s="2358"/>
      <c r="Z40" s="2358"/>
      <c r="AA40" s="2358"/>
      <c r="AB40" s="2358"/>
      <c r="AC40" s="2358"/>
    </row>
    <row r="41" spans="1:29">
      <c r="A41" s="2358"/>
      <c r="B41" s="2358"/>
      <c r="C41" s="2358"/>
      <c r="D41" s="2358"/>
      <c r="E41" s="2358"/>
      <c r="F41" s="2358"/>
      <c r="G41" s="2358"/>
      <c r="H41" s="2358"/>
      <c r="I41" s="2358"/>
      <c r="J41" s="2358"/>
      <c r="K41" s="2184"/>
      <c r="L41" s="2185"/>
      <c r="M41" s="2358"/>
      <c r="N41" s="2358"/>
      <c r="O41" s="2358"/>
      <c r="P41" s="2842"/>
      <c r="Q41" s="2358"/>
      <c r="R41" s="2358"/>
      <c r="S41" s="2358"/>
      <c r="T41" s="2358"/>
      <c r="U41" s="2358"/>
      <c r="V41" s="2358"/>
      <c r="W41" s="2358"/>
      <c r="X41" s="2358"/>
      <c r="Y41" s="2358"/>
      <c r="Z41" s="2358"/>
      <c r="AA41" s="2358"/>
      <c r="AB41" s="2358"/>
      <c r="AC41" s="2358"/>
    </row>
    <row r="42" spans="1:29" ht="13.5" customHeight="1">
      <c r="A42" s="2358"/>
      <c r="B42" s="2358"/>
      <c r="C42" s="839" t="s">
        <v>412</v>
      </c>
      <c r="D42" s="840"/>
      <c r="E42" s="841">
        <f>IF(E37&lt;E38,E38/E37-1,E37/E38-1)</f>
        <v>0</v>
      </c>
      <c r="F42" s="842" t="str">
        <f>IF(OR(E42&gt;=0.3,E42&lt;=-0.3),"超过30%","")</f>
        <v/>
      </c>
      <c r="G42" s="841">
        <f>IF(G37&lt;G38,G38/G37-1,G37/G38-1)</f>
        <v>0</v>
      </c>
      <c r="H42" s="842" t="str">
        <f>IF(OR(G42&gt;=0.3,G42&lt;=-0.3),"超过30%","")</f>
        <v/>
      </c>
      <c r="I42" s="841">
        <f>IF(I37&lt;I38,I38/I37-1,I37/I38-1)</f>
        <v>0</v>
      </c>
      <c r="J42" s="842" t="str">
        <f>IF(OR(I42&gt;=0.3,I42&lt;=-0.3),"超过30%","")</f>
        <v/>
      </c>
      <c r="K42" s="2184"/>
      <c r="L42" s="2185"/>
      <c r="M42" s="2358"/>
      <c r="N42" s="2358"/>
      <c r="O42" s="2358"/>
      <c r="P42" s="2842"/>
      <c r="Q42" s="2358"/>
      <c r="R42" s="2358"/>
      <c r="S42" s="2358"/>
      <c r="T42" s="2358"/>
      <c r="U42" s="2358"/>
      <c r="V42" s="2358"/>
      <c r="W42" s="2358"/>
      <c r="X42" s="2358"/>
      <c r="Y42" s="2358"/>
      <c r="Z42" s="2358"/>
      <c r="AA42" s="2358"/>
      <c r="AB42" s="2358"/>
      <c r="AC42" s="2358"/>
    </row>
    <row r="43" spans="1:29" ht="13.5" customHeight="1">
      <c r="A43" s="2358"/>
      <c r="B43" s="2358"/>
      <c r="C43" s="839" t="s">
        <v>413</v>
      </c>
      <c r="D43" s="843"/>
      <c r="E43" s="841">
        <f>IF(E38&lt;G38,G38/E38-1,E38/G38-1)</f>
        <v>6.1052631578947469E-2</v>
      </c>
      <c r="F43" s="842" t="str">
        <f>IF(OR(E43&gt;=0.2,E43&lt;=-0.2),"超过20%","")</f>
        <v/>
      </c>
      <c r="G43" s="841">
        <f>IF(G38&lt;I38,I38/G38-1,G38/I38-1)</f>
        <v>4.0000000000000036E-2</v>
      </c>
      <c r="H43" s="842" t="str">
        <f>IF(OR(G43&gt;=0.2,G43&lt;=-0.2),"超过20%","")</f>
        <v/>
      </c>
      <c r="I43" s="841">
        <f>IF(I38&lt;E38,E38/I38-1,I38/E38-1)</f>
        <v>2.0242914979757165E-2</v>
      </c>
      <c r="J43" s="842" t="str">
        <f>IF(OR(I43&gt;=0.2,I43&lt;=-0.2),"超过20%","")</f>
        <v/>
      </c>
      <c r="K43" s="2184"/>
      <c r="L43" s="2185"/>
      <c r="M43" s="2358"/>
      <c r="N43" s="2358"/>
      <c r="O43" s="2358"/>
      <c r="P43" s="2842"/>
      <c r="Q43" s="2358"/>
      <c r="R43" s="2358"/>
      <c r="S43" s="2358"/>
      <c r="T43" s="2358"/>
      <c r="U43" s="2358"/>
      <c r="V43" s="2358"/>
      <c r="W43" s="2358"/>
      <c r="X43" s="2358"/>
      <c r="Y43" s="2358"/>
      <c r="Z43" s="2358"/>
      <c r="AA43" s="2358"/>
      <c r="AB43" s="2358"/>
      <c r="AC43" s="2358"/>
    </row>
    <row r="44" spans="1:29" s="844" customFormat="1" ht="13.5" customHeight="1">
      <c r="A44" s="2359"/>
      <c r="B44" s="2359"/>
      <c r="C44" s="839" t="s">
        <v>414</v>
      </c>
      <c r="D44" s="843"/>
      <c r="E44" s="841">
        <f>IF(E37&lt;G37,G37/E37-1,E37/G37-1)</f>
        <v>6.1052631578947469E-2</v>
      </c>
      <c r="F44" s="842" t="str">
        <f>IF(OR(E44&gt;=0.3,E44&lt;=-0.3),"超过30%","")</f>
        <v/>
      </c>
      <c r="G44" s="841">
        <f>IF(G37&lt;I37,I37/G37-1,G37/I37-1)</f>
        <v>4.0000000000000036E-2</v>
      </c>
      <c r="H44" s="842" t="str">
        <f>IF(OR(G44&gt;=0.3,G44&lt;=-0.3),"超过30%","")</f>
        <v/>
      </c>
      <c r="I44" s="841">
        <f>IF(I37&lt;E37,E37/I37-1,I37/E37-1)</f>
        <v>2.0242914979757165E-2</v>
      </c>
      <c r="J44" s="842" t="str">
        <f>IF(OR(I44&gt;=0.3,I44&lt;=-0.3),"超过30%","")</f>
        <v/>
      </c>
      <c r="K44" s="2362"/>
      <c r="L44" s="2363"/>
      <c r="M44" s="2359"/>
      <c r="N44" s="2359"/>
      <c r="O44" s="2359"/>
      <c r="P44" s="2843"/>
      <c r="Q44" s="2359"/>
      <c r="R44" s="2359"/>
      <c r="S44" s="2359"/>
      <c r="T44" s="2359"/>
      <c r="U44" s="2359"/>
      <c r="V44" s="2359"/>
      <c r="W44" s="2359"/>
      <c r="X44" s="2359"/>
      <c r="Y44" s="2359"/>
      <c r="Z44" s="2359"/>
      <c r="AA44" s="2359"/>
      <c r="AB44" s="2359"/>
      <c r="AC44" s="2359"/>
    </row>
    <row r="45" spans="1:29" s="844" customFormat="1">
      <c r="A45" s="2359"/>
      <c r="B45" s="2360"/>
      <c r="C45" s="2364"/>
      <c r="D45" s="2359"/>
      <c r="E45" s="2359"/>
      <c r="F45" s="2359"/>
      <c r="G45" s="2359"/>
      <c r="H45" s="2359"/>
      <c r="I45" s="2359"/>
      <c r="J45" s="2359"/>
      <c r="K45" s="2362"/>
      <c r="L45" s="2363"/>
      <c r="M45" s="2359"/>
      <c r="N45" s="2359"/>
      <c r="O45" s="2359"/>
      <c r="P45" s="2843"/>
      <c r="Q45" s="2359"/>
      <c r="R45" s="2359"/>
      <c r="S45" s="2359"/>
      <c r="T45" s="2359"/>
      <c r="U45" s="2359"/>
      <c r="V45" s="2359"/>
      <c r="W45" s="2359"/>
      <c r="X45" s="2359"/>
      <c r="Y45" s="2359"/>
      <c r="Z45" s="2359"/>
      <c r="AA45" s="2359"/>
      <c r="AB45" s="2359"/>
      <c r="AC45" s="2359"/>
    </row>
    <row r="46" spans="1:29">
      <c r="A46" s="2358"/>
      <c r="B46" s="2360"/>
      <c r="C46" s="2364"/>
      <c r="D46" s="2358"/>
      <c r="E46" s="2358"/>
      <c r="F46" s="2358"/>
      <c r="G46" s="2358"/>
      <c r="H46" s="2358"/>
      <c r="I46" s="2358"/>
      <c r="J46" s="2358"/>
      <c r="K46" s="2184"/>
      <c r="L46" s="2185"/>
      <c r="M46" s="2358"/>
      <c r="N46" s="2358"/>
      <c r="O46" s="2358"/>
      <c r="P46" s="2842"/>
      <c r="Q46" s="2358"/>
      <c r="R46" s="2358"/>
      <c r="S46" s="2358"/>
      <c r="T46" s="2358"/>
      <c r="U46" s="2358"/>
      <c r="V46" s="2358"/>
      <c r="W46" s="2358"/>
      <c r="X46" s="2358"/>
      <c r="Y46" s="2358"/>
      <c r="Z46" s="2358"/>
      <c r="AA46" s="2358"/>
      <c r="AB46" s="2358"/>
      <c r="AC46" s="2358"/>
    </row>
    <row r="47" spans="1:29" ht="21.75" thickBot="1">
      <c r="A47" s="2846" t="s">
        <v>415</v>
      </c>
      <c r="B47" s="2358"/>
      <c r="C47" s="2374"/>
      <c r="D47" s="2374"/>
      <c r="E47" s="2374"/>
      <c r="F47" s="2847"/>
      <c r="G47" s="2847"/>
      <c r="H47" s="2374"/>
      <c r="I47" s="2374"/>
      <c r="J47" s="2374"/>
      <c r="K47" s="2375"/>
      <c r="L47" s="2376"/>
      <c r="M47" s="2374"/>
      <c r="N47" s="2374"/>
      <c r="O47" s="2374"/>
      <c r="P47" s="2844"/>
      <c r="Q47" s="2845"/>
      <c r="R47" s="2358"/>
      <c r="S47" s="2358"/>
      <c r="T47" s="2358"/>
      <c r="U47" s="2358"/>
      <c r="V47" s="2358"/>
      <c r="W47" s="2358"/>
      <c r="X47" s="2358"/>
      <c r="Y47" s="2358"/>
      <c r="Z47" s="2358"/>
      <c r="AA47" s="2358"/>
      <c r="AB47" s="2358"/>
      <c r="AC47" s="2358"/>
    </row>
    <row r="48" spans="1:29" s="850" customFormat="1" ht="15">
      <c r="A48" s="847" t="s">
        <v>2797</v>
      </c>
      <c r="B48" s="848"/>
      <c r="C48" s="3037" t="str">
        <f>YEAR(C7)&amp;"-"&amp;MONTH(C7)</f>
        <v>2017-8</v>
      </c>
      <c r="D48" s="3038">
        <f>EDATE(C48,-1)</f>
        <v>42917</v>
      </c>
      <c r="E48" s="3038">
        <f t="shared" ref="E48:O48" si="13">EDATE(D48,-1)</f>
        <v>42887</v>
      </c>
      <c r="F48" s="3038">
        <f t="shared" si="13"/>
        <v>42856</v>
      </c>
      <c r="G48" s="3038">
        <f t="shared" si="13"/>
        <v>42826</v>
      </c>
      <c r="H48" s="3038">
        <f t="shared" si="13"/>
        <v>42795</v>
      </c>
      <c r="I48" s="3038">
        <f t="shared" si="13"/>
        <v>42767</v>
      </c>
      <c r="J48" s="3038">
        <f t="shared" si="13"/>
        <v>42736</v>
      </c>
      <c r="K48" s="3038">
        <f t="shared" si="13"/>
        <v>42705</v>
      </c>
      <c r="L48" s="3038">
        <f t="shared" si="13"/>
        <v>42675</v>
      </c>
      <c r="M48" s="3038">
        <f t="shared" si="13"/>
        <v>42644</v>
      </c>
      <c r="N48" s="3038">
        <f t="shared" si="13"/>
        <v>42614</v>
      </c>
      <c r="O48" s="3038">
        <f t="shared" si="13"/>
        <v>42583</v>
      </c>
      <c r="P48" s="2860"/>
      <c r="Q48" s="2861"/>
      <c r="R48" s="2861"/>
      <c r="S48" s="2861"/>
      <c r="T48" s="2861"/>
      <c r="U48" s="2861"/>
      <c r="V48" s="2861"/>
      <c r="W48" s="2861"/>
      <c r="X48" s="2861"/>
      <c r="Y48" s="2861"/>
      <c r="Z48" s="2861"/>
      <c r="AA48" s="2861"/>
      <c r="AB48" s="2861"/>
      <c r="AC48" s="2861"/>
    </row>
    <row r="49" spans="1:29" s="407" customFormat="1" ht="15">
      <c r="A49" s="851"/>
      <c r="B49" s="852"/>
      <c r="C49" s="3026">
        <v>100</v>
      </c>
      <c r="D49" s="854"/>
      <c r="E49" s="854"/>
      <c r="F49" s="854"/>
      <c r="G49" s="854"/>
      <c r="H49" s="854"/>
      <c r="I49" s="854"/>
      <c r="J49" s="854"/>
      <c r="K49" s="854"/>
      <c r="L49" s="854"/>
      <c r="M49" s="855"/>
      <c r="N49" s="854"/>
      <c r="O49" s="855"/>
      <c r="P49" s="2850"/>
      <c r="Q49" s="2849"/>
      <c r="R49" s="2849"/>
      <c r="S49" s="2849"/>
      <c r="T49" s="2849"/>
      <c r="U49" s="2849"/>
      <c r="V49" s="2849"/>
      <c r="W49" s="2849"/>
      <c r="X49" s="2849"/>
      <c r="Y49" s="2849"/>
      <c r="Z49" s="2849"/>
      <c r="AA49" s="2849"/>
      <c r="AB49" s="2849"/>
      <c r="AC49" s="2849"/>
    </row>
    <row r="50" spans="1:29" s="407" customFormat="1" ht="15.75" thickBot="1">
      <c r="A50" s="857" t="s">
        <v>416</v>
      </c>
      <c r="B50" s="858"/>
      <c r="C50" s="859"/>
      <c r="D50" s="860"/>
      <c r="E50" s="860"/>
      <c r="F50" s="860"/>
      <c r="G50" s="860"/>
      <c r="H50" s="860"/>
      <c r="I50" s="860"/>
      <c r="J50" s="860"/>
      <c r="K50" s="860"/>
      <c r="L50" s="860"/>
      <c r="M50" s="861"/>
      <c r="N50" s="860"/>
      <c r="O50" s="861"/>
      <c r="P50" s="2850"/>
      <c r="Q50" s="2845"/>
      <c r="R50" s="2849"/>
      <c r="S50" s="2849"/>
      <c r="T50" s="2849"/>
      <c r="U50" s="2849"/>
      <c r="V50" s="2849"/>
      <c r="W50" s="2849"/>
      <c r="X50" s="2849"/>
      <c r="Y50" s="2849"/>
      <c r="Z50" s="2849"/>
      <c r="AA50" s="2849"/>
      <c r="AB50" s="2849"/>
      <c r="AC50" s="2849"/>
    </row>
    <row r="51" spans="1:29" s="407" customFormat="1" ht="15">
      <c r="A51" s="863" t="s">
        <v>400</v>
      </c>
      <c r="B51" s="852"/>
      <c r="C51" s="864" t="s">
        <v>417</v>
      </c>
      <c r="D51" s="865"/>
      <c r="E51" s="865"/>
      <c r="F51" s="865"/>
      <c r="G51" s="865"/>
      <c r="H51" s="865"/>
      <c r="I51" s="865"/>
      <c r="J51" s="865"/>
      <c r="K51" s="865"/>
      <c r="L51" s="866"/>
      <c r="M51" s="867"/>
      <c r="N51" s="2365"/>
      <c r="O51" s="2365"/>
      <c r="P51" s="2848"/>
      <c r="Q51" s="2845"/>
      <c r="R51" s="2849"/>
      <c r="S51" s="2849"/>
      <c r="T51" s="2849"/>
      <c r="U51" s="2849"/>
      <c r="V51" s="2849"/>
      <c r="W51" s="2849"/>
      <c r="X51" s="2849"/>
      <c r="Y51" s="2849"/>
      <c r="Z51" s="2849"/>
      <c r="AA51" s="2849"/>
      <c r="AB51" s="2849"/>
      <c r="AC51" s="2849"/>
    </row>
    <row r="52" spans="1:29" s="407" customFormat="1" ht="15.75" thickBot="1">
      <c r="A52" s="863"/>
      <c r="B52" s="852"/>
      <c r="C52" s="981">
        <v>100</v>
      </c>
      <c r="D52" s="854"/>
      <c r="E52" s="854"/>
      <c r="F52" s="854"/>
      <c r="G52" s="854"/>
      <c r="H52" s="854"/>
      <c r="I52" s="854"/>
      <c r="J52" s="854"/>
      <c r="K52" s="854"/>
      <c r="L52" s="854"/>
      <c r="M52" s="856"/>
      <c r="N52" s="2365"/>
      <c r="O52" s="2365"/>
      <c r="P52" s="2850"/>
      <c r="Q52" s="2845"/>
      <c r="R52" s="2849"/>
      <c r="S52" s="2849"/>
      <c r="T52" s="2849"/>
      <c r="U52" s="2849"/>
      <c r="V52" s="2849"/>
      <c r="W52" s="2849"/>
      <c r="X52" s="2849"/>
      <c r="Y52" s="2849"/>
      <c r="Z52" s="2849"/>
      <c r="AA52" s="2849"/>
      <c r="AB52" s="2849"/>
      <c r="AC52" s="2849"/>
    </row>
    <row r="53" spans="1:29">
      <c r="A53" s="869" t="s">
        <v>418</v>
      </c>
      <c r="B53" s="870" t="s">
        <v>419</v>
      </c>
      <c r="C53" s="871" t="str">
        <f>C9</f>
        <v>地下车库</v>
      </c>
      <c r="D53" s="872"/>
      <c r="E53" s="872"/>
      <c r="F53" s="872"/>
      <c r="G53" s="872"/>
      <c r="H53" s="872"/>
      <c r="I53" s="872"/>
      <c r="J53" s="872"/>
      <c r="K53" s="873"/>
      <c r="L53" s="874"/>
      <c r="M53" s="875"/>
      <c r="N53" s="2366"/>
      <c r="O53" s="2366"/>
      <c r="P53" s="2851"/>
      <c r="Q53" s="2845"/>
      <c r="R53" s="2358"/>
      <c r="S53" s="2358"/>
      <c r="T53" s="2358"/>
      <c r="U53" s="2358"/>
      <c r="V53" s="2358"/>
      <c r="W53" s="2358"/>
      <c r="X53" s="2358"/>
      <c r="Y53" s="2358"/>
      <c r="Z53" s="2358"/>
      <c r="AA53" s="2358"/>
      <c r="AB53" s="2358"/>
      <c r="AC53" s="2358"/>
    </row>
    <row r="54" spans="1:29" ht="15.75" thickBot="1">
      <c r="A54" s="876"/>
      <c r="B54" s="877"/>
      <c r="C54" s="878">
        <v>100</v>
      </c>
      <c r="D54" s="878"/>
      <c r="E54" s="878"/>
      <c r="F54" s="878"/>
      <c r="G54" s="878"/>
      <c r="H54" s="878"/>
      <c r="I54" s="878"/>
      <c r="J54" s="878"/>
      <c r="K54" s="878"/>
      <c r="L54" s="878"/>
      <c r="M54" s="879"/>
      <c r="N54" s="2367"/>
      <c r="O54" s="2367"/>
      <c r="P54" s="2851"/>
      <c r="Q54" s="2845"/>
      <c r="R54" s="2358"/>
      <c r="S54" s="2358"/>
      <c r="T54" s="2358"/>
      <c r="U54" s="2358"/>
      <c r="V54" s="2358"/>
      <c r="W54" s="2358"/>
      <c r="X54" s="2358"/>
      <c r="Y54" s="2358"/>
      <c r="Z54" s="2358"/>
      <c r="AA54" s="2358"/>
      <c r="AB54" s="2358"/>
      <c r="AC54" s="2358"/>
    </row>
    <row r="55" spans="1:29" ht="27.75" thickTop="1">
      <c r="A55" s="876"/>
      <c r="B55" s="880" t="s">
        <v>404</v>
      </c>
      <c r="C55" s="881" t="s">
        <v>420</v>
      </c>
      <c r="D55" s="881" t="s">
        <v>421</v>
      </c>
      <c r="E55" s="881" t="s">
        <v>422</v>
      </c>
      <c r="F55" s="881" t="s">
        <v>423</v>
      </c>
      <c r="G55" s="881" t="s">
        <v>438</v>
      </c>
      <c r="H55" s="881" t="s">
        <v>439</v>
      </c>
      <c r="I55" s="881" t="s">
        <v>440</v>
      </c>
      <c r="J55" s="881"/>
      <c r="K55" s="882"/>
      <c r="L55" s="883"/>
      <c r="M55" s="884"/>
      <c r="N55" s="2366"/>
      <c r="O55" s="2366"/>
      <c r="P55" s="2851"/>
      <c r="Q55" s="2845"/>
      <c r="R55" s="2358"/>
      <c r="S55" s="2358"/>
      <c r="T55" s="2358"/>
      <c r="U55" s="2358"/>
      <c r="V55" s="2358"/>
      <c r="W55" s="2358"/>
      <c r="X55" s="2358"/>
      <c r="Y55" s="2358"/>
      <c r="Z55" s="2358"/>
      <c r="AA55" s="2358"/>
      <c r="AB55" s="2358"/>
      <c r="AC55" s="2358"/>
    </row>
    <row r="56" spans="1:29" ht="15.75" thickBot="1">
      <c r="A56" s="876"/>
      <c r="B56" s="885"/>
      <c r="C56" s="886" t="s">
        <v>138</v>
      </c>
      <c r="D56" s="886" t="s">
        <v>139</v>
      </c>
      <c r="E56" s="886">
        <v>100</v>
      </c>
      <c r="F56" s="886">
        <f>E56-$K10</f>
        <v>100</v>
      </c>
      <c r="G56" s="886">
        <f>F56-$K10</f>
        <v>100</v>
      </c>
      <c r="H56" s="886">
        <f>G56-$K10</f>
        <v>100</v>
      </c>
      <c r="I56" s="886">
        <f>H56-$K10</f>
        <v>100</v>
      </c>
      <c r="J56" s="886"/>
      <c r="K56" s="886"/>
      <c r="L56" s="886"/>
      <c r="M56" s="887"/>
      <c r="N56" s="2367"/>
      <c r="O56" s="2367"/>
      <c r="P56" s="2851"/>
      <c r="Q56" s="2845"/>
      <c r="R56" s="2358"/>
      <c r="S56" s="2358"/>
      <c r="T56" s="2358"/>
      <c r="U56" s="2358"/>
      <c r="V56" s="2358"/>
      <c r="W56" s="2358"/>
      <c r="X56" s="2358"/>
      <c r="Y56" s="2358"/>
      <c r="Z56" s="2358"/>
      <c r="AA56" s="2358"/>
      <c r="AB56" s="2358"/>
      <c r="AC56" s="2358"/>
    </row>
    <row r="57" spans="1:29" ht="15.75" thickTop="1">
      <c r="A57" s="876"/>
      <c r="B57" s="1002">
        <f>B11</f>
        <v>111</v>
      </c>
      <c r="C57" s="891"/>
      <c r="D57" s="891"/>
      <c r="E57" s="891"/>
      <c r="F57" s="891"/>
      <c r="G57" s="891"/>
      <c r="H57" s="891"/>
      <c r="I57" s="891"/>
      <c r="J57" s="891"/>
      <c r="K57" s="892"/>
      <c r="L57" s="893"/>
      <c r="M57" s="894"/>
      <c r="N57" s="2366"/>
      <c r="O57" s="2366"/>
      <c r="P57" s="2851"/>
      <c r="Q57" s="2845"/>
      <c r="R57" s="2358"/>
      <c r="S57" s="2358"/>
      <c r="T57" s="2358"/>
      <c r="U57" s="2358"/>
      <c r="V57" s="2358"/>
      <c r="W57" s="2358"/>
      <c r="X57" s="2358"/>
      <c r="Y57" s="2358"/>
      <c r="Z57" s="2358"/>
      <c r="AA57" s="2358"/>
      <c r="AB57" s="2358"/>
      <c r="AC57" s="2358"/>
    </row>
    <row r="58" spans="1:29" ht="15.75" thickBot="1">
      <c r="A58" s="876"/>
      <c r="B58" s="877"/>
      <c r="C58" s="902"/>
      <c r="D58" s="878"/>
      <c r="E58" s="878"/>
      <c r="F58" s="878"/>
      <c r="G58" s="878"/>
      <c r="H58" s="878"/>
      <c r="I58" s="878"/>
      <c r="J58" s="878"/>
      <c r="K58" s="878"/>
      <c r="L58" s="878"/>
      <c r="M58" s="879"/>
      <c r="N58" s="2367"/>
      <c r="O58" s="2367"/>
      <c r="P58" s="2851"/>
      <c r="Q58" s="2845"/>
      <c r="R58" s="2358"/>
      <c r="S58" s="2358"/>
      <c r="T58" s="2358"/>
      <c r="U58" s="2358"/>
      <c r="V58" s="2358"/>
      <c r="W58" s="2358"/>
      <c r="X58" s="2358"/>
      <c r="Y58" s="2358"/>
      <c r="Z58" s="2358"/>
      <c r="AA58" s="2358"/>
      <c r="AB58" s="2358"/>
      <c r="AC58" s="2358"/>
    </row>
    <row r="59" spans="1:29" s="813" customFormat="1" ht="15.75" thickTop="1">
      <c r="A59" s="895"/>
      <c r="B59" s="880">
        <f>B12</f>
        <v>111</v>
      </c>
      <c r="C59" s="891"/>
      <c r="D59" s="891"/>
      <c r="E59" s="891"/>
      <c r="F59" s="891"/>
      <c r="G59" s="896"/>
      <c r="H59" s="897"/>
      <c r="I59" s="897"/>
      <c r="J59" s="897"/>
      <c r="K59" s="897"/>
      <c r="L59" s="898"/>
      <c r="M59" s="899"/>
      <c r="N59" s="2368"/>
      <c r="O59" s="2368"/>
      <c r="P59" s="2852"/>
      <c r="Q59" s="2853"/>
      <c r="R59" s="2854"/>
      <c r="S59" s="2854"/>
      <c r="T59" s="2854"/>
      <c r="U59" s="2854"/>
      <c r="V59" s="2854"/>
      <c r="W59" s="2854"/>
      <c r="X59" s="2854"/>
      <c r="Y59" s="2854"/>
      <c r="Z59" s="2854"/>
      <c r="AA59" s="2854"/>
      <c r="AB59" s="2854"/>
      <c r="AC59" s="2854"/>
    </row>
    <row r="60" spans="1:29" s="813" customFormat="1" ht="15.75" thickBot="1">
      <c r="A60" s="895"/>
      <c r="B60" s="885"/>
      <c r="C60" s="902"/>
      <c r="D60" s="878"/>
      <c r="E60" s="878"/>
      <c r="F60" s="878"/>
      <c r="G60" s="878"/>
      <c r="H60" s="878"/>
      <c r="I60" s="878"/>
      <c r="J60" s="878"/>
      <c r="K60" s="878"/>
      <c r="L60" s="878"/>
      <c r="M60" s="879"/>
      <c r="N60" s="2367"/>
      <c r="O60" s="2367"/>
      <c r="P60" s="2852"/>
      <c r="Q60" s="2853"/>
      <c r="R60" s="2854"/>
      <c r="S60" s="2854"/>
      <c r="T60" s="2854"/>
      <c r="U60" s="2854"/>
      <c r="V60" s="2854"/>
      <c r="W60" s="2854"/>
      <c r="X60" s="2854"/>
      <c r="Y60" s="2854"/>
      <c r="Z60" s="2854"/>
      <c r="AA60" s="2854"/>
      <c r="AB60" s="2854"/>
      <c r="AC60" s="2854"/>
    </row>
    <row r="61" spans="1:29" s="813" customFormat="1" ht="15.75" thickTop="1">
      <c r="A61" s="895"/>
      <c r="B61" s="880">
        <f>B13</f>
        <v>111</v>
      </c>
      <c r="C61" s="896"/>
      <c r="D61" s="896"/>
      <c r="E61" s="896"/>
      <c r="F61" s="896"/>
      <c r="G61" s="896"/>
      <c r="H61" s="897"/>
      <c r="I61" s="897"/>
      <c r="J61" s="897"/>
      <c r="K61" s="897"/>
      <c r="L61" s="898"/>
      <c r="M61" s="899"/>
      <c r="N61" s="2368"/>
      <c r="O61" s="2368"/>
      <c r="P61" s="2855"/>
      <c r="Q61" s="2856"/>
      <c r="R61" s="2854"/>
      <c r="S61" s="2854"/>
      <c r="T61" s="2854"/>
      <c r="U61" s="2854"/>
      <c r="V61" s="2854"/>
      <c r="W61" s="2854"/>
      <c r="X61" s="2854"/>
      <c r="Y61" s="2854"/>
      <c r="Z61" s="2854"/>
      <c r="AA61" s="2854"/>
      <c r="AB61" s="2854"/>
      <c r="AC61" s="2854"/>
    </row>
    <row r="62" spans="1:29" s="813" customFormat="1" ht="15.75" thickBot="1">
      <c r="A62" s="895"/>
      <c r="B62" s="885"/>
      <c r="C62" s="902"/>
      <c r="D62" s="902"/>
      <c r="E62" s="902"/>
      <c r="F62" s="902"/>
      <c r="G62" s="902"/>
      <c r="H62" s="904"/>
      <c r="I62" s="904"/>
      <c r="J62" s="904"/>
      <c r="K62" s="904"/>
      <c r="L62" s="904"/>
      <c r="M62" s="905"/>
      <c r="N62" s="2368"/>
      <c r="O62" s="2368"/>
      <c r="P62" s="2852"/>
      <c r="Q62" s="2853"/>
      <c r="R62" s="2854"/>
      <c r="S62" s="2854"/>
      <c r="T62" s="2854"/>
      <c r="U62" s="2854"/>
      <c r="V62" s="2854"/>
      <c r="W62" s="2854"/>
      <c r="X62" s="2854"/>
      <c r="Y62" s="2854"/>
      <c r="Z62" s="2854"/>
      <c r="AA62" s="2854"/>
      <c r="AB62" s="2854"/>
      <c r="AC62" s="2854"/>
    </row>
    <row r="63" spans="1:29" ht="15" thickTop="1">
      <c r="A63" s="869" t="s">
        <v>406</v>
      </c>
      <c r="B63" s="870" t="s">
        <v>430</v>
      </c>
      <c r="C63" s="915" t="s">
        <v>425</v>
      </c>
      <c r="D63" s="915" t="s">
        <v>426</v>
      </c>
      <c r="E63" s="915" t="s">
        <v>427</v>
      </c>
      <c r="F63" s="915" t="s">
        <v>428</v>
      </c>
      <c r="G63" s="915" t="s">
        <v>429</v>
      </c>
      <c r="H63" s="871"/>
      <c r="I63" s="871"/>
      <c r="J63" s="871"/>
      <c r="K63" s="916"/>
      <c r="L63" s="917"/>
      <c r="M63" s="918"/>
      <c r="N63" s="2366"/>
      <c r="O63" s="2366"/>
      <c r="P63" s="2857"/>
      <c r="Q63" s="2845"/>
      <c r="R63" s="2358"/>
      <c r="S63" s="2358"/>
      <c r="T63" s="2358"/>
      <c r="U63" s="2358"/>
      <c r="V63" s="2358"/>
      <c r="W63" s="2358"/>
      <c r="X63" s="2358"/>
      <c r="Y63" s="2358"/>
      <c r="Z63" s="2358"/>
      <c r="AA63" s="2358"/>
      <c r="AB63" s="2358"/>
      <c r="AC63" s="2358"/>
    </row>
    <row r="64" spans="1:29" ht="15.75" thickBot="1">
      <c r="A64" s="876"/>
      <c r="B64" s="885"/>
      <c r="C64" s="886">
        <v>100</v>
      </c>
      <c r="D64" s="886">
        <f>C64-$K14</f>
        <v>100</v>
      </c>
      <c r="E64" s="886">
        <f>D64-$K14</f>
        <v>100</v>
      </c>
      <c r="F64" s="886">
        <f>E64-$K14</f>
        <v>100</v>
      </c>
      <c r="G64" s="886">
        <f>F64-$K14</f>
        <v>100</v>
      </c>
      <c r="H64" s="886"/>
      <c r="I64" s="886"/>
      <c r="J64" s="886"/>
      <c r="K64" s="886"/>
      <c r="L64" s="886"/>
      <c r="M64" s="887"/>
      <c r="N64" s="2367"/>
      <c r="O64" s="2367"/>
      <c r="P64" s="2851"/>
      <c r="Q64" s="2845"/>
      <c r="R64" s="2358"/>
      <c r="S64" s="2358"/>
      <c r="T64" s="2358"/>
      <c r="U64" s="2358"/>
      <c r="V64" s="2358"/>
      <c r="W64" s="2358"/>
      <c r="X64" s="2358"/>
      <c r="Y64" s="2358"/>
      <c r="Z64" s="2358"/>
      <c r="AA64" s="2358"/>
      <c r="AB64" s="2358"/>
      <c r="AC64" s="2358"/>
    </row>
    <row r="65" spans="1:29" ht="15.75" thickTop="1">
      <c r="A65" s="876"/>
      <c r="B65" s="1053" t="s">
        <v>2641</v>
      </c>
      <c r="C65" s="920" t="s">
        <v>425</v>
      </c>
      <c r="D65" s="920" t="s">
        <v>426</v>
      </c>
      <c r="E65" s="920" t="s">
        <v>427</v>
      </c>
      <c r="F65" s="920" t="s">
        <v>428</v>
      </c>
      <c r="G65" s="920" t="s">
        <v>429</v>
      </c>
      <c r="H65" s="881"/>
      <c r="I65" s="881"/>
      <c r="J65" s="881"/>
      <c r="K65" s="882"/>
      <c r="L65" s="883"/>
      <c r="M65" s="884"/>
      <c r="N65" s="2366"/>
      <c r="O65" s="2366"/>
      <c r="P65" s="2851"/>
      <c r="Q65" s="2845"/>
      <c r="R65" s="2358"/>
      <c r="S65" s="2358"/>
      <c r="T65" s="2358"/>
      <c r="U65" s="2358"/>
      <c r="V65" s="2358"/>
      <c r="W65" s="2358"/>
      <c r="X65" s="2358"/>
      <c r="Y65" s="2358"/>
      <c r="Z65" s="2358"/>
      <c r="AA65" s="2358"/>
      <c r="AB65" s="2358"/>
      <c r="AC65" s="2358"/>
    </row>
    <row r="66" spans="1:29" ht="15.75" thickBot="1">
      <c r="A66" s="876"/>
      <c r="B66" s="885"/>
      <c r="C66" s="886">
        <v>100</v>
      </c>
      <c r="D66" s="886">
        <f>C66-$K16</f>
        <v>100</v>
      </c>
      <c r="E66" s="886">
        <f>D66-$K16</f>
        <v>100</v>
      </c>
      <c r="F66" s="886">
        <f>E66-$K16</f>
        <v>100</v>
      </c>
      <c r="G66" s="886">
        <f>F66-$K16</f>
        <v>100</v>
      </c>
      <c r="H66" s="886"/>
      <c r="I66" s="886"/>
      <c r="J66" s="886"/>
      <c r="K66" s="886"/>
      <c r="L66" s="886"/>
      <c r="M66" s="887"/>
      <c r="N66" s="2367"/>
      <c r="O66" s="2367"/>
      <c r="P66" s="2851"/>
      <c r="Q66" s="2845"/>
      <c r="R66" s="2358"/>
      <c r="S66" s="2358"/>
      <c r="T66" s="2358"/>
      <c r="U66" s="2358"/>
      <c r="V66" s="2358"/>
      <c r="W66" s="2358"/>
      <c r="X66" s="2358"/>
      <c r="Y66" s="2358"/>
      <c r="Z66" s="2358"/>
      <c r="AA66" s="2358"/>
      <c r="AB66" s="2358"/>
      <c r="AC66" s="2358"/>
    </row>
    <row r="67" spans="1:29" ht="15.75" thickTop="1">
      <c r="A67" s="876"/>
      <c r="B67" s="1055" t="s">
        <v>2671</v>
      </c>
      <c r="C67" s="213" t="s">
        <v>2661</v>
      </c>
      <c r="D67" s="213" t="s">
        <v>2662</v>
      </c>
      <c r="E67" s="213" t="s">
        <v>2663</v>
      </c>
      <c r="F67" s="213" t="s">
        <v>2664</v>
      </c>
      <c r="G67" s="213" t="s">
        <v>2665</v>
      </c>
      <c r="H67" s="881"/>
      <c r="I67" s="881"/>
      <c r="J67" s="881"/>
      <c r="K67" s="881"/>
      <c r="L67" s="881"/>
      <c r="M67" s="2761"/>
      <c r="N67" s="2367"/>
      <c r="O67" s="2367"/>
      <c r="P67" s="2851"/>
      <c r="Q67" s="2845"/>
      <c r="R67" s="2358"/>
      <c r="S67" s="2358"/>
      <c r="T67" s="2358"/>
      <c r="U67" s="2358"/>
      <c r="V67" s="2358"/>
      <c r="W67" s="2358"/>
      <c r="X67" s="2358"/>
      <c r="Y67" s="2358"/>
      <c r="Z67" s="2358"/>
      <c r="AA67" s="2358"/>
      <c r="AB67" s="2358"/>
      <c r="AC67" s="2358"/>
    </row>
    <row r="68" spans="1:29" ht="15.75" thickBot="1">
      <c r="A68" s="876"/>
      <c r="B68" s="888"/>
      <c r="C68" s="886">
        <v>100</v>
      </c>
      <c r="D68" s="886">
        <f>C68-$K18</f>
        <v>100</v>
      </c>
      <c r="E68" s="886">
        <f>D68-$K18</f>
        <v>100</v>
      </c>
      <c r="F68" s="886">
        <f>E68-$K18</f>
        <v>100</v>
      </c>
      <c r="G68" s="886">
        <f>F68-$K18</f>
        <v>100</v>
      </c>
      <c r="H68" s="1002"/>
      <c r="I68" s="1002"/>
      <c r="J68" s="1002"/>
      <c r="K68" s="1002"/>
      <c r="L68" s="1002"/>
      <c r="M68" s="792"/>
      <c r="N68" s="2367"/>
      <c r="O68" s="2367"/>
      <c r="P68" s="2851"/>
      <c r="Q68" s="2845"/>
      <c r="R68" s="2358"/>
      <c r="S68" s="2358"/>
      <c r="T68" s="2358"/>
      <c r="U68" s="2358"/>
      <c r="V68" s="2358"/>
      <c r="W68" s="2358"/>
      <c r="X68" s="2358"/>
      <c r="Y68" s="2358"/>
      <c r="Z68" s="2358"/>
      <c r="AA68" s="2358"/>
      <c r="AB68" s="2358"/>
      <c r="AC68" s="2358"/>
    </row>
    <row r="69" spans="1:29" ht="15.75" thickTop="1">
      <c r="A69" s="876"/>
      <c r="B69" s="880" t="s">
        <v>432</v>
      </c>
      <c r="C69" s="920" t="s">
        <v>425</v>
      </c>
      <c r="D69" s="920" t="s">
        <v>426</v>
      </c>
      <c r="E69" s="920" t="s">
        <v>427</v>
      </c>
      <c r="F69" s="920" t="s">
        <v>428</v>
      </c>
      <c r="G69" s="920" t="s">
        <v>429</v>
      </c>
      <c r="H69" s="881"/>
      <c r="I69" s="881"/>
      <c r="J69" s="881"/>
      <c r="K69" s="882"/>
      <c r="L69" s="883"/>
      <c r="M69" s="884"/>
      <c r="N69" s="2366"/>
      <c r="O69" s="2366"/>
      <c r="P69" s="2851"/>
      <c r="Q69" s="2845"/>
      <c r="R69" s="2358"/>
      <c r="S69" s="2358"/>
      <c r="T69" s="2358"/>
      <c r="U69" s="2358"/>
      <c r="V69" s="2358"/>
      <c r="W69" s="2358"/>
      <c r="X69" s="2358"/>
      <c r="Y69" s="2358"/>
      <c r="Z69" s="2358"/>
      <c r="AA69" s="2358"/>
      <c r="AB69" s="2358"/>
      <c r="AC69" s="2358"/>
    </row>
    <row r="70" spans="1:29" ht="15.75" thickBot="1">
      <c r="A70" s="876"/>
      <c r="B70" s="885"/>
      <c r="C70" s="886">
        <v>100</v>
      </c>
      <c r="D70" s="886">
        <f>C70-$K20</f>
        <v>100</v>
      </c>
      <c r="E70" s="886">
        <f>D70-$K20</f>
        <v>100</v>
      </c>
      <c r="F70" s="886">
        <f>E70-$K20</f>
        <v>100</v>
      </c>
      <c r="G70" s="886">
        <f>F70-$K20</f>
        <v>100</v>
      </c>
      <c r="H70" s="886"/>
      <c r="I70" s="886"/>
      <c r="J70" s="886"/>
      <c r="K70" s="886"/>
      <c r="L70" s="886"/>
      <c r="M70" s="887"/>
      <c r="N70" s="2367"/>
      <c r="O70" s="2367"/>
      <c r="P70" s="2851"/>
      <c r="Q70" s="2845"/>
      <c r="R70" s="2358"/>
      <c r="S70" s="2358"/>
      <c r="T70" s="2358"/>
      <c r="U70" s="2358"/>
      <c r="V70" s="2358"/>
      <c r="W70" s="2358"/>
      <c r="X70" s="2358"/>
      <c r="Y70" s="2358"/>
      <c r="Z70" s="2358"/>
      <c r="AA70" s="2358"/>
      <c r="AB70" s="2358"/>
      <c r="AC70" s="2358"/>
    </row>
    <row r="71" spans="1:29" ht="15.75" thickTop="1">
      <c r="A71" s="876"/>
      <c r="B71" s="880" t="s">
        <v>433</v>
      </c>
      <c r="C71" s="896"/>
      <c r="D71" s="896"/>
      <c r="E71" s="896"/>
      <c r="F71" s="896"/>
      <c r="G71" s="896"/>
      <c r="H71" s="925"/>
      <c r="I71" s="925"/>
      <c r="J71" s="925"/>
      <c r="K71" s="926"/>
      <c r="L71" s="927"/>
      <c r="M71" s="928"/>
      <c r="N71" s="2366"/>
      <c r="O71" s="2366"/>
      <c r="P71" s="2851"/>
      <c r="Q71" s="2845"/>
      <c r="R71" s="2358"/>
      <c r="S71" s="2358"/>
      <c r="T71" s="2358"/>
      <c r="U71" s="2358"/>
      <c r="V71" s="2358"/>
      <c r="W71" s="2358"/>
      <c r="X71" s="2358"/>
      <c r="Y71" s="2358"/>
      <c r="Z71" s="2358"/>
      <c r="AA71" s="2358"/>
      <c r="AB71" s="2358"/>
      <c r="AC71" s="2358"/>
    </row>
    <row r="72" spans="1:29" ht="15.75" thickBot="1">
      <c r="A72" s="876"/>
      <c r="B72" s="885"/>
      <c r="C72" s="886">
        <v>100</v>
      </c>
      <c r="D72" s="886">
        <f>C72-$K22</f>
        <v>100</v>
      </c>
      <c r="E72" s="886">
        <f>D72-$K22</f>
        <v>100</v>
      </c>
      <c r="F72" s="886">
        <f>E72-$K22</f>
        <v>100</v>
      </c>
      <c r="G72" s="886">
        <f>F72-$K22</f>
        <v>100</v>
      </c>
      <c r="H72" s="886"/>
      <c r="I72" s="886"/>
      <c r="J72" s="886"/>
      <c r="K72" s="886"/>
      <c r="L72" s="886"/>
      <c r="M72" s="887"/>
      <c r="N72" s="2367"/>
      <c r="O72" s="2367"/>
      <c r="P72" s="2851"/>
      <c r="Q72" s="2845"/>
      <c r="R72" s="2358"/>
      <c r="S72" s="2358"/>
      <c r="T72" s="2358"/>
      <c r="U72" s="2358"/>
      <c r="V72" s="2358"/>
      <c r="W72" s="2358"/>
      <c r="X72" s="2358"/>
      <c r="Y72" s="2358"/>
      <c r="Z72" s="2358"/>
      <c r="AA72" s="2358"/>
      <c r="AB72" s="2358"/>
      <c r="AC72" s="2358"/>
    </row>
    <row r="73" spans="1:29" s="407" customFormat="1" ht="15.75" thickTop="1">
      <c r="A73" s="921"/>
      <c r="B73" s="880">
        <f>B23</f>
        <v>111</v>
      </c>
      <c r="C73" s="891"/>
      <c r="D73" s="891"/>
      <c r="E73" s="891"/>
      <c r="F73" s="891"/>
      <c r="G73" s="896"/>
      <c r="H73" s="896"/>
      <c r="I73" s="896"/>
      <c r="J73" s="896"/>
      <c r="K73" s="896"/>
      <c r="L73" s="922"/>
      <c r="M73" s="923"/>
      <c r="N73" s="2365"/>
      <c r="O73" s="2365"/>
      <c r="P73" s="2851"/>
      <c r="Q73" s="2845"/>
      <c r="R73" s="2849"/>
      <c r="S73" s="2849"/>
      <c r="T73" s="2849"/>
      <c r="U73" s="2849"/>
      <c r="V73" s="2849"/>
      <c r="W73" s="2849"/>
      <c r="X73" s="2849"/>
      <c r="Y73" s="2849"/>
      <c r="Z73" s="2849"/>
      <c r="AA73" s="2849"/>
      <c r="AB73" s="2849"/>
      <c r="AC73" s="2849"/>
    </row>
    <row r="74" spans="1:29" s="407" customFormat="1" ht="15.75" thickBot="1">
      <c r="A74" s="921"/>
      <c r="B74" s="885"/>
      <c r="C74" s="902"/>
      <c r="D74" s="878"/>
      <c r="E74" s="878"/>
      <c r="F74" s="878"/>
      <c r="G74" s="878"/>
      <c r="H74" s="878"/>
      <c r="I74" s="878"/>
      <c r="J74" s="878"/>
      <c r="K74" s="878"/>
      <c r="L74" s="878"/>
      <c r="M74" s="879"/>
      <c r="N74" s="2367"/>
      <c r="O74" s="2367"/>
      <c r="P74" s="2851"/>
      <c r="Q74" s="2845"/>
      <c r="R74" s="2849"/>
      <c r="S74" s="2849"/>
      <c r="T74" s="2849"/>
      <c r="U74" s="2849"/>
      <c r="V74" s="2849"/>
      <c r="W74" s="2849"/>
      <c r="X74" s="2849"/>
      <c r="Y74" s="2849"/>
      <c r="Z74" s="2849"/>
      <c r="AA74" s="2849"/>
      <c r="AB74" s="2849"/>
      <c r="AC74" s="2849"/>
    </row>
    <row r="75" spans="1:29" s="407" customFormat="1" ht="15.75" thickTop="1">
      <c r="A75" s="921"/>
      <c r="B75" s="880">
        <f>B24</f>
        <v>111</v>
      </c>
      <c r="C75" s="891"/>
      <c r="D75" s="891"/>
      <c r="E75" s="891"/>
      <c r="F75" s="891"/>
      <c r="G75" s="896"/>
      <c r="H75" s="896"/>
      <c r="I75" s="896"/>
      <c r="J75" s="896"/>
      <c r="K75" s="896"/>
      <c r="L75" s="896"/>
      <c r="M75" s="923"/>
      <c r="N75" s="2365"/>
      <c r="O75" s="2365"/>
      <c r="P75" s="2851"/>
      <c r="Q75" s="2845"/>
      <c r="R75" s="2849"/>
      <c r="S75" s="2849"/>
      <c r="T75" s="2849"/>
      <c r="U75" s="2849"/>
      <c r="V75" s="2849"/>
      <c r="W75" s="2849"/>
      <c r="X75" s="2849"/>
      <c r="Y75" s="2849"/>
      <c r="Z75" s="2849"/>
      <c r="AA75" s="2849"/>
      <c r="AB75" s="2849"/>
      <c r="AC75" s="2849"/>
    </row>
    <row r="76" spans="1:29" s="407" customFormat="1" ht="15.75" thickBot="1">
      <c r="A76" s="921"/>
      <c r="B76" s="885"/>
      <c r="C76" s="902"/>
      <c r="D76" s="878"/>
      <c r="E76" s="878"/>
      <c r="F76" s="878"/>
      <c r="G76" s="878"/>
      <c r="H76" s="878"/>
      <c r="I76" s="878"/>
      <c r="J76" s="878"/>
      <c r="K76" s="878"/>
      <c r="L76" s="878"/>
      <c r="M76" s="879"/>
      <c r="N76" s="2367"/>
      <c r="O76" s="2367"/>
      <c r="P76" s="2851"/>
      <c r="Q76" s="2845"/>
      <c r="R76" s="2849"/>
      <c r="S76" s="2849"/>
      <c r="T76" s="2849"/>
      <c r="U76" s="2849"/>
      <c r="V76" s="2849"/>
      <c r="W76" s="2849"/>
      <c r="X76" s="2849"/>
      <c r="Y76" s="2849"/>
      <c r="Z76" s="2849"/>
      <c r="AA76" s="2849"/>
      <c r="AB76" s="2849"/>
      <c r="AC76" s="2849"/>
    </row>
    <row r="77" spans="1:29" s="813" customFormat="1" ht="15.75" thickTop="1">
      <c r="A77" s="895"/>
      <c r="B77" s="880">
        <f>B25</f>
        <v>111</v>
      </c>
      <c r="C77" s="896"/>
      <c r="D77" s="896"/>
      <c r="E77" s="896"/>
      <c r="F77" s="896"/>
      <c r="G77" s="896"/>
      <c r="H77" s="897"/>
      <c r="I77" s="897"/>
      <c r="J77" s="897"/>
      <c r="K77" s="897"/>
      <c r="L77" s="898"/>
      <c r="M77" s="899"/>
      <c r="N77" s="2368"/>
      <c r="O77" s="2368"/>
      <c r="P77" s="2852"/>
      <c r="Q77" s="2853"/>
      <c r="R77" s="2854"/>
      <c r="S77" s="2854"/>
      <c r="T77" s="2854"/>
      <c r="U77" s="2854"/>
      <c r="V77" s="2854"/>
      <c r="W77" s="2854"/>
      <c r="X77" s="2854"/>
      <c r="Y77" s="2854"/>
      <c r="Z77" s="2854"/>
      <c r="AA77" s="2854"/>
      <c r="AB77" s="2854"/>
      <c r="AC77" s="2854"/>
    </row>
    <row r="78" spans="1:29" s="813" customFormat="1" ht="15.75" thickBot="1">
      <c r="A78" s="895"/>
      <c r="B78" s="885"/>
      <c r="C78" s="902"/>
      <c r="D78" s="902"/>
      <c r="E78" s="902"/>
      <c r="F78" s="902"/>
      <c r="G78" s="878"/>
      <c r="H78" s="878"/>
      <c r="I78" s="878"/>
      <c r="J78" s="878"/>
      <c r="K78" s="878"/>
      <c r="L78" s="878"/>
      <c r="M78" s="879"/>
      <c r="N78" s="2368"/>
      <c r="O78" s="2368"/>
      <c r="P78" s="2852"/>
      <c r="Q78" s="2853"/>
      <c r="R78" s="2854"/>
      <c r="S78" s="2854"/>
      <c r="T78" s="2854"/>
      <c r="U78" s="2854"/>
      <c r="V78" s="2854"/>
      <c r="W78" s="2854"/>
      <c r="X78" s="2854"/>
      <c r="Y78" s="2854"/>
      <c r="Z78" s="2854"/>
      <c r="AA78" s="2854"/>
      <c r="AB78" s="2854"/>
      <c r="AC78" s="2854"/>
    </row>
    <row r="79" spans="1:29" ht="27.75" thickTop="1">
      <c r="A79" s="869" t="s">
        <v>408</v>
      </c>
      <c r="B79" s="870" t="s">
        <v>467</v>
      </c>
      <c r="C79" s="871" t="str">
        <f>C26</f>
        <v>车库</v>
      </c>
      <c r="D79" s="3396" t="s">
        <v>3258</v>
      </c>
      <c r="E79" s="872"/>
      <c r="F79" s="872"/>
      <c r="G79" s="872"/>
      <c r="H79" s="872"/>
      <c r="I79" s="872"/>
      <c r="J79" s="872"/>
      <c r="K79" s="873"/>
      <c r="L79" s="874"/>
      <c r="M79" s="875"/>
      <c r="N79" s="2366"/>
      <c r="O79" s="2366"/>
      <c r="P79" s="2851"/>
      <c r="Q79" s="2845"/>
      <c r="R79" s="2358"/>
      <c r="S79" s="2358"/>
      <c r="T79" s="2358"/>
      <c r="U79" s="2358"/>
      <c r="V79" s="2358"/>
      <c r="W79" s="2358"/>
      <c r="X79" s="2358"/>
      <c r="Y79" s="2358"/>
      <c r="Z79" s="2358"/>
      <c r="AA79" s="2358"/>
      <c r="AB79" s="2358"/>
      <c r="AC79" s="2358"/>
    </row>
    <row r="80" spans="1:29" ht="15.75" thickBot="1">
      <c r="A80" s="876"/>
      <c r="B80" s="885"/>
      <c r="C80" s="886">
        <v>100</v>
      </c>
      <c r="D80" s="886">
        <f t="shared" ref="D80:M80" si="14">C80-$K26</f>
        <v>100</v>
      </c>
      <c r="E80" s="886">
        <f t="shared" si="14"/>
        <v>100</v>
      </c>
      <c r="F80" s="886">
        <f t="shared" si="14"/>
        <v>100</v>
      </c>
      <c r="G80" s="886">
        <f t="shared" si="14"/>
        <v>100</v>
      </c>
      <c r="H80" s="886">
        <f t="shared" si="14"/>
        <v>100</v>
      </c>
      <c r="I80" s="886">
        <f t="shared" si="14"/>
        <v>100</v>
      </c>
      <c r="J80" s="886">
        <f t="shared" si="14"/>
        <v>100</v>
      </c>
      <c r="K80" s="886">
        <f t="shared" si="14"/>
        <v>100</v>
      </c>
      <c r="L80" s="886">
        <f t="shared" si="14"/>
        <v>100</v>
      </c>
      <c r="M80" s="887">
        <f t="shared" si="14"/>
        <v>100</v>
      </c>
      <c r="N80" s="2367"/>
      <c r="O80" s="2367"/>
      <c r="P80" s="2851"/>
      <c r="Q80" s="2845"/>
      <c r="R80" s="2358"/>
      <c r="S80" s="2358"/>
      <c r="T80" s="2358"/>
      <c r="U80" s="2358"/>
      <c r="V80" s="2358"/>
      <c r="W80" s="2358"/>
      <c r="X80" s="2358"/>
      <c r="Y80" s="2358"/>
      <c r="Z80" s="2358"/>
      <c r="AA80" s="2358"/>
      <c r="AB80" s="2358"/>
      <c r="AC80" s="2358"/>
    </row>
    <row r="81" spans="1:29" ht="15.75" thickTop="1">
      <c r="A81" s="876"/>
      <c r="B81" s="880" t="s">
        <v>468</v>
      </c>
      <c r="C81" s="1003"/>
      <c r="D81" s="1003"/>
      <c r="E81" s="1003"/>
      <c r="F81" s="1003"/>
      <c r="G81" s="1003"/>
      <c r="H81" s="1003"/>
      <c r="I81" s="1003"/>
      <c r="J81" s="1003"/>
      <c r="K81" s="1004"/>
      <c r="L81" s="1005"/>
      <c r="M81" s="1006"/>
      <c r="N81" s="2365"/>
      <c r="O81" s="2365"/>
      <c r="P81" s="2851"/>
      <c r="Q81" s="2845"/>
      <c r="R81" s="2358"/>
      <c r="S81" s="2358"/>
      <c r="T81" s="2358"/>
      <c r="U81" s="2358"/>
      <c r="V81" s="2358"/>
      <c r="W81" s="2358"/>
      <c r="X81" s="2358"/>
      <c r="Y81" s="2358"/>
      <c r="Z81" s="2358"/>
      <c r="AA81" s="2358"/>
      <c r="AB81" s="2358"/>
      <c r="AC81" s="2358"/>
    </row>
    <row r="82" spans="1:29" s="813" customFormat="1" ht="15.75" thickBot="1">
      <c r="A82" s="895"/>
      <c r="B82" s="885"/>
      <c r="C82" s="902"/>
      <c r="D82" s="878"/>
      <c r="E82" s="878"/>
      <c r="F82" s="878"/>
      <c r="G82" s="878"/>
      <c r="H82" s="878"/>
      <c r="I82" s="878"/>
      <c r="J82" s="878"/>
      <c r="K82" s="878"/>
      <c r="L82" s="878"/>
      <c r="M82" s="879"/>
      <c r="N82" s="2367"/>
      <c r="O82" s="2367"/>
      <c r="P82" s="2852"/>
      <c r="Q82" s="2853"/>
      <c r="R82" s="2854"/>
      <c r="S82" s="2854"/>
      <c r="T82" s="2854"/>
      <c r="U82" s="2854"/>
      <c r="V82" s="2854"/>
      <c r="W82" s="2854"/>
      <c r="X82" s="2854"/>
      <c r="Y82" s="2854"/>
      <c r="Z82" s="2854"/>
      <c r="AA82" s="2854"/>
      <c r="AB82" s="2854"/>
      <c r="AC82" s="2854"/>
    </row>
    <row r="83" spans="1:29" ht="15" thickTop="1">
      <c r="A83" s="941"/>
      <c r="B83" s="880" t="s">
        <v>434</v>
      </c>
      <c r="C83" s="896"/>
      <c r="D83" s="896"/>
      <c r="E83" s="925"/>
      <c r="F83" s="925"/>
      <c r="G83" s="925"/>
      <c r="H83" s="925"/>
      <c r="I83" s="925"/>
      <c r="J83" s="925"/>
      <c r="K83" s="926"/>
      <c r="L83" s="927"/>
      <c r="M83" s="928"/>
      <c r="N83" s="2366"/>
      <c r="O83" s="2366"/>
      <c r="P83" s="2851"/>
      <c r="Q83" s="2845"/>
      <c r="R83" s="2358"/>
      <c r="S83" s="2358"/>
      <c r="T83" s="2358"/>
      <c r="U83" s="2358"/>
      <c r="V83" s="2358"/>
      <c r="W83" s="2358"/>
      <c r="X83" s="2358"/>
      <c r="Y83" s="2358"/>
      <c r="Z83" s="2358"/>
      <c r="AA83" s="2358"/>
      <c r="AB83" s="2358"/>
      <c r="AC83" s="2358"/>
    </row>
    <row r="84" spans="1:29" ht="15.75" thickBot="1">
      <c r="A84" s="876"/>
      <c r="B84" s="885"/>
      <c r="C84" s="886">
        <v>100</v>
      </c>
      <c r="D84" s="886">
        <f t="shared" ref="D84:M84" si="15">C84-$K28</f>
        <v>100</v>
      </c>
      <c r="E84" s="886">
        <f t="shared" si="15"/>
        <v>100</v>
      </c>
      <c r="F84" s="886">
        <f t="shared" si="15"/>
        <v>100</v>
      </c>
      <c r="G84" s="886">
        <f t="shared" si="15"/>
        <v>100</v>
      </c>
      <c r="H84" s="886">
        <f t="shared" si="15"/>
        <v>100</v>
      </c>
      <c r="I84" s="886">
        <f t="shared" si="15"/>
        <v>100</v>
      </c>
      <c r="J84" s="886">
        <f t="shared" si="15"/>
        <v>100</v>
      </c>
      <c r="K84" s="886">
        <f t="shared" si="15"/>
        <v>100</v>
      </c>
      <c r="L84" s="886">
        <f t="shared" si="15"/>
        <v>100</v>
      </c>
      <c r="M84" s="887">
        <f t="shared" si="15"/>
        <v>100</v>
      </c>
      <c r="N84" s="2367"/>
      <c r="O84" s="2367"/>
      <c r="P84" s="2851"/>
      <c r="Q84" s="2845"/>
      <c r="R84" s="2358"/>
      <c r="S84" s="2358"/>
      <c r="T84" s="2358"/>
      <c r="U84" s="2358"/>
      <c r="V84" s="2358"/>
      <c r="W84" s="2358"/>
      <c r="X84" s="2358"/>
      <c r="Y84" s="2358"/>
      <c r="Z84" s="2358"/>
      <c r="AA84" s="2358"/>
      <c r="AB84" s="2358"/>
      <c r="AC84" s="2358"/>
    </row>
    <row r="85" spans="1:29" ht="15" thickTop="1">
      <c r="A85" s="941"/>
      <c r="B85" s="880" t="s">
        <v>469</v>
      </c>
      <c r="C85" s="920" t="str">
        <f>C86&amp;"(含)"&amp;"-"&amp;D86</f>
        <v>0.5(含)-0.6</v>
      </c>
      <c r="D85" s="920" t="str">
        <f>D86&amp;"(含)"&amp;"-"&amp;E86</f>
        <v>0.6(含)-0.7</v>
      </c>
      <c r="E85" s="920" t="str">
        <f>E86&amp;"(含)"&amp;"-"&amp;F86</f>
        <v>0.7(含)-0.8</v>
      </c>
      <c r="F85" s="920" t="str">
        <f>F86&amp;"(含)"&amp;"-"&amp;G86</f>
        <v>0.8(含)-0.9</v>
      </c>
      <c r="G85" s="920" t="str">
        <f>G86&amp;"(含)"&amp;"-"&amp;ROUND(H86,0)&amp;"(含)"</f>
        <v>0.9(含)-1(含)</v>
      </c>
      <c r="H85" s="920"/>
      <c r="I85" s="925"/>
      <c r="J85" s="925"/>
      <c r="K85" s="926"/>
      <c r="L85" s="927"/>
      <c r="M85" s="928"/>
      <c r="N85" s="2366"/>
      <c r="O85" s="2366"/>
      <c r="P85" s="2851"/>
      <c r="Q85" s="2845"/>
      <c r="R85" s="2358"/>
      <c r="S85" s="2358"/>
      <c r="T85" s="2358"/>
      <c r="U85" s="2358"/>
      <c r="V85" s="2358"/>
      <c r="W85" s="2358"/>
      <c r="X85" s="2358"/>
      <c r="Y85" s="2358"/>
      <c r="Z85" s="2358"/>
      <c r="AA85" s="2358"/>
      <c r="AB85" s="2358"/>
      <c r="AC85" s="2358"/>
    </row>
    <row r="86" spans="1:29">
      <c r="A86" s="941"/>
      <c r="B86" s="888"/>
      <c r="C86" s="945">
        <v>0.5</v>
      </c>
      <c r="D86" s="945">
        <v>0.6</v>
      </c>
      <c r="E86" s="945">
        <v>0.7</v>
      </c>
      <c r="F86" s="945">
        <v>0.8</v>
      </c>
      <c r="G86" s="945">
        <v>0.9</v>
      </c>
      <c r="H86" s="945">
        <v>1.0001</v>
      </c>
      <c r="I86" s="965"/>
      <c r="J86" s="965"/>
      <c r="K86" s="966"/>
      <c r="L86" s="967"/>
      <c r="M86" s="968"/>
      <c r="N86" s="2366"/>
      <c r="O86" s="2366"/>
      <c r="P86" s="2851"/>
      <c r="Q86" s="2845"/>
      <c r="R86" s="2358"/>
      <c r="S86" s="2358"/>
      <c r="T86" s="2358"/>
      <c r="U86" s="2358"/>
      <c r="V86" s="2358"/>
      <c r="W86" s="2358"/>
      <c r="X86" s="2358"/>
      <c r="Y86" s="2358"/>
      <c r="Z86" s="2358"/>
      <c r="AA86" s="2358"/>
      <c r="AB86" s="2358"/>
      <c r="AC86" s="2358"/>
    </row>
    <row r="87" spans="1:29" ht="15.75" thickBot="1">
      <c r="A87" s="876"/>
      <c r="B87" s="885"/>
      <c r="C87" s="924">
        <v>100</v>
      </c>
      <c r="D87" s="886">
        <f>C87+$K$29</f>
        <v>100</v>
      </c>
      <c r="E87" s="886">
        <f t="shared" ref="E87:M87" si="16">D87+$K$29</f>
        <v>100</v>
      </c>
      <c r="F87" s="886">
        <f t="shared" si="16"/>
        <v>100</v>
      </c>
      <c r="G87" s="886">
        <f t="shared" si="16"/>
        <v>100</v>
      </c>
      <c r="H87" s="886">
        <f t="shared" si="16"/>
        <v>100</v>
      </c>
      <c r="I87" s="886">
        <f t="shared" si="16"/>
        <v>100</v>
      </c>
      <c r="J87" s="886">
        <f t="shared" si="16"/>
        <v>100</v>
      </c>
      <c r="K87" s="886">
        <f t="shared" si="16"/>
        <v>100</v>
      </c>
      <c r="L87" s="886">
        <f t="shared" si="16"/>
        <v>100</v>
      </c>
      <c r="M87" s="886">
        <f t="shared" si="16"/>
        <v>100</v>
      </c>
      <c r="N87" s="2367"/>
      <c r="O87" s="2367"/>
      <c r="P87" s="2851"/>
      <c r="Q87" s="2845"/>
      <c r="R87" s="2358"/>
      <c r="S87" s="2358"/>
      <c r="T87" s="2358"/>
      <c r="U87" s="2358"/>
      <c r="V87" s="2358"/>
      <c r="W87" s="2358"/>
      <c r="X87" s="2358"/>
      <c r="Y87" s="2358"/>
      <c r="Z87" s="2358"/>
      <c r="AA87" s="2358"/>
      <c r="AB87" s="2358"/>
      <c r="AC87" s="2358"/>
    </row>
    <row r="88" spans="1:29" ht="15" thickTop="1">
      <c r="A88" s="941"/>
      <c r="B88" s="888" t="s">
        <v>470</v>
      </c>
      <c r="C88" s="3396" t="s">
        <v>3260</v>
      </c>
      <c r="D88" s="872"/>
      <c r="E88" s="872"/>
      <c r="F88" s="872"/>
      <c r="G88" s="872"/>
      <c r="H88" s="872"/>
      <c r="I88" s="872"/>
      <c r="J88" s="872"/>
      <c r="K88" s="873"/>
      <c r="L88" s="874"/>
      <c r="M88" s="875"/>
      <c r="N88" s="2366"/>
      <c r="O88" s="2366"/>
      <c r="P88" s="2851"/>
      <c r="Q88" s="2845"/>
      <c r="R88" s="2358"/>
      <c r="S88" s="2358"/>
      <c r="T88" s="2358"/>
      <c r="U88" s="2358"/>
      <c r="V88" s="2358"/>
      <c r="W88" s="2358"/>
      <c r="X88" s="2358"/>
      <c r="Y88" s="2358"/>
      <c r="Z88" s="2358"/>
      <c r="AA88" s="2358"/>
      <c r="AB88" s="2358"/>
      <c r="AC88" s="2358"/>
    </row>
    <row r="89" spans="1:29" ht="15.75" thickBot="1">
      <c r="A89" s="876"/>
      <c r="B89" s="885"/>
      <c r="C89" s="924">
        <v>100</v>
      </c>
      <c r="D89" s="886">
        <f t="shared" ref="D89:M89" si="17">C89+$K30</f>
        <v>100</v>
      </c>
      <c r="E89" s="886">
        <f t="shared" si="17"/>
        <v>100</v>
      </c>
      <c r="F89" s="886">
        <f t="shared" si="17"/>
        <v>100</v>
      </c>
      <c r="G89" s="886">
        <f t="shared" si="17"/>
        <v>100</v>
      </c>
      <c r="H89" s="886">
        <f t="shared" si="17"/>
        <v>100</v>
      </c>
      <c r="I89" s="886">
        <f t="shared" si="17"/>
        <v>100</v>
      </c>
      <c r="J89" s="886">
        <f t="shared" si="17"/>
        <v>100</v>
      </c>
      <c r="K89" s="886">
        <f t="shared" si="17"/>
        <v>100</v>
      </c>
      <c r="L89" s="886">
        <f t="shared" si="17"/>
        <v>100</v>
      </c>
      <c r="M89" s="886">
        <f t="shared" si="17"/>
        <v>100</v>
      </c>
      <c r="N89" s="2367"/>
      <c r="O89" s="2367"/>
      <c r="P89" s="2851"/>
      <c r="Q89" s="2845"/>
      <c r="R89" s="2358"/>
      <c r="S89" s="2358"/>
      <c r="T89" s="2358"/>
      <c r="U89" s="2358"/>
      <c r="V89" s="2358"/>
      <c r="W89" s="2358"/>
      <c r="X89" s="2358"/>
      <c r="Y89" s="2358"/>
      <c r="Z89" s="2358"/>
      <c r="AA89" s="2358"/>
      <c r="AB89" s="2358"/>
      <c r="AC89" s="2358"/>
    </row>
    <row r="90" spans="1:29" s="813" customFormat="1" ht="15" thickTop="1">
      <c r="A90" s="935"/>
      <c r="B90" s="880" t="s">
        <v>471</v>
      </c>
      <c r="C90" s="920" t="str">
        <f>C91&amp;"(含)"&amp;"-"&amp;D91</f>
        <v>0(含)-35</v>
      </c>
      <c r="D90" s="920" t="str">
        <f t="shared" ref="D90:L90" si="18">D91&amp;"(含)"&amp;"-"&amp;E91</f>
        <v>35(含)-50</v>
      </c>
      <c r="E90" s="920" t="str">
        <f t="shared" si="18"/>
        <v>50(含)-80</v>
      </c>
      <c r="F90" s="920" t="str">
        <f t="shared" si="18"/>
        <v>80(含)-</v>
      </c>
      <c r="G90" s="920" t="str">
        <f t="shared" si="18"/>
        <v>(含)-</v>
      </c>
      <c r="H90" s="920" t="str">
        <f t="shared" si="18"/>
        <v>(含)-</v>
      </c>
      <c r="I90" s="920" t="str">
        <f t="shared" si="18"/>
        <v>(含)-</v>
      </c>
      <c r="J90" s="920" t="str">
        <f t="shared" si="18"/>
        <v>(含)-</v>
      </c>
      <c r="K90" s="920" t="str">
        <f t="shared" si="18"/>
        <v>(含)-</v>
      </c>
      <c r="L90" s="920" t="str">
        <f t="shared" si="18"/>
        <v>(含)-</v>
      </c>
      <c r="M90" s="964" t="str">
        <f>M91&amp;"(含)"&amp;"-"&amp;P91</f>
        <v>(含)-</v>
      </c>
      <c r="N90" s="2368"/>
      <c r="O90" s="2368"/>
      <c r="P90" s="2852"/>
      <c r="Q90" s="2853"/>
      <c r="R90" s="2854"/>
      <c r="S90" s="2854"/>
      <c r="T90" s="2854"/>
      <c r="U90" s="2854"/>
      <c r="V90" s="2854"/>
      <c r="W90" s="2854"/>
      <c r="X90" s="2854"/>
      <c r="Y90" s="2854"/>
      <c r="Z90" s="2854"/>
      <c r="AA90" s="2854"/>
      <c r="AB90" s="2854"/>
      <c r="AC90" s="2854"/>
    </row>
    <row r="91" spans="1:29" s="813" customFormat="1">
      <c r="A91" s="935"/>
      <c r="B91" s="888"/>
      <c r="C91" s="937">
        <v>0</v>
      </c>
      <c r="D91" s="937">
        <v>35</v>
      </c>
      <c r="E91" s="937">
        <v>50</v>
      </c>
      <c r="F91" s="937">
        <v>80</v>
      </c>
      <c r="G91" s="937"/>
      <c r="H91" s="937"/>
      <c r="I91" s="937"/>
      <c r="J91" s="938"/>
      <c r="K91" s="938"/>
      <c r="L91" s="939"/>
      <c r="M91" s="940"/>
      <c r="N91" s="2368"/>
      <c r="O91" s="2368"/>
      <c r="P91" s="2852"/>
      <c r="Q91" s="2853"/>
      <c r="R91" s="2854"/>
      <c r="S91" s="2854"/>
      <c r="T91" s="2854"/>
      <c r="U91" s="2854"/>
      <c r="V91" s="2854"/>
      <c r="W91" s="2854"/>
      <c r="X91" s="2854"/>
      <c r="Y91" s="2854"/>
      <c r="Z91" s="2854"/>
      <c r="AA91" s="2854"/>
      <c r="AB91" s="2854"/>
      <c r="AC91" s="2854"/>
    </row>
    <row r="92" spans="1:29" s="813" customFormat="1" ht="15.75" thickBot="1">
      <c r="A92" s="895"/>
      <c r="B92" s="885"/>
      <c r="C92" s="902">
        <v>100</v>
      </c>
      <c r="D92" s="878">
        <v>102</v>
      </c>
      <c r="E92" s="878">
        <v>104</v>
      </c>
      <c r="F92" s="878">
        <v>106</v>
      </c>
      <c r="G92" s="878"/>
      <c r="H92" s="878"/>
      <c r="I92" s="878"/>
      <c r="J92" s="878"/>
      <c r="K92" s="878"/>
      <c r="L92" s="878"/>
      <c r="M92" s="879"/>
      <c r="N92" s="2368"/>
      <c r="O92" s="2368"/>
      <c r="P92" s="2852"/>
      <c r="Q92" s="2853"/>
      <c r="R92" s="2854"/>
      <c r="S92" s="2854"/>
      <c r="T92" s="2854"/>
      <c r="U92" s="2854"/>
      <c r="V92" s="2854"/>
      <c r="W92" s="2854"/>
      <c r="X92" s="2854"/>
      <c r="Y92" s="2854"/>
      <c r="Z92" s="2854"/>
      <c r="AA92" s="2854"/>
      <c r="AB92" s="2854"/>
      <c r="AC92" s="2854"/>
    </row>
    <row r="93" spans="1:29" ht="15" thickTop="1">
      <c r="A93" s="941"/>
      <c r="B93" s="880" t="s">
        <v>472</v>
      </c>
      <c r="C93" s="3397" t="s">
        <v>3262</v>
      </c>
      <c r="D93" s="3397" t="s">
        <v>3263</v>
      </c>
      <c r="E93" s="925"/>
      <c r="F93" s="925"/>
      <c r="G93" s="925"/>
      <c r="H93" s="925"/>
      <c r="I93" s="925"/>
      <c r="J93" s="925"/>
      <c r="K93" s="926"/>
      <c r="L93" s="927"/>
      <c r="M93" s="928"/>
      <c r="N93" s="2366"/>
      <c r="O93" s="2366"/>
      <c r="P93" s="2851"/>
      <c r="Q93" s="2845"/>
      <c r="R93" s="2358"/>
      <c r="S93" s="2358"/>
      <c r="T93" s="2358"/>
      <c r="U93" s="2358"/>
      <c r="V93" s="2358"/>
      <c r="W93" s="2358"/>
      <c r="X93" s="2358"/>
      <c r="Y93" s="2358"/>
      <c r="Z93" s="2358"/>
      <c r="AA93" s="2358"/>
      <c r="AB93" s="2358"/>
      <c r="AC93" s="2358"/>
    </row>
    <row r="94" spans="1:29" ht="15.75" thickBot="1">
      <c r="A94" s="876"/>
      <c r="B94" s="885"/>
      <c r="C94" s="886">
        <v>100</v>
      </c>
      <c r="D94" s="886">
        <f t="shared" ref="D94:M94" si="19">C94-$K32</f>
        <v>98</v>
      </c>
      <c r="E94" s="886">
        <f t="shared" si="19"/>
        <v>96</v>
      </c>
      <c r="F94" s="886">
        <f t="shared" si="19"/>
        <v>94</v>
      </c>
      <c r="G94" s="886">
        <f t="shared" si="19"/>
        <v>92</v>
      </c>
      <c r="H94" s="886">
        <f t="shared" si="19"/>
        <v>90</v>
      </c>
      <c r="I94" s="886">
        <f t="shared" si="19"/>
        <v>88</v>
      </c>
      <c r="J94" s="886">
        <f t="shared" si="19"/>
        <v>86</v>
      </c>
      <c r="K94" s="886">
        <f t="shared" si="19"/>
        <v>84</v>
      </c>
      <c r="L94" s="886">
        <f t="shared" si="19"/>
        <v>82</v>
      </c>
      <c r="M94" s="887">
        <f t="shared" si="19"/>
        <v>80</v>
      </c>
      <c r="N94" s="2367"/>
      <c r="O94" s="2367"/>
      <c r="P94" s="2851"/>
      <c r="Q94" s="2845"/>
      <c r="R94" s="2358"/>
      <c r="S94" s="2358"/>
      <c r="T94" s="2358"/>
      <c r="U94" s="2358"/>
      <c r="V94" s="2358"/>
      <c r="W94" s="2358"/>
      <c r="X94" s="2358"/>
      <c r="Y94" s="2358"/>
      <c r="Z94" s="2358"/>
      <c r="AA94" s="2358"/>
      <c r="AB94" s="2358"/>
      <c r="AC94" s="2358"/>
    </row>
    <row r="95" spans="1:29" ht="15" thickTop="1">
      <c r="A95" s="941"/>
      <c r="B95" s="880" t="s">
        <v>473</v>
      </c>
      <c r="C95" s="3396" t="s">
        <v>3264</v>
      </c>
      <c r="D95" s="3396" t="s">
        <v>3265</v>
      </c>
      <c r="E95" s="872"/>
      <c r="F95" s="872"/>
      <c r="G95" s="872"/>
      <c r="H95" s="872"/>
      <c r="I95" s="872"/>
      <c r="J95" s="872"/>
      <c r="K95" s="873"/>
      <c r="L95" s="874"/>
      <c r="M95" s="875"/>
      <c r="N95" s="2366"/>
      <c r="O95" s="2366"/>
      <c r="P95" s="2851"/>
      <c r="Q95" s="2845"/>
      <c r="R95" s="2358"/>
      <c r="S95" s="2358"/>
      <c r="T95" s="2358"/>
      <c r="U95" s="2358"/>
      <c r="V95" s="2358"/>
      <c r="W95" s="2358"/>
      <c r="X95" s="2358"/>
      <c r="Y95" s="2358"/>
      <c r="Z95" s="2358"/>
      <c r="AA95" s="2358"/>
      <c r="AB95" s="2358"/>
      <c r="AC95" s="2358"/>
    </row>
    <row r="96" spans="1:29" ht="15.75" thickBot="1">
      <c r="A96" s="876"/>
      <c r="B96" s="885"/>
      <c r="C96" s="886">
        <v>100</v>
      </c>
      <c r="D96" s="886">
        <f>C96-$K33</f>
        <v>98</v>
      </c>
      <c r="E96" s="886">
        <f>D96-$K33</f>
        <v>96</v>
      </c>
      <c r="F96" s="886">
        <f>E96-$K33</f>
        <v>94</v>
      </c>
      <c r="G96" s="886">
        <f>F96-$K33</f>
        <v>92</v>
      </c>
      <c r="H96" s="886"/>
      <c r="I96" s="886"/>
      <c r="J96" s="886"/>
      <c r="K96" s="886"/>
      <c r="L96" s="886"/>
      <c r="M96" s="887"/>
      <c r="N96" s="2367"/>
      <c r="O96" s="2367"/>
      <c r="P96" s="2851"/>
      <c r="Q96" s="2845"/>
      <c r="R96" s="2358"/>
      <c r="S96" s="2358"/>
      <c r="T96" s="2358"/>
      <c r="U96" s="2358"/>
      <c r="V96" s="2358"/>
      <c r="W96" s="2358"/>
      <c r="X96" s="2358"/>
      <c r="Y96" s="2358"/>
      <c r="Z96" s="2358"/>
      <c r="AA96" s="2358"/>
      <c r="AB96" s="2358"/>
      <c r="AC96" s="2358"/>
    </row>
    <row r="97" spans="1:29" ht="15" thickTop="1">
      <c r="A97" s="941"/>
      <c r="B97" s="978">
        <f>B34</f>
        <v>111</v>
      </c>
      <c r="C97" s="891"/>
      <c r="D97" s="891"/>
      <c r="E97" s="891"/>
      <c r="F97" s="891"/>
      <c r="G97" s="896"/>
      <c r="H97" s="897"/>
      <c r="I97" s="897"/>
      <c r="J97" s="897"/>
      <c r="K97" s="897"/>
      <c r="L97" s="898"/>
      <c r="M97" s="899"/>
      <c r="N97" s="2367"/>
      <c r="O97" s="2367"/>
      <c r="P97" s="2858"/>
      <c r="Q97" s="2859"/>
      <c r="R97" s="2358"/>
      <c r="S97" s="2358"/>
      <c r="T97" s="2358"/>
      <c r="U97" s="2358"/>
      <c r="V97" s="2358"/>
      <c r="W97" s="2358"/>
      <c r="X97" s="2358"/>
      <c r="Y97" s="2358"/>
      <c r="Z97" s="2358"/>
      <c r="AA97" s="2358"/>
      <c r="AB97" s="2358"/>
      <c r="AC97" s="2358"/>
    </row>
    <row r="98" spans="1:29" ht="15.75" thickBot="1">
      <c r="A98" s="876"/>
      <c r="B98" s="885"/>
      <c r="C98" s="902"/>
      <c r="D98" s="878"/>
      <c r="E98" s="878"/>
      <c r="F98" s="878"/>
      <c r="G98" s="902"/>
      <c r="H98" s="904"/>
      <c r="I98" s="904"/>
      <c r="J98" s="904"/>
      <c r="K98" s="904"/>
      <c r="L98" s="904"/>
      <c r="M98" s="905"/>
      <c r="N98" s="2367"/>
      <c r="O98" s="2367"/>
      <c r="P98" s="2851"/>
      <c r="Q98" s="2845"/>
      <c r="R98" s="2358"/>
      <c r="S98" s="2358"/>
      <c r="T98" s="2358"/>
      <c r="U98" s="2358"/>
      <c r="V98" s="2358"/>
      <c r="W98" s="2358"/>
      <c r="X98" s="2358"/>
      <c r="Y98" s="2358"/>
      <c r="Z98" s="2358"/>
      <c r="AA98" s="2358"/>
      <c r="AB98" s="2358"/>
      <c r="AC98" s="2358"/>
    </row>
    <row r="99" spans="1:29" s="813" customFormat="1" ht="15" thickTop="1">
      <c r="A99" s="935"/>
      <c r="B99" s="880">
        <f>B35</f>
        <v>111</v>
      </c>
      <c r="C99" s="891"/>
      <c r="D99" s="891"/>
      <c r="E99" s="891"/>
      <c r="F99" s="891"/>
      <c r="G99" s="896"/>
      <c r="H99" s="897"/>
      <c r="I99" s="897"/>
      <c r="J99" s="897"/>
      <c r="K99" s="897"/>
      <c r="L99" s="898"/>
      <c r="M99" s="899"/>
      <c r="N99" s="2368"/>
      <c r="O99" s="2368"/>
      <c r="P99" s="2852"/>
      <c r="Q99" s="2853"/>
      <c r="R99" s="2854"/>
      <c r="S99" s="2854"/>
      <c r="T99" s="2854"/>
      <c r="U99" s="2854"/>
      <c r="V99" s="2854"/>
      <c r="W99" s="2854"/>
      <c r="X99" s="2854"/>
      <c r="Y99" s="2854"/>
      <c r="Z99" s="2854"/>
      <c r="AA99" s="2854"/>
      <c r="AB99" s="2854"/>
      <c r="AC99" s="2854"/>
    </row>
    <row r="100" spans="1:29" s="813" customFormat="1" ht="15.75" thickBot="1">
      <c r="A100" s="895"/>
      <c r="B100" s="877"/>
      <c r="C100" s="902"/>
      <c r="D100" s="878"/>
      <c r="E100" s="878"/>
      <c r="F100" s="878"/>
      <c r="G100" s="902"/>
      <c r="H100" s="904"/>
      <c r="I100" s="904"/>
      <c r="J100" s="904"/>
      <c r="K100" s="904"/>
      <c r="L100" s="904"/>
      <c r="M100" s="905"/>
      <c r="N100" s="2368"/>
      <c r="O100" s="2368"/>
      <c r="P100" s="2852"/>
      <c r="Q100" s="2853"/>
      <c r="R100" s="2854"/>
      <c r="S100" s="2854"/>
      <c r="T100" s="2854"/>
      <c r="U100" s="2854"/>
      <c r="V100" s="2854"/>
      <c r="W100" s="2854"/>
      <c r="X100" s="2854"/>
      <c r="Y100" s="2854"/>
      <c r="Z100" s="2854"/>
      <c r="AA100" s="2854"/>
      <c r="AB100" s="2854"/>
      <c r="AC100" s="2854"/>
    </row>
    <row r="101" spans="1:29" ht="15" thickTop="1">
      <c r="A101" s="941"/>
      <c r="B101" s="880">
        <f>B36</f>
        <v>111</v>
      </c>
      <c r="C101" s="896"/>
      <c r="D101" s="896"/>
      <c r="E101" s="896"/>
      <c r="F101" s="896"/>
      <c r="G101" s="896"/>
      <c r="H101" s="897"/>
      <c r="I101" s="897"/>
      <c r="J101" s="897"/>
      <c r="K101" s="897"/>
      <c r="L101" s="898"/>
      <c r="M101" s="899"/>
      <c r="N101" s="2366"/>
      <c r="O101" s="2366"/>
      <c r="P101" s="2851"/>
      <c r="Q101" s="2845"/>
      <c r="R101" s="2358"/>
      <c r="S101" s="2358"/>
      <c r="T101" s="2358"/>
      <c r="U101" s="2358"/>
      <c r="V101" s="2358"/>
      <c r="W101" s="2358"/>
      <c r="X101" s="2358"/>
      <c r="Y101" s="2358"/>
      <c r="Z101" s="2358"/>
      <c r="AA101" s="2358"/>
      <c r="AB101" s="2358"/>
      <c r="AC101" s="2358"/>
    </row>
    <row r="102" spans="1:29" ht="15.75" thickBot="1">
      <c r="A102" s="876"/>
      <c r="B102" s="885"/>
      <c r="C102" s="902"/>
      <c r="D102" s="902"/>
      <c r="E102" s="902"/>
      <c r="F102" s="902"/>
      <c r="G102" s="902"/>
      <c r="H102" s="904"/>
      <c r="I102" s="904"/>
      <c r="J102" s="904"/>
      <c r="K102" s="904"/>
      <c r="L102" s="904"/>
      <c r="M102" s="905"/>
      <c r="N102" s="2367"/>
      <c r="O102" s="2367"/>
      <c r="P102" s="2851"/>
      <c r="Q102" s="2845"/>
      <c r="R102" s="2358"/>
      <c r="S102" s="2358"/>
      <c r="T102" s="2358"/>
      <c r="U102" s="2358"/>
      <c r="V102" s="2358"/>
      <c r="W102" s="2358"/>
      <c r="X102" s="2358"/>
      <c r="Y102" s="2358"/>
      <c r="Z102" s="2358"/>
      <c r="AA102" s="2358"/>
      <c r="AB102" s="2358"/>
      <c r="AC102" s="2358"/>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87" priority="14" stopIfTrue="1" operator="containsText" text="超过">
      <formula>NOT(ISERROR(SEARCH("超过",F42)))</formula>
    </cfRule>
  </conditionalFormatting>
  <conditionalFormatting sqref="J44">
    <cfRule type="containsText" dxfId="86" priority="13" stopIfTrue="1" operator="containsText" text="超过">
      <formula>NOT(ISERROR(SEARCH("超过",J44)))</formula>
    </cfRule>
  </conditionalFormatting>
  <conditionalFormatting sqref="H44">
    <cfRule type="containsText" dxfId="85" priority="12" stopIfTrue="1" operator="containsText" text="超过">
      <formula>NOT(ISERROR(SEARCH("超过",H44)))</formula>
    </cfRule>
  </conditionalFormatting>
  <conditionalFormatting sqref="F44">
    <cfRule type="containsText" dxfId="84" priority="11" stopIfTrue="1" operator="containsText" text="超过">
      <formula>NOT(ISERROR(SEARCH("超过",F44)))</formula>
    </cfRule>
  </conditionalFormatting>
  <conditionalFormatting sqref="F43 H43 J43">
    <cfRule type="containsText" dxfId="83" priority="10" stopIfTrue="1" operator="containsText" text="超过">
      <formula>NOT(ISERROR(SEARCH("超过",F43)))</formula>
    </cfRule>
  </conditionalFormatting>
  <conditionalFormatting sqref="E42">
    <cfRule type="expression" dxfId="82" priority="9" stopIfTrue="1">
      <formula>$F$42="超过30%"</formula>
    </cfRule>
  </conditionalFormatting>
  <conditionalFormatting sqref="G44">
    <cfRule type="expression" dxfId="81" priority="8" stopIfTrue="1">
      <formula>$H$54+$H$44="超过30%"</formula>
    </cfRule>
  </conditionalFormatting>
  <conditionalFormatting sqref="E43">
    <cfRule type="expression" dxfId="80" priority="7" stopIfTrue="1">
      <formula>$F$43="超过20%"</formula>
    </cfRule>
  </conditionalFormatting>
  <conditionalFormatting sqref="E44">
    <cfRule type="expression" dxfId="79" priority="6" stopIfTrue="1">
      <formula>$F$44="超过30%"</formula>
    </cfRule>
  </conditionalFormatting>
  <conditionalFormatting sqref="G42">
    <cfRule type="expression" dxfId="78" priority="5" stopIfTrue="1">
      <formula>$H$52+$H$42="超过30%"</formula>
    </cfRule>
  </conditionalFormatting>
  <conditionalFormatting sqref="G43">
    <cfRule type="expression" dxfId="77" priority="4" stopIfTrue="1">
      <formula>$H$43="超过20%"</formula>
    </cfRule>
  </conditionalFormatting>
  <conditionalFormatting sqref="I42">
    <cfRule type="expression" dxfId="76" priority="3" stopIfTrue="1">
      <formula>$J$52+$J$42="超过30%"</formula>
    </cfRule>
  </conditionalFormatting>
  <conditionalFormatting sqref="I43">
    <cfRule type="expression" dxfId="75" priority="2" stopIfTrue="1">
      <formula>$J$53+$J$43="超过20%"</formula>
    </cfRule>
  </conditionalFormatting>
  <conditionalFormatting sqref="I44">
    <cfRule type="expression" dxfId="74"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7" customWidth="1"/>
    <col min="12" max="12" width="12.25" style="838"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27" customFormat="1" ht="28.5" customHeight="1" thickBot="1">
      <c r="A1" s="3116" t="s">
        <v>388</v>
      </c>
      <c r="B1" s="3128"/>
      <c r="C1" s="3118" t="s">
        <v>444</v>
      </c>
      <c r="D1" s="3099"/>
      <c r="E1" s="3129"/>
      <c r="F1" s="3101"/>
      <c r="G1" s="3130" t="s">
        <v>445</v>
      </c>
      <c r="H1" s="3129"/>
      <c r="I1" s="3129"/>
      <c r="J1" s="3129"/>
      <c r="K1" s="3131"/>
      <c r="L1" s="3132"/>
      <c r="M1" s="3133"/>
      <c r="N1" s="3133"/>
      <c r="O1" s="3133"/>
      <c r="P1" s="3118"/>
      <c r="Q1" s="3118"/>
      <c r="R1" s="3118"/>
      <c r="S1" s="3118"/>
      <c r="T1" s="3118"/>
      <c r="U1" s="3118"/>
      <c r="V1" s="3118"/>
      <c r="W1" s="3118"/>
      <c r="X1" s="3118"/>
      <c r="Y1" s="3118"/>
      <c r="Z1" s="3118"/>
      <c r="AA1" s="3118"/>
      <c r="AB1" s="3118"/>
      <c r="AC1" s="3126"/>
    </row>
    <row r="2" spans="1:29" s="741" customFormat="1" ht="28.5" customHeight="1" thickTop="1">
      <c r="A2" s="3115" t="s">
        <v>446</v>
      </c>
      <c r="B2" s="2840" t="e">
        <f ca="1">IF(C2="——",ROUND(C37*D3/10000,0),ROUND(C37*D3/10000,0)-D2)</f>
        <v>#DIV/0!</v>
      </c>
      <c r="C2" s="3093"/>
      <c r="D2" s="2338" t="e">
        <f ca="1">SUMIF(INDIRECT("'"&amp;F2&amp;"'"&amp;"!A:A"),"承租人权益价值",INDIRECT("'"&amp;F2&amp;"'"&amp;"!c:c"))</f>
        <v>#REF!</v>
      </c>
      <c r="E2" s="3094" t="s">
        <v>870</v>
      </c>
      <c r="F2" s="3095"/>
      <c r="G2" s="2339"/>
      <c r="H2" s="2339"/>
      <c r="I2" s="2339"/>
      <c r="J2" s="2339"/>
      <c r="K2" s="2341"/>
      <c r="L2" s="2342"/>
      <c r="M2" s="2343"/>
      <c r="N2" s="2343"/>
      <c r="O2" s="2343"/>
      <c r="P2" s="1315"/>
      <c r="Q2" s="1315"/>
      <c r="R2" s="1315"/>
      <c r="S2" s="1315"/>
      <c r="T2" s="1315"/>
      <c r="U2" s="1315"/>
      <c r="V2" s="1315"/>
      <c r="W2" s="1315"/>
      <c r="X2" s="1315"/>
      <c r="Y2" s="1315"/>
      <c r="Z2" s="1315"/>
      <c r="AA2" s="1315"/>
      <c r="AB2" s="1315"/>
      <c r="AC2" s="1316"/>
    </row>
    <row r="3" spans="1:29" s="741" customFormat="1" ht="28.5" customHeight="1" thickBot="1">
      <c r="A3" s="579" t="s">
        <v>447</v>
      </c>
      <c r="B3" s="951" t="e">
        <f ca="1">IF(C2="——",C37,ROUND(B2*10000/D3,0))</f>
        <v>#DIV/0!</v>
      </c>
      <c r="C3" s="743" t="s">
        <v>448</v>
      </c>
      <c r="D3" s="742">
        <f>SUMIF('数据-汇总表'!$C19:$C33,D1,'数据-汇总表'!$E19:$E33)</f>
        <v>0</v>
      </c>
      <c r="E3" s="2339"/>
      <c r="F3" s="2340"/>
      <c r="G3" s="2339"/>
      <c r="H3" s="2339"/>
      <c r="I3" s="2339"/>
      <c r="J3" s="2339"/>
      <c r="K3" s="2341"/>
      <c r="L3" s="2342"/>
      <c r="M3" s="2343"/>
      <c r="N3" s="2343"/>
      <c r="O3" s="2343"/>
      <c r="P3" s="1315"/>
      <c r="Q3" s="1315"/>
      <c r="R3" s="1315"/>
      <c r="S3" s="1315"/>
      <c r="T3" s="1315"/>
      <c r="U3" s="1315"/>
      <c r="V3" s="1315"/>
      <c r="W3" s="1315"/>
      <c r="X3" s="1315"/>
      <c r="Y3" s="1315"/>
      <c r="Z3" s="1315"/>
      <c r="AA3" s="1315"/>
      <c r="AB3" s="1408"/>
      <c r="AC3" s="1398"/>
    </row>
    <row r="4" spans="1:29" ht="15">
      <c r="A4" s="744" t="s">
        <v>449</v>
      </c>
      <c r="B4" s="745"/>
      <c r="C4" s="3745" t="s">
        <v>450</v>
      </c>
      <c r="D4" s="3746"/>
      <c r="E4" s="3747" t="s">
        <v>451</v>
      </c>
      <c r="F4" s="3748"/>
      <c r="G4" s="3745" t="s">
        <v>452</v>
      </c>
      <c r="H4" s="3746"/>
      <c r="I4" s="3745" t="s">
        <v>453</v>
      </c>
      <c r="J4" s="3746"/>
      <c r="K4" s="952" t="s">
        <v>454</v>
      </c>
      <c r="L4" s="2344"/>
      <c r="M4" s="2345"/>
      <c r="N4" s="2345"/>
      <c r="O4" s="2345"/>
      <c r="P4" s="3749" t="s">
        <v>455</v>
      </c>
      <c r="Q4" s="3750"/>
      <c r="R4" s="3735" t="s">
        <v>451</v>
      </c>
      <c r="S4" s="3736"/>
      <c r="T4" s="3735" t="s">
        <v>452</v>
      </c>
      <c r="U4" s="3736"/>
      <c r="V4" s="3757" t="s">
        <v>453</v>
      </c>
      <c r="W4" s="3757"/>
      <c r="X4" s="1317"/>
      <c r="Y4" s="3735" t="s">
        <v>455</v>
      </c>
      <c r="Z4" s="3736"/>
      <c r="AA4" s="3730" t="s">
        <v>451</v>
      </c>
      <c r="AB4" s="3731" t="s">
        <v>452</v>
      </c>
      <c r="AC4" s="3730" t="s">
        <v>453</v>
      </c>
    </row>
    <row r="5" spans="1:29" ht="15">
      <c r="A5" s="747"/>
      <c r="B5" s="748"/>
      <c r="C5" s="3651" t="s">
        <v>1132</v>
      </c>
      <c r="D5" s="3652"/>
      <c r="E5" s="3649" t="s">
        <v>1133</v>
      </c>
      <c r="F5" s="3650"/>
      <c r="G5" s="3651" t="s">
        <v>61</v>
      </c>
      <c r="H5" s="3652"/>
      <c r="I5" s="3651" t="s">
        <v>1134</v>
      </c>
      <c r="J5" s="3652"/>
      <c r="K5" s="952"/>
      <c r="L5" s="2344"/>
      <c r="M5" s="2345"/>
      <c r="N5" s="2345"/>
      <c r="O5" s="2345"/>
      <c r="P5" s="3751"/>
      <c r="Q5" s="3752"/>
      <c r="R5" s="3737"/>
      <c r="S5" s="3738"/>
      <c r="T5" s="3737"/>
      <c r="U5" s="3738"/>
      <c r="V5" s="3757"/>
      <c r="W5" s="3757"/>
      <c r="X5" s="1317"/>
      <c r="Y5" s="3737"/>
      <c r="Z5" s="3738"/>
      <c r="AA5" s="3731"/>
      <c r="AB5" s="3731"/>
      <c r="AC5" s="3731"/>
    </row>
    <row r="6" spans="1:29" ht="15.75" thickBot="1">
      <c r="A6" s="749"/>
      <c r="B6" s="750"/>
      <c r="C6" s="3653" t="s">
        <v>1135</v>
      </c>
      <c r="D6" s="3654"/>
      <c r="E6" s="3655" t="s">
        <v>1135</v>
      </c>
      <c r="F6" s="3656"/>
      <c r="G6" s="3653" t="s">
        <v>1135</v>
      </c>
      <c r="H6" s="3654"/>
      <c r="I6" s="3653" t="s">
        <v>1135</v>
      </c>
      <c r="J6" s="3654"/>
      <c r="K6" s="952" t="s">
        <v>397</v>
      </c>
      <c r="L6" s="2344"/>
      <c r="M6" s="2345"/>
      <c r="N6" s="2345"/>
      <c r="O6" s="2345"/>
      <c r="P6" s="3753"/>
      <c r="Q6" s="3754"/>
      <c r="R6" s="3737"/>
      <c r="S6" s="3738"/>
      <c r="T6" s="3755"/>
      <c r="U6" s="3756"/>
      <c r="V6" s="3757"/>
      <c r="W6" s="3757"/>
      <c r="X6" s="1317"/>
      <c r="Y6" s="3755"/>
      <c r="Z6" s="3756"/>
      <c r="AA6" s="3732"/>
      <c r="AB6" s="3732"/>
      <c r="AC6" s="3732"/>
    </row>
    <row r="7" spans="1:29" s="407" customFormat="1" ht="15.75" thickBot="1">
      <c r="A7" s="751" t="s">
        <v>398</v>
      </c>
      <c r="B7" s="752"/>
      <c r="C7" s="753">
        <f>'数据-取费表'!B2</f>
        <v>42958</v>
      </c>
      <c r="D7" s="754">
        <v>100</v>
      </c>
      <c r="E7" s="1016"/>
      <c r="F7" s="756">
        <f>SUMIF(46:46,YEAR(E7)&amp;"-"&amp;MONTH(E7),47:47)</f>
        <v>0</v>
      </c>
      <c r="G7" s="1017"/>
      <c r="H7" s="754">
        <f>SUMIF(46:46,YEAR(G7)&amp;"-"&amp;MONTH(G7),47:47)</f>
        <v>0</v>
      </c>
      <c r="I7" s="1016"/>
      <c r="J7" s="754">
        <f>SUMIF(46:46,YEAR(I7)&amp;"-"&amp;MONTH(I7),47:47)</f>
        <v>0</v>
      </c>
      <c r="K7" s="953"/>
      <c r="L7" s="2346"/>
      <c r="M7" s="2347"/>
      <c r="N7" s="2347"/>
      <c r="O7" s="2347"/>
      <c r="P7" s="3733" t="s">
        <v>399</v>
      </c>
      <c r="Q7" s="3758"/>
      <c r="R7" s="1318" t="s">
        <v>65</v>
      </c>
      <c r="S7" s="1319">
        <f t="shared" ref="S7:S14" si="0">F7</f>
        <v>0</v>
      </c>
      <c r="T7" s="1318" t="s">
        <v>65</v>
      </c>
      <c r="U7" s="1319">
        <f t="shared" ref="U7:U14" si="1">H7</f>
        <v>0</v>
      </c>
      <c r="V7" s="1318" t="s">
        <v>65</v>
      </c>
      <c r="W7" s="1319">
        <f t="shared" ref="W7:W14" si="2">J7</f>
        <v>0</v>
      </c>
      <c r="X7" s="1320"/>
      <c r="Y7" s="3733" t="s">
        <v>399</v>
      </c>
      <c r="Z7" s="3734"/>
      <c r="AA7" s="1321" t="e">
        <f>D7/F7</f>
        <v>#DIV/0!</v>
      </c>
      <c r="AB7" s="1321" t="e">
        <f>D7/H7</f>
        <v>#DIV/0!</v>
      </c>
      <c r="AC7" s="1321" t="e">
        <f>D7/J7</f>
        <v>#DIV/0!</v>
      </c>
    </row>
    <row r="8" spans="1:29" s="407" customFormat="1" ht="15.75" thickBot="1">
      <c r="A8" s="751" t="s">
        <v>400</v>
      </c>
      <c r="B8" s="752"/>
      <c r="C8" s="757" t="s">
        <v>417</v>
      </c>
      <c r="D8" s="754">
        <v>100</v>
      </c>
      <c r="E8" s="757"/>
      <c r="F8" s="756">
        <f>SUMIF(49:49,E8,50:50)-SUMIF(49:49,C8,50:50)+100</f>
        <v>0</v>
      </c>
      <c r="G8" s="757"/>
      <c r="H8" s="754">
        <f>SUMIF(49:49,G8,50:50)-SUMIF(49:49,C8,50:50)+100</f>
        <v>0</v>
      </c>
      <c r="I8" s="757"/>
      <c r="J8" s="754">
        <f>SUMIF(49:49,I8,50:50)-SUMIF(49:49,C8,50:50)+100</f>
        <v>0</v>
      </c>
      <c r="K8" s="953"/>
      <c r="L8" s="2346"/>
      <c r="M8" s="2347"/>
      <c r="N8" s="2347"/>
      <c r="O8" s="2347"/>
      <c r="P8" s="3733" t="s">
        <v>435</v>
      </c>
      <c r="Q8" s="3734"/>
      <c r="R8" s="1318" t="s">
        <v>65</v>
      </c>
      <c r="S8" s="1319">
        <f t="shared" si="0"/>
        <v>0</v>
      </c>
      <c r="T8" s="1318" t="s">
        <v>65</v>
      </c>
      <c r="U8" s="1319">
        <f t="shared" si="1"/>
        <v>0</v>
      </c>
      <c r="V8" s="1318" t="s">
        <v>65</v>
      </c>
      <c r="W8" s="1319">
        <f t="shared" si="2"/>
        <v>0</v>
      </c>
      <c r="X8" s="1320"/>
      <c r="Y8" s="3733" t="s">
        <v>435</v>
      </c>
      <c r="Z8" s="3734"/>
      <c r="AA8" s="1321" t="e">
        <f t="shared" ref="AA8:AA34" si="3">D8/F8</f>
        <v>#DIV/0!</v>
      </c>
      <c r="AB8" s="1321" t="e">
        <f t="shared" ref="AB8:AB34" si="4">D8/H8</f>
        <v>#DIV/0!</v>
      </c>
      <c r="AC8" s="1321" t="e">
        <f t="shared" ref="AC8:AC34" si="5">D8/J8</f>
        <v>#DIV/0!</v>
      </c>
    </row>
    <row r="9" spans="1:29" s="407" customFormat="1">
      <c r="A9" s="758" t="s">
        <v>401</v>
      </c>
      <c r="B9" s="361" t="s">
        <v>419</v>
      </c>
      <c r="C9" s="1345"/>
      <c r="D9" s="425">
        <v>100</v>
      </c>
      <c r="E9" s="761"/>
      <c r="F9" s="760">
        <f>SUMIF(51:51,E9,52:52)-SUMIF(51:51,C9,52:52)+100</f>
        <v>100</v>
      </c>
      <c r="G9" s="761"/>
      <c r="H9" s="425">
        <f>SUMIF(51:51,G9,52:52)-SUMIF(51:51,C9,52:52)+100</f>
        <v>100</v>
      </c>
      <c r="I9" s="761"/>
      <c r="J9" s="425">
        <f>SUMIF(51:51,I9,52:52)-SUMIF(51:51,C9,52:52)+100</f>
        <v>100</v>
      </c>
      <c r="K9" s="953"/>
      <c r="L9" s="2346"/>
      <c r="M9" s="2347"/>
      <c r="N9" s="2347"/>
      <c r="O9" s="2348"/>
      <c r="P9" s="3744" t="s">
        <v>402</v>
      </c>
      <c r="Q9" s="296" t="str">
        <f t="shared" ref="Q9:Q14" si="6">B9</f>
        <v>用途</v>
      </c>
      <c r="R9" s="1318" t="s">
        <v>65</v>
      </c>
      <c r="S9" s="1319">
        <f t="shared" si="0"/>
        <v>100</v>
      </c>
      <c r="T9" s="1318" t="s">
        <v>65</v>
      </c>
      <c r="U9" s="1319">
        <f t="shared" si="1"/>
        <v>100</v>
      </c>
      <c r="V9" s="1318" t="s">
        <v>65</v>
      </c>
      <c r="W9" s="1319">
        <f t="shared" si="2"/>
        <v>100</v>
      </c>
      <c r="X9" s="1320"/>
      <c r="Y9" s="3609" t="s">
        <v>403</v>
      </c>
      <c r="Z9" s="344" t="str">
        <f t="shared" ref="Z9:Z14" si="7">Q9</f>
        <v>用途</v>
      </c>
      <c r="AA9" s="1321">
        <f t="shared" si="3"/>
        <v>1</v>
      </c>
      <c r="AB9" s="1321">
        <f t="shared" si="4"/>
        <v>1</v>
      </c>
      <c r="AC9" s="1321">
        <f t="shared" si="5"/>
        <v>1</v>
      </c>
    </row>
    <row r="10" spans="1:29" s="769" customFormat="1" ht="27">
      <c r="A10" s="763"/>
      <c r="B10" s="764" t="s">
        <v>404</v>
      </c>
      <c r="C10" s="765"/>
      <c r="D10" s="426">
        <v>100</v>
      </c>
      <c r="E10" s="765"/>
      <c r="F10" s="767">
        <f>SUMIF(53:53,E10,54:54)-SUMIF(53:53,C10,54:54)+100</f>
        <v>100</v>
      </c>
      <c r="G10" s="765"/>
      <c r="H10" s="426">
        <f>SUMIF(53:53,G10,54:54)-SUMIF(53:53,C10,54:54)+100</f>
        <v>100</v>
      </c>
      <c r="I10" s="765"/>
      <c r="J10" s="426">
        <f>SUMIF(53:53,I10,54:54)-SUMIF(53:53,C10,54:54)+100</f>
        <v>100</v>
      </c>
      <c r="K10" s="954"/>
      <c r="L10" s="2349"/>
      <c r="M10" s="2350"/>
      <c r="N10" s="2350"/>
      <c r="O10" s="2351"/>
      <c r="P10" s="3744"/>
      <c r="Q10" s="296" t="str">
        <f t="shared" si="6"/>
        <v>土地使用年限（年）</v>
      </c>
      <c r="R10" s="1318" t="s">
        <v>65</v>
      </c>
      <c r="S10" s="1319">
        <f t="shared" si="0"/>
        <v>100</v>
      </c>
      <c r="T10" s="1318" t="s">
        <v>65</v>
      </c>
      <c r="U10" s="1319">
        <f t="shared" si="1"/>
        <v>100</v>
      </c>
      <c r="V10" s="1318" t="s">
        <v>65</v>
      </c>
      <c r="W10" s="1319">
        <f t="shared" si="2"/>
        <v>100</v>
      </c>
      <c r="X10" s="1320"/>
      <c r="Y10" s="3609"/>
      <c r="Z10" s="344" t="str">
        <f t="shared" si="7"/>
        <v>土地使用年限（年）</v>
      </c>
      <c r="AA10" s="1321">
        <f t="shared" si="3"/>
        <v>1</v>
      </c>
      <c r="AB10" s="1321">
        <f t="shared" si="4"/>
        <v>1</v>
      </c>
      <c r="AC10" s="1321">
        <f t="shared" si="5"/>
        <v>1</v>
      </c>
    </row>
    <row r="11" spans="1:29" ht="15">
      <c r="A11" s="770"/>
      <c r="B11" s="1030">
        <v>111</v>
      </c>
      <c r="C11" s="1023"/>
      <c r="D11" s="426">
        <v>100</v>
      </c>
      <c r="E11" s="1357"/>
      <c r="F11" s="767">
        <f>SUMIF(55:55,E11,56:56)-SUMIF(55:55,C11,56:56)+100</f>
        <v>100</v>
      </c>
      <c r="G11" s="1357"/>
      <c r="H11" s="426">
        <f>SUMIF(55:55,G11,56:56)-SUMIF(55:55,C11,56:56)+100</f>
        <v>100</v>
      </c>
      <c r="I11" s="1357"/>
      <c r="J11" s="426">
        <f>SUMIF(55:55,I11,56:56)-SUMIF(55:55,C11,56:56)+100</f>
        <v>100</v>
      </c>
      <c r="K11" s="955"/>
      <c r="L11" s="2352"/>
      <c r="M11" s="2345"/>
      <c r="N11" s="2345"/>
      <c r="O11" s="2353"/>
      <c r="P11" s="3744"/>
      <c r="Q11" s="296">
        <f t="shared" si="6"/>
        <v>111</v>
      </c>
      <c r="R11" s="1318" t="s">
        <v>65</v>
      </c>
      <c r="S11" s="1319">
        <f t="shared" si="0"/>
        <v>100</v>
      </c>
      <c r="T11" s="1318" t="s">
        <v>65</v>
      </c>
      <c r="U11" s="1319">
        <f t="shared" si="1"/>
        <v>100</v>
      </c>
      <c r="V11" s="1318" t="s">
        <v>65</v>
      </c>
      <c r="W11" s="1319">
        <f t="shared" si="2"/>
        <v>100</v>
      </c>
      <c r="X11" s="1320"/>
      <c r="Y11" s="3609"/>
      <c r="Z11" s="344">
        <f t="shared" si="7"/>
        <v>111</v>
      </c>
      <c r="AA11" s="1321">
        <f t="shared" si="3"/>
        <v>1</v>
      </c>
      <c r="AB11" s="1321">
        <f t="shared" si="4"/>
        <v>1</v>
      </c>
      <c r="AC11" s="1321">
        <f t="shared" si="5"/>
        <v>1</v>
      </c>
    </row>
    <row r="12" spans="1:29" s="407" customFormat="1" ht="15">
      <c r="A12" s="773"/>
      <c r="B12" s="1030">
        <v>111</v>
      </c>
      <c r="C12" s="1023"/>
      <c r="D12" s="775">
        <v>100</v>
      </c>
      <c r="E12" s="1357"/>
      <c r="F12" s="767">
        <f>SUMIF(57:57,E12,58:58)-SUMIF(57:57,C12,58:58)+100</f>
        <v>100</v>
      </c>
      <c r="G12" s="1357"/>
      <c r="H12" s="426">
        <f>SUMIF(57:57,G12,58:58)-SUMIF(57:57,C12,58:58)+100</f>
        <v>100</v>
      </c>
      <c r="I12" s="1357"/>
      <c r="J12" s="426">
        <f>SUMIF(57:57,I12,58:58)-SUMIF(57:57,C12,58:58)+100</f>
        <v>100</v>
      </c>
      <c r="K12" s="955"/>
      <c r="L12" s="2346"/>
      <c r="M12" s="2347"/>
      <c r="N12" s="2347"/>
      <c r="O12" s="2348"/>
      <c r="P12" s="3744"/>
      <c r="Q12" s="296">
        <f t="shared" si="6"/>
        <v>111</v>
      </c>
      <c r="R12" s="1318" t="s">
        <v>65</v>
      </c>
      <c r="S12" s="1319">
        <f t="shared" si="0"/>
        <v>100</v>
      </c>
      <c r="T12" s="1318" t="s">
        <v>65</v>
      </c>
      <c r="U12" s="1319">
        <f t="shared" si="1"/>
        <v>100</v>
      </c>
      <c r="V12" s="1318" t="s">
        <v>65</v>
      </c>
      <c r="W12" s="1319">
        <f t="shared" si="2"/>
        <v>100</v>
      </c>
      <c r="X12" s="1320"/>
      <c r="Y12" s="3609"/>
      <c r="Z12" s="344">
        <f t="shared" si="7"/>
        <v>111</v>
      </c>
      <c r="AA12" s="1321">
        <f>D12/F12</f>
        <v>1</v>
      </c>
      <c r="AB12" s="1321">
        <f>D12/H12</f>
        <v>1</v>
      </c>
      <c r="AC12" s="1321">
        <f>D12/J12</f>
        <v>1</v>
      </c>
    </row>
    <row r="13" spans="1:29" ht="15.75" thickBot="1">
      <c r="A13" s="770"/>
      <c r="B13" s="1030">
        <v>111</v>
      </c>
      <c r="C13" s="93"/>
      <c r="D13" s="777">
        <v>100</v>
      </c>
      <c r="E13" s="1357"/>
      <c r="F13" s="767">
        <f>SUMIF(59:59,E13,60:60)-SUMIF(59:59,C13,60:60)+100</f>
        <v>100</v>
      </c>
      <c r="G13" s="1413"/>
      <c r="H13" s="780">
        <f>SUMIF(59:59,G13,60:60)-SUMIF(59:59,C13,60:60)+100</f>
        <v>100</v>
      </c>
      <c r="I13" s="1357"/>
      <c r="J13" s="777">
        <f>SUMIF(59:59,I13,60:60)-SUMIF(59:59,C13,60:60)+100</f>
        <v>100</v>
      </c>
      <c r="K13" s="955"/>
      <c r="L13" s="2354"/>
      <c r="M13" s="2345"/>
      <c r="N13" s="2345"/>
      <c r="O13" s="2353"/>
      <c r="P13" s="3744"/>
      <c r="Q13" s="296">
        <f t="shared" si="6"/>
        <v>111</v>
      </c>
      <c r="R13" s="1318" t="s">
        <v>65</v>
      </c>
      <c r="S13" s="1319">
        <f t="shared" si="0"/>
        <v>100</v>
      </c>
      <c r="T13" s="1318" t="s">
        <v>65</v>
      </c>
      <c r="U13" s="1319">
        <f t="shared" si="1"/>
        <v>100</v>
      </c>
      <c r="V13" s="1318" t="s">
        <v>65</v>
      </c>
      <c r="W13" s="1319">
        <f t="shared" si="2"/>
        <v>100</v>
      </c>
      <c r="X13" s="1320"/>
      <c r="Y13" s="3609"/>
      <c r="Z13" s="344">
        <f t="shared" si="7"/>
        <v>111</v>
      </c>
      <c r="AA13" s="1321">
        <f t="shared" si="3"/>
        <v>1</v>
      </c>
      <c r="AB13" s="1321">
        <f t="shared" si="4"/>
        <v>1</v>
      </c>
      <c r="AC13" s="1321">
        <f t="shared" si="5"/>
        <v>1</v>
      </c>
    </row>
    <row r="14" spans="1:29" ht="94.5">
      <c r="A14" s="782" t="s">
        <v>406</v>
      </c>
      <c r="B14" s="359" t="s">
        <v>456</v>
      </c>
      <c r="C14" s="212" t="str">
        <f>IF(B1="工业",估价对象房地状况!G4,估价对象房地状况!C6)</f>
        <v>估价对象周边道路状况、公共交通通达情况、停车便捷程度，综合评价交通便捷度较好</v>
      </c>
      <c r="D14" s="783">
        <v>100</v>
      </c>
      <c r="E14" s="95"/>
      <c r="F14" s="785">
        <f>SUMIF(61:61,E15,62:62)-SUMIF(61:61,C15,62:62)+100</f>
        <v>100</v>
      </c>
      <c r="G14" s="96"/>
      <c r="H14" s="783">
        <f>SUMIF(61:61,G15,62:62)-SUMIF(61:61,C15,62:62)+100</f>
        <v>100</v>
      </c>
      <c r="I14" s="95"/>
      <c r="J14" s="783">
        <f>SUMIF(61:61,I15,62:62)-SUMIF(61:61,C15,62:62)+100</f>
        <v>100</v>
      </c>
      <c r="K14" s="956"/>
      <c r="L14" s="2354"/>
      <c r="M14" s="2345"/>
      <c r="N14" s="2345"/>
      <c r="O14" s="2353"/>
      <c r="P14" s="3759" t="s">
        <v>407</v>
      </c>
      <c r="Q14" s="1322" t="str">
        <f t="shared" si="6"/>
        <v>交通便捷度</v>
      </c>
      <c r="R14" s="1323" t="s">
        <v>65</v>
      </c>
      <c r="S14" s="1324">
        <f t="shared" si="0"/>
        <v>100</v>
      </c>
      <c r="T14" s="1323" t="s">
        <v>65</v>
      </c>
      <c r="U14" s="1324">
        <f t="shared" si="1"/>
        <v>100</v>
      </c>
      <c r="V14" s="1323" t="s">
        <v>65</v>
      </c>
      <c r="W14" s="1324">
        <f t="shared" si="2"/>
        <v>100</v>
      </c>
      <c r="X14" s="1317"/>
      <c r="Y14" s="3759" t="s">
        <v>407</v>
      </c>
      <c r="Z14" s="1325" t="str">
        <f t="shared" si="7"/>
        <v>交通便捷度</v>
      </c>
      <c r="AA14" s="1326">
        <f t="shared" si="3"/>
        <v>1</v>
      </c>
      <c r="AB14" s="1326">
        <f t="shared" si="4"/>
        <v>1</v>
      </c>
      <c r="AC14" s="1326">
        <f t="shared" si="5"/>
        <v>1</v>
      </c>
    </row>
    <row r="15" spans="1:29" ht="15">
      <c r="A15" s="770"/>
      <c r="B15" s="788"/>
      <c r="C15" s="97"/>
      <c r="D15" s="790"/>
      <c r="E15" s="789"/>
      <c r="F15" s="791"/>
      <c r="G15" s="789"/>
      <c r="H15" s="792"/>
      <c r="I15" s="789"/>
      <c r="J15" s="790"/>
      <c r="K15" s="957"/>
      <c r="L15" s="2354"/>
      <c r="M15" s="2345"/>
      <c r="N15" s="2345"/>
      <c r="O15" s="2353"/>
      <c r="P15" s="3760"/>
      <c r="Q15" s="1322"/>
      <c r="R15" s="1323"/>
      <c r="S15" s="1324"/>
      <c r="T15" s="1323"/>
      <c r="U15" s="1324"/>
      <c r="V15" s="1323"/>
      <c r="W15" s="1324"/>
      <c r="X15" s="1317"/>
      <c r="Y15" s="3760"/>
      <c r="Z15" s="1325"/>
      <c r="AA15" s="1326">
        <v>1</v>
      </c>
      <c r="AB15" s="1326">
        <v>1</v>
      </c>
      <c r="AC15" s="1326">
        <v>1</v>
      </c>
    </row>
    <row r="16" spans="1:29" ht="40.5">
      <c r="A16" s="770"/>
      <c r="B16" s="1355" t="s">
        <v>2670</v>
      </c>
      <c r="C16" s="158" t="str">
        <f>IF(B1="工业",估价对象房地状况!G5,估价对象房地状况!C7)</f>
        <v>估价对象所在区域公共配套设施齐备情况</v>
      </c>
      <c r="D16" s="797">
        <v>100</v>
      </c>
      <c r="E16" s="105"/>
      <c r="F16" s="800">
        <f>SUMIF(63:63,E17,64:64)-SUMIF(63:63,C17,64:64)+100</f>
        <v>100</v>
      </c>
      <c r="G16" s="106"/>
      <c r="H16" s="797">
        <f>SUMIF(63:63,G17,64:64)-SUMIF(63:63,C17,64:64)+100</f>
        <v>100</v>
      </c>
      <c r="I16" s="105"/>
      <c r="J16" s="797">
        <f>SUMIF(63:63,I17,64:64)-SUMIF(63:63,C17,64:64)+100</f>
        <v>100</v>
      </c>
      <c r="K16" s="956"/>
      <c r="L16" s="2354"/>
      <c r="M16" s="2345"/>
      <c r="N16" s="2345"/>
      <c r="O16" s="2353"/>
      <c r="P16" s="3760"/>
      <c r="Q16" s="1322" t="str">
        <f>B16</f>
        <v>公共配套设施</v>
      </c>
      <c r="R16" s="1323" t="s">
        <v>65</v>
      </c>
      <c r="S16" s="1324">
        <f>F16</f>
        <v>100</v>
      </c>
      <c r="T16" s="1323" t="s">
        <v>65</v>
      </c>
      <c r="U16" s="1324">
        <f>H16</f>
        <v>100</v>
      </c>
      <c r="V16" s="1323" t="s">
        <v>65</v>
      </c>
      <c r="W16" s="1324">
        <f>J16</f>
        <v>100</v>
      </c>
      <c r="X16" s="1317"/>
      <c r="Y16" s="3760"/>
      <c r="Z16" s="1325" t="str">
        <f>Q16</f>
        <v>公共配套设施</v>
      </c>
      <c r="AA16" s="1326">
        <f t="shared" si="3"/>
        <v>1</v>
      </c>
      <c r="AB16" s="1326">
        <f t="shared" si="4"/>
        <v>1</v>
      </c>
      <c r="AC16" s="1326">
        <f t="shared" si="5"/>
        <v>1</v>
      </c>
    </row>
    <row r="17" spans="1:29" ht="15">
      <c r="A17" s="770"/>
      <c r="B17" s="798"/>
      <c r="C17" s="102"/>
      <c r="D17" s="790"/>
      <c r="E17" s="789"/>
      <c r="F17" s="791"/>
      <c r="G17" s="789"/>
      <c r="H17" s="790"/>
      <c r="I17" s="789"/>
      <c r="J17" s="790"/>
      <c r="K17" s="957"/>
      <c r="L17" s="2354"/>
      <c r="M17" s="2345"/>
      <c r="N17" s="2345"/>
      <c r="O17" s="2353"/>
      <c r="P17" s="3760"/>
      <c r="Q17" s="1322"/>
      <c r="R17" s="1323"/>
      <c r="S17" s="1324"/>
      <c r="T17" s="1323"/>
      <c r="U17" s="1324"/>
      <c r="V17" s="1323"/>
      <c r="W17" s="1324"/>
      <c r="X17" s="1317"/>
      <c r="Y17" s="3760"/>
      <c r="Z17" s="1325"/>
      <c r="AA17" s="1326">
        <v>1</v>
      </c>
      <c r="AB17" s="1326">
        <v>1</v>
      </c>
      <c r="AC17" s="1326">
        <v>1</v>
      </c>
    </row>
    <row r="18" spans="1:29" ht="40.5">
      <c r="A18" s="770"/>
      <c r="B18" s="1411" t="s">
        <v>2672</v>
      </c>
      <c r="C18" s="158" t="str">
        <f>IF(B1="工业",估价对象房地状况!G6,估价对象房地状况!C8)</f>
        <v>估价对象所在区域基础设施水平</v>
      </c>
      <c r="D18" s="797">
        <v>100</v>
      </c>
      <c r="E18" s="100"/>
      <c r="F18" s="800">
        <f>SUMIF(65:65,E19,66:66)-SUMIF(65:65,C19,66:66)+100</f>
        <v>100</v>
      </c>
      <c r="G18" s="101"/>
      <c r="H18" s="797">
        <f>SUMIF(65:65,G19,66:66)-SUMIF(65:65,C19,66:66)+100</f>
        <v>100</v>
      </c>
      <c r="I18" s="105"/>
      <c r="J18" s="797">
        <f>SUMIF(65:65,I19,66:66)-SUMIF(65:65,C19,66:66)+100</f>
        <v>100</v>
      </c>
      <c r="K18" s="956"/>
      <c r="L18" s="2354"/>
      <c r="M18" s="2345"/>
      <c r="N18" s="2345"/>
      <c r="O18" s="2353"/>
      <c r="P18" s="3760"/>
      <c r="Q18" s="2745" t="str">
        <f>B18</f>
        <v>基础设施水平</v>
      </c>
      <c r="R18" s="1323" t="s">
        <v>65</v>
      </c>
      <c r="S18" s="1324">
        <f>F18</f>
        <v>100</v>
      </c>
      <c r="T18" s="1323" t="s">
        <v>65</v>
      </c>
      <c r="U18" s="1324">
        <f>H18</f>
        <v>100</v>
      </c>
      <c r="V18" s="1323" t="s">
        <v>65</v>
      </c>
      <c r="W18" s="1324">
        <f>J18</f>
        <v>100</v>
      </c>
      <c r="X18" s="2747"/>
      <c r="Y18" s="3760"/>
      <c r="Z18" s="2746" t="str">
        <f>Q18</f>
        <v>基础设施水平</v>
      </c>
      <c r="AA18" s="1326">
        <f>D18/F18</f>
        <v>1</v>
      </c>
      <c r="AB18" s="1326">
        <f>D18/H18</f>
        <v>1</v>
      </c>
      <c r="AC18" s="1326">
        <f>D18/J18</f>
        <v>1</v>
      </c>
    </row>
    <row r="19" spans="1:29" ht="15">
      <c r="A19" s="770"/>
      <c r="B19" s="2765"/>
      <c r="C19" s="102"/>
      <c r="D19" s="792"/>
      <c r="E19" s="102"/>
      <c r="F19" s="795"/>
      <c r="G19" s="102"/>
      <c r="H19" s="790"/>
      <c r="I19" s="97"/>
      <c r="J19" s="790"/>
      <c r="K19" s="2763"/>
      <c r="L19" s="2354"/>
      <c r="M19" s="2345"/>
      <c r="N19" s="2345"/>
      <c r="O19" s="2353"/>
      <c r="P19" s="3760"/>
      <c r="Q19" s="2745"/>
      <c r="R19" s="1323"/>
      <c r="S19" s="1324"/>
      <c r="T19" s="1323"/>
      <c r="U19" s="1324"/>
      <c r="V19" s="1323"/>
      <c r="W19" s="1324"/>
      <c r="X19" s="2747"/>
      <c r="Y19" s="3760"/>
      <c r="Z19" s="2746"/>
      <c r="AA19" s="1326">
        <v>1</v>
      </c>
      <c r="AB19" s="1326">
        <v>1</v>
      </c>
      <c r="AC19" s="1326">
        <v>1</v>
      </c>
    </row>
    <row r="20" spans="1:29" ht="54">
      <c r="A20" s="770"/>
      <c r="B20" s="793" t="s">
        <v>457</v>
      </c>
      <c r="C20" s="158" t="str">
        <f>IF(B1="工业",估价对象房地状况!G7,估价对象房地状况!C9)</f>
        <v>区域自然环境：；人文环境；综合评价环境状况一般</v>
      </c>
      <c r="D20" s="797">
        <v>100</v>
      </c>
      <c r="E20" s="105"/>
      <c r="F20" s="800">
        <f>SUMIF(67:67,E21,68:68)-SUMIF(67:67,C21,68:68)+100</f>
        <v>100</v>
      </c>
      <c r="G20" s="106"/>
      <c r="H20" s="792">
        <f>SUMIF(67:67,G21,68:68)-SUMIF(67:67,C21,68:68)+100</f>
        <v>100</v>
      </c>
      <c r="I20" s="100"/>
      <c r="J20" s="792">
        <f>SUMIF(67:67,I21,68:68)-SUMIF(67:67,C21,68:68)+100</f>
        <v>100</v>
      </c>
      <c r="K20" s="956"/>
      <c r="L20" s="2354"/>
      <c r="M20" s="2345"/>
      <c r="N20" s="2345"/>
      <c r="O20" s="2353"/>
      <c r="P20" s="3760"/>
      <c r="Q20" s="1322" t="str">
        <f>B20</f>
        <v>自然及人文环境</v>
      </c>
      <c r="R20" s="1323" t="s">
        <v>65</v>
      </c>
      <c r="S20" s="1324">
        <f>F20</f>
        <v>100</v>
      </c>
      <c r="T20" s="1323" t="s">
        <v>65</v>
      </c>
      <c r="U20" s="1324">
        <f>H20</f>
        <v>100</v>
      </c>
      <c r="V20" s="1323" t="s">
        <v>65</v>
      </c>
      <c r="W20" s="1324">
        <f>J20</f>
        <v>100</v>
      </c>
      <c r="X20" s="1317"/>
      <c r="Y20" s="3760"/>
      <c r="Z20" s="1325" t="str">
        <f>Q20</f>
        <v>自然及人文环境</v>
      </c>
      <c r="AA20" s="1326">
        <f t="shared" si="3"/>
        <v>1</v>
      </c>
      <c r="AB20" s="1326">
        <f t="shared" si="4"/>
        <v>1</v>
      </c>
      <c r="AC20" s="1326">
        <f t="shared" si="5"/>
        <v>1</v>
      </c>
    </row>
    <row r="21" spans="1:29" ht="15">
      <c r="A21" s="770"/>
      <c r="B21" s="798"/>
      <c r="C21" s="789"/>
      <c r="D21" s="790"/>
      <c r="E21" s="789"/>
      <c r="F21" s="791"/>
      <c r="G21" s="789"/>
      <c r="H21" s="790"/>
      <c r="I21" s="789"/>
      <c r="J21" s="790"/>
      <c r="K21" s="957"/>
      <c r="L21" s="2354"/>
      <c r="M21" s="2345"/>
      <c r="N21" s="2345"/>
      <c r="O21" s="2353"/>
      <c r="P21" s="3760"/>
      <c r="Q21" s="1322"/>
      <c r="R21" s="1323"/>
      <c r="S21" s="1324"/>
      <c r="T21" s="1323"/>
      <c r="U21" s="1324"/>
      <c r="V21" s="1323"/>
      <c r="W21" s="1324"/>
      <c r="X21" s="1317"/>
      <c r="Y21" s="3760"/>
      <c r="Z21" s="1325"/>
      <c r="AA21" s="1326">
        <v>1</v>
      </c>
      <c r="AB21" s="1326">
        <v>1</v>
      </c>
      <c r="AC21" s="1326">
        <v>1</v>
      </c>
    </row>
    <row r="22" spans="1:29" ht="15">
      <c r="A22" s="770"/>
      <c r="B22" s="793" t="s">
        <v>458</v>
      </c>
      <c r="C22" s="958"/>
      <c r="D22" s="792">
        <v>100</v>
      </c>
      <c r="E22" s="958"/>
      <c r="F22" s="803">
        <f>SUMIF(69:69,E22,70:70)-SUMIF(69:69,C22,70:70)+100</f>
        <v>100</v>
      </c>
      <c r="G22" s="958"/>
      <c r="H22" s="777">
        <f>SUMIF(69:69,G22,70:70)-SUMIF(69:69,C22,70:70)+100</f>
        <v>100</v>
      </c>
      <c r="I22" s="958"/>
      <c r="J22" s="777">
        <f>SUMIF(69:69,I22,70:70)-SUMIF(69:69,C22,70:70)+100</f>
        <v>100</v>
      </c>
      <c r="K22" s="954"/>
      <c r="L22" s="2354"/>
      <c r="M22" s="2345"/>
      <c r="N22" s="2345"/>
      <c r="O22" s="2353"/>
      <c r="P22" s="3760"/>
      <c r="Q22" s="1322" t="str">
        <f>B22</f>
        <v>楼层</v>
      </c>
      <c r="R22" s="1323" t="s">
        <v>65</v>
      </c>
      <c r="S22" s="1324">
        <f>F22</f>
        <v>100</v>
      </c>
      <c r="T22" s="1323" t="s">
        <v>65</v>
      </c>
      <c r="U22" s="1324">
        <f>H22</f>
        <v>100</v>
      </c>
      <c r="V22" s="1323" t="s">
        <v>65</v>
      </c>
      <c r="W22" s="1324">
        <f>J22</f>
        <v>100</v>
      </c>
      <c r="X22" s="1317"/>
      <c r="Y22" s="3760"/>
      <c r="Z22" s="1325" t="str">
        <f>Q22</f>
        <v>楼层</v>
      </c>
      <c r="AA22" s="1326">
        <f t="shared" si="3"/>
        <v>1</v>
      </c>
      <c r="AB22" s="1326">
        <f t="shared" si="4"/>
        <v>1</v>
      </c>
      <c r="AC22" s="1326">
        <f t="shared" si="5"/>
        <v>1</v>
      </c>
    </row>
    <row r="23" spans="1:29" ht="15">
      <c r="A23" s="747"/>
      <c r="B23" s="1030">
        <v>111</v>
      </c>
      <c r="C23" s="1023"/>
      <c r="D23" s="777">
        <v>100</v>
      </c>
      <c r="E23" s="93"/>
      <c r="F23" s="803">
        <f>SUMIF(71:71,E23,72:72)-SUMIF(71:71,C23,72:72)+100</f>
        <v>100</v>
      </c>
      <c r="G23" s="93"/>
      <c r="H23" s="777">
        <f>SUMIF(71:71,G23,72:72)-SUMIF(71:71,C23,72:72)+100</f>
        <v>100</v>
      </c>
      <c r="I23" s="93"/>
      <c r="J23" s="777">
        <f>SUMIF(71:71,I23,72:72)-SUMIF(71:71,C23,72:72)+100</f>
        <v>100</v>
      </c>
      <c r="K23" s="955"/>
      <c r="L23" s="2354"/>
      <c r="M23" s="2345"/>
      <c r="N23" s="2345"/>
      <c r="O23" s="2353"/>
      <c r="P23" s="3760"/>
      <c r="Q23" s="1322">
        <f>B23</f>
        <v>111</v>
      </c>
      <c r="R23" s="1323" t="s">
        <v>65</v>
      </c>
      <c r="S23" s="1324">
        <f>F23</f>
        <v>100</v>
      </c>
      <c r="T23" s="1323" t="s">
        <v>65</v>
      </c>
      <c r="U23" s="1324">
        <f>H23</f>
        <v>100</v>
      </c>
      <c r="V23" s="1323" t="s">
        <v>65</v>
      </c>
      <c r="W23" s="1324">
        <f>J23</f>
        <v>100</v>
      </c>
      <c r="X23" s="1317"/>
      <c r="Y23" s="3760"/>
      <c r="Z23" s="1325">
        <f>Q23</f>
        <v>111</v>
      </c>
      <c r="AA23" s="1326">
        <f t="shared" si="3"/>
        <v>1</v>
      </c>
      <c r="AB23" s="1326">
        <f t="shared" si="4"/>
        <v>1</v>
      </c>
      <c r="AC23" s="1326">
        <f t="shared" si="5"/>
        <v>1</v>
      </c>
    </row>
    <row r="24" spans="1:29" ht="15">
      <c r="A24" s="770"/>
      <c r="B24" s="1030">
        <v>111</v>
      </c>
      <c r="C24" s="1023"/>
      <c r="D24" s="777">
        <v>100</v>
      </c>
      <c r="E24" s="93"/>
      <c r="F24" s="803">
        <f>SUMIF(73:73,E24,74:74)-SUMIF(73:73,C24,74:74)+100</f>
        <v>100</v>
      </c>
      <c r="G24" s="93"/>
      <c r="H24" s="777">
        <f>SUMIF(73:73,G24,74:74)-SUMIF(73:73,C24,74:74)+100</f>
        <v>100</v>
      </c>
      <c r="I24" s="93"/>
      <c r="J24" s="777">
        <f>SUMIF(73:73,I24,74:74)-SUMIF(73:73,C24,74:74)+100</f>
        <v>100</v>
      </c>
      <c r="K24" s="955"/>
      <c r="L24" s="2354"/>
      <c r="M24" s="2345"/>
      <c r="N24" s="2345"/>
      <c r="O24" s="2353"/>
      <c r="P24" s="3760"/>
      <c r="Q24" s="1322">
        <f t="shared" ref="Q24:Q34" si="8">B24</f>
        <v>111</v>
      </c>
      <c r="R24" s="1323" t="s">
        <v>65</v>
      </c>
      <c r="S24" s="1324">
        <f>F24</f>
        <v>100</v>
      </c>
      <c r="T24" s="1323" t="s">
        <v>65</v>
      </c>
      <c r="U24" s="1324">
        <f>H24</f>
        <v>100</v>
      </c>
      <c r="V24" s="1323" t="s">
        <v>65</v>
      </c>
      <c r="W24" s="1324">
        <f>J24</f>
        <v>100</v>
      </c>
      <c r="X24" s="1317"/>
      <c r="Y24" s="3760"/>
      <c r="Z24" s="1325">
        <f>Q24</f>
        <v>111</v>
      </c>
      <c r="AA24" s="1326">
        <f t="shared" si="3"/>
        <v>1</v>
      </c>
      <c r="AB24" s="1326">
        <f t="shared" si="4"/>
        <v>1</v>
      </c>
      <c r="AC24" s="1326">
        <f t="shared" si="5"/>
        <v>1</v>
      </c>
    </row>
    <row r="25" spans="1:29" s="407" customFormat="1" ht="15.75" thickBot="1">
      <c r="A25" s="773"/>
      <c r="B25" s="1030">
        <v>111</v>
      </c>
      <c r="C25" s="202"/>
      <c r="D25" s="1007">
        <v>100</v>
      </c>
      <c r="E25" s="202"/>
      <c r="F25" s="1008">
        <f>SUMIF(75:75,E25,76:76)-SUMIF(75:75,C25,76:76)+100</f>
        <v>100</v>
      </c>
      <c r="G25" s="202"/>
      <c r="H25" s="1007">
        <f>SUMIF(75:75,G25,76:76)-SUMIF(75:75,C25,76:76)+100</f>
        <v>100</v>
      </c>
      <c r="I25" s="202"/>
      <c r="J25" s="1007">
        <f>SUMIF(75:75,I25,76:76)-SUMIF(75:75,C25,76:76)+100</f>
        <v>100</v>
      </c>
      <c r="K25" s="955"/>
      <c r="L25" s="2346"/>
      <c r="M25" s="2347"/>
      <c r="N25" s="2347"/>
      <c r="O25" s="2348"/>
      <c r="P25" s="3760"/>
      <c r="Q25" s="296">
        <f t="shared" si="8"/>
        <v>111</v>
      </c>
      <c r="R25" s="1318" t="s">
        <v>65</v>
      </c>
      <c r="S25" s="1319">
        <f>F25</f>
        <v>100</v>
      </c>
      <c r="T25" s="1318" t="s">
        <v>65</v>
      </c>
      <c r="U25" s="1319">
        <f>H25</f>
        <v>100</v>
      </c>
      <c r="V25" s="1318" t="s">
        <v>65</v>
      </c>
      <c r="W25" s="1319">
        <f>J25</f>
        <v>100</v>
      </c>
      <c r="X25" s="1320"/>
      <c r="Y25" s="3760"/>
      <c r="Z25" s="344">
        <f>Q25</f>
        <v>111</v>
      </c>
      <c r="AA25" s="1326">
        <f>D25/F25</f>
        <v>1</v>
      </c>
      <c r="AB25" s="1326">
        <f>D25/H25</f>
        <v>1</v>
      </c>
      <c r="AC25" s="1326">
        <f>D25/J25</f>
        <v>1</v>
      </c>
    </row>
    <row r="26" spans="1:29" ht="15">
      <c r="A26" s="808" t="s">
        <v>408</v>
      </c>
      <c r="B26" s="361" t="s">
        <v>461</v>
      </c>
      <c r="C26" s="197"/>
      <c r="D26" s="809">
        <v>100</v>
      </c>
      <c r="E26" s="197"/>
      <c r="F26" s="1009">
        <f>SUMIF(77:77,E26,78:78)-SUMIF(77:77,C26,78:78)+100</f>
        <v>100</v>
      </c>
      <c r="G26" s="197"/>
      <c r="H26" s="809">
        <f>SUMIF(77:77,G26,78:78)-SUMIF(77:77,C26,78:78)+100</f>
        <v>100</v>
      </c>
      <c r="I26" s="197"/>
      <c r="J26" s="809">
        <f>SUMIF(77:77,I26,78:78)-SUMIF(77:77,C26,78:78)+100</f>
        <v>100</v>
      </c>
      <c r="K26" s="954"/>
      <c r="L26" s="2354"/>
      <c r="M26" s="2345"/>
      <c r="N26" s="2345"/>
      <c r="O26" s="2353"/>
      <c r="P26" s="3761" t="s">
        <v>474</v>
      </c>
      <c r="Q26" s="1322" t="str">
        <f t="shared" si="8"/>
        <v>公共部分装修</v>
      </c>
      <c r="R26" s="1323" t="s">
        <v>65</v>
      </c>
      <c r="S26" s="1324">
        <f t="shared" ref="S26:S34" si="9">F26</f>
        <v>100</v>
      </c>
      <c r="T26" s="1323" t="s">
        <v>65</v>
      </c>
      <c r="U26" s="1324">
        <f t="shared" ref="U26:U34" si="10">H26</f>
        <v>100</v>
      </c>
      <c r="V26" s="1323" t="s">
        <v>65</v>
      </c>
      <c r="W26" s="1324">
        <f t="shared" ref="W26:W34" si="11">J26</f>
        <v>100</v>
      </c>
      <c r="X26" s="1317"/>
      <c r="Y26" s="3762" t="s">
        <v>474</v>
      </c>
      <c r="Z26" s="1325" t="str">
        <f t="shared" ref="Z26:Z34" si="12">Q26</f>
        <v>公共部分装修</v>
      </c>
      <c r="AA26" s="1326">
        <f t="shared" si="3"/>
        <v>1</v>
      </c>
      <c r="AB26" s="1326">
        <f t="shared" si="4"/>
        <v>1</v>
      </c>
      <c r="AC26" s="1326">
        <f t="shared" si="5"/>
        <v>1</v>
      </c>
    </row>
    <row r="27" spans="1:29" s="813" customFormat="1" ht="15">
      <c r="A27" s="810"/>
      <c r="B27" s="764" t="s">
        <v>462</v>
      </c>
      <c r="C27" s="816"/>
      <c r="D27" s="426">
        <v>100</v>
      </c>
      <c r="E27" s="817"/>
      <c r="F27" s="803" t="e">
        <f>LOOKUP(E27,80:80,81:81)-LOOKUP(C27,80:80,81:81)+100</f>
        <v>#N/A</v>
      </c>
      <c r="G27" s="818"/>
      <c r="H27" s="777" t="e">
        <f>LOOKUP(G27,80:80,81:81)-LOOKUP(C27,80:80,81:81)+100</f>
        <v>#N/A</v>
      </c>
      <c r="I27" s="818"/>
      <c r="J27" s="777" t="e">
        <f>LOOKUP(I27,80:80,81:81)-LOOKUP(C27,80:80,81:81)+100</f>
        <v>#N/A</v>
      </c>
      <c r="K27" s="954"/>
      <c r="L27" s="2352"/>
      <c r="M27" s="2355"/>
      <c r="N27" s="2355"/>
      <c r="O27" s="2356"/>
      <c r="P27" s="3762"/>
      <c r="Q27" s="1327" t="str">
        <f t="shared" si="8"/>
        <v>成新率</v>
      </c>
      <c r="R27" s="1328" t="s">
        <v>65</v>
      </c>
      <c r="S27" s="1329" t="e">
        <f t="shared" si="9"/>
        <v>#N/A</v>
      </c>
      <c r="T27" s="1328" t="s">
        <v>65</v>
      </c>
      <c r="U27" s="1329" t="e">
        <f t="shared" si="10"/>
        <v>#N/A</v>
      </c>
      <c r="V27" s="1328" t="s">
        <v>65</v>
      </c>
      <c r="W27" s="1329" t="e">
        <f t="shared" si="11"/>
        <v>#N/A</v>
      </c>
      <c r="X27" s="1330"/>
      <c r="Y27" s="3762"/>
      <c r="Z27" s="1331" t="str">
        <f t="shared" si="12"/>
        <v>成新率</v>
      </c>
      <c r="AA27" s="1326" t="e">
        <f t="shared" si="3"/>
        <v>#N/A</v>
      </c>
      <c r="AB27" s="1326" t="e">
        <f t="shared" si="4"/>
        <v>#N/A</v>
      </c>
      <c r="AC27" s="1326" t="e">
        <f t="shared" si="5"/>
        <v>#N/A</v>
      </c>
    </row>
    <row r="28" spans="1:29" ht="15">
      <c r="A28" s="814"/>
      <c r="B28" s="764" t="s">
        <v>463</v>
      </c>
      <c r="C28" s="107"/>
      <c r="D28" s="777">
        <v>100</v>
      </c>
      <c r="E28" s="107"/>
      <c r="F28" s="803">
        <f>SUMIF(82:82,E28,83:83)-SUMIF(82:82,C28,83:83)+100</f>
        <v>100</v>
      </c>
      <c r="G28" s="107"/>
      <c r="H28" s="777">
        <f>SUMIF(82:82,G28,83:83)-SUMIF(82:82,C28,83:83)+100</f>
        <v>100</v>
      </c>
      <c r="I28" s="107"/>
      <c r="J28" s="777">
        <f>SUMIF(82:82,I28,83:83)-SUMIF(82:82,C28,83:83)+100</f>
        <v>100</v>
      </c>
      <c r="K28" s="954"/>
      <c r="L28" s="2354"/>
      <c r="M28" s="2345"/>
      <c r="N28" s="2345"/>
      <c r="O28" s="2353"/>
      <c r="P28" s="3762"/>
      <c r="Q28" s="1322" t="str">
        <f t="shared" si="8"/>
        <v>物业等级</v>
      </c>
      <c r="R28" s="1323" t="s">
        <v>65</v>
      </c>
      <c r="S28" s="1324">
        <f t="shared" si="9"/>
        <v>100</v>
      </c>
      <c r="T28" s="1323" t="s">
        <v>65</v>
      </c>
      <c r="U28" s="1324">
        <f t="shared" si="10"/>
        <v>100</v>
      </c>
      <c r="V28" s="1323" t="s">
        <v>65</v>
      </c>
      <c r="W28" s="1324">
        <f t="shared" si="11"/>
        <v>100</v>
      </c>
      <c r="X28" s="1317"/>
      <c r="Y28" s="3762"/>
      <c r="Z28" s="1325" t="str">
        <f t="shared" si="12"/>
        <v>物业等级</v>
      </c>
      <c r="AA28" s="1326">
        <f t="shared" si="3"/>
        <v>1</v>
      </c>
      <c r="AB28" s="1326">
        <f t="shared" si="4"/>
        <v>1</v>
      </c>
      <c r="AC28" s="1326">
        <f t="shared" si="5"/>
        <v>1</v>
      </c>
    </row>
    <row r="29" spans="1:29" ht="15">
      <c r="A29" s="814"/>
      <c r="B29" s="764" t="s">
        <v>475</v>
      </c>
      <c r="C29" s="1412"/>
      <c r="D29" s="777">
        <v>100</v>
      </c>
      <c r="E29" s="1412"/>
      <c r="F29" s="803">
        <f>SUMIF(84:84,E29,85:85)-SUMIF(84:84,C29,85:85)+100</f>
        <v>100</v>
      </c>
      <c r="G29" s="1412"/>
      <c r="H29" s="777">
        <f>SUMIF(84:84,G29,85:85)-SUMIF(84:84,C29,85:85)+100</f>
        <v>100</v>
      </c>
      <c r="I29" s="1412"/>
      <c r="J29" s="777">
        <f>SUMIF(84:84,I29,85:85)-SUMIF(84:84,C29,85:85)+100</f>
        <v>100</v>
      </c>
      <c r="K29" s="954"/>
      <c r="L29" s="2354"/>
      <c r="M29" s="2345"/>
      <c r="N29" s="2345"/>
      <c r="O29" s="2353"/>
      <c r="P29" s="3762"/>
      <c r="Q29" s="1322" t="str">
        <f t="shared" si="8"/>
        <v>有无电梯</v>
      </c>
      <c r="R29" s="1323" t="s">
        <v>65</v>
      </c>
      <c r="S29" s="1324">
        <f t="shared" si="9"/>
        <v>100</v>
      </c>
      <c r="T29" s="1323" t="s">
        <v>65</v>
      </c>
      <c r="U29" s="1324">
        <f t="shared" si="10"/>
        <v>100</v>
      </c>
      <c r="V29" s="1323" t="s">
        <v>65</v>
      </c>
      <c r="W29" s="1324">
        <f t="shared" si="11"/>
        <v>100</v>
      </c>
      <c r="X29" s="1317"/>
      <c r="Y29" s="3762"/>
      <c r="Z29" s="1325" t="str">
        <f t="shared" si="12"/>
        <v>有无电梯</v>
      </c>
      <c r="AA29" s="1326">
        <f t="shared" si="3"/>
        <v>1</v>
      </c>
      <c r="AB29" s="1326">
        <f t="shared" si="4"/>
        <v>1</v>
      </c>
      <c r="AC29" s="1326">
        <f t="shared" si="5"/>
        <v>1</v>
      </c>
    </row>
    <row r="30" spans="1:29" ht="15">
      <c r="A30" s="814"/>
      <c r="B30" s="764" t="s">
        <v>476</v>
      </c>
      <c r="C30" s="811"/>
      <c r="D30" s="777">
        <v>100</v>
      </c>
      <c r="E30" s="811"/>
      <c r="F30" s="803" t="e">
        <f>LOOKUP(E30,87:87,88:88)-LOOKUP(C30,87:87,88:88)+100</f>
        <v>#N/A</v>
      </c>
      <c r="G30" s="811"/>
      <c r="H30" s="777" t="e">
        <f>LOOKUP(G30,87:87,88:88)-LOOKUP(C30,87:87,88:88)+100</f>
        <v>#N/A</v>
      </c>
      <c r="I30" s="811"/>
      <c r="J30" s="777" t="e">
        <f>LOOKUP(I30,87:87,88:88)-LOOKUP(C30,87:87,88:88)+100</f>
        <v>#N/A</v>
      </c>
      <c r="K30" s="955"/>
      <c r="L30" s="2354"/>
      <c r="M30" s="2345"/>
      <c r="N30" s="2345"/>
      <c r="O30" s="2353"/>
      <c r="P30" s="3762"/>
      <c r="Q30" s="1322" t="str">
        <f t="shared" si="8"/>
        <v>建筑面积</v>
      </c>
      <c r="R30" s="1323" t="s">
        <v>65</v>
      </c>
      <c r="S30" s="1324" t="e">
        <f t="shared" si="9"/>
        <v>#N/A</v>
      </c>
      <c r="T30" s="1323" t="s">
        <v>65</v>
      </c>
      <c r="U30" s="1324" t="e">
        <f t="shared" si="10"/>
        <v>#N/A</v>
      </c>
      <c r="V30" s="1323" t="s">
        <v>65</v>
      </c>
      <c r="W30" s="1324" t="e">
        <f t="shared" si="11"/>
        <v>#N/A</v>
      </c>
      <c r="X30" s="1317"/>
      <c r="Y30" s="3762"/>
      <c r="Z30" s="1325" t="str">
        <f t="shared" si="12"/>
        <v>建筑面积</v>
      </c>
      <c r="AA30" s="1326" t="e">
        <f t="shared" si="3"/>
        <v>#N/A</v>
      </c>
      <c r="AB30" s="1326" t="e">
        <f t="shared" si="4"/>
        <v>#N/A</v>
      </c>
      <c r="AC30" s="1326" t="e">
        <f t="shared" si="5"/>
        <v>#N/A</v>
      </c>
    </row>
    <row r="31" spans="1:29" s="407" customFormat="1" ht="15">
      <c r="A31" s="815"/>
      <c r="B31" s="764" t="s">
        <v>477</v>
      </c>
      <c r="C31" s="1412"/>
      <c r="D31" s="426">
        <v>100</v>
      </c>
      <c r="E31" s="1412"/>
      <c r="F31" s="803">
        <f>SUMIF(89:89,E31,90:90)-SUMIF(89:89,C31,90:90)+100</f>
        <v>100</v>
      </c>
      <c r="G31" s="1412"/>
      <c r="H31" s="777">
        <f>SUMIF(89:89,G31,90:90)-SUMIF(89:89,C31,90:90)+100</f>
        <v>100</v>
      </c>
      <c r="I31" s="1412"/>
      <c r="J31" s="777">
        <f>SUMIF(89:89,I31,90:90)-SUMIF(89:89,C31,90:90)+100</f>
        <v>100</v>
      </c>
      <c r="K31" s="954"/>
      <c r="L31" s="2346"/>
      <c r="M31" s="2347"/>
      <c r="N31" s="2347"/>
      <c r="O31" s="2348"/>
      <c r="P31" s="3762"/>
      <c r="Q31" s="296" t="str">
        <f t="shared" si="8"/>
        <v>是否封闭</v>
      </c>
      <c r="R31" s="1318" t="s">
        <v>65</v>
      </c>
      <c r="S31" s="1319">
        <f t="shared" si="9"/>
        <v>100</v>
      </c>
      <c r="T31" s="1318" t="s">
        <v>65</v>
      </c>
      <c r="U31" s="1319">
        <f t="shared" si="10"/>
        <v>100</v>
      </c>
      <c r="V31" s="1318" t="s">
        <v>65</v>
      </c>
      <c r="W31" s="1319">
        <f t="shared" si="11"/>
        <v>100</v>
      </c>
      <c r="X31" s="1320"/>
      <c r="Y31" s="3762"/>
      <c r="Z31" s="344" t="str">
        <f t="shared" si="12"/>
        <v>是否封闭</v>
      </c>
      <c r="AA31" s="1321">
        <f t="shared" si="3"/>
        <v>1</v>
      </c>
      <c r="AB31" s="1321">
        <f t="shared" si="4"/>
        <v>1</v>
      </c>
      <c r="AC31" s="1321">
        <f t="shared" si="5"/>
        <v>1</v>
      </c>
    </row>
    <row r="32" spans="1:29" ht="15">
      <c r="A32" s="814"/>
      <c r="B32" s="1030">
        <v>111</v>
      </c>
      <c r="C32" s="1023"/>
      <c r="D32" s="777">
        <v>100</v>
      </c>
      <c r="E32" s="1357"/>
      <c r="F32" s="803">
        <f>SUMIF(91:91,E32,92:92)-SUMIF(91:91,C32,92:92)+100</f>
        <v>100</v>
      </c>
      <c r="G32" s="1357"/>
      <c r="H32" s="777">
        <f>SUMIF(91:91,G32,92:92)-SUMIF(91:91,C32,92:92)+100</f>
        <v>100</v>
      </c>
      <c r="I32" s="1357"/>
      <c r="J32" s="777">
        <f>SUMIF(91:91,I32,92:92)-SUMIF(91:91,C32,92:92)+100</f>
        <v>100</v>
      </c>
      <c r="K32" s="955"/>
      <c r="L32" s="2354"/>
      <c r="M32" s="2345"/>
      <c r="N32" s="2345"/>
      <c r="O32" s="2353"/>
      <c r="P32" s="3762" t="s">
        <v>409</v>
      </c>
      <c r="Q32" s="1322">
        <f t="shared" si="8"/>
        <v>111</v>
      </c>
      <c r="R32" s="1323" t="s">
        <v>65</v>
      </c>
      <c r="S32" s="1324">
        <f t="shared" si="9"/>
        <v>100</v>
      </c>
      <c r="T32" s="1323" t="s">
        <v>65</v>
      </c>
      <c r="U32" s="1324">
        <f t="shared" si="10"/>
        <v>100</v>
      </c>
      <c r="V32" s="1323" t="s">
        <v>65</v>
      </c>
      <c r="W32" s="1324">
        <f t="shared" si="11"/>
        <v>100</v>
      </c>
      <c r="X32" s="1317"/>
      <c r="Y32" s="3762" t="s">
        <v>409</v>
      </c>
      <c r="Z32" s="1325">
        <f t="shared" si="12"/>
        <v>111</v>
      </c>
      <c r="AA32" s="1326">
        <f t="shared" si="3"/>
        <v>1</v>
      </c>
      <c r="AB32" s="1326">
        <f t="shared" si="4"/>
        <v>1</v>
      </c>
      <c r="AC32" s="1326">
        <f t="shared" si="5"/>
        <v>1</v>
      </c>
    </row>
    <row r="33" spans="1:29" ht="15">
      <c r="A33" s="814"/>
      <c r="B33" s="1030">
        <v>111</v>
      </c>
      <c r="C33" s="1023"/>
      <c r="D33" s="777">
        <v>100</v>
      </c>
      <c r="E33" s="1357"/>
      <c r="F33" s="803">
        <f>SUMIF(93:93,E33,94:94)-SUMIF(93:93,C33,94:94)+100</f>
        <v>100</v>
      </c>
      <c r="G33" s="1357"/>
      <c r="H33" s="777">
        <f>SUMIF(93:93,G33,94:94)-SUMIF(93:93,C33,94:94)+100</f>
        <v>100</v>
      </c>
      <c r="I33" s="1357"/>
      <c r="J33" s="777">
        <f>SUMIF(93:93,I33,94:94)-SUMIF(93:93,C33,94:94)+100</f>
        <v>100</v>
      </c>
      <c r="K33" s="955"/>
      <c r="L33" s="2354"/>
      <c r="M33" s="2345"/>
      <c r="N33" s="2345"/>
      <c r="O33" s="2353"/>
      <c r="P33" s="3762"/>
      <c r="Q33" s="1322">
        <f t="shared" si="8"/>
        <v>111</v>
      </c>
      <c r="R33" s="1323" t="s">
        <v>65</v>
      </c>
      <c r="S33" s="1324">
        <f t="shared" si="9"/>
        <v>100</v>
      </c>
      <c r="T33" s="1323" t="s">
        <v>65</v>
      </c>
      <c r="U33" s="1324">
        <f t="shared" si="10"/>
        <v>100</v>
      </c>
      <c r="V33" s="1323" t="s">
        <v>65</v>
      </c>
      <c r="W33" s="1324">
        <f t="shared" si="11"/>
        <v>100</v>
      </c>
      <c r="X33" s="1317"/>
      <c r="Y33" s="3762"/>
      <c r="Z33" s="1325">
        <f t="shared" si="12"/>
        <v>111</v>
      </c>
      <c r="AA33" s="1326">
        <f t="shared" si="3"/>
        <v>1</v>
      </c>
      <c r="AB33" s="1326">
        <f t="shared" si="4"/>
        <v>1</v>
      </c>
      <c r="AC33" s="1326">
        <f t="shared" si="5"/>
        <v>1</v>
      </c>
    </row>
    <row r="34" spans="1:29" ht="15.75" thickBot="1">
      <c r="A34" s="820"/>
      <c r="B34" s="1031">
        <v>111</v>
      </c>
      <c r="C34" s="94"/>
      <c r="D34" s="780">
        <v>100</v>
      </c>
      <c r="E34" s="1413"/>
      <c r="F34" s="781">
        <f>SUMIF(95:95,E34,96:96)-SUMIF(95:95,C34,96:96)+100</f>
        <v>100</v>
      </c>
      <c r="G34" s="1413"/>
      <c r="H34" s="780">
        <f>SUMIF(95:95,G34,96:96)-SUMIF(95:95,C34,96:96)+100</f>
        <v>100</v>
      </c>
      <c r="I34" s="1413"/>
      <c r="J34" s="780">
        <f>SUMIF(95:95,I34,96:96)-SUMIF(95:95,C34,96:96)+100</f>
        <v>100</v>
      </c>
      <c r="K34" s="955"/>
      <c r="L34" s="2354"/>
      <c r="M34" s="2345"/>
      <c r="N34" s="2345"/>
      <c r="O34" s="2353"/>
      <c r="P34" s="3762"/>
      <c r="Q34" s="1322">
        <f t="shared" si="8"/>
        <v>111</v>
      </c>
      <c r="R34" s="1323" t="s">
        <v>65</v>
      </c>
      <c r="S34" s="1324">
        <f t="shared" si="9"/>
        <v>100</v>
      </c>
      <c r="T34" s="1323" t="s">
        <v>65</v>
      </c>
      <c r="U34" s="1324">
        <f t="shared" si="10"/>
        <v>100</v>
      </c>
      <c r="V34" s="1323" t="s">
        <v>65</v>
      </c>
      <c r="W34" s="1324">
        <f t="shared" si="11"/>
        <v>100</v>
      </c>
      <c r="X34" s="1317"/>
      <c r="Y34" s="3762"/>
      <c r="Z34" s="1325">
        <f t="shared" si="12"/>
        <v>111</v>
      </c>
      <c r="AA34" s="1326">
        <f t="shared" si="3"/>
        <v>1</v>
      </c>
      <c r="AB34" s="1326">
        <f t="shared" si="4"/>
        <v>1</v>
      </c>
      <c r="AC34" s="1326">
        <f t="shared" si="5"/>
        <v>1</v>
      </c>
    </row>
    <row r="35" spans="1:29" ht="15">
      <c r="A35" s="821" t="s">
        <v>410</v>
      </c>
      <c r="B35" s="822"/>
      <c r="C35" s="2829" t="s">
        <v>23</v>
      </c>
      <c r="D35" s="2830"/>
      <c r="E35" s="2831"/>
      <c r="F35" s="2832"/>
      <c r="G35" s="2833"/>
      <c r="H35" s="2834"/>
      <c r="I35" s="2831"/>
      <c r="J35" s="2834"/>
      <c r="K35" s="1399"/>
      <c r="L35" s="2357"/>
      <c r="M35" s="2358"/>
      <c r="N35" s="2345"/>
      <c r="O35" s="2358"/>
      <c r="P35" s="3744" t="str">
        <f>A35</f>
        <v>成交单价（元/平方米）</v>
      </c>
      <c r="Q35" s="3744"/>
      <c r="R35" s="3763">
        <f>E35</f>
        <v>0</v>
      </c>
      <c r="S35" s="3763"/>
      <c r="T35" s="3763">
        <f>G35</f>
        <v>0</v>
      </c>
      <c r="U35" s="3763"/>
      <c r="V35" s="3763">
        <f>I35</f>
        <v>0</v>
      </c>
      <c r="W35" s="3763"/>
      <c r="X35" s="1306"/>
      <c r="Y35" s="1332"/>
      <c r="Z35" s="1306"/>
      <c r="AA35" s="1306"/>
      <c r="AB35" s="1306"/>
      <c r="AC35" s="1306"/>
    </row>
    <row r="36" spans="1:29" ht="15.75" thickBot="1">
      <c r="A36" s="828" t="s">
        <v>411</v>
      </c>
      <c r="B36" s="829"/>
      <c r="C36" s="2835" t="e">
        <f>R37</f>
        <v>#DIV/0!</v>
      </c>
      <c r="D36" s="2836"/>
      <c r="E36" s="2837" t="e">
        <f>R36</f>
        <v>#DIV/0!</v>
      </c>
      <c r="F36" s="2837"/>
      <c r="G36" s="2835" t="e">
        <f>T36</f>
        <v>#DIV/0!</v>
      </c>
      <c r="H36" s="2836"/>
      <c r="I36" s="2837" t="e">
        <f>V36</f>
        <v>#DIV/0!</v>
      </c>
      <c r="J36" s="2836"/>
      <c r="K36" s="1400"/>
      <c r="L36" s="2357"/>
      <c r="M36" s="2358"/>
      <c r="N36" s="2345"/>
      <c r="O36" s="2358"/>
      <c r="P36" s="3744" t="str">
        <f>A36</f>
        <v>比较价值（元/平方米）</v>
      </c>
      <c r="Q36" s="3744"/>
      <c r="R36" s="3763" t="e">
        <f>IF(F1="售价",ROUND(PRODUCT(R35,AA7:AA34),0),ROUND(PRODUCT(R35,AA7:AA34),1))</f>
        <v>#DIV/0!</v>
      </c>
      <c r="S36" s="3763"/>
      <c r="T36" s="3763" t="e">
        <f>IF(F1="售价",ROUND(PRODUCT(T35,AB7:AB34),0),ROUND(PRODUCT(T35,AB7:AB34),1))</f>
        <v>#DIV/0!</v>
      </c>
      <c r="U36" s="3763"/>
      <c r="V36" s="3763" t="e">
        <f>IF(F1="售价",ROUND(PRODUCT(V35,AC7:AC34),0),ROUND(PRODUCT(V35,AC7:AC34),1))</f>
        <v>#DIV/0!</v>
      </c>
      <c r="W36" s="3763"/>
      <c r="X36" s="1306"/>
      <c r="Y36" s="1306"/>
      <c r="Z36" s="1306"/>
      <c r="AA36" s="1306"/>
      <c r="AB36" s="1306"/>
      <c r="AC36" s="1306"/>
    </row>
    <row r="37" spans="1:29" ht="15.75" thickBot="1">
      <c r="A37" s="115" t="s">
        <v>3019</v>
      </c>
      <c r="B37" s="835"/>
      <c r="C37" s="2839" t="e">
        <f>R37</f>
        <v>#DIV/0!</v>
      </c>
      <c r="D37" s="2839"/>
      <c r="E37" s="2839"/>
      <c r="F37" s="2839"/>
      <c r="G37" s="2839"/>
      <c r="H37" s="2839"/>
      <c r="I37" s="2839"/>
      <c r="J37" s="2839"/>
      <c r="K37" s="1401"/>
      <c r="L37" s="2357"/>
      <c r="M37" s="2358"/>
      <c r="N37" s="2358"/>
      <c r="O37" s="2358"/>
      <c r="P37" s="3764" t="str">
        <f>A37</f>
        <v>估价对象XX用房的比较价值（楼面单价，元/平方米）</v>
      </c>
      <c r="Q37" s="3765"/>
      <c r="R37" s="3766" t="e">
        <f>IF(F1="售价",ROUND(AVERAGE(R36:V36),0),ROUND(AVERAGE(R36:V36),1))</f>
        <v>#DIV/0!</v>
      </c>
      <c r="S37" s="3766"/>
      <c r="T37" s="3766"/>
      <c r="U37" s="3766"/>
      <c r="V37" s="3766"/>
      <c r="W37" s="3766"/>
      <c r="X37" s="1306"/>
      <c r="Y37" s="1306"/>
      <c r="Z37" s="1306"/>
      <c r="AA37" s="1306"/>
      <c r="AB37" s="1306"/>
      <c r="AC37" s="1306"/>
    </row>
    <row r="38" spans="1:29">
      <c r="A38" s="2358"/>
      <c r="B38" s="2358"/>
      <c r="C38" s="2358"/>
      <c r="D38" s="2358"/>
      <c r="E38" s="2358"/>
      <c r="F38" s="2358"/>
      <c r="G38" s="2361"/>
      <c r="H38" s="2358"/>
      <c r="I38" s="2358"/>
      <c r="J38" s="2358"/>
      <c r="K38" s="2184"/>
      <c r="L38" s="2185"/>
      <c r="M38" s="2358"/>
      <c r="N38" s="2358"/>
      <c r="O38" s="2358"/>
    </row>
    <row r="39" spans="1:29">
      <c r="A39" s="2358"/>
      <c r="B39" s="2358"/>
      <c r="C39" s="2358"/>
      <c r="D39" s="2358"/>
      <c r="E39" s="2358"/>
      <c r="F39" s="2358"/>
      <c r="G39" s="2358"/>
      <c r="H39" s="2358"/>
      <c r="I39" s="2358"/>
      <c r="J39" s="2358"/>
      <c r="K39" s="2184"/>
      <c r="L39" s="2185"/>
      <c r="M39" s="2358"/>
      <c r="N39" s="2358"/>
      <c r="O39" s="2358"/>
    </row>
    <row r="40" spans="1:29" ht="13.5" customHeight="1">
      <c r="A40" s="2358"/>
      <c r="B40" s="2358"/>
      <c r="C40" s="839" t="s">
        <v>412</v>
      </c>
      <c r="D40" s="840"/>
      <c r="E40" s="841" t="e">
        <f>IF(E35&lt;E36,E36/E35-1,E35/E36-1)</f>
        <v>#DIV/0!</v>
      </c>
      <c r="F40" s="842" t="e">
        <f>IF(OR(E40&gt;=0.3,E40&lt;=-0.3),"超过30%","")</f>
        <v>#DIV/0!</v>
      </c>
      <c r="G40" s="841" t="e">
        <f>IF(G35&lt;G36,G36/G35-1,G35/G36-1)</f>
        <v>#DIV/0!</v>
      </c>
      <c r="H40" s="842" t="e">
        <f>IF(OR(G40&gt;=0.3,G40&lt;=-0.3),"超过30%","")</f>
        <v>#DIV/0!</v>
      </c>
      <c r="I40" s="841" t="e">
        <f>IF(I35&lt;I36,I36/I35-1,I35/I36-1)</f>
        <v>#DIV/0!</v>
      </c>
      <c r="J40" s="842" t="e">
        <f>IF(OR(I40&gt;=0.3,I40&lt;=-0.3),"超过30%","")</f>
        <v>#DIV/0!</v>
      </c>
      <c r="K40" s="2184"/>
      <c r="L40" s="2185"/>
      <c r="M40" s="2358"/>
      <c r="N40" s="2358"/>
      <c r="O40" s="2358"/>
    </row>
    <row r="41" spans="1:29" ht="13.5" customHeight="1">
      <c r="A41" s="2358"/>
      <c r="B41" s="2358"/>
      <c r="C41" s="839" t="s">
        <v>413</v>
      </c>
      <c r="D41" s="843"/>
      <c r="E41" s="841" t="e">
        <f>IF(E36&lt;G36,G36/E36-1,E36/G36-1)</f>
        <v>#DIV/0!</v>
      </c>
      <c r="F41" s="842" t="e">
        <f>IF(OR(E41&gt;=0.2,E41&lt;=-0.2),"超过20%","")</f>
        <v>#DIV/0!</v>
      </c>
      <c r="G41" s="841" t="e">
        <f>IF(G36&lt;I36,I36/G36-1,G36/I36-1)</f>
        <v>#DIV/0!</v>
      </c>
      <c r="H41" s="842" t="e">
        <f>IF(OR(G41&gt;=0.2,G41&lt;=-0.2),"超过20%","")</f>
        <v>#DIV/0!</v>
      </c>
      <c r="I41" s="841" t="e">
        <f>IF(I36&lt;E36,E36/I36-1,I36/E36-1)</f>
        <v>#DIV/0!</v>
      </c>
      <c r="J41" s="842" t="e">
        <f>IF(OR(I41&gt;=0.2,I41&lt;=-0.2),"超过20%","")</f>
        <v>#DIV/0!</v>
      </c>
      <c r="K41" s="2184"/>
      <c r="L41" s="2185"/>
      <c r="M41" s="2358"/>
      <c r="N41" s="2358"/>
      <c r="O41" s="2358"/>
    </row>
    <row r="42" spans="1:29" s="844" customFormat="1" ht="13.5" customHeight="1">
      <c r="A42" s="2359"/>
      <c r="B42" s="2359"/>
      <c r="C42" s="839" t="s">
        <v>414</v>
      </c>
      <c r="D42" s="843"/>
      <c r="E42" s="841" t="e">
        <f>IF(E35&lt;G35,G35/E35-1,E35/G35-1)</f>
        <v>#DIV/0!</v>
      </c>
      <c r="F42" s="842" t="e">
        <f>IF(OR(E42&gt;=0.3,E42&lt;=-0.3),"超过30%","")</f>
        <v>#DIV/0!</v>
      </c>
      <c r="G42" s="841" t="e">
        <f>IF(G35&lt;I35,I35/G35-1,G35/I35-1)</f>
        <v>#DIV/0!</v>
      </c>
      <c r="H42" s="842" t="e">
        <f>IF(OR(G42&gt;=0.3,G42&lt;=-0.3),"超过30%","")</f>
        <v>#DIV/0!</v>
      </c>
      <c r="I42" s="841" t="e">
        <f>IF(I35&lt;E35,E35/I35-1,I35/E35-1)</f>
        <v>#DIV/0!</v>
      </c>
      <c r="J42" s="842" t="e">
        <f>IF(OR(I42&gt;=0.3,I42&lt;=-0.3),"超过30%","")</f>
        <v>#DIV/0!</v>
      </c>
      <c r="K42" s="2362"/>
      <c r="L42" s="2363"/>
      <c r="M42" s="2359"/>
      <c r="N42" s="2359"/>
      <c r="O42" s="2359"/>
    </row>
    <row r="43" spans="1:29" s="844" customFormat="1">
      <c r="A43" s="2359"/>
      <c r="B43" s="2360"/>
      <c r="C43" s="2364"/>
      <c r="D43" s="2359"/>
      <c r="E43" s="2359"/>
      <c r="F43" s="2359"/>
      <c r="G43" s="2359"/>
      <c r="H43" s="2359"/>
      <c r="I43" s="2359"/>
      <c r="J43" s="2359"/>
      <c r="K43" s="2362"/>
      <c r="L43" s="2363"/>
      <c r="M43" s="2359"/>
      <c r="N43" s="2359"/>
      <c r="O43" s="2359"/>
    </row>
    <row r="44" spans="1:29">
      <c r="A44" s="2358"/>
      <c r="B44" s="2360"/>
      <c r="C44" s="2364"/>
      <c r="D44" s="2358"/>
      <c r="E44" s="2358"/>
      <c r="F44" s="2358"/>
      <c r="G44" s="2358"/>
      <c r="H44" s="2358"/>
      <c r="I44" s="2358"/>
      <c r="J44" s="2358"/>
      <c r="K44" s="2184"/>
      <c r="L44" s="2185"/>
      <c r="M44" s="2358"/>
      <c r="N44" s="2358"/>
      <c r="O44" s="2358"/>
    </row>
    <row r="45" spans="1:29" ht="21.75" thickBot="1">
      <c r="A45" s="1310" t="s">
        <v>415</v>
      </c>
      <c r="B45" s="1306"/>
      <c r="C45" s="1311"/>
      <c r="D45" s="1311"/>
      <c r="E45" s="1311"/>
      <c r="F45" s="1312"/>
      <c r="G45" s="1312"/>
      <c r="H45" s="1311"/>
      <c r="I45" s="1311"/>
      <c r="J45" s="1311"/>
      <c r="K45" s="1313"/>
      <c r="L45" s="1314"/>
      <c r="M45" s="1311"/>
      <c r="N45" s="1311"/>
      <c r="O45" s="1311"/>
      <c r="P45" s="845"/>
      <c r="Q45" s="846"/>
    </row>
    <row r="46" spans="1:29" s="850" customFormat="1" ht="15">
      <c r="A46" s="847" t="s">
        <v>398</v>
      </c>
      <c r="B46" s="848"/>
      <c r="C46" s="3037" t="str">
        <f>YEAR(C7)&amp;"-"&amp;MONTH(C7)</f>
        <v>2017-8</v>
      </c>
      <c r="D46" s="3038">
        <f>EDATE(C46,-1)</f>
        <v>42917</v>
      </c>
      <c r="E46" s="3038">
        <f t="shared" ref="E46:O46" si="13">EDATE(D46,-1)</f>
        <v>42887</v>
      </c>
      <c r="F46" s="3038">
        <f t="shared" si="13"/>
        <v>42856</v>
      </c>
      <c r="G46" s="3038">
        <f t="shared" si="13"/>
        <v>42826</v>
      </c>
      <c r="H46" s="3038">
        <f t="shared" si="13"/>
        <v>42795</v>
      </c>
      <c r="I46" s="3038">
        <f t="shared" si="13"/>
        <v>42767</v>
      </c>
      <c r="J46" s="3038">
        <f t="shared" si="13"/>
        <v>42736</v>
      </c>
      <c r="K46" s="3038">
        <f t="shared" si="13"/>
        <v>42705</v>
      </c>
      <c r="L46" s="3038">
        <f t="shared" si="13"/>
        <v>42675</v>
      </c>
      <c r="M46" s="3038">
        <f t="shared" si="13"/>
        <v>42644</v>
      </c>
      <c r="N46" s="3038">
        <f t="shared" si="13"/>
        <v>42614</v>
      </c>
      <c r="O46" s="3038">
        <f t="shared" si="13"/>
        <v>42583</v>
      </c>
      <c r="P46" s="849"/>
    </row>
    <row r="47" spans="1:29" s="407" customFormat="1" ht="15">
      <c r="A47" s="851"/>
      <c r="B47" s="852"/>
      <c r="C47" s="3035">
        <v>100</v>
      </c>
      <c r="D47" s="854"/>
      <c r="E47" s="854"/>
      <c r="F47" s="854"/>
      <c r="G47" s="854"/>
      <c r="H47" s="854"/>
      <c r="I47" s="854"/>
      <c r="J47" s="854"/>
      <c r="K47" s="854"/>
      <c r="L47" s="854"/>
      <c r="M47" s="855"/>
      <c r="N47" s="854"/>
      <c r="O47" s="856"/>
      <c r="P47" s="846"/>
    </row>
    <row r="48" spans="1:29" s="407" customFormat="1" ht="15.75" thickBot="1">
      <c r="A48" s="857" t="s">
        <v>416</v>
      </c>
      <c r="B48" s="858"/>
      <c r="C48" s="859"/>
      <c r="D48" s="860"/>
      <c r="E48" s="860"/>
      <c r="F48" s="860"/>
      <c r="G48" s="860"/>
      <c r="H48" s="860"/>
      <c r="I48" s="860"/>
      <c r="J48" s="860"/>
      <c r="K48" s="860"/>
      <c r="L48" s="860"/>
      <c r="M48" s="861"/>
      <c r="N48" s="860"/>
      <c r="O48" s="862"/>
      <c r="P48" s="846"/>
      <c r="Q48" s="846"/>
    </row>
    <row r="49" spans="1:17" s="407" customFormat="1" ht="15">
      <c r="A49" s="863" t="s">
        <v>400</v>
      </c>
      <c r="B49" s="852"/>
      <c r="C49" s="864" t="s">
        <v>417</v>
      </c>
      <c r="D49" s="140"/>
      <c r="E49" s="140"/>
      <c r="F49" s="140"/>
      <c r="G49" s="140"/>
      <c r="H49" s="140"/>
      <c r="I49" s="140"/>
      <c r="J49" s="140"/>
      <c r="K49" s="140"/>
      <c r="L49" s="141"/>
      <c r="M49" s="1050"/>
      <c r="N49" s="2365"/>
      <c r="O49" s="2365"/>
      <c r="P49" s="868"/>
      <c r="Q49" s="846"/>
    </row>
    <row r="50" spans="1:17" s="407" customFormat="1" ht="15.75" thickBot="1">
      <c r="A50" s="863"/>
      <c r="B50" s="852"/>
      <c r="C50" s="981">
        <v>100</v>
      </c>
      <c r="D50" s="854"/>
      <c r="E50" s="854"/>
      <c r="F50" s="854"/>
      <c r="G50" s="854"/>
      <c r="H50" s="854"/>
      <c r="I50" s="854"/>
      <c r="J50" s="854"/>
      <c r="K50" s="854"/>
      <c r="L50" s="854"/>
      <c r="M50" s="856"/>
      <c r="N50" s="2365"/>
      <c r="O50" s="2365"/>
      <c r="P50" s="846"/>
      <c r="Q50" s="846"/>
    </row>
    <row r="51" spans="1:17">
      <c r="A51" s="869" t="s">
        <v>418</v>
      </c>
      <c r="B51" s="870" t="s">
        <v>419</v>
      </c>
      <c r="C51" s="871">
        <f>C9</f>
        <v>0</v>
      </c>
      <c r="D51" s="122"/>
      <c r="E51" s="122"/>
      <c r="F51" s="122"/>
      <c r="G51" s="122"/>
      <c r="H51" s="122"/>
      <c r="I51" s="122"/>
      <c r="J51" s="122"/>
      <c r="K51" s="123"/>
      <c r="L51" s="124"/>
      <c r="M51" s="125"/>
      <c r="N51" s="2366"/>
      <c r="O51" s="2366"/>
      <c r="P51" s="334"/>
      <c r="Q51" s="846"/>
    </row>
    <row r="52" spans="1:17" ht="15.75" thickBot="1">
      <c r="A52" s="876"/>
      <c r="B52" s="877"/>
      <c r="C52" s="878">
        <v>100</v>
      </c>
      <c r="D52" s="878"/>
      <c r="E52" s="878"/>
      <c r="F52" s="878"/>
      <c r="G52" s="878"/>
      <c r="H52" s="878"/>
      <c r="I52" s="878"/>
      <c r="J52" s="878"/>
      <c r="K52" s="878"/>
      <c r="L52" s="878"/>
      <c r="M52" s="879"/>
      <c r="N52" s="2367"/>
      <c r="O52" s="2367"/>
      <c r="P52" s="334"/>
      <c r="Q52" s="846"/>
    </row>
    <row r="53" spans="1:17" ht="27.75" thickTop="1">
      <c r="A53" s="876"/>
      <c r="B53" s="880" t="s">
        <v>404</v>
      </c>
      <c r="C53" s="881" t="s">
        <v>420</v>
      </c>
      <c r="D53" s="881" t="s">
        <v>421</v>
      </c>
      <c r="E53" s="881" t="s">
        <v>422</v>
      </c>
      <c r="F53" s="881" t="s">
        <v>423</v>
      </c>
      <c r="G53" s="881" t="s">
        <v>438</v>
      </c>
      <c r="H53" s="881" t="s">
        <v>439</v>
      </c>
      <c r="I53" s="881" t="s">
        <v>440</v>
      </c>
      <c r="J53" s="881"/>
      <c r="K53" s="882"/>
      <c r="L53" s="883"/>
      <c r="M53" s="884"/>
      <c r="N53" s="2366"/>
      <c r="O53" s="2366"/>
      <c r="P53" s="334"/>
      <c r="Q53" s="846"/>
    </row>
    <row r="54" spans="1:17" ht="15.75" thickBot="1">
      <c r="A54" s="876"/>
      <c r="B54" s="885"/>
      <c r="C54" s="886" t="s">
        <v>138</v>
      </c>
      <c r="D54" s="886" t="s">
        <v>139</v>
      </c>
      <c r="E54" s="886">
        <v>100</v>
      </c>
      <c r="F54" s="886">
        <f>E54-$K10</f>
        <v>100</v>
      </c>
      <c r="G54" s="886">
        <f>F54-$K10</f>
        <v>100</v>
      </c>
      <c r="H54" s="886">
        <f>G54-$K10</f>
        <v>100</v>
      </c>
      <c r="I54" s="886">
        <f>H54-$K10</f>
        <v>100</v>
      </c>
      <c r="J54" s="886"/>
      <c r="K54" s="886"/>
      <c r="L54" s="886"/>
      <c r="M54" s="887"/>
      <c r="N54" s="2367"/>
      <c r="O54" s="2367"/>
      <c r="P54" s="334"/>
      <c r="Q54" s="846"/>
    </row>
    <row r="55" spans="1:17" ht="15.75" thickTop="1">
      <c r="A55" s="876"/>
      <c r="B55" s="213">
        <f>B11</f>
        <v>111</v>
      </c>
      <c r="C55" s="126"/>
      <c r="D55" s="126"/>
      <c r="E55" s="126"/>
      <c r="F55" s="126"/>
      <c r="G55" s="126"/>
      <c r="H55" s="126"/>
      <c r="I55" s="126"/>
      <c r="J55" s="126"/>
      <c r="K55" s="127"/>
      <c r="L55" s="128"/>
      <c r="M55" s="129"/>
      <c r="N55" s="2366"/>
      <c r="O55" s="2366"/>
      <c r="P55" s="334"/>
      <c r="Q55" s="846"/>
    </row>
    <row r="56" spans="1:17" ht="15.75" thickBot="1">
      <c r="A56" s="876"/>
      <c r="B56" s="1052"/>
      <c r="C56" s="902"/>
      <c r="D56" s="878"/>
      <c r="E56" s="878"/>
      <c r="F56" s="878"/>
      <c r="G56" s="878"/>
      <c r="H56" s="878"/>
      <c r="I56" s="878"/>
      <c r="J56" s="878"/>
      <c r="K56" s="878"/>
      <c r="L56" s="878"/>
      <c r="M56" s="879"/>
      <c r="N56" s="2367"/>
      <c r="O56" s="2367"/>
      <c r="P56" s="334"/>
      <c r="Q56" s="846"/>
    </row>
    <row r="57" spans="1:17" s="813" customFormat="1" ht="15.75" thickTop="1">
      <c r="A57" s="895"/>
      <c r="B57" s="1053">
        <f>B12</f>
        <v>111</v>
      </c>
      <c r="C57" s="126"/>
      <c r="D57" s="126"/>
      <c r="E57" s="126"/>
      <c r="F57" s="126"/>
      <c r="G57" s="139"/>
      <c r="H57" s="1058"/>
      <c r="I57" s="1058"/>
      <c r="J57" s="1058"/>
      <c r="K57" s="1058"/>
      <c r="L57" s="1059"/>
      <c r="M57" s="1060"/>
      <c r="N57" s="2368"/>
      <c r="O57" s="2368"/>
      <c r="P57" s="900"/>
      <c r="Q57" s="901"/>
    </row>
    <row r="58" spans="1:17" s="813" customFormat="1" ht="15.75" thickBot="1">
      <c r="A58" s="895"/>
      <c r="B58" s="1054"/>
      <c r="C58" s="902"/>
      <c r="D58" s="878"/>
      <c r="E58" s="878"/>
      <c r="F58" s="878"/>
      <c r="G58" s="878"/>
      <c r="H58" s="878"/>
      <c r="I58" s="878"/>
      <c r="J58" s="878"/>
      <c r="K58" s="878"/>
      <c r="L58" s="878"/>
      <c r="M58" s="879"/>
      <c r="N58" s="2367"/>
      <c r="O58" s="2367"/>
      <c r="P58" s="900"/>
      <c r="Q58" s="901"/>
    </row>
    <row r="59" spans="1:17" s="813" customFormat="1" ht="15.75" thickTop="1">
      <c r="A59" s="895"/>
      <c r="B59" s="1053">
        <f>B13</f>
        <v>111</v>
      </c>
      <c r="C59" s="126"/>
      <c r="D59" s="126"/>
      <c r="E59" s="126"/>
      <c r="F59" s="126"/>
      <c r="G59" s="139"/>
      <c r="H59" s="1058"/>
      <c r="I59" s="1058"/>
      <c r="J59" s="1058"/>
      <c r="K59" s="1058"/>
      <c r="L59" s="1059"/>
      <c r="M59" s="1060"/>
      <c r="N59" s="2368"/>
      <c r="O59" s="2368"/>
      <c r="P59" s="812"/>
      <c r="Q59" s="903"/>
    </row>
    <row r="60" spans="1:17" s="813" customFormat="1" ht="15.75" thickBot="1">
      <c r="A60" s="895"/>
      <c r="B60" s="1054"/>
      <c r="C60" s="902"/>
      <c r="D60" s="902"/>
      <c r="E60" s="902"/>
      <c r="F60" s="902"/>
      <c r="G60" s="902"/>
      <c r="H60" s="904"/>
      <c r="I60" s="904"/>
      <c r="J60" s="904"/>
      <c r="K60" s="904"/>
      <c r="L60" s="904"/>
      <c r="M60" s="905"/>
      <c r="N60" s="2368"/>
      <c r="O60" s="2368"/>
      <c r="P60" s="900"/>
      <c r="Q60" s="901"/>
    </row>
    <row r="61" spans="1:17" ht="15" thickTop="1">
      <c r="A61" s="869" t="s">
        <v>406</v>
      </c>
      <c r="B61" s="870" t="s">
        <v>430</v>
      </c>
      <c r="C61" s="915" t="s">
        <v>425</v>
      </c>
      <c r="D61" s="915" t="s">
        <v>426</v>
      </c>
      <c r="E61" s="915" t="s">
        <v>427</v>
      </c>
      <c r="F61" s="915" t="s">
        <v>428</v>
      </c>
      <c r="G61" s="915" t="s">
        <v>429</v>
      </c>
      <c r="H61" s="871"/>
      <c r="I61" s="871"/>
      <c r="J61" s="871"/>
      <c r="K61" s="916"/>
      <c r="L61" s="917"/>
      <c r="M61" s="918"/>
      <c r="N61" s="2366"/>
      <c r="O61" s="2366"/>
      <c r="P61" s="919"/>
      <c r="Q61" s="846"/>
    </row>
    <row r="62" spans="1:17" ht="15.75" thickBot="1">
      <c r="A62" s="876"/>
      <c r="B62" s="885"/>
      <c r="C62" s="886">
        <v>100</v>
      </c>
      <c r="D62" s="886">
        <f>C62-$K14</f>
        <v>100</v>
      </c>
      <c r="E62" s="886">
        <f>D62-$K14</f>
        <v>100</v>
      </c>
      <c r="F62" s="886">
        <f>E62-$K14</f>
        <v>100</v>
      </c>
      <c r="G62" s="886">
        <f>F62-$K14</f>
        <v>100</v>
      </c>
      <c r="H62" s="886"/>
      <c r="I62" s="886"/>
      <c r="J62" s="886"/>
      <c r="K62" s="886"/>
      <c r="L62" s="886"/>
      <c r="M62" s="887"/>
      <c r="N62" s="2367"/>
      <c r="O62" s="2367"/>
      <c r="P62" s="334"/>
      <c r="Q62" s="846"/>
    </row>
    <row r="63" spans="1:17" ht="27.75" thickTop="1">
      <c r="A63" s="876"/>
      <c r="B63" s="880" t="s">
        <v>431</v>
      </c>
      <c r="C63" s="920" t="s">
        <v>425</v>
      </c>
      <c r="D63" s="920" t="s">
        <v>426</v>
      </c>
      <c r="E63" s="920" t="s">
        <v>427</v>
      </c>
      <c r="F63" s="920" t="s">
        <v>428</v>
      </c>
      <c r="G63" s="920" t="s">
        <v>429</v>
      </c>
      <c r="H63" s="881"/>
      <c r="I63" s="881"/>
      <c r="J63" s="881"/>
      <c r="K63" s="882"/>
      <c r="L63" s="883"/>
      <c r="M63" s="884"/>
      <c r="N63" s="2366"/>
      <c r="O63" s="2366"/>
      <c r="P63" s="334"/>
      <c r="Q63" s="846"/>
    </row>
    <row r="64" spans="1:17" ht="15.75" thickBot="1">
      <c r="A64" s="876"/>
      <c r="B64" s="885"/>
      <c r="C64" s="886">
        <v>100</v>
      </c>
      <c r="D64" s="886">
        <f>C64-$K16</f>
        <v>100</v>
      </c>
      <c r="E64" s="886">
        <f>D64-$K16</f>
        <v>100</v>
      </c>
      <c r="F64" s="886">
        <f>E64-$K16</f>
        <v>100</v>
      </c>
      <c r="G64" s="886">
        <f>F64-$K16</f>
        <v>100</v>
      </c>
      <c r="H64" s="886"/>
      <c r="I64" s="886"/>
      <c r="J64" s="886"/>
      <c r="K64" s="886"/>
      <c r="L64" s="886"/>
      <c r="M64" s="887"/>
      <c r="N64" s="2367"/>
      <c r="O64" s="2367"/>
      <c r="P64" s="334"/>
      <c r="Q64" s="846"/>
    </row>
    <row r="65" spans="1:17" ht="15.75" thickTop="1">
      <c r="A65" s="876"/>
      <c r="B65" s="1055" t="s">
        <v>2671</v>
      </c>
      <c r="C65" s="213" t="s">
        <v>2661</v>
      </c>
      <c r="D65" s="213" t="s">
        <v>2662</v>
      </c>
      <c r="E65" s="213" t="s">
        <v>2663</v>
      </c>
      <c r="F65" s="213" t="s">
        <v>2664</v>
      </c>
      <c r="G65" s="213" t="s">
        <v>2665</v>
      </c>
      <c r="H65" s="881"/>
      <c r="I65" s="881"/>
      <c r="J65" s="881"/>
      <c r="K65" s="881"/>
      <c r="L65" s="881"/>
      <c r="M65" s="2761"/>
      <c r="N65" s="2367"/>
      <c r="O65" s="2367"/>
      <c r="P65" s="334"/>
      <c r="Q65" s="846"/>
    </row>
    <row r="66" spans="1:17" ht="15.75" thickBot="1">
      <c r="A66" s="876"/>
      <c r="B66" s="888"/>
      <c r="C66" s="886">
        <v>100</v>
      </c>
      <c r="D66" s="886">
        <f>C66-$K18</f>
        <v>100</v>
      </c>
      <c r="E66" s="886">
        <f>D66-$K18</f>
        <v>100</v>
      </c>
      <c r="F66" s="886">
        <f>E66-$K18</f>
        <v>100</v>
      </c>
      <c r="G66" s="886">
        <f>F66-$K18</f>
        <v>100</v>
      </c>
      <c r="H66" s="1002"/>
      <c r="I66" s="1002"/>
      <c r="J66" s="1002"/>
      <c r="K66" s="1002"/>
      <c r="L66" s="1002"/>
      <c r="M66" s="792"/>
      <c r="N66" s="2367"/>
      <c r="O66" s="2367"/>
      <c r="P66" s="334"/>
      <c r="Q66" s="846"/>
    </row>
    <row r="67" spans="1:17" ht="15.75" thickTop="1">
      <c r="A67" s="876"/>
      <c r="B67" s="880" t="s">
        <v>432</v>
      </c>
      <c r="C67" s="920" t="s">
        <v>425</v>
      </c>
      <c r="D67" s="920" t="s">
        <v>426</v>
      </c>
      <c r="E67" s="920" t="s">
        <v>427</v>
      </c>
      <c r="F67" s="920" t="s">
        <v>428</v>
      </c>
      <c r="G67" s="920" t="s">
        <v>429</v>
      </c>
      <c r="H67" s="881"/>
      <c r="I67" s="881"/>
      <c r="J67" s="881"/>
      <c r="K67" s="882"/>
      <c r="L67" s="883"/>
      <c r="M67" s="884"/>
      <c r="N67" s="2366"/>
      <c r="O67" s="2366"/>
      <c r="P67" s="334"/>
      <c r="Q67" s="846"/>
    </row>
    <row r="68" spans="1:17" ht="15.75" thickBot="1">
      <c r="A68" s="876"/>
      <c r="B68" s="885"/>
      <c r="C68" s="886">
        <v>100</v>
      </c>
      <c r="D68" s="886">
        <f>C68-$K20</f>
        <v>100</v>
      </c>
      <c r="E68" s="886">
        <f>D68-$K20</f>
        <v>100</v>
      </c>
      <c r="F68" s="886">
        <f>E68-$K20</f>
        <v>100</v>
      </c>
      <c r="G68" s="886">
        <f>F68-$K20</f>
        <v>100</v>
      </c>
      <c r="H68" s="886"/>
      <c r="I68" s="886"/>
      <c r="J68" s="886"/>
      <c r="K68" s="886"/>
      <c r="L68" s="886"/>
      <c r="M68" s="887"/>
      <c r="N68" s="2367"/>
      <c r="O68" s="2367"/>
      <c r="P68" s="334"/>
      <c r="Q68" s="846"/>
    </row>
    <row r="69" spans="1:17" ht="15.75" thickTop="1">
      <c r="A69" s="876"/>
      <c r="B69" s="880" t="s">
        <v>433</v>
      </c>
      <c r="C69" s="139"/>
      <c r="D69" s="139"/>
      <c r="E69" s="139"/>
      <c r="F69" s="139"/>
      <c r="G69" s="139"/>
      <c r="H69" s="131"/>
      <c r="I69" s="131"/>
      <c r="J69" s="131"/>
      <c r="K69" s="132"/>
      <c r="L69" s="133"/>
      <c r="M69" s="134"/>
      <c r="N69" s="2366"/>
      <c r="O69" s="2366"/>
      <c r="P69" s="334"/>
      <c r="Q69" s="846"/>
    </row>
    <row r="70" spans="1:17" ht="15.75" thickBot="1">
      <c r="A70" s="876"/>
      <c r="B70" s="885"/>
      <c r="C70" s="886">
        <v>100</v>
      </c>
      <c r="D70" s="886">
        <f>C70-$K22</f>
        <v>100</v>
      </c>
      <c r="E70" s="886"/>
      <c r="F70" s="886"/>
      <c r="G70" s="886"/>
      <c r="H70" s="886"/>
      <c r="I70" s="886"/>
      <c r="J70" s="886"/>
      <c r="K70" s="886"/>
      <c r="L70" s="886"/>
      <c r="M70" s="887"/>
      <c r="N70" s="2367"/>
      <c r="O70" s="2367"/>
      <c r="P70" s="334"/>
      <c r="Q70" s="846"/>
    </row>
    <row r="71" spans="1:17" s="407" customFormat="1" ht="15.75" thickTop="1">
      <c r="A71" s="921"/>
      <c r="B71" s="1053">
        <f>B23</f>
        <v>111</v>
      </c>
      <c r="C71" s="126"/>
      <c r="D71" s="126"/>
      <c r="E71" s="126"/>
      <c r="F71" s="126"/>
      <c r="G71" s="139"/>
      <c r="H71" s="139"/>
      <c r="I71" s="139"/>
      <c r="J71" s="139"/>
      <c r="K71" s="139"/>
      <c r="L71" s="1383"/>
      <c r="M71" s="1384"/>
      <c r="N71" s="2365"/>
      <c r="O71" s="2365"/>
      <c r="P71" s="334"/>
      <c r="Q71" s="846"/>
    </row>
    <row r="72" spans="1:17" s="407" customFormat="1" ht="15.75" thickBot="1">
      <c r="A72" s="921"/>
      <c r="B72" s="1054"/>
      <c r="C72" s="902"/>
      <c r="D72" s="878"/>
      <c r="E72" s="878"/>
      <c r="F72" s="878"/>
      <c r="G72" s="878"/>
      <c r="H72" s="878"/>
      <c r="I72" s="878"/>
      <c r="J72" s="878"/>
      <c r="K72" s="878"/>
      <c r="L72" s="878"/>
      <c r="M72" s="879"/>
      <c r="N72" s="2367"/>
      <c r="O72" s="2367"/>
      <c r="P72" s="334"/>
      <c r="Q72" s="846"/>
    </row>
    <row r="73" spans="1:17" s="407" customFormat="1" ht="15.75" thickTop="1">
      <c r="A73" s="921"/>
      <c r="B73" s="1053">
        <f>B24</f>
        <v>111</v>
      </c>
      <c r="C73" s="126"/>
      <c r="D73" s="126"/>
      <c r="E73" s="126"/>
      <c r="F73" s="126"/>
      <c r="G73" s="139"/>
      <c r="H73" s="139"/>
      <c r="I73" s="139"/>
      <c r="J73" s="139"/>
      <c r="K73" s="139"/>
      <c r="L73" s="139"/>
      <c r="M73" s="1384"/>
      <c r="N73" s="2365"/>
      <c r="O73" s="2365"/>
      <c r="P73" s="334"/>
      <c r="Q73" s="846"/>
    </row>
    <row r="74" spans="1:17" s="407" customFormat="1" ht="15.75" thickBot="1">
      <c r="A74" s="921"/>
      <c r="B74" s="1054"/>
      <c r="C74" s="902"/>
      <c r="D74" s="878"/>
      <c r="E74" s="878"/>
      <c r="F74" s="878"/>
      <c r="G74" s="878"/>
      <c r="H74" s="878"/>
      <c r="I74" s="878"/>
      <c r="J74" s="878"/>
      <c r="K74" s="878"/>
      <c r="L74" s="878"/>
      <c r="M74" s="879"/>
      <c r="N74" s="2367"/>
      <c r="O74" s="2367"/>
      <c r="P74" s="334"/>
      <c r="Q74" s="846"/>
    </row>
    <row r="75" spans="1:17" s="813" customFormat="1" ht="15.75" thickTop="1">
      <c r="A75" s="895"/>
      <c r="B75" s="1053">
        <f>B25</f>
        <v>111</v>
      </c>
      <c r="C75" s="126"/>
      <c r="D75" s="126"/>
      <c r="E75" s="126"/>
      <c r="F75" s="126"/>
      <c r="G75" s="139"/>
      <c r="H75" s="1058"/>
      <c r="I75" s="1058"/>
      <c r="J75" s="1058"/>
      <c r="K75" s="1058"/>
      <c r="L75" s="1059"/>
      <c r="M75" s="1060"/>
      <c r="N75" s="2368"/>
      <c r="O75" s="2368"/>
      <c r="P75" s="900"/>
      <c r="Q75" s="901"/>
    </row>
    <row r="76" spans="1:17" s="813" customFormat="1" ht="15.75" thickBot="1">
      <c r="A76" s="895"/>
      <c r="B76" s="1054"/>
      <c r="C76" s="902"/>
      <c r="D76" s="902"/>
      <c r="E76" s="902"/>
      <c r="F76" s="902"/>
      <c r="G76" s="878"/>
      <c r="H76" s="878"/>
      <c r="I76" s="878"/>
      <c r="J76" s="878"/>
      <c r="K76" s="878"/>
      <c r="L76" s="878"/>
      <c r="M76" s="879"/>
      <c r="N76" s="2368"/>
      <c r="O76" s="2368"/>
      <c r="P76" s="900"/>
      <c r="Q76" s="901"/>
    </row>
    <row r="77" spans="1:17" ht="15" thickTop="1">
      <c r="A77" s="869" t="s">
        <v>408</v>
      </c>
      <c r="B77" s="870" t="s">
        <v>434</v>
      </c>
      <c r="C77" s="139"/>
      <c r="D77" s="139"/>
      <c r="E77" s="122"/>
      <c r="F77" s="122"/>
      <c r="G77" s="122"/>
      <c r="H77" s="122"/>
      <c r="I77" s="122"/>
      <c r="J77" s="122"/>
      <c r="K77" s="123"/>
      <c r="L77" s="124"/>
      <c r="M77" s="125"/>
      <c r="N77" s="2366"/>
      <c r="O77" s="2366"/>
      <c r="P77" s="334"/>
      <c r="Q77" s="846"/>
    </row>
    <row r="78" spans="1:17" ht="15.75" thickBot="1">
      <c r="A78" s="876"/>
      <c r="B78" s="885"/>
      <c r="C78" s="886">
        <v>100</v>
      </c>
      <c r="D78" s="886">
        <f t="shared" ref="D78:M78" si="14">C78-$K26</f>
        <v>100</v>
      </c>
      <c r="E78" s="886">
        <f t="shared" si="14"/>
        <v>100</v>
      </c>
      <c r="F78" s="886">
        <f t="shared" si="14"/>
        <v>100</v>
      </c>
      <c r="G78" s="886">
        <f t="shared" si="14"/>
        <v>100</v>
      </c>
      <c r="H78" s="886">
        <f t="shared" si="14"/>
        <v>100</v>
      </c>
      <c r="I78" s="886">
        <f t="shared" si="14"/>
        <v>100</v>
      </c>
      <c r="J78" s="886">
        <f t="shared" si="14"/>
        <v>100</v>
      </c>
      <c r="K78" s="886">
        <f t="shared" si="14"/>
        <v>100</v>
      </c>
      <c r="L78" s="886">
        <f t="shared" si="14"/>
        <v>100</v>
      </c>
      <c r="M78" s="887">
        <f t="shared" si="14"/>
        <v>100</v>
      </c>
      <c r="N78" s="2367"/>
      <c r="O78" s="2367"/>
      <c r="P78" s="334"/>
      <c r="Q78" s="846"/>
    </row>
    <row r="79" spans="1:17" ht="15.75" thickTop="1">
      <c r="A79" s="876"/>
      <c r="B79" s="880" t="s">
        <v>469</v>
      </c>
      <c r="C79" s="920" t="str">
        <f>C80&amp;"(含)"&amp;"-"&amp;D80</f>
        <v>0.5(含)-0.6</v>
      </c>
      <c r="D79" s="920" t="str">
        <f>D80&amp;"(含)"&amp;"-"&amp;E80</f>
        <v>0.6(含)-0.7</v>
      </c>
      <c r="E79" s="920" t="str">
        <f>E80&amp;"(含)"&amp;"-"&amp;F80</f>
        <v>0.7(含)-0.8</v>
      </c>
      <c r="F79" s="920" t="str">
        <f>F80&amp;"(含)"&amp;"-"&amp;G80</f>
        <v>0.8(含)-0.9</v>
      </c>
      <c r="G79" s="920" t="str">
        <f>G80&amp;"(含)"&amp;"-"&amp;ROUND(H80,0)&amp;"(含)"</f>
        <v>0.9(含)-1(含)</v>
      </c>
      <c r="H79" s="920"/>
      <c r="I79" s="881"/>
      <c r="J79" s="881"/>
      <c r="K79" s="882"/>
      <c r="L79" s="883"/>
      <c r="M79" s="884"/>
      <c r="N79" s="2365"/>
      <c r="O79" s="2365"/>
      <c r="P79" s="334"/>
      <c r="Q79" s="846"/>
    </row>
    <row r="80" spans="1:17" ht="15">
      <c r="A80" s="876"/>
      <c r="B80" s="888"/>
      <c r="C80" s="945">
        <v>0.5</v>
      </c>
      <c r="D80" s="945">
        <v>0.6</v>
      </c>
      <c r="E80" s="945">
        <v>0.7</v>
      </c>
      <c r="F80" s="945">
        <v>0.8</v>
      </c>
      <c r="G80" s="945">
        <v>0.9</v>
      </c>
      <c r="H80" s="945">
        <v>1.0001</v>
      </c>
      <c r="I80" s="1002"/>
      <c r="J80" s="1002"/>
      <c r="K80" s="1010"/>
      <c r="L80" s="1011"/>
      <c r="M80" s="1012"/>
      <c r="N80" s="2365"/>
      <c r="O80" s="2365"/>
      <c r="P80" s="334"/>
      <c r="Q80" s="846"/>
    </row>
    <row r="81" spans="1:17" s="813" customFormat="1" ht="15.75" thickBot="1">
      <c r="A81" s="895"/>
      <c r="B81" s="885"/>
      <c r="C81" s="924">
        <v>100</v>
      </c>
      <c r="D81" s="886">
        <f t="shared" ref="D81:M81" si="15">C81+$K27</f>
        <v>100</v>
      </c>
      <c r="E81" s="886">
        <f t="shared" si="15"/>
        <v>100</v>
      </c>
      <c r="F81" s="886">
        <f t="shared" si="15"/>
        <v>100</v>
      </c>
      <c r="G81" s="886">
        <f t="shared" si="15"/>
        <v>100</v>
      </c>
      <c r="H81" s="886">
        <f t="shared" si="15"/>
        <v>100</v>
      </c>
      <c r="I81" s="886">
        <f t="shared" si="15"/>
        <v>100</v>
      </c>
      <c r="J81" s="886">
        <f t="shared" si="15"/>
        <v>100</v>
      </c>
      <c r="K81" s="886">
        <f t="shared" si="15"/>
        <v>100</v>
      </c>
      <c r="L81" s="886">
        <f t="shared" si="15"/>
        <v>100</v>
      </c>
      <c r="M81" s="886">
        <f t="shared" si="15"/>
        <v>100</v>
      </c>
      <c r="N81" s="2367"/>
      <c r="O81" s="2367"/>
      <c r="P81" s="900"/>
      <c r="Q81" s="901"/>
    </row>
    <row r="82" spans="1:17" ht="15" thickTop="1">
      <c r="A82" s="941"/>
      <c r="B82" s="888" t="s">
        <v>470</v>
      </c>
      <c r="C82" s="139"/>
      <c r="D82" s="139"/>
      <c r="E82" s="131"/>
      <c r="F82" s="131"/>
      <c r="G82" s="131"/>
      <c r="H82" s="131"/>
      <c r="I82" s="131"/>
      <c r="J82" s="131"/>
      <c r="K82" s="132"/>
      <c r="L82" s="133"/>
      <c r="M82" s="134"/>
      <c r="N82" s="2366"/>
      <c r="O82" s="2366"/>
      <c r="P82" s="334"/>
      <c r="Q82" s="846"/>
    </row>
    <row r="83" spans="1:17" ht="15.75" thickBot="1">
      <c r="A83" s="876"/>
      <c r="B83" s="885"/>
      <c r="C83" s="886">
        <v>100</v>
      </c>
      <c r="D83" s="886">
        <f t="shared" ref="D83:M83" si="16">C83-$K28</f>
        <v>100</v>
      </c>
      <c r="E83" s="886">
        <f t="shared" si="16"/>
        <v>100</v>
      </c>
      <c r="F83" s="886">
        <f t="shared" si="16"/>
        <v>100</v>
      </c>
      <c r="G83" s="886">
        <f t="shared" si="16"/>
        <v>100</v>
      </c>
      <c r="H83" s="886">
        <f t="shared" si="16"/>
        <v>100</v>
      </c>
      <c r="I83" s="886">
        <f t="shared" si="16"/>
        <v>100</v>
      </c>
      <c r="J83" s="886">
        <f t="shared" si="16"/>
        <v>100</v>
      </c>
      <c r="K83" s="886">
        <f t="shared" si="16"/>
        <v>100</v>
      </c>
      <c r="L83" s="886">
        <f t="shared" si="16"/>
        <v>100</v>
      </c>
      <c r="M83" s="887">
        <f t="shared" si="16"/>
        <v>100</v>
      </c>
      <c r="N83" s="2367"/>
      <c r="O83" s="2367"/>
      <c r="P83" s="334"/>
      <c r="Q83" s="846"/>
    </row>
    <row r="84" spans="1:17" ht="15" thickTop="1">
      <c r="A84" s="941"/>
      <c r="B84" s="880" t="s">
        <v>478</v>
      </c>
      <c r="C84" s="139"/>
      <c r="D84" s="139"/>
      <c r="E84" s="139"/>
      <c r="F84" s="139"/>
      <c r="G84" s="139"/>
      <c r="H84" s="139"/>
      <c r="I84" s="131"/>
      <c r="J84" s="131"/>
      <c r="K84" s="132"/>
      <c r="L84" s="133"/>
      <c r="M84" s="134"/>
      <c r="N84" s="2366"/>
      <c r="O84" s="2366"/>
      <c r="P84" s="334"/>
      <c r="Q84" s="846"/>
    </row>
    <row r="85" spans="1:17" ht="15.75" thickBot="1">
      <c r="A85" s="876"/>
      <c r="B85" s="885"/>
      <c r="C85" s="924">
        <v>100</v>
      </c>
      <c r="D85" s="886">
        <f t="shared" ref="D85:M85" si="17">C85+$K29</f>
        <v>100</v>
      </c>
      <c r="E85" s="886">
        <f t="shared" si="17"/>
        <v>100</v>
      </c>
      <c r="F85" s="886">
        <f t="shared" si="17"/>
        <v>100</v>
      </c>
      <c r="G85" s="886">
        <f t="shared" si="17"/>
        <v>100</v>
      </c>
      <c r="H85" s="886">
        <f t="shared" si="17"/>
        <v>100</v>
      </c>
      <c r="I85" s="886">
        <f t="shared" si="17"/>
        <v>100</v>
      </c>
      <c r="J85" s="886">
        <f t="shared" si="17"/>
        <v>100</v>
      </c>
      <c r="K85" s="886">
        <f t="shared" si="17"/>
        <v>100</v>
      </c>
      <c r="L85" s="886">
        <f t="shared" si="17"/>
        <v>100</v>
      </c>
      <c r="M85" s="886">
        <f t="shared" si="17"/>
        <v>100</v>
      </c>
      <c r="N85" s="2367"/>
      <c r="O85" s="2367"/>
      <c r="P85" s="334"/>
      <c r="Q85" s="846"/>
    </row>
    <row r="86" spans="1:17" ht="15" thickTop="1">
      <c r="A86" s="941"/>
      <c r="B86" s="888" t="s">
        <v>479</v>
      </c>
      <c r="C86" s="920" t="str">
        <f t="shared" ref="C86:L86" si="18">C87&amp;"(含)"&amp;"-"&amp;D87</f>
        <v>(含)-</v>
      </c>
      <c r="D86" s="920" t="str">
        <f t="shared" si="18"/>
        <v>(含)-</v>
      </c>
      <c r="E86" s="920" t="str">
        <f t="shared" si="18"/>
        <v>(含)-</v>
      </c>
      <c r="F86" s="920" t="str">
        <f t="shared" si="18"/>
        <v>(含)-</v>
      </c>
      <c r="G86" s="920" t="str">
        <f t="shared" si="18"/>
        <v>(含)-</v>
      </c>
      <c r="H86" s="920" t="str">
        <f t="shared" si="18"/>
        <v>(含)-</v>
      </c>
      <c r="I86" s="920" t="str">
        <f t="shared" si="18"/>
        <v>(含)-</v>
      </c>
      <c r="J86" s="920" t="str">
        <f t="shared" si="18"/>
        <v>(含)-</v>
      </c>
      <c r="K86" s="920" t="str">
        <f t="shared" si="18"/>
        <v>(含)-</v>
      </c>
      <c r="L86" s="920" t="str">
        <f t="shared" si="18"/>
        <v>(含)-</v>
      </c>
      <c r="M86" s="964" t="str">
        <f>M87&amp;"(含)"&amp;"-"&amp;P87</f>
        <v>(含)-</v>
      </c>
      <c r="N86" s="2366"/>
      <c r="O86" s="2366"/>
      <c r="P86" s="334"/>
      <c r="Q86" s="846"/>
    </row>
    <row r="87" spans="1:17">
      <c r="A87" s="941"/>
      <c r="B87" s="888"/>
      <c r="C87" s="937"/>
      <c r="D87" s="937"/>
      <c r="E87" s="937"/>
      <c r="F87" s="937"/>
      <c r="G87" s="937"/>
      <c r="H87" s="937"/>
      <c r="I87" s="937"/>
      <c r="J87" s="938"/>
      <c r="K87" s="938"/>
      <c r="L87" s="939"/>
      <c r="M87" s="940"/>
      <c r="N87" s="2366"/>
      <c r="O87" s="2366"/>
      <c r="P87" s="334"/>
      <c r="Q87" s="846"/>
    </row>
    <row r="88" spans="1:17" ht="15.75" thickBot="1">
      <c r="A88" s="876"/>
      <c r="B88" s="885"/>
      <c r="C88" s="902"/>
      <c r="D88" s="878"/>
      <c r="E88" s="878"/>
      <c r="F88" s="878"/>
      <c r="G88" s="878"/>
      <c r="H88" s="878"/>
      <c r="I88" s="878"/>
      <c r="J88" s="878"/>
      <c r="K88" s="878"/>
      <c r="L88" s="878"/>
      <c r="M88" s="878"/>
      <c r="N88" s="2367"/>
      <c r="O88" s="2367"/>
      <c r="P88" s="334"/>
      <c r="Q88" s="846"/>
    </row>
    <row r="89" spans="1:17" s="813" customFormat="1" ht="15" thickTop="1">
      <c r="A89" s="935"/>
      <c r="B89" s="880" t="s">
        <v>480</v>
      </c>
      <c r="C89" s="139"/>
      <c r="D89" s="139"/>
      <c r="E89" s="139"/>
      <c r="F89" s="139"/>
      <c r="G89" s="139"/>
      <c r="H89" s="139"/>
      <c r="I89" s="139"/>
      <c r="J89" s="139"/>
      <c r="K89" s="139"/>
      <c r="L89" s="139"/>
      <c r="M89" s="1384"/>
      <c r="N89" s="2368"/>
      <c r="O89" s="2368"/>
      <c r="P89" s="900"/>
      <c r="Q89" s="901"/>
    </row>
    <row r="90" spans="1:17" s="813" customFormat="1" ht="15.75" thickBot="1">
      <c r="A90" s="895"/>
      <c r="B90" s="885"/>
      <c r="C90" s="902"/>
      <c r="D90" s="878"/>
      <c r="E90" s="878"/>
      <c r="F90" s="878"/>
      <c r="G90" s="878"/>
      <c r="H90" s="878"/>
      <c r="I90" s="878"/>
      <c r="J90" s="878"/>
      <c r="K90" s="878"/>
      <c r="L90" s="878"/>
      <c r="M90" s="879"/>
      <c r="N90" s="2368"/>
      <c r="O90" s="2368"/>
      <c r="P90" s="900"/>
      <c r="Q90" s="901"/>
    </row>
    <row r="91" spans="1:17" ht="15" thickTop="1">
      <c r="A91" s="941"/>
      <c r="B91" s="1053">
        <f>B32</f>
        <v>111</v>
      </c>
      <c r="C91" s="126"/>
      <c r="D91" s="126"/>
      <c r="E91" s="126"/>
      <c r="F91" s="126"/>
      <c r="G91" s="139"/>
      <c r="H91" s="1058"/>
      <c r="I91" s="1058"/>
      <c r="J91" s="1058"/>
      <c r="K91" s="1058"/>
      <c r="L91" s="1059"/>
      <c r="M91" s="1060"/>
      <c r="N91" s="2366"/>
      <c r="O91" s="2366"/>
      <c r="P91" s="334"/>
      <c r="Q91" s="846"/>
    </row>
    <row r="92" spans="1:17" ht="15.75" thickBot="1">
      <c r="A92" s="876"/>
      <c r="B92" s="1054"/>
      <c r="C92" s="902"/>
      <c r="D92" s="878"/>
      <c r="E92" s="878"/>
      <c r="F92" s="878"/>
      <c r="G92" s="902"/>
      <c r="H92" s="904"/>
      <c r="I92" s="904"/>
      <c r="J92" s="904"/>
      <c r="K92" s="904"/>
      <c r="L92" s="904"/>
      <c r="M92" s="905"/>
      <c r="N92" s="2367"/>
      <c r="O92" s="2367"/>
      <c r="P92" s="334"/>
      <c r="Q92" s="846"/>
    </row>
    <row r="93" spans="1:17" ht="15" thickTop="1">
      <c r="A93" s="941"/>
      <c r="B93" s="1053">
        <f>B33</f>
        <v>111</v>
      </c>
      <c r="C93" s="126"/>
      <c r="D93" s="126"/>
      <c r="E93" s="126"/>
      <c r="F93" s="126"/>
      <c r="G93" s="139"/>
      <c r="H93" s="1058"/>
      <c r="I93" s="1058"/>
      <c r="J93" s="1058"/>
      <c r="K93" s="1058"/>
      <c r="L93" s="1059"/>
      <c r="M93" s="1060"/>
      <c r="N93" s="2366"/>
      <c r="O93" s="2366"/>
      <c r="P93" s="334"/>
      <c r="Q93" s="846"/>
    </row>
    <row r="94" spans="1:17" ht="15.75" thickBot="1">
      <c r="A94" s="876"/>
      <c r="B94" s="1054"/>
      <c r="C94" s="902"/>
      <c r="D94" s="878"/>
      <c r="E94" s="878"/>
      <c r="F94" s="878"/>
      <c r="G94" s="902"/>
      <c r="H94" s="904"/>
      <c r="I94" s="904"/>
      <c r="J94" s="904"/>
      <c r="K94" s="904"/>
      <c r="L94" s="904"/>
      <c r="M94" s="905"/>
      <c r="N94" s="2367"/>
      <c r="O94" s="2367"/>
      <c r="P94" s="334"/>
      <c r="Q94" s="846"/>
    </row>
    <row r="95" spans="1:17" ht="15" thickTop="1">
      <c r="A95" s="941"/>
      <c r="B95" s="211">
        <f>B34</f>
        <v>111</v>
      </c>
      <c r="C95" s="126"/>
      <c r="D95" s="126"/>
      <c r="E95" s="126"/>
      <c r="F95" s="126"/>
      <c r="G95" s="139"/>
      <c r="H95" s="1058"/>
      <c r="I95" s="1058"/>
      <c r="J95" s="1058"/>
      <c r="K95" s="1058"/>
      <c r="L95" s="1059"/>
      <c r="M95" s="1060"/>
      <c r="N95" s="2367"/>
      <c r="O95" s="2367"/>
      <c r="P95" s="979"/>
      <c r="Q95" s="980"/>
    </row>
    <row r="96" spans="1:17" ht="15.75" thickBot="1">
      <c r="A96" s="876"/>
      <c r="B96" s="1054"/>
      <c r="C96" s="902"/>
      <c r="D96" s="902"/>
      <c r="E96" s="902"/>
      <c r="F96" s="902"/>
      <c r="G96" s="902"/>
      <c r="H96" s="904"/>
      <c r="I96" s="904"/>
      <c r="J96" s="904"/>
      <c r="K96" s="904"/>
      <c r="L96" s="904"/>
      <c r="M96" s="905"/>
      <c r="N96" s="2367"/>
      <c r="O96" s="2367"/>
      <c r="P96" s="334"/>
      <c r="Q96" s="846"/>
    </row>
    <row r="97" spans="1:20" ht="15" thickTop="1"/>
    <row r="98" spans="1:20">
      <c r="A98" s="2369"/>
      <c r="B98" s="2369"/>
      <c r="C98" s="2369"/>
      <c r="D98" s="2369"/>
      <c r="E98" s="2369"/>
      <c r="F98" s="2369"/>
      <c r="G98" s="2369"/>
      <c r="H98" s="2369"/>
      <c r="I98" s="2369"/>
      <c r="J98" s="2369"/>
      <c r="K98" s="2370"/>
      <c r="L98" s="2371"/>
      <c r="M98" s="2369"/>
      <c r="N98" s="2369"/>
      <c r="O98" s="2369"/>
      <c r="P98" s="2369"/>
      <c r="Q98" s="2369"/>
      <c r="R98" s="2369"/>
      <c r="S98" s="2369"/>
      <c r="T98" s="2369"/>
    </row>
    <row r="99" spans="1:20">
      <c r="A99" s="2369"/>
      <c r="B99" s="2369"/>
      <c r="C99" s="2369"/>
      <c r="D99" s="2369"/>
      <c r="E99" s="2369"/>
      <c r="F99" s="2369"/>
      <c r="G99" s="2369"/>
      <c r="H99" s="2369"/>
      <c r="I99" s="2369"/>
      <c r="J99" s="2369"/>
      <c r="K99" s="2370"/>
      <c r="L99" s="2371"/>
      <c r="M99" s="2369"/>
      <c r="N99" s="2369"/>
      <c r="O99" s="2369"/>
      <c r="P99" s="2369"/>
      <c r="Q99" s="2369"/>
      <c r="R99" s="2369"/>
      <c r="S99" s="2369"/>
      <c r="T99" s="2369"/>
    </row>
    <row r="100" spans="1:20">
      <c r="A100" s="2369"/>
      <c r="B100" s="2369"/>
      <c r="C100" s="2369"/>
      <c r="D100" s="2369"/>
      <c r="E100" s="2369"/>
      <c r="F100" s="2369"/>
      <c r="G100" s="2369"/>
      <c r="H100" s="2369"/>
      <c r="I100" s="2369"/>
      <c r="J100" s="2369"/>
      <c r="K100" s="2370"/>
      <c r="L100" s="2371"/>
      <c r="M100" s="2369"/>
      <c r="N100" s="2369"/>
      <c r="O100" s="2369"/>
      <c r="P100" s="2369"/>
      <c r="Q100" s="2369"/>
      <c r="R100" s="2369"/>
      <c r="S100" s="2369"/>
      <c r="T100" s="2369"/>
    </row>
    <row r="101" spans="1:20">
      <c r="A101" s="2369"/>
      <c r="B101" s="2369"/>
      <c r="C101" s="2369"/>
      <c r="D101" s="2369"/>
      <c r="E101" s="2369"/>
      <c r="F101" s="2369"/>
      <c r="G101" s="2369"/>
      <c r="H101" s="2369"/>
      <c r="I101" s="2369"/>
      <c r="J101" s="2369"/>
      <c r="K101" s="2370"/>
      <c r="L101" s="2371"/>
      <c r="M101" s="2369"/>
      <c r="N101" s="2369"/>
      <c r="O101" s="2369"/>
      <c r="P101" s="2369"/>
      <c r="Q101" s="2369"/>
      <c r="R101" s="2369"/>
      <c r="S101" s="2369"/>
      <c r="T101" s="2369"/>
    </row>
    <row r="102" spans="1:20">
      <c r="A102" s="2369"/>
      <c r="B102" s="2369"/>
      <c r="C102" s="2369"/>
      <c r="D102" s="2369"/>
      <c r="E102" s="2369"/>
      <c r="F102" s="2369"/>
      <c r="G102" s="2369"/>
      <c r="H102" s="2369"/>
      <c r="I102" s="2369"/>
      <c r="J102" s="2369"/>
      <c r="K102" s="2370"/>
      <c r="L102" s="2371"/>
      <c r="M102" s="2369"/>
      <c r="N102" s="2369"/>
      <c r="O102" s="2369"/>
      <c r="P102" s="2369"/>
      <c r="Q102" s="2369"/>
      <c r="R102" s="2369"/>
      <c r="S102" s="2369"/>
      <c r="T102" s="2369"/>
    </row>
    <row r="103" spans="1:20">
      <c r="A103" s="2369"/>
      <c r="B103" s="2369"/>
      <c r="C103" s="2369"/>
      <c r="D103" s="2369"/>
      <c r="E103" s="2369"/>
      <c r="F103" s="2369"/>
      <c r="G103" s="2369"/>
      <c r="H103" s="2369"/>
      <c r="I103" s="2369"/>
      <c r="J103" s="2369"/>
      <c r="K103" s="2370"/>
      <c r="L103" s="2371"/>
      <c r="M103" s="2369"/>
      <c r="N103" s="2369"/>
      <c r="O103" s="2369"/>
      <c r="P103" s="2369"/>
      <c r="Q103" s="2369"/>
      <c r="R103" s="2369"/>
      <c r="S103" s="2369"/>
      <c r="T103" s="2369"/>
    </row>
    <row r="104" spans="1:20">
      <c r="A104" s="2369"/>
      <c r="B104" s="2369"/>
      <c r="C104" s="2369"/>
      <c r="D104" s="2369"/>
      <c r="E104" s="2369"/>
      <c r="F104" s="2369"/>
      <c r="G104" s="2369"/>
      <c r="H104" s="2369"/>
      <c r="I104" s="2369"/>
      <c r="J104" s="2369"/>
      <c r="K104" s="2370"/>
      <c r="L104" s="2371"/>
      <c r="M104" s="2369"/>
      <c r="N104" s="2369"/>
      <c r="O104" s="2369"/>
      <c r="P104" s="2369"/>
      <c r="Q104" s="2369"/>
      <c r="R104" s="2369"/>
      <c r="S104" s="2369"/>
      <c r="T104" s="2369"/>
    </row>
    <row r="105" spans="1:20">
      <c r="A105" s="2369"/>
      <c r="B105" s="2369"/>
      <c r="C105" s="2369"/>
      <c r="D105" s="2369"/>
      <c r="E105" s="2369"/>
      <c r="F105" s="2369"/>
      <c r="G105" s="2369"/>
      <c r="H105" s="2369"/>
      <c r="I105" s="2369"/>
      <c r="J105" s="2369"/>
      <c r="K105" s="2370"/>
      <c r="L105" s="2371"/>
      <c r="M105" s="2369"/>
      <c r="N105" s="2369"/>
      <c r="O105" s="2369"/>
      <c r="P105" s="2369"/>
      <c r="Q105" s="2369"/>
      <c r="R105" s="2369"/>
      <c r="S105" s="2369"/>
      <c r="T105" s="2369"/>
    </row>
    <row r="106" spans="1:20">
      <c r="A106" s="2369"/>
      <c r="B106" s="2369"/>
      <c r="C106" s="2369"/>
      <c r="D106" s="2369"/>
      <c r="E106" s="2369"/>
      <c r="F106" s="2369"/>
      <c r="G106" s="2369"/>
      <c r="H106" s="2369"/>
      <c r="I106" s="2369"/>
      <c r="J106" s="2369"/>
      <c r="K106" s="2370"/>
      <c r="L106" s="2371"/>
      <c r="M106" s="2369"/>
      <c r="N106" s="2369"/>
      <c r="O106" s="2369"/>
      <c r="P106" s="2369"/>
      <c r="Q106" s="2369"/>
      <c r="R106" s="2369"/>
      <c r="S106" s="2369"/>
      <c r="T106" s="2369"/>
    </row>
    <row r="107" spans="1:20">
      <c r="A107" s="2369"/>
      <c r="B107" s="2369"/>
      <c r="C107" s="2369"/>
      <c r="D107" s="2369"/>
      <c r="E107" s="2369"/>
      <c r="F107" s="2369"/>
      <c r="G107" s="2369"/>
      <c r="H107" s="2369"/>
      <c r="I107" s="2369"/>
      <c r="J107" s="2369"/>
      <c r="K107" s="2370"/>
      <c r="L107" s="2371"/>
      <c r="M107" s="2369"/>
      <c r="N107" s="2369"/>
      <c r="O107" s="2369"/>
      <c r="P107" s="2369"/>
      <c r="Q107" s="2369"/>
      <c r="R107" s="2369"/>
      <c r="S107" s="2369"/>
      <c r="T107" s="2369"/>
    </row>
    <row r="108" spans="1:20">
      <c r="A108" s="2369"/>
      <c r="B108" s="2369"/>
      <c r="C108" s="2369"/>
      <c r="D108" s="2369"/>
      <c r="E108" s="2369"/>
      <c r="F108" s="2369"/>
      <c r="G108" s="2369"/>
      <c r="H108" s="2369"/>
      <c r="I108" s="2369"/>
      <c r="J108" s="2369"/>
      <c r="K108" s="2370"/>
      <c r="L108" s="2371"/>
      <c r="M108" s="2369"/>
      <c r="N108" s="2369"/>
      <c r="O108" s="2369"/>
      <c r="P108" s="2369"/>
      <c r="Q108" s="2369"/>
      <c r="R108" s="2369"/>
      <c r="S108" s="2369"/>
      <c r="T108" s="2369"/>
    </row>
    <row r="109" spans="1:20">
      <c r="A109" s="2369"/>
      <c r="B109" s="2369"/>
      <c r="C109" s="2369"/>
      <c r="D109" s="2369"/>
      <c r="E109" s="2369"/>
      <c r="F109" s="2369"/>
      <c r="G109" s="2369"/>
      <c r="H109" s="2369"/>
      <c r="I109" s="2369"/>
      <c r="J109" s="2369"/>
      <c r="K109" s="2370"/>
      <c r="L109" s="2371"/>
      <c r="M109" s="2369"/>
      <c r="N109" s="2369"/>
      <c r="O109" s="2369"/>
      <c r="P109" s="2369"/>
      <c r="Q109" s="2369"/>
      <c r="R109" s="2369"/>
      <c r="S109" s="2369"/>
      <c r="T109" s="2369"/>
    </row>
    <row r="110" spans="1:20">
      <c r="A110" s="2369"/>
      <c r="B110" s="2369"/>
      <c r="C110" s="2369"/>
      <c r="D110" s="2369"/>
      <c r="E110" s="2369"/>
      <c r="F110" s="2369"/>
      <c r="G110" s="2369"/>
      <c r="H110" s="2369"/>
      <c r="I110" s="2369"/>
      <c r="J110" s="2369"/>
      <c r="K110" s="2370"/>
      <c r="L110" s="2371"/>
      <c r="M110" s="2369"/>
      <c r="N110" s="2369"/>
      <c r="O110" s="2369"/>
      <c r="P110" s="2369"/>
      <c r="Q110" s="2369"/>
      <c r="R110" s="2369"/>
      <c r="S110" s="2369"/>
      <c r="T110" s="2369"/>
    </row>
    <row r="111" spans="1:20">
      <c r="A111" s="2369"/>
      <c r="B111" s="2369"/>
      <c r="C111" s="2369"/>
      <c r="D111" s="2369"/>
      <c r="E111" s="2369"/>
      <c r="F111" s="2369"/>
      <c r="G111" s="2369"/>
      <c r="H111" s="2369"/>
      <c r="I111" s="2369"/>
      <c r="J111" s="2369"/>
      <c r="K111" s="2370"/>
      <c r="L111" s="2371"/>
      <c r="M111" s="2369"/>
      <c r="N111" s="2369"/>
      <c r="O111" s="2369"/>
      <c r="P111" s="2369"/>
      <c r="Q111" s="2369"/>
      <c r="R111" s="2369"/>
      <c r="S111" s="2369"/>
      <c r="T111" s="2369"/>
    </row>
    <row r="112" spans="1:20">
      <c r="A112" s="2369"/>
      <c r="B112" s="2369"/>
      <c r="C112" s="2369"/>
      <c r="D112" s="2369"/>
      <c r="E112" s="2369"/>
      <c r="F112" s="2369"/>
      <c r="G112" s="2369"/>
      <c r="H112" s="2369"/>
      <c r="I112" s="2369"/>
      <c r="J112" s="2369"/>
      <c r="K112" s="2370"/>
      <c r="L112" s="2371"/>
      <c r="M112" s="2369"/>
      <c r="N112" s="2369"/>
      <c r="O112" s="2369"/>
      <c r="P112" s="2369"/>
      <c r="Q112" s="2369"/>
      <c r="R112" s="2369"/>
      <c r="S112" s="2369"/>
      <c r="T112" s="2369"/>
    </row>
    <row r="113" spans="1:20">
      <c r="A113" s="2369"/>
      <c r="B113" s="2369"/>
      <c r="C113" s="2369"/>
      <c r="D113" s="2369"/>
      <c r="E113" s="2369"/>
      <c r="F113" s="2369"/>
      <c r="G113" s="2369"/>
      <c r="H113" s="2369"/>
      <c r="I113" s="2369"/>
      <c r="J113" s="2369"/>
      <c r="K113" s="2370"/>
      <c r="L113" s="2371"/>
      <c r="M113" s="2369"/>
      <c r="N113" s="2369"/>
      <c r="O113" s="2369"/>
      <c r="P113" s="2369"/>
      <c r="Q113" s="2369"/>
      <c r="R113" s="2369"/>
      <c r="S113" s="2369"/>
      <c r="T113" s="2369"/>
    </row>
    <row r="114" spans="1:20">
      <c r="A114" s="2369"/>
      <c r="B114" s="2369"/>
      <c r="C114" s="2369"/>
      <c r="D114" s="2369"/>
      <c r="E114" s="2369"/>
      <c r="F114" s="2369"/>
      <c r="G114" s="2369"/>
      <c r="H114" s="2369"/>
      <c r="I114" s="2369"/>
      <c r="J114" s="2369"/>
      <c r="K114" s="2370"/>
      <c r="L114" s="2371"/>
      <c r="M114" s="2369"/>
      <c r="N114" s="2369"/>
      <c r="O114" s="2369"/>
      <c r="P114" s="2369"/>
      <c r="Q114" s="2369"/>
      <c r="R114" s="2369"/>
      <c r="S114" s="2369"/>
      <c r="T114" s="2369"/>
    </row>
    <row r="115" spans="1:20">
      <c r="A115" s="2369"/>
      <c r="B115" s="2369"/>
      <c r="C115" s="2369"/>
      <c r="D115" s="2369"/>
      <c r="E115" s="2369"/>
      <c r="F115" s="2369"/>
      <c r="G115" s="2369"/>
      <c r="H115" s="2369"/>
      <c r="I115" s="2369"/>
      <c r="J115" s="2369"/>
      <c r="K115" s="2370"/>
      <c r="L115" s="2371"/>
      <c r="M115" s="2369"/>
      <c r="N115" s="2369"/>
      <c r="O115" s="2369"/>
      <c r="P115" s="2369"/>
      <c r="Q115" s="2369"/>
      <c r="R115" s="2369"/>
      <c r="S115" s="2369"/>
      <c r="T115" s="2369"/>
    </row>
    <row r="116" spans="1:20">
      <c r="A116" s="2369"/>
      <c r="B116" s="2369"/>
      <c r="C116" s="2369"/>
      <c r="D116" s="2369"/>
      <c r="E116" s="2369"/>
      <c r="F116" s="2369"/>
      <c r="G116" s="2369"/>
      <c r="H116" s="2369"/>
      <c r="I116" s="2369"/>
      <c r="J116" s="2369"/>
      <c r="K116" s="2370"/>
      <c r="L116" s="2371"/>
      <c r="M116" s="2369"/>
      <c r="N116" s="2369"/>
      <c r="O116" s="2369"/>
      <c r="P116" s="2369"/>
      <c r="Q116" s="2369"/>
      <c r="R116" s="2369"/>
      <c r="S116" s="2369"/>
      <c r="T116" s="2369"/>
    </row>
    <row r="117" spans="1:20">
      <c r="A117" s="2369"/>
      <c r="B117" s="2369"/>
      <c r="C117" s="2369"/>
      <c r="D117" s="2369"/>
      <c r="E117" s="2369"/>
      <c r="F117" s="2369"/>
      <c r="G117" s="2369"/>
      <c r="H117" s="2369"/>
      <c r="I117" s="2369"/>
      <c r="J117" s="2369"/>
      <c r="K117" s="2370"/>
      <c r="L117" s="2371"/>
      <c r="M117" s="2369"/>
      <c r="N117" s="2369"/>
      <c r="O117" s="2369"/>
      <c r="P117" s="2369"/>
      <c r="Q117" s="2369"/>
      <c r="R117" s="2369"/>
      <c r="S117" s="2369"/>
      <c r="T117" s="2369"/>
    </row>
    <row r="118" spans="1:20">
      <c r="A118" s="2369"/>
      <c r="B118" s="2369"/>
      <c r="C118" s="2369"/>
      <c r="D118" s="2369"/>
      <c r="E118" s="2369"/>
      <c r="F118" s="2369"/>
      <c r="G118" s="2369"/>
      <c r="H118" s="2369"/>
      <c r="I118" s="2369"/>
      <c r="J118" s="2369"/>
      <c r="K118" s="2370"/>
      <c r="L118" s="2371"/>
      <c r="M118" s="2369"/>
      <c r="N118" s="2369"/>
      <c r="O118" s="2369"/>
      <c r="P118" s="2369"/>
      <c r="Q118" s="2369"/>
      <c r="R118" s="2369"/>
      <c r="S118" s="2369"/>
      <c r="T118" s="2369"/>
    </row>
    <row r="119" spans="1:20">
      <c r="A119" s="2369"/>
      <c r="B119" s="2369"/>
      <c r="C119" s="2369"/>
      <c r="D119" s="2369"/>
      <c r="E119" s="2369"/>
      <c r="F119" s="2369"/>
      <c r="G119" s="2369"/>
      <c r="H119" s="2369"/>
      <c r="I119" s="2369"/>
      <c r="J119" s="2369"/>
      <c r="K119" s="2370"/>
      <c r="L119" s="2371"/>
      <c r="M119" s="2369"/>
      <c r="N119" s="2369"/>
      <c r="O119" s="2369"/>
      <c r="P119" s="2369"/>
      <c r="Q119" s="2369"/>
      <c r="R119" s="2369"/>
      <c r="S119" s="2369"/>
      <c r="T119" s="2369"/>
    </row>
    <row r="120" spans="1:20">
      <c r="A120" s="2369"/>
      <c r="B120" s="2369"/>
      <c r="C120" s="2369"/>
      <c r="D120" s="2369"/>
      <c r="E120" s="2369"/>
      <c r="F120" s="2369"/>
      <c r="G120" s="2369"/>
      <c r="H120" s="2369"/>
      <c r="I120" s="2369"/>
      <c r="J120" s="2369"/>
      <c r="K120" s="2370"/>
      <c r="L120" s="2371"/>
      <c r="M120" s="2369"/>
      <c r="N120" s="2369"/>
      <c r="O120" s="2369"/>
      <c r="P120" s="2369"/>
      <c r="Q120" s="2369"/>
      <c r="R120" s="2369"/>
      <c r="S120" s="2369"/>
      <c r="T120" s="2369"/>
    </row>
    <row r="121" spans="1:20">
      <c r="A121" s="2369"/>
      <c r="B121" s="2369"/>
      <c r="C121" s="2369"/>
      <c r="D121" s="2369"/>
      <c r="E121" s="2369"/>
      <c r="F121" s="2369"/>
      <c r="G121" s="2369"/>
      <c r="H121" s="2369"/>
      <c r="I121" s="2369"/>
      <c r="J121" s="2369"/>
      <c r="K121" s="2370"/>
      <c r="L121" s="2371"/>
      <c r="M121" s="2369"/>
      <c r="N121" s="2369"/>
      <c r="O121" s="2369"/>
      <c r="P121" s="2369"/>
      <c r="Q121" s="2369"/>
      <c r="R121" s="2369"/>
      <c r="S121" s="2369"/>
      <c r="T121" s="2369"/>
    </row>
    <row r="122" spans="1:20">
      <c r="A122" s="2369"/>
      <c r="B122" s="2369"/>
      <c r="C122" s="2369"/>
      <c r="D122" s="2369"/>
      <c r="E122" s="2369"/>
      <c r="F122" s="2369"/>
      <c r="G122" s="2369"/>
      <c r="H122" s="2369"/>
      <c r="I122" s="2369"/>
      <c r="J122" s="2369"/>
      <c r="K122" s="2370"/>
      <c r="L122" s="2371"/>
      <c r="M122" s="2369"/>
      <c r="N122" s="2369"/>
      <c r="O122" s="2369"/>
      <c r="P122" s="2369"/>
      <c r="Q122" s="2369"/>
      <c r="R122" s="2369"/>
      <c r="S122" s="2369"/>
      <c r="T122" s="2369"/>
    </row>
    <row r="123" spans="1:20">
      <c r="A123" s="2369"/>
      <c r="B123" s="2369"/>
      <c r="C123" s="2369"/>
      <c r="D123" s="2369"/>
      <c r="E123" s="2369"/>
      <c r="F123" s="2369"/>
      <c r="G123" s="2369"/>
      <c r="H123" s="2369"/>
      <c r="I123" s="2369"/>
      <c r="J123" s="2369"/>
      <c r="K123" s="2370"/>
      <c r="L123" s="2371"/>
      <c r="M123" s="2369"/>
      <c r="N123" s="2369"/>
      <c r="O123" s="2369"/>
      <c r="P123" s="2369"/>
      <c r="Q123" s="2369"/>
      <c r="R123" s="2369"/>
      <c r="S123" s="2369"/>
      <c r="T123" s="2369"/>
    </row>
    <row r="124" spans="1:20">
      <c r="A124" s="2369"/>
      <c r="B124" s="2369"/>
      <c r="C124" s="2369"/>
      <c r="D124" s="2369"/>
      <c r="E124" s="2369"/>
      <c r="F124" s="2369"/>
      <c r="G124" s="2369"/>
      <c r="H124" s="2369"/>
      <c r="I124" s="2369"/>
      <c r="J124" s="2369"/>
      <c r="K124" s="2370"/>
      <c r="L124" s="2371"/>
      <c r="M124" s="2369"/>
      <c r="N124" s="2369"/>
      <c r="O124" s="2369"/>
      <c r="P124" s="2369"/>
      <c r="Q124" s="2369"/>
      <c r="R124" s="2369"/>
      <c r="S124" s="2369"/>
      <c r="T124" s="2369"/>
    </row>
    <row r="125" spans="1:20">
      <c r="A125" s="2369"/>
      <c r="B125" s="2369"/>
      <c r="C125" s="2369"/>
      <c r="D125" s="2369"/>
      <c r="E125" s="2369"/>
      <c r="F125" s="2369"/>
      <c r="G125" s="2369"/>
      <c r="H125" s="2369"/>
      <c r="I125" s="2369"/>
      <c r="J125" s="2369"/>
      <c r="K125" s="2370"/>
      <c r="L125" s="2371"/>
      <c r="M125" s="2369"/>
      <c r="N125" s="2369"/>
      <c r="O125" s="2369"/>
      <c r="P125" s="2369"/>
      <c r="Q125" s="2369"/>
      <c r="R125" s="2369"/>
      <c r="S125" s="2369"/>
      <c r="T125" s="2369"/>
    </row>
    <row r="126" spans="1:20">
      <c r="A126" s="2369"/>
      <c r="B126" s="2369"/>
      <c r="C126" s="2369"/>
      <c r="D126" s="2369"/>
      <c r="E126" s="2369"/>
      <c r="F126" s="2369"/>
      <c r="G126" s="2369"/>
      <c r="H126" s="2369"/>
      <c r="I126" s="2369"/>
      <c r="J126" s="2369"/>
      <c r="K126" s="2370"/>
      <c r="L126" s="2371"/>
      <c r="M126" s="2369"/>
      <c r="N126" s="2369"/>
      <c r="O126" s="2369"/>
      <c r="P126" s="2369"/>
      <c r="Q126" s="2369"/>
      <c r="R126" s="2369"/>
      <c r="S126" s="2369"/>
      <c r="T126" s="2369"/>
    </row>
    <row r="127" spans="1:20">
      <c r="A127" s="2369"/>
      <c r="B127" s="2369"/>
      <c r="C127" s="2369"/>
      <c r="D127" s="2369"/>
      <c r="E127" s="2369"/>
      <c r="F127" s="2369"/>
      <c r="G127" s="2369"/>
      <c r="H127" s="2369"/>
      <c r="I127" s="2369"/>
      <c r="J127" s="2369"/>
      <c r="K127" s="2370"/>
      <c r="L127" s="2371"/>
      <c r="M127" s="2369"/>
      <c r="N127" s="2369"/>
      <c r="O127" s="2369"/>
      <c r="P127" s="2369"/>
      <c r="Q127" s="2369"/>
      <c r="R127" s="2369"/>
      <c r="S127" s="2369"/>
      <c r="T127" s="2369"/>
    </row>
    <row r="128" spans="1:20">
      <c r="A128" s="2369"/>
      <c r="B128" s="2369"/>
      <c r="C128" s="2369"/>
      <c r="D128" s="2369"/>
      <c r="E128" s="2369"/>
      <c r="F128" s="2369"/>
      <c r="G128" s="2369"/>
      <c r="H128" s="2369"/>
      <c r="I128" s="2369"/>
      <c r="J128" s="2369"/>
      <c r="K128" s="2370"/>
      <c r="L128" s="2371"/>
      <c r="M128" s="2369"/>
      <c r="N128" s="2369"/>
      <c r="O128" s="2369"/>
      <c r="P128" s="2369"/>
      <c r="Q128" s="2369"/>
      <c r="R128" s="2369"/>
      <c r="S128" s="2369"/>
      <c r="T128" s="2369"/>
    </row>
    <row r="129" spans="1:20">
      <c r="A129" s="2369"/>
      <c r="B129" s="2369"/>
      <c r="C129" s="2369"/>
      <c r="D129" s="2369"/>
      <c r="E129" s="2369"/>
      <c r="F129" s="2369"/>
      <c r="G129" s="2369"/>
      <c r="H129" s="2369"/>
      <c r="I129" s="2369"/>
      <c r="J129" s="2369"/>
      <c r="K129" s="2370"/>
      <c r="L129" s="2371"/>
      <c r="M129" s="2369"/>
      <c r="N129" s="2369"/>
      <c r="O129" s="2369"/>
      <c r="P129" s="2369"/>
      <c r="Q129" s="2369"/>
      <c r="R129" s="2369"/>
      <c r="S129" s="2369"/>
      <c r="T129" s="2369"/>
    </row>
    <row r="130" spans="1:20">
      <c r="A130" s="2369"/>
      <c r="B130" s="2369"/>
      <c r="C130" s="2369"/>
      <c r="D130" s="2369"/>
      <c r="E130" s="2369"/>
      <c r="F130" s="2369"/>
      <c r="G130" s="2369"/>
      <c r="H130" s="2369"/>
      <c r="I130" s="2369"/>
      <c r="J130" s="2369"/>
      <c r="K130" s="2370"/>
      <c r="L130" s="2371"/>
      <c r="M130" s="2369"/>
      <c r="N130" s="2369"/>
      <c r="O130" s="2369"/>
      <c r="P130" s="2369"/>
      <c r="Q130" s="2369"/>
      <c r="R130" s="2369"/>
      <c r="S130" s="2369"/>
      <c r="T130" s="2369"/>
    </row>
    <row r="131" spans="1:20">
      <c r="A131" s="2369"/>
      <c r="B131" s="2369"/>
      <c r="C131" s="2369"/>
      <c r="D131" s="2369"/>
      <c r="E131" s="2369"/>
      <c r="F131" s="2369"/>
      <c r="G131" s="2369"/>
      <c r="H131" s="2369"/>
      <c r="I131" s="2369"/>
      <c r="J131" s="2369"/>
      <c r="K131" s="2370"/>
      <c r="L131" s="2371"/>
      <c r="M131" s="2369"/>
      <c r="N131" s="2369"/>
      <c r="O131" s="2369"/>
      <c r="P131" s="2369"/>
      <c r="Q131" s="2369"/>
      <c r="R131" s="2369"/>
      <c r="S131" s="2369"/>
      <c r="T131" s="2369"/>
    </row>
    <row r="132" spans="1:20">
      <c r="A132" s="2369"/>
      <c r="B132" s="2369"/>
      <c r="C132" s="2369"/>
      <c r="D132" s="2369"/>
      <c r="E132" s="2369"/>
      <c r="F132" s="2369"/>
      <c r="G132" s="2369"/>
      <c r="H132" s="2369"/>
      <c r="I132" s="2369"/>
      <c r="J132" s="2369"/>
      <c r="K132" s="2370"/>
      <c r="L132" s="2371"/>
      <c r="M132" s="2369"/>
      <c r="N132" s="2369"/>
      <c r="O132" s="2369"/>
      <c r="P132" s="2369"/>
      <c r="Q132" s="2369"/>
      <c r="R132" s="2369"/>
      <c r="S132" s="2369"/>
      <c r="T132" s="2369"/>
    </row>
    <row r="133" spans="1:20">
      <c r="A133" s="2369"/>
      <c r="B133" s="2369"/>
      <c r="C133" s="2369"/>
      <c r="D133" s="2369"/>
      <c r="E133" s="2369"/>
      <c r="F133" s="2369"/>
      <c r="G133" s="2369"/>
      <c r="H133" s="2369"/>
      <c r="I133" s="2369"/>
      <c r="J133" s="2369"/>
      <c r="K133" s="2370"/>
      <c r="L133" s="2371"/>
      <c r="M133" s="2369"/>
      <c r="N133" s="2369"/>
      <c r="O133" s="2369"/>
      <c r="P133" s="2369"/>
      <c r="Q133" s="2369"/>
      <c r="R133" s="2369"/>
      <c r="S133" s="2369"/>
      <c r="T133" s="2369"/>
    </row>
    <row r="134" spans="1:20">
      <c r="A134" s="2369"/>
      <c r="B134" s="2369"/>
      <c r="C134" s="2369"/>
      <c r="D134" s="2369"/>
      <c r="E134" s="2369"/>
      <c r="F134" s="2369"/>
      <c r="G134" s="2369"/>
      <c r="H134" s="2369"/>
      <c r="I134" s="2369"/>
      <c r="J134" s="2369"/>
      <c r="K134" s="2370"/>
      <c r="L134" s="2371"/>
      <c r="M134" s="2369"/>
      <c r="N134" s="2369"/>
      <c r="O134" s="2369"/>
      <c r="P134" s="2369"/>
      <c r="Q134" s="2369"/>
      <c r="R134" s="2369"/>
      <c r="S134" s="2369"/>
      <c r="T134" s="2369"/>
    </row>
    <row r="135" spans="1:20">
      <c r="A135" s="2369"/>
      <c r="B135" s="2369"/>
      <c r="C135" s="2369"/>
      <c r="D135" s="2369"/>
      <c r="E135" s="2369"/>
      <c r="F135" s="2369"/>
      <c r="G135" s="2369"/>
      <c r="H135" s="2369"/>
      <c r="I135" s="2369"/>
      <c r="J135" s="2369"/>
      <c r="K135" s="2370"/>
      <c r="L135" s="2371"/>
      <c r="M135" s="2369"/>
      <c r="N135" s="2369"/>
      <c r="O135" s="2369"/>
      <c r="P135" s="2369"/>
      <c r="Q135" s="2369"/>
      <c r="R135" s="2369"/>
      <c r="S135" s="2369"/>
      <c r="T135" s="2369"/>
    </row>
    <row r="136" spans="1:20">
      <c r="A136" s="2369"/>
      <c r="B136" s="2369"/>
      <c r="C136" s="2369"/>
      <c r="D136" s="2369"/>
      <c r="E136" s="2369"/>
      <c r="F136" s="2369"/>
      <c r="G136" s="2369"/>
      <c r="H136" s="2369"/>
      <c r="I136" s="2369"/>
      <c r="J136" s="2369"/>
      <c r="K136" s="2370"/>
      <c r="L136" s="2371"/>
      <c r="M136" s="2369"/>
      <c r="N136" s="2369"/>
      <c r="O136" s="2369"/>
      <c r="P136" s="2369"/>
      <c r="Q136" s="2369"/>
      <c r="R136" s="2369"/>
      <c r="S136" s="2369"/>
      <c r="T136" s="2369"/>
    </row>
    <row r="137" spans="1:20">
      <c r="A137" s="2369"/>
      <c r="B137" s="2369"/>
      <c r="C137" s="2369"/>
      <c r="D137" s="2369"/>
      <c r="E137" s="2369"/>
      <c r="F137" s="2369"/>
      <c r="G137" s="2369"/>
      <c r="H137" s="2369"/>
      <c r="I137" s="2369"/>
      <c r="J137" s="2369"/>
      <c r="K137" s="2370"/>
      <c r="L137" s="2371"/>
      <c r="M137" s="2369"/>
      <c r="N137" s="2369"/>
      <c r="O137" s="2369"/>
      <c r="P137" s="2369"/>
      <c r="Q137" s="2369"/>
      <c r="R137" s="2369"/>
      <c r="S137" s="2369"/>
      <c r="T137" s="2369"/>
    </row>
    <row r="138" spans="1:20">
      <c r="A138" s="2369"/>
      <c r="B138" s="2369"/>
      <c r="C138" s="2369"/>
      <c r="D138" s="2369"/>
      <c r="E138" s="2369"/>
      <c r="F138" s="2369"/>
      <c r="G138" s="2369"/>
      <c r="H138" s="2369"/>
      <c r="I138" s="2369"/>
      <c r="J138" s="2369"/>
      <c r="K138" s="2370"/>
      <c r="L138" s="2371"/>
      <c r="M138" s="2369"/>
      <c r="N138" s="2369"/>
      <c r="O138" s="2369"/>
      <c r="P138" s="2369"/>
      <c r="Q138" s="2369"/>
      <c r="R138" s="2369"/>
      <c r="S138" s="2369"/>
      <c r="T138" s="2369"/>
    </row>
    <row r="139" spans="1:20">
      <c r="A139" s="2369"/>
      <c r="B139" s="2369"/>
      <c r="C139" s="2369"/>
      <c r="D139" s="2369"/>
      <c r="E139" s="2369"/>
      <c r="F139" s="2369"/>
      <c r="G139" s="2369"/>
      <c r="H139" s="2369"/>
      <c r="I139" s="2369"/>
      <c r="J139" s="2369"/>
      <c r="K139" s="2370"/>
      <c r="L139" s="2371"/>
      <c r="M139" s="2369"/>
      <c r="N139" s="2369"/>
      <c r="O139" s="2369"/>
      <c r="P139" s="2369"/>
      <c r="Q139" s="2369"/>
      <c r="R139" s="2369"/>
      <c r="S139" s="2369"/>
      <c r="T139" s="2369"/>
    </row>
    <row r="140" spans="1:20">
      <c r="A140" s="2369"/>
      <c r="B140" s="2369"/>
      <c r="C140" s="2369"/>
      <c r="D140" s="2369"/>
      <c r="E140" s="2369"/>
      <c r="F140" s="2369"/>
      <c r="G140" s="2369"/>
      <c r="H140" s="2369"/>
      <c r="I140" s="2369"/>
      <c r="J140" s="2369"/>
      <c r="K140" s="2370"/>
      <c r="L140" s="2371"/>
      <c r="M140" s="2369"/>
      <c r="N140" s="2369"/>
      <c r="O140" s="2369"/>
      <c r="P140" s="2369"/>
      <c r="Q140" s="2369"/>
      <c r="R140" s="2369"/>
      <c r="S140" s="2369"/>
      <c r="T140" s="2369"/>
    </row>
    <row r="141" spans="1:20">
      <c r="A141" s="2369"/>
      <c r="B141" s="2369"/>
      <c r="C141" s="2369"/>
      <c r="D141" s="2369"/>
      <c r="E141" s="2369"/>
      <c r="F141" s="2369"/>
      <c r="G141" s="2369"/>
      <c r="H141" s="2369"/>
      <c r="I141" s="2369"/>
      <c r="J141" s="2369"/>
      <c r="K141" s="2370"/>
      <c r="L141" s="2371"/>
      <c r="M141" s="2369"/>
      <c r="N141" s="2369"/>
      <c r="O141" s="2369"/>
      <c r="P141" s="2369"/>
      <c r="Q141" s="2369"/>
      <c r="R141" s="2369"/>
      <c r="S141" s="2369"/>
      <c r="T141" s="2369"/>
    </row>
    <row r="142" spans="1:20">
      <c r="A142" s="2369"/>
      <c r="B142" s="2369"/>
      <c r="C142" s="2369"/>
      <c r="D142" s="2369"/>
      <c r="E142" s="2369"/>
      <c r="F142" s="2369"/>
      <c r="G142" s="2369"/>
      <c r="H142" s="2369"/>
      <c r="I142" s="2369"/>
      <c r="J142" s="2369"/>
      <c r="K142" s="2370"/>
      <c r="L142" s="2371"/>
      <c r="M142" s="2369"/>
      <c r="N142" s="2369"/>
      <c r="O142" s="2369"/>
      <c r="P142" s="2369"/>
      <c r="Q142" s="2369"/>
      <c r="R142" s="2369"/>
      <c r="S142" s="2369"/>
      <c r="T142" s="2369"/>
    </row>
    <row r="143" spans="1:20">
      <c r="A143" s="2369"/>
      <c r="B143" s="2369"/>
      <c r="C143" s="2369"/>
      <c r="D143" s="2369"/>
      <c r="E143" s="2369"/>
      <c r="F143" s="2369"/>
      <c r="G143" s="2369"/>
      <c r="H143" s="2369"/>
      <c r="I143" s="2369"/>
      <c r="J143" s="2369"/>
      <c r="K143" s="2370"/>
      <c r="L143" s="2371"/>
      <c r="M143" s="2369"/>
      <c r="N143" s="2369"/>
      <c r="O143" s="2369"/>
      <c r="P143" s="2369"/>
      <c r="Q143" s="2369"/>
      <c r="R143" s="2369"/>
      <c r="S143" s="2369"/>
      <c r="T143" s="2369"/>
    </row>
    <row r="144" spans="1:20">
      <c r="A144" s="2369"/>
      <c r="B144" s="2369"/>
      <c r="C144" s="2369"/>
      <c r="D144" s="2369"/>
      <c r="E144" s="2369"/>
      <c r="F144" s="2369"/>
      <c r="G144" s="2369"/>
      <c r="H144" s="2369"/>
      <c r="I144" s="2369"/>
      <c r="J144" s="2369"/>
      <c r="K144" s="2370"/>
      <c r="L144" s="2371"/>
      <c r="M144" s="2369"/>
      <c r="N144" s="2369"/>
      <c r="O144" s="2369"/>
      <c r="P144" s="2369"/>
      <c r="Q144" s="2369"/>
      <c r="R144" s="2369"/>
      <c r="S144" s="2369"/>
      <c r="T144" s="2369"/>
    </row>
    <row r="145" spans="1:20">
      <c r="A145" s="2369"/>
      <c r="B145" s="2369"/>
      <c r="C145" s="2369"/>
      <c r="D145" s="2369"/>
      <c r="E145" s="2369"/>
      <c r="F145" s="2369"/>
      <c r="G145" s="2369"/>
      <c r="H145" s="2369"/>
      <c r="I145" s="2369"/>
      <c r="J145" s="2369"/>
      <c r="K145" s="2370"/>
      <c r="L145" s="2371"/>
      <c r="M145" s="2369"/>
      <c r="N145" s="2369"/>
      <c r="O145" s="2369"/>
      <c r="P145" s="2369"/>
      <c r="Q145" s="2369"/>
      <c r="R145" s="2369"/>
      <c r="S145" s="2369"/>
      <c r="T145" s="2369"/>
    </row>
    <row r="146" spans="1:20">
      <c r="A146" s="2369"/>
      <c r="B146" s="2369"/>
      <c r="C146" s="2369"/>
      <c r="D146" s="2369"/>
      <c r="E146" s="2369"/>
      <c r="F146" s="2369"/>
      <c r="G146" s="2369"/>
      <c r="H146" s="2369"/>
      <c r="I146" s="2369"/>
      <c r="J146" s="2369"/>
      <c r="K146" s="2370"/>
      <c r="L146" s="2371"/>
      <c r="M146" s="2369"/>
      <c r="N146" s="2369"/>
      <c r="O146" s="2369"/>
      <c r="P146" s="2369"/>
      <c r="Q146" s="2369"/>
      <c r="R146" s="2369"/>
      <c r="S146" s="2369"/>
      <c r="T146" s="2369"/>
    </row>
    <row r="147" spans="1:20">
      <c r="A147" s="2369"/>
      <c r="B147" s="2369"/>
      <c r="C147" s="2369"/>
      <c r="D147" s="2369"/>
      <c r="E147" s="2369"/>
      <c r="F147" s="2369"/>
      <c r="G147" s="2369"/>
      <c r="H147" s="2369"/>
      <c r="I147" s="2369"/>
      <c r="J147" s="2369"/>
      <c r="K147" s="2370"/>
      <c r="L147" s="2371"/>
      <c r="M147" s="2369"/>
      <c r="N147" s="2369"/>
      <c r="O147" s="2369"/>
      <c r="P147" s="2369"/>
      <c r="Q147" s="2369"/>
      <c r="R147" s="2369"/>
      <c r="S147" s="2369"/>
      <c r="T147" s="2369"/>
    </row>
    <row r="148" spans="1:20">
      <c r="A148" s="2369"/>
      <c r="B148" s="2369"/>
      <c r="C148" s="2369"/>
      <c r="D148" s="2369"/>
      <c r="E148" s="2369"/>
      <c r="F148" s="2369"/>
      <c r="G148" s="2369"/>
      <c r="H148" s="2369"/>
      <c r="I148" s="2369"/>
      <c r="J148" s="2369"/>
      <c r="K148" s="2370"/>
      <c r="L148" s="2371"/>
      <c r="M148" s="2369"/>
      <c r="N148" s="2369"/>
      <c r="O148" s="2369"/>
      <c r="P148" s="2369"/>
      <c r="Q148" s="2369"/>
      <c r="R148" s="2369"/>
      <c r="S148" s="2369"/>
      <c r="T148" s="2369"/>
    </row>
    <row r="149" spans="1:20">
      <c r="A149" s="2369"/>
      <c r="B149" s="2369"/>
      <c r="C149" s="2369"/>
      <c r="D149" s="2369"/>
      <c r="E149" s="2369"/>
      <c r="F149" s="2369"/>
      <c r="G149" s="2369"/>
      <c r="H149" s="2369"/>
      <c r="I149" s="2369"/>
      <c r="J149" s="2369"/>
      <c r="K149" s="2370"/>
      <c r="L149" s="2371"/>
      <c r="M149" s="2369"/>
      <c r="N149" s="2369"/>
      <c r="O149" s="2369"/>
      <c r="P149" s="2369"/>
      <c r="Q149" s="2369"/>
      <c r="R149" s="2369"/>
      <c r="S149" s="2369"/>
      <c r="T149" s="2369"/>
    </row>
    <row r="150" spans="1:20">
      <c r="A150" s="2369"/>
      <c r="B150" s="2369"/>
      <c r="C150" s="2369"/>
      <c r="D150" s="2369"/>
      <c r="E150" s="2369"/>
      <c r="F150" s="2369"/>
      <c r="G150" s="2369"/>
      <c r="H150" s="2369"/>
      <c r="I150" s="2369"/>
      <c r="J150" s="2369"/>
      <c r="K150" s="2370"/>
      <c r="L150" s="2371"/>
      <c r="M150" s="2369"/>
      <c r="N150" s="2369"/>
      <c r="O150" s="2369"/>
      <c r="P150" s="2369"/>
      <c r="Q150" s="2369"/>
      <c r="R150" s="2369"/>
      <c r="S150" s="2369"/>
      <c r="T150" s="2369"/>
    </row>
    <row r="151" spans="1:20">
      <c r="A151" s="2369"/>
      <c r="B151" s="2369"/>
      <c r="C151" s="2369"/>
      <c r="D151" s="2369"/>
      <c r="E151" s="2369"/>
      <c r="F151" s="2369"/>
      <c r="G151" s="2369"/>
      <c r="H151" s="2369"/>
      <c r="I151" s="2369"/>
      <c r="J151" s="2369"/>
      <c r="K151" s="2370"/>
      <c r="L151" s="2371"/>
      <c r="M151" s="2369"/>
      <c r="N151" s="2369"/>
      <c r="O151" s="2369"/>
      <c r="P151" s="2369"/>
      <c r="Q151" s="2369"/>
      <c r="R151" s="2369"/>
      <c r="S151" s="2369"/>
      <c r="T151" s="2369"/>
    </row>
    <row r="152" spans="1:20">
      <c r="A152" s="2369"/>
      <c r="B152" s="2369"/>
      <c r="C152" s="2369"/>
      <c r="D152" s="2369"/>
      <c r="E152" s="2369"/>
      <c r="F152" s="2369"/>
      <c r="G152" s="2369"/>
      <c r="H152" s="2369"/>
      <c r="I152" s="2369"/>
      <c r="J152" s="2369"/>
      <c r="K152" s="2370"/>
      <c r="L152" s="2371"/>
      <c r="M152" s="2369"/>
      <c r="N152" s="2369"/>
      <c r="O152" s="2369"/>
      <c r="P152" s="2369"/>
      <c r="Q152" s="2369"/>
      <c r="R152" s="2369"/>
      <c r="S152" s="2369"/>
      <c r="T152" s="2369"/>
    </row>
    <row r="153" spans="1:20">
      <c r="A153" s="2369"/>
      <c r="B153" s="2369"/>
      <c r="C153" s="2369"/>
      <c r="D153" s="2369"/>
      <c r="E153" s="2369"/>
      <c r="F153" s="2369"/>
      <c r="G153" s="2369"/>
      <c r="H153" s="2369"/>
      <c r="I153" s="2369"/>
      <c r="J153" s="2369"/>
      <c r="K153" s="2370"/>
      <c r="L153" s="2371"/>
      <c r="M153" s="2369"/>
      <c r="N153" s="2369"/>
      <c r="O153" s="2369"/>
      <c r="P153" s="2369"/>
      <c r="Q153" s="2369"/>
      <c r="R153" s="2369"/>
      <c r="S153" s="2369"/>
      <c r="T153" s="2369"/>
    </row>
    <row r="154" spans="1:20">
      <c r="A154" s="2369"/>
      <c r="B154" s="2369"/>
      <c r="C154" s="2369"/>
      <c r="D154" s="2369"/>
      <c r="E154" s="2369"/>
      <c r="F154" s="2369"/>
      <c r="G154" s="2369"/>
      <c r="H154" s="2369"/>
      <c r="I154" s="2369"/>
      <c r="J154" s="2369"/>
      <c r="K154" s="2370"/>
      <c r="L154" s="2371"/>
      <c r="M154" s="2369"/>
      <c r="N154" s="2369"/>
      <c r="O154" s="2369"/>
      <c r="P154" s="2369"/>
      <c r="Q154" s="2369"/>
      <c r="R154" s="2369"/>
      <c r="S154" s="2369"/>
      <c r="T154" s="2369"/>
    </row>
    <row r="155" spans="1:20">
      <c r="A155" s="2369"/>
      <c r="B155" s="2369"/>
      <c r="C155" s="2369"/>
      <c r="D155" s="2369"/>
      <c r="E155" s="2369"/>
      <c r="F155" s="2369"/>
      <c r="G155" s="2369"/>
      <c r="H155" s="2369"/>
      <c r="I155" s="2369"/>
      <c r="J155" s="2369"/>
      <c r="K155" s="2370"/>
      <c r="L155" s="2371"/>
      <c r="M155" s="2369"/>
      <c r="N155" s="2369"/>
      <c r="O155" s="2369"/>
      <c r="P155" s="2369"/>
      <c r="Q155" s="2369"/>
      <c r="R155" s="2369"/>
      <c r="S155" s="2369"/>
      <c r="T155" s="2369"/>
    </row>
    <row r="156" spans="1:20">
      <c r="A156" s="2369"/>
      <c r="B156" s="2369"/>
      <c r="C156" s="2369"/>
      <c r="D156" s="2369"/>
      <c r="E156" s="2369"/>
      <c r="F156" s="2369"/>
      <c r="G156" s="2369"/>
      <c r="H156" s="2369"/>
      <c r="I156" s="2369"/>
      <c r="J156" s="2369"/>
      <c r="K156" s="2370"/>
      <c r="L156" s="2371"/>
      <c r="M156" s="2369"/>
      <c r="N156" s="2369"/>
      <c r="O156" s="2369"/>
      <c r="P156" s="2369"/>
      <c r="Q156" s="2369"/>
      <c r="R156" s="2369"/>
      <c r="S156" s="2369"/>
      <c r="T156" s="2369"/>
    </row>
    <row r="157" spans="1:20">
      <c r="A157" s="2369"/>
      <c r="B157" s="2369"/>
      <c r="C157" s="2369"/>
      <c r="D157" s="2369"/>
      <c r="E157" s="2369"/>
      <c r="F157" s="2369"/>
      <c r="G157" s="2369"/>
      <c r="H157" s="2369"/>
      <c r="I157" s="2369"/>
      <c r="J157" s="2369"/>
      <c r="K157" s="2370"/>
      <c r="L157" s="2371"/>
      <c r="M157" s="2369"/>
      <c r="N157" s="2369"/>
      <c r="O157" s="2369"/>
      <c r="P157" s="2369"/>
      <c r="Q157" s="2369"/>
      <c r="R157" s="2369"/>
      <c r="S157" s="2369"/>
      <c r="T157" s="2369"/>
    </row>
    <row r="158" spans="1:20">
      <c r="A158" s="2369"/>
      <c r="B158" s="2369"/>
      <c r="C158" s="2369"/>
      <c r="D158" s="2369"/>
      <c r="E158" s="2369"/>
      <c r="F158" s="2369"/>
      <c r="G158" s="2369"/>
      <c r="H158" s="2369"/>
      <c r="I158" s="2369"/>
      <c r="J158" s="2369"/>
      <c r="K158" s="2370"/>
      <c r="L158" s="2371"/>
      <c r="M158" s="2369"/>
      <c r="N158" s="2369"/>
      <c r="O158" s="2369"/>
      <c r="P158" s="2369"/>
      <c r="Q158" s="2369"/>
      <c r="R158" s="2369"/>
      <c r="S158" s="2369"/>
      <c r="T158" s="2369"/>
    </row>
    <row r="159" spans="1:20">
      <c r="A159" s="2369"/>
      <c r="B159" s="2369"/>
      <c r="C159" s="2369"/>
      <c r="D159" s="2369"/>
      <c r="E159" s="2369"/>
      <c r="F159" s="2369"/>
      <c r="G159" s="2369"/>
      <c r="H159" s="2369"/>
      <c r="I159" s="2369"/>
      <c r="J159" s="2369"/>
      <c r="K159" s="2370"/>
      <c r="L159" s="2371"/>
      <c r="M159" s="2369"/>
      <c r="N159" s="2369"/>
      <c r="O159" s="2369"/>
      <c r="P159" s="2369"/>
      <c r="Q159" s="2369"/>
      <c r="R159" s="2369"/>
      <c r="S159" s="2369"/>
      <c r="T159" s="2369"/>
    </row>
    <row r="160" spans="1:20">
      <c r="A160" s="2369"/>
      <c r="B160" s="2369"/>
      <c r="C160" s="2369"/>
      <c r="D160" s="2369"/>
      <c r="E160" s="2369"/>
      <c r="F160" s="2369"/>
      <c r="G160" s="2369"/>
      <c r="H160" s="2369"/>
      <c r="I160" s="2369"/>
      <c r="J160" s="2369"/>
      <c r="K160" s="2370"/>
      <c r="L160" s="2371"/>
      <c r="M160" s="2369"/>
      <c r="N160" s="2369"/>
      <c r="O160" s="2369"/>
      <c r="P160" s="2369"/>
      <c r="Q160" s="2369"/>
      <c r="R160" s="2369"/>
      <c r="S160" s="2369"/>
      <c r="T160" s="2369"/>
    </row>
    <row r="161" spans="1:20">
      <c r="A161" s="2369"/>
      <c r="B161" s="2369"/>
      <c r="C161" s="2369"/>
      <c r="D161" s="2369"/>
      <c r="E161" s="2369"/>
      <c r="F161" s="2369"/>
      <c r="G161" s="2369"/>
      <c r="H161" s="2369"/>
      <c r="I161" s="2369"/>
      <c r="J161" s="2369"/>
      <c r="K161" s="2370"/>
      <c r="L161" s="2371"/>
      <c r="M161" s="2369"/>
      <c r="N161" s="2369"/>
      <c r="O161" s="2369"/>
      <c r="P161" s="2369"/>
      <c r="Q161" s="2369"/>
      <c r="R161" s="2369"/>
      <c r="S161" s="2369"/>
      <c r="T161" s="2369"/>
    </row>
    <row r="162" spans="1:20">
      <c r="A162" s="2369"/>
      <c r="B162" s="2369"/>
      <c r="C162" s="2369"/>
      <c r="D162" s="2369"/>
      <c r="E162" s="2369"/>
      <c r="F162" s="2369"/>
      <c r="G162" s="2369"/>
      <c r="H162" s="2369"/>
      <c r="I162" s="2369"/>
      <c r="J162" s="2369"/>
      <c r="K162" s="2370"/>
      <c r="L162" s="2371"/>
      <c r="M162" s="2369"/>
      <c r="N162" s="2369"/>
      <c r="O162" s="2369"/>
      <c r="P162" s="2369"/>
      <c r="Q162" s="2369"/>
      <c r="R162" s="2369"/>
      <c r="S162" s="2369"/>
      <c r="T162" s="2369"/>
    </row>
    <row r="163" spans="1:20">
      <c r="A163" s="2369"/>
      <c r="B163" s="2369"/>
      <c r="C163" s="2369"/>
      <c r="D163" s="2369"/>
      <c r="E163" s="2369"/>
      <c r="F163" s="2369"/>
      <c r="G163" s="2369"/>
      <c r="H163" s="2369"/>
      <c r="I163" s="2369"/>
      <c r="J163" s="2369"/>
      <c r="K163" s="2370"/>
      <c r="L163" s="2371"/>
      <c r="M163" s="2369"/>
      <c r="N163" s="2369"/>
      <c r="O163" s="2369"/>
      <c r="P163" s="2369"/>
      <c r="Q163" s="2369"/>
      <c r="R163" s="2369"/>
      <c r="S163" s="2369"/>
      <c r="T163" s="2369"/>
    </row>
    <row r="164" spans="1:20">
      <c r="A164" s="2369"/>
      <c r="B164" s="2369"/>
      <c r="C164" s="2369"/>
      <c r="D164" s="2369"/>
      <c r="E164" s="2369"/>
      <c r="F164" s="2369"/>
      <c r="G164" s="2369"/>
      <c r="H164" s="2369"/>
      <c r="I164" s="2369"/>
      <c r="J164" s="2369"/>
      <c r="K164" s="2370"/>
      <c r="L164" s="2371"/>
      <c r="M164" s="2369"/>
      <c r="N164" s="2369"/>
      <c r="O164" s="2369"/>
      <c r="P164" s="2369"/>
      <c r="Q164" s="2369"/>
      <c r="R164" s="2369"/>
      <c r="S164" s="2369"/>
      <c r="T164" s="2369"/>
    </row>
    <row r="165" spans="1:20">
      <c r="A165" s="2369"/>
      <c r="B165" s="2369"/>
      <c r="C165" s="2369"/>
      <c r="D165" s="2369"/>
      <c r="E165" s="2369"/>
      <c r="F165" s="2369"/>
      <c r="G165" s="2369"/>
      <c r="H165" s="2369"/>
      <c r="I165" s="2369"/>
      <c r="J165" s="2369"/>
      <c r="K165" s="2370"/>
      <c r="L165" s="2371"/>
      <c r="M165" s="2369"/>
      <c r="N165" s="2369"/>
      <c r="O165" s="2369"/>
      <c r="P165" s="2369"/>
      <c r="Q165" s="2369"/>
      <c r="R165" s="2369"/>
      <c r="S165" s="2369"/>
      <c r="T165" s="2369"/>
    </row>
    <row r="166" spans="1:20">
      <c r="A166" s="2369"/>
      <c r="B166" s="2369"/>
      <c r="C166" s="2369"/>
      <c r="D166" s="2369"/>
      <c r="E166" s="2369"/>
      <c r="F166" s="2369"/>
      <c r="G166" s="2369"/>
      <c r="H166" s="2369"/>
      <c r="I166" s="2369"/>
      <c r="J166" s="2369"/>
      <c r="K166" s="2370"/>
      <c r="L166" s="2371"/>
      <c r="M166" s="2369"/>
      <c r="N166" s="2369"/>
      <c r="O166" s="2369"/>
      <c r="P166" s="2369"/>
      <c r="Q166" s="2369"/>
      <c r="R166" s="2369"/>
      <c r="S166" s="2369"/>
      <c r="T166" s="2369"/>
    </row>
    <row r="167" spans="1:20">
      <c r="A167" s="2369"/>
      <c r="B167" s="2369"/>
      <c r="C167" s="2369"/>
      <c r="D167" s="2369"/>
      <c r="E167" s="2369"/>
      <c r="F167" s="2369"/>
      <c r="G167" s="2369"/>
      <c r="H167" s="2369"/>
      <c r="I167" s="2369"/>
      <c r="J167" s="2369"/>
      <c r="K167" s="2370"/>
      <c r="L167" s="2371"/>
      <c r="M167" s="2369"/>
      <c r="N167" s="2369"/>
      <c r="O167" s="2369"/>
      <c r="P167" s="2369"/>
      <c r="Q167" s="2369"/>
      <c r="R167" s="2369"/>
      <c r="S167" s="2369"/>
      <c r="T167" s="2369"/>
    </row>
    <row r="168" spans="1:20">
      <c r="A168" s="2369"/>
      <c r="B168" s="2369"/>
      <c r="C168" s="2369"/>
      <c r="D168" s="2369"/>
      <c r="E168" s="2369"/>
      <c r="F168" s="2369"/>
      <c r="G168" s="2369"/>
      <c r="H168" s="2369"/>
      <c r="I168" s="2369"/>
      <c r="J168" s="2369"/>
      <c r="K168" s="2370"/>
      <c r="L168" s="2371"/>
      <c r="M168" s="2369"/>
      <c r="N168" s="2369"/>
      <c r="O168" s="2369"/>
      <c r="P168" s="2369"/>
      <c r="Q168" s="2369"/>
      <c r="R168" s="2369"/>
      <c r="S168" s="2369"/>
      <c r="T168" s="2369"/>
    </row>
    <row r="169" spans="1:20">
      <c r="A169" s="2369"/>
      <c r="B169" s="2369"/>
      <c r="C169" s="2369"/>
      <c r="D169" s="2369"/>
      <c r="E169" s="2369"/>
      <c r="F169" s="2369"/>
      <c r="G169" s="2369"/>
      <c r="H169" s="2369"/>
      <c r="I169" s="2369"/>
      <c r="J169" s="2369"/>
      <c r="K169" s="2370"/>
      <c r="L169" s="2371"/>
      <c r="M169" s="2369"/>
      <c r="N169" s="2369"/>
      <c r="O169" s="2369"/>
      <c r="P169" s="2369"/>
      <c r="Q169" s="2369"/>
      <c r="R169" s="2369"/>
      <c r="S169" s="2369"/>
      <c r="T169" s="2369"/>
    </row>
    <row r="170" spans="1:20">
      <c r="A170" s="2369"/>
      <c r="B170" s="2369"/>
      <c r="C170" s="2369"/>
      <c r="D170" s="2369"/>
      <c r="E170" s="2369"/>
      <c r="F170" s="2369"/>
      <c r="G170" s="2369"/>
      <c r="H170" s="2369"/>
      <c r="I170" s="2369"/>
      <c r="J170" s="2369"/>
      <c r="K170" s="2370"/>
      <c r="L170" s="2371"/>
      <c r="M170" s="2369"/>
      <c r="N170" s="2369"/>
      <c r="O170" s="2369"/>
      <c r="P170" s="2369"/>
      <c r="Q170" s="2369"/>
      <c r="R170" s="2369"/>
      <c r="S170" s="2369"/>
      <c r="T170" s="2369"/>
    </row>
    <row r="171" spans="1:20">
      <c r="A171" s="2369"/>
      <c r="B171" s="2369"/>
      <c r="C171" s="2369"/>
      <c r="D171" s="2369"/>
      <c r="E171" s="2369"/>
      <c r="F171" s="2369"/>
      <c r="G171" s="2369"/>
      <c r="H171" s="2369"/>
      <c r="I171" s="2369"/>
      <c r="J171" s="2369"/>
      <c r="K171" s="2370"/>
      <c r="L171" s="2371"/>
      <c r="M171" s="2369"/>
      <c r="N171" s="2369"/>
      <c r="O171" s="2369"/>
      <c r="P171" s="2369"/>
      <c r="Q171" s="2369"/>
      <c r="R171" s="2369"/>
      <c r="S171" s="2369"/>
      <c r="T171" s="2369"/>
    </row>
    <row r="172" spans="1:20">
      <c r="A172" s="2369"/>
      <c r="B172" s="2369"/>
      <c r="C172" s="2369"/>
      <c r="D172" s="2369"/>
      <c r="E172" s="2369"/>
      <c r="F172" s="2369"/>
      <c r="G172" s="2369"/>
      <c r="H172" s="2369"/>
      <c r="I172" s="2369"/>
      <c r="J172" s="2369"/>
      <c r="K172" s="2370"/>
      <c r="L172" s="2371"/>
      <c r="M172" s="2369"/>
      <c r="N172" s="2369"/>
      <c r="O172" s="2369"/>
      <c r="P172" s="2369"/>
      <c r="Q172" s="2369"/>
      <c r="R172" s="2369"/>
      <c r="S172" s="2369"/>
      <c r="T172" s="2369"/>
    </row>
    <row r="173" spans="1:20">
      <c r="A173" s="2369"/>
      <c r="B173" s="2369"/>
      <c r="C173" s="2369"/>
      <c r="D173" s="2369"/>
      <c r="E173" s="2369"/>
      <c r="F173" s="2369"/>
      <c r="G173" s="2369"/>
      <c r="H173" s="2369"/>
      <c r="I173" s="2369"/>
      <c r="J173" s="2369"/>
      <c r="K173" s="2370"/>
      <c r="L173" s="2371"/>
      <c r="M173" s="2369"/>
      <c r="N173" s="2369"/>
      <c r="O173" s="2369"/>
      <c r="P173" s="2369"/>
      <c r="Q173" s="2369"/>
      <c r="R173" s="2369"/>
      <c r="S173" s="2369"/>
      <c r="T173" s="2369"/>
    </row>
    <row r="174" spans="1:20">
      <c r="A174" s="2369"/>
      <c r="B174" s="2369"/>
      <c r="C174" s="2369"/>
      <c r="D174" s="2369"/>
      <c r="E174" s="2369"/>
      <c r="F174" s="2369"/>
      <c r="G174" s="2369"/>
      <c r="H174" s="2369"/>
      <c r="I174" s="2369"/>
      <c r="J174" s="2369"/>
      <c r="K174" s="2370"/>
      <c r="L174" s="2371"/>
      <c r="M174" s="2369"/>
      <c r="N174" s="2369"/>
      <c r="O174" s="2369"/>
      <c r="P174" s="2369"/>
      <c r="Q174" s="2369"/>
      <c r="R174" s="2369"/>
      <c r="S174" s="2369"/>
      <c r="T174" s="2369"/>
    </row>
    <row r="175" spans="1:20">
      <c r="A175" s="2369"/>
      <c r="B175" s="2369"/>
      <c r="C175" s="2369"/>
      <c r="D175" s="2369"/>
      <c r="E175" s="2369"/>
      <c r="F175" s="2369"/>
      <c r="G175" s="2369"/>
      <c r="H175" s="2369"/>
      <c r="I175" s="2369"/>
      <c r="J175" s="2369"/>
      <c r="K175" s="2370"/>
      <c r="L175" s="2371"/>
      <c r="M175" s="2369"/>
      <c r="N175" s="2369"/>
      <c r="O175" s="2369"/>
      <c r="P175" s="2369"/>
      <c r="Q175" s="2369"/>
      <c r="R175" s="2369"/>
      <c r="S175" s="2369"/>
      <c r="T175" s="2369"/>
    </row>
    <row r="176" spans="1:20">
      <c r="A176" s="2369"/>
      <c r="B176" s="2369"/>
      <c r="C176" s="2369"/>
      <c r="D176" s="2369"/>
      <c r="E176" s="2369"/>
      <c r="F176" s="2369"/>
      <c r="G176" s="2369"/>
      <c r="H176" s="2369"/>
      <c r="I176" s="2369"/>
      <c r="J176" s="2369"/>
      <c r="K176" s="2370"/>
      <c r="L176" s="2371"/>
      <c r="M176" s="2369"/>
      <c r="N176" s="2369"/>
      <c r="O176" s="2369"/>
      <c r="P176" s="2369"/>
      <c r="Q176" s="2369"/>
      <c r="R176" s="2369"/>
      <c r="S176" s="2369"/>
      <c r="T176" s="2369"/>
    </row>
    <row r="177" spans="1:20">
      <c r="A177" s="2369"/>
      <c r="B177" s="2369"/>
      <c r="C177" s="2369"/>
      <c r="D177" s="2369"/>
      <c r="E177" s="2369"/>
      <c r="F177" s="2369"/>
      <c r="G177" s="2369"/>
      <c r="H177" s="2369"/>
      <c r="I177" s="2369"/>
      <c r="J177" s="2369"/>
      <c r="K177" s="2370"/>
      <c r="L177" s="2371"/>
      <c r="M177" s="2369"/>
      <c r="N177" s="2369"/>
      <c r="O177" s="2369"/>
      <c r="P177" s="2369"/>
      <c r="Q177" s="2369"/>
      <c r="R177" s="2369"/>
      <c r="S177" s="2369"/>
      <c r="T177" s="2369"/>
    </row>
    <row r="178" spans="1:20">
      <c r="A178" s="2369"/>
      <c r="B178" s="2369"/>
      <c r="C178" s="2369"/>
      <c r="D178" s="2369"/>
      <c r="E178" s="2369"/>
      <c r="F178" s="2369"/>
      <c r="G178" s="2369"/>
      <c r="H178" s="2369"/>
      <c r="I178" s="2369"/>
      <c r="J178" s="2369"/>
      <c r="K178" s="2370"/>
      <c r="L178" s="2371"/>
      <c r="M178" s="2369"/>
      <c r="N178" s="2369"/>
      <c r="O178" s="2369"/>
      <c r="P178" s="2369"/>
      <c r="Q178" s="2369"/>
      <c r="R178" s="2369"/>
      <c r="S178" s="2369"/>
      <c r="T178" s="2369"/>
    </row>
    <row r="179" spans="1:20">
      <c r="A179" s="2369"/>
      <c r="B179" s="2369"/>
      <c r="C179" s="2369"/>
      <c r="D179" s="2369"/>
      <c r="E179" s="2369"/>
      <c r="F179" s="2369"/>
      <c r="G179" s="2369"/>
      <c r="H179" s="2369"/>
      <c r="I179" s="2369"/>
      <c r="J179" s="2369"/>
      <c r="K179" s="2370"/>
      <c r="L179" s="2371"/>
      <c r="M179" s="2369"/>
      <c r="N179" s="2369"/>
      <c r="O179" s="2369"/>
      <c r="P179" s="2369"/>
      <c r="Q179" s="2369"/>
      <c r="R179" s="2369"/>
      <c r="S179" s="2369"/>
      <c r="T179" s="2369"/>
    </row>
    <row r="180" spans="1:20">
      <c r="A180" s="2369"/>
      <c r="B180" s="2369"/>
      <c r="C180" s="2369"/>
      <c r="D180" s="2369"/>
      <c r="E180" s="2369"/>
      <c r="F180" s="2369"/>
      <c r="G180" s="2369"/>
      <c r="H180" s="2369"/>
      <c r="I180" s="2369"/>
      <c r="J180" s="2369"/>
      <c r="K180" s="2370"/>
      <c r="L180" s="2371"/>
      <c r="M180" s="2369"/>
      <c r="N180" s="2369"/>
      <c r="O180" s="2369"/>
      <c r="P180" s="2369"/>
      <c r="Q180" s="2369"/>
      <c r="R180" s="2369"/>
      <c r="S180" s="2369"/>
      <c r="T180" s="2369"/>
    </row>
    <row r="181" spans="1:20">
      <c r="A181" s="2369"/>
      <c r="B181" s="2369"/>
      <c r="C181" s="2369"/>
      <c r="D181" s="2369"/>
      <c r="E181" s="2369"/>
      <c r="F181" s="2369"/>
      <c r="G181" s="2369"/>
      <c r="H181" s="2369"/>
      <c r="I181" s="2369"/>
      <c r="J181" s="2369"/>
      <c r="K181" s="2370"/>
      <c r="L181" s="2371"/>
      <c r="M181" s="2369"/>
      <c r="N181" s="2369"/>
      <c r="O181" s="2369"/>
      <c r="P181" s="2369"/>
      <c r="Q181" s="2369"/>
      <c r="R181" s="2369"/>
      <c r="S181" s="2369"/>
      <c r="T181" s="2369"/>
    </row>
    <row r="182" spans="1:20">
      <c r="A182" s="2369"/>
      <c r="B182" s="2369"/>
      <c r="C182" s="2369"/>
      <c r="D182" s="2369"/>
      <c r="E182" s="2369"/>
      <c r="F182" s="2369"/>
      <c r="G182" s="2369"/>
      <c r="H182" s="2369"/>
      <c r="I182" s="2369"/>
      <c r="J182" s="2369"/>
      <c r="K182" s="2370"/>
      <c r="L182" s="2371"/>
      <c r="M182" s="2369"/>
      <c r="N182" s="2369"/>
      <c r="O182" s="2369"/>
      <c r="P182" s="2369"/>
      <c r="Q182" s="2369"/>
      <c r="R182" s="2369"/>
      <c r="S182" s="2369"/>
      <c r="T182" s="2369"/>
    </row>
    <row r="183" spans="1:20">
      <c r="A183" s="2369"/>
      <c r="B183" s="2369"/>
      <c r="C183" s="2369"/>
      <c r="D183" s="2369"/>
      <c r="E183" s="2369"/>
      <c r="F183" s="2369"/>
      <c r="G183" s="2369"/>
      <c r="H183" s="2369"/>
      <c r="I183" s="2369"/>
      <c r="J183" s="2369"/>
      <c r="K183" s="2370"/>
      <c r="L183" s="2371"/>
      <c r="M183" s="2369"/>
      <c r="N183" s="2369"/>
      <c r="O183" s="2369"/>
      <c r="P183" s="2369"/>
      <c r="Q183" s="2369"/>
      <c r="R183" s="2369"/>
      <c r="S183" s="2369"/>
      <c r="T183" s="2369"/>
    </row>
    <row r="184" spans="1:20">
      <c r="A184" s="2369"/>
      <c r="B184" s="2369"/>
      <c r="C184" s="2369"/>
      <c r="D184" s="2369"/>
      <c r="E184" s="2369"/>
      <c r="F184" s="2369"/>
      <c r="G184" s="2369"/>
      <c r="H184" s="2369"/>
      <c r="I184" s="2369"/>
      <c r="J184" s="2369"/>
      <c r="K184" s="2370"/>
      <c r="L184" s="2371"/>
      <c r="M184" s="2369"/>
      <c r="N184" s="2369"/>
      <c r="O184" s="2369"/>
      <c r="P184" s="2369"/>
      <c r="Q184" s="2369"/>
      <c r="R184" s="2369"/>
      <c r="S184" s="2369"/>
      <c r="T184" s="2369"/>
    </row>
    <row r="185" spans="1:20">
      <c r="A185" s="2369"/>
      <c r="B185" s="2369"/>
      <c r="C185" s="2369"/>
      <c r="D185" s="2369"/>
      <c r="E185" s="2369"/>
      <c r="F185" s="2369"/>
      <c r="G185" s="2369"/>
      <c r="H185" s="2369"/>
      <c r="I185" s="2369"/>
      <c r="J185" s="2369"/>
      <c r="K185" s="2370"/>
      <c r="L185" s="2371"/>
      <c r="M185" s="2369"/>
      <c r="N185" s="2369"/>
      <c r="O185" s="2369"/>
      <c r="P185" s="2369"/>
      <c r="Q185" s="2369"/>
      <c r="R185" s="2369"/>
      <c r="S185" s="2369"/>
      <c r="T185" s="2369"/>
    </row>
    <row r="186" spans="1:20">
      <c r="A186" s="2369"/>
      <c r="B186" s="2369"/>
      <c r="C186" s="2369"/>
      <c r="D186" s="2369"/>
      <c r="E186" s="2369"/>
      <c r="F186" s="2369"/>
      <c r="G186" s="2369"/>
      <c r="H186" s="2369"/>
      <c r="I186" s="2369"/>
      <c r="J186" s="2369"/>
      <c r="K186" s="2370"/>
      <c r="L186" s="2371"/>
      <c r="M186" s="2369"/>
      <c r="N186" s="2369"/>
      <c r="O186" s="2369"/>
      <c r="P186" s="2369"/>
      <c r="Q186" s="2369"/>
      <c r="R186" s="2369"/>
      <c r="S186" s="2369"/>
      <c r="T186" s="2369"/>
    </row>
    <row r="187" spans="1:20">
      <c r="A187" s="2369"/>
      <c r="B187" s="2369"/>
      <c r="C187" s="2369"/>
      <c r="D187" s="2369"/>
      <c r="E187" s="2369"/>
      <c r="F187" s="2369"/>
      <c r="G187" s="2369"/>
      <c r="H187" s="2369"/>
      <c r="I187" s="2369"/>
      <c r="J187" s="2369"/>
      <c r="K187" s="2370"/>
      <c r="L187" s="2371"/>
      <c r="M187" s="2369"/>
      <c r="N187" s="2369"/>
      <c r="O187" s="2369"/>
      <c r="P187" s="2369"/>
      <c r="Q187" s="2369"/>
      <c r="R187" s="2369"/>
      <c r="S187" s="2369"/>
      <c r="T187" s="2369"/>
    </row>
    <row r="188" spans="1:20">
      <c r="A188" s="2369"/>
      <c r="B188" s="2369"/>
      <c r="C188" s="2369"/>
      <c r="D188" s="2369"/>
      <c r="E188" s="2369"/>
      <c r="F188" s="2369"/>
      <c r="G188" s="2369"/>
      <c r="H188" s="2369"/>
      <c r="I188" s="2369"/>
      <c r="J188" s="2369"/>
      <c r="K188" s="2370"/>
      <c r="L188" s="2371"/>
      <c r="M188" s="2369"/>
      <c r="N188" s="2369"/>
      <c r="O188" s="2369"/>
      <c r="P188" s="2369"/>
      <c r="Q188" s="2369"/>
      <c r="R188" s="2369"/>
      <c r="S188" s="2369"/>
      <c r="T188" s="2369"/>
    </row>
    <row r="189" spans="1:20">
      <c r="A189" s="2369"/>
      <c r="B189" s="2369"/>
      <c r="C189" s="2369"/>
      <c r="D189" s="2369"/>
      <c r="E189" s="2369"/>
      <c r="F189" s="2369"/>
      <c r="G189" s="2369"/>
      <c r="H189" s="2369"/>
      <c r="I189" s="2369"/>
      <c r="J189" s="2369"/>
      <c r="K189" s="2370"/>
      <c r="L189" s="2371"/>
      <c r="M189" s="2369"/>
      <c r="N189" s="2369"/>
      <c r="O189" s="2369"/>
      <c r="P189" s="2369"/>
      <c r="Q189" s="2369"/>
      <c r="R189" s="2369"/>
      <c r="S189" s="2369"/>
      <c r="T189" s="2369"/>
    </row>
    <row r="190" spans="1:20">
      <c r="A190" s="2369"/>
      <c r="B190" s="2369"/>
      <c r="C190" s="2369"/>
      <c r="D190" s="2369"/>
      <c r="E190" s="2369"/>
      <c r="F190" s="2369"/>
      <c r="G190" s="2369"/>
      <c r="H190" s="2369"/>
      <c r="I190" s="2369"/>
      <c r="J190" s="2369"/>
      <c r="K190" s="2370"/>
      <c r="L190" s="2371"/>
      <c r="M190" s="2369"/>
      <c r="N190" s="2369"/>
      <c r="O190" s="2369"/>
      <c r="P190" s="2369"/>
      <c r="Q190" s="2369"/>
      <c r="R190" s="2369"/>
      <c r="S190" s="2369"/>
      <c r="T190" s="2369"/>
    </row>
    <row r="191" spans="1:20">
      <c r="A191" s="2369"/>
      <c r="B191" s="2369"/>
      <c r="C191" s="2369"/>
      <c r="D191" s="2369"/>
      <c r="E191" s="2369"/>
      <c r="F191" s="2369"/>
      <c r="G191" s="2369"/>
      <c r="H191" s="2369"/>
      <c r="I191" s="2369"/>
      <c r="J191" s="2369"/>
      <c r="K191" s="2370"/>
      <c r="L191" s="2371"/>
      <c r="M191" s="2369"/>
      <c r="N191" s="2369"/>
      <c r="O191" s="2369"/>
      <c r="P191" s="2369"/>
      <c r="Q191" s="2369"/>
      <c r="R191" s="2369"/>
      <c r="S191" s="2369"/>
      <c r="T191" s="2369"/>
    </row>
    <row r="192" spans="1:20">
      <c r="A192" s="2369"/>
      <c r="B192" s="2369"/>
      <c r="C192" s="2369"/>
      <c r="D192" s="2369"/>
      <c r="E192" s="2369"/>
      <c r="F192" s="2369"/>
      <c r="G192" s="2369"/>
      <c r="H192" s="2369"/>
      <c r="I192" s="2369"/>
      <c r="J192" s="2369"/>
      <c r="K192" s="2370"/>
      <c r="L192" s="2371"/>
      <c r="M192" s="2369"/>
      <c r="N192" s="2369"/>
      <c r="O192" s="2369"/>
      <c r="P192" s="2369"/>
      <c r="Q192" s="2369"/>
      <c r="R192" s="2369"/>
      <c r="S192" s="2369"/>
      <c r="T192" s="2369"/>
    </row>
    <row r="193" spans="1:20">
      <c r="A193" s="2369"/>
      <c r="B193" s="2369"/>
      <c r="C193" s="2369"/>
      <c r="D193" s="2369"/>
      <c r="E193" s="2369"/>
      <c r="F193" s="2369"/>
      <c r="G193" s="2369"/>
      <c r="H193" s="2369"/>
      <c r="I193" s="2369"/>
      <c r="J193" s="2369"/>
      <c r="K193" s="2370"/>
      <c r="L193" s="2371"/>
      <c r="M193" s="2369"/>
      <c r="N193" s="2369"/>
      <c r="O193" s="2369"/>
      <c r="P193" s="2369"/>
      <c r="Q193" s="2369"/>
      <c r="R193" s="2369"/>
      <c r="S193" s="2369"/>
      <c r="T193" s="2369"/>
    </row>
    <row r="194" spans="1:20">
      <c r="A194" s="2369"/>
      <c r="B194" s="2369"/>
      <c r="C194" s="2369"/>
      <c r="D194" s="2369"/>
      <c r="E194" s="2369"/>
      <c r="F194" s="2369"/>
      <c r="G194" s="2369"/>
      <c r="H194" s="2369"/>
      <c r="I194" s="2369"/>
      <c r="J194" s="2369"/>
      <c r="K194" s="2370"/>
      <c r="L194" s="2371"/>
      <c r="M194" s="2369"/>
      <c r="N194" s="2369"/>
      <c r="O194" s="2369"/>
      <c r="P194" s="2369"/>
      <c r="Q194" s="2369"/>
      <c r="R194" s="2369"/>
      <c r="S194" s="2369"/>
      <c r="T194" s="2369"/>
    </row>
    <row r="195" spans="1:20">
      <c r="A195" s="2369"/>
      <c r="B195" s="2369"/>
      <c r="C195" s="2369"/>
      <c r="D195" s="2369"/>
      <c r="E195" s="2369"/>
      <c r="F195" s="2369"/>
      <c r="G195" s="2369"/>
      <c r="H195" s="2369"/>
      <c r="I195" s="2369"/>
      <c r="J195" s="2369"/>
      <c r="K195" s="2370"/>
      <c r="L195" s="2371"/>
      <c r="M195" s="2369"/>
      <c r="N195" s="2369"/>
      <c r="O195" s="2369"/>
      <c r="P195" s="2369"/>
      <c r="Q195" s="2369"/>
      <c r="R195" s="2369"/>
      <c r="S195" s="2369"/>
      <c r="T195" s="2369"/>
    </row>
    <row r="196" spans="1:20">
      <c r="A196" s="2369"/>
      <c r="B196" s="2369"/>
      <c r="C196" s="2369"/>
      <c r="D196" s="2369"/>
      <c r="E196" s="2369"/>
      <c r="F196" s="2369"/>
      <c r="G196" s="2369"/>
      <c r="H196" s="2369"/>
      <c r="I196" s="2369"/>
      <c r="J196" s="2369"/>
      <c r="K196" s="2370"/>
      <c r="L196" s="2371"/>
      <c r="M196" s="2369"/>
      <c r="N196" s="2369"/>
      <c r="O196" s="2369"/>
      <c r="P196" s="2369"/>
      <c r="Q196" s="2369"/>
      <c r="R196" s="2369"/>
      <c r="S196" s="2369"/>
      <c r="T196" s="2369"/>
    </row>
    <row r="197" spans="1:20">
      <c r="A197" s="2369"/>
      <c r="B197" s="2369"/>
      <c r="C197" s="2369"/>
      <c r="D197" s="2369"/>
      <c r="E197" s="2369"/>
      <c r="F197" s="2369"/>
      <c r="G197" s="2369"/>
      <c r="H197" s="2369"/>
      <c r="I197" s="2369"/>
      <c r="J197" s="2369"/>
      <c r="K197" s="2370"/>
      <c r="L197" s="2371"/>
      <c r="M197" s="2369"/>
      <c r="N197" s="2369"/>
      <c r="O197" s="2369"/>
      <c r="P197" s="2369"/>
      <c r="Q197" s="2369"/>
      <c r="R197" s="2369"/>
      <c r="S197" s="2369"/>
      <c r="T197" s="2369"/>
    </row>
    <row r="198" spans="1:20">
      <c r="A198" s="2369"/>
      <c r="B198" s="2369"/>
      <c r="C198" s="2369"/>
      <c r="D198" s="2369"/>
      <c r="E198" s="2369"/>
      <c r="F198" s="2369"/>
      <c r="G198" s="2369"/>
      <c r="H198" s="2369"/>
      <c r="I198" s="2369"/>
      <c r="J198" s="2369"/>
      <c r="K198" s="2370"/>
      <c r="L198" s="2371"/>
      <c r="M198" s="2369"/>
      <c r="N198" s="2369"/>
      <c r="O198" s="2369"/>
      <c r="P198" s="2369"/>
      <c r="Q198" s="2369"/>
      <c r="R198" s="2369"/>
      <c r="S198" s="2369"/>
      <c r="T198" s="2369"/>
    </row>
    <row r="199" spans="1:20">
      <c r="A199" s="2369"/>
      <c r="B199" s="2369"/>
      <c r="C199" s="2369"/>
      <c r="D199" s="2369"/>
      <c r="E199" s="2369"/>
      <c r="F199" s="2369"/>
      <c r="G199" s="2369"/>
      <c r="H199" s="2369"/>
      <c r="I199" s="2369"/>
      <c r="J199" s="2369"/>
      <c r="K199" s="2370"/>
      <c r="L199" s="2371"/>
      <c r="M199" s="2369"/>
      <c r="N199" s="2369"/>
      <c r="O199" s="2369"/>
      <c r="P199" s="2369"/>
      <c r="Q199" s="2369"/>
      <c r="R199" s="2369"/>
      <c r="S199" s="2369"/>
      <c r="T199" s="2369"/>
    </row>
    <row r="200" spans="1:20">
      <c r="A200" s="2369"/>
      <c r="B200" s="2369"/>
      <c r="C200" s="2369"/>
      <c r="D200" s="2369"/>
      <c r="E200" s="2369"/>
      <c r="F200" s="2369"/>
      <c r="G200" s="2369"/>
      <c r="H200" s="2369"/>
      <c r="I200" s="2369"/>
      <c r="J200" s="2369"/>
      <c r="K200" s="2370"/>
      <c r="L200" s="2371"/>
      <c r="M200" s="2369"/>
      <c r="N200" s="2369"/>
      <c r="O200" s="2369"/>
      <c r="P200" s="2369"/>
      <c r="Q200" s="2369"/>
      <c r="R200" s="2369"/>
      <c r="S200" s="2369"/>
      <c r="T200" s="2369"/>
    </row>
    <row r="201" spans="1:20">
      <c r="A201" s="2369"/>
      <c r="B201" s="2369"/>
      <c r="C201" s="2369"/>
      <c r="D201" s="2369"/>
      <c r="E201" s="2369"/>
      <c r="F201" s="2369"/>
      <c r="G201" s="2369"/>
      <c r="H201" s="2369"/>
      <c r="I201" s="2369"/>
      <c r="J201" s="2369"/>
      <c r="K201" s="2370"/>
      <c r="L201" s="2371"/>
      <c r="M201" s="2369"/>
      <c r="N201" s="2369"/>
      <c r="O201" s="2369"/>
      <c r="P201" s="2369"/>
      <c r="Q201" s="2369"/>
      <c r="R201" s="2369"/>
      <c r="S201" s="2369"/>
      <c r="T201" s="2369"/>
    </row>
    <row r="202" spans="1:20">
      <c r="A202" s="2369"/>
      <c r="B202" s="2369"/>
      <c r="C202" s="2369"/>
      <c r="D202" s="2369"/>
      <c r="E202" s="2369"/>
      <c r="F202" s="2369"/>
      <c r="G202" s="2369"/>
      <c r="H202" s="2369"/>
      <c r="I202" s="2369"/>
      <c r="J202" s="2369"/>
      <c r="K202" s="2370"/>
      <c r="L202" s="2371"/>
      <c r="M202" s="2369"/>
      <c r="N202" s="2369"/>
      <c r="O202" s="2369"/>
      <c r="P202" s="2369"/>
      <c r="Q202" s="2369"/>
      <c r="R202" s="2369"/>
      <c r="S202" s="2369"/>
      <c r="T202" s="2369"/>
    </row>
    <row r="203" spans="1:20">
      <c r="A203" s="2369"/>
      <c r="B203" s="2369"/>
      <c r="C203" s="2369"/>
      <c r="D203" s="2369"/>
      <c r="E203" s="2369"/>
      <c r="F203" s="2369"/>
      <c r="G203" s="2369"/>
      <c r="H203" s="2369"/>
      <c r="I203" s="2369"/>
      <c r="J203" s="2369"/>
      <c r="K203" s="2370"/>
      <c r="L203" s="2371"/>
      <c r="M203" s="2369"/>
      <c r="N203" s="2369"/>
      <c r="O203" s="2369"/>
      <c r="P203" s="2369"/>
      <c r="Q203" s="2369"/>
      <c r="R203" s="2369"/>
      <c r="S203" s="2369"/>
      <c r="T203" s="2369"/>
    </row>
    <row r="204" spans="1:20">
      <c r="A204" s="2369"/>
      <c r="B204" s="2369"/>
      <c r="C204" s="2369"/>
      <c r="D204" s="2369"/>
      <c r="E204" s="2369"/>
      <c r="F204" s="2369"/>
      <c r="G204" s="2369"/>
      <c r="H204" s="2369"/>
      <c r="I204" s="2369"/>
      <c r="J204" s="2369"/>
      <c r="K204" s="2370"/>
      <c r="L204" s="2371"/>
      <c r="M204" s="2369"/>
      <c r="N204" s="2369"/>
      <c r="O204" s="2369"/>
      <c r="P204" s="2369"/>
      <c r="Q204" s="2369"/>
      <c r="R204" s="2369"/>
      <c r="S204" s="2369"/>
      <c r="T204" s="2369"/>
    </row>
    <row r="205" spans="1:20">
      <c r="A205" s="2369"/>
      <c r="B205" s="2369"/>
      <c r="C205" s="2369"/>
      <c r="D205" s="2369"/>
      <c r="E205" s="2369"/>
      <c r="F205" s="2369"/>
      <c r="G205" s="2369"/>
      <c r="H205" s="2369"/>
      <c r="I205" s="2369"/>
      <c r="J205" s="2369"/>
      <c r="K205" s="2370"/>
      <c r="L205" s="2371"/>
      <c r="M205" s="2369"/>
      <c r="N205" s="2369"/>
      <c r="O205" s="2369"/>
      <c r="P205" s="2369"/>
      <c r="Q205" s="2369"/>
      <c r="R205" s="2369"/>
      <c r="S205" s="2369"/>
      <c r="T205" s="2369"/>
    </row>
    <row r="206" spans="1:20">
      <c r="A206" s="2369"/>
      <c r="B206" s="2369"/>
      <c r="C206" s="2369"/>
      <c r="D206" s="2369"/>
      <c r="E206" s="2369"/>
      <c r="F206" s="2369"/>
      <c r="G206" s="2369"/>
      <c r="H206" s="2369"/>
      <c r="I206" s="2369"/>
      <c r="J206" s="2369"/>
      <c r="K206" s="2370"/>
      <c r="L206" s="2371"/>
      <c r="M206" s="2369"/>
      <c r="N206" s="2369"/>
      <c r="O206" s="2369"/>
      <c r="P206" s="2369"/>
      <c r="Q206" s="2369"/>
      <c r="R206" s="2369"/>
      <c r="S206" s="2369"/>
      <c r="T206" s="2369"/>
    </row>
    <row r="207" spans="1:20">
      <c r="A207" s="2369"/>
      <c r="B207" s="2369"/>
      <c r="C207" s="2369"/>
      <c r="D207" s="2369"/>
      <c r="E207" s="2369"/>
      <c r="F207" s="2369"/>
      <c r="G207" s="2369"/>
      <c r="H207" s="2369"/>
      <c r="I207" s="2369"/>
      <c r="J207" s="2369"/>
      <c r="K207" s="2370"/>
      <c r="L207" s="2371"/>
      <c r="M207" s="2369"/>
      <c r="N207" s="2369"/>
      <c r="O207" s="2369"/>
      <c r="P207" s="2369"/>
      <c r="Q207" s="2369"/>
      <c r="R207" s="2369"/>
      <c r="S207" s="2369"/>
      <c r="T207" s="2369"/>
    </row>
    <row r="208" spans="1:20">
      <c r="A208" s="2369"/>
      <c r="B208" s="2369"/>
      <c r="C208" s="2369"/>
      <c r="D208" s="2369"/>
      <c r="E208" s="2369"/>
      <c r="F208" s="2369"/>
      <c r="G208" s="2369"/>
      <c r="H208" s="2369"/>
      <c r="I208" s="2369"/>
      <c r="J208" s="2369"/>
      <c r="K208" s="2370"/>
      <c r="L208" s="2371"/>
      <c r="M208" s="2369"/>
      <c r="N208" s="2369"/>
      <c r="O208" s="2369"/>
      <c r="P208" s="2369"/>
      <c r="Q208" s="2369"/>
      <c r="R208" s="2369"/>
      <c r="S208" s="2369"/>
      <c r="T208" s="2369"/>
    </row>
    <row r="209" spans="1:20">
      <c r="A209" s="2369"/>
      <c r="B209" s="2369"/>
      <c r="C209" s="2369"/>
      <c r="D209" s="2369"/>
      <c r="E209" s="2369"/>
      <c r="F209" s="2369"/>
      <c r="G209" s="2369"/>
      <c r="H209" s="2369"/>
      <c r="I209" s="2369"/>
      <c r="J209" s="2369"/>
      <c r="K209" s="2370"/>
      <c r="L209" s="2371"/>
      <c r="M209" s="2369"/>
      <c r="N209" s="2369"/>
      <c r="O209" s="2369"/>
      <c r="P209" s="2369"/>
      <c r="Q209" s="2369"/>
      <c r="R209" s="2369"/>
      <c r="S209" s="2369"/>
      <c r="T209" s="2369"/>
    </row>
    <row r="210" spans="1:20">
      <c r="A210" s="2369"/>
      <c r="B210" s="2369"/>
      <c r="C210" s="2369"/>
      <c r="D210" s="2369"/>
      <c r="E210" s="2369"/>
      <c r="F210" s="2369"/>
      <c r="G210" s="2369"/>
      <c r="H210" s="2369"/>
      <c r="I210" s="2369"/>
      <c r="J210" s="2369"/>
      <c r="K210" s="2370"/>
      <c r="L210" s="2371"/>
      <c r="M210" s="2369"/>
      <c r="N210" s="2369"/>
      <c r="O210" s="2369"/>
      <c r="P210" s="2369"/>
      <c r="Q210" s="2369"/>
      <c r="R210" s="2369"/>
      <c r="S210" s="2369"/>
      <c r="T210" s="2369"/>
    </row>
    <row r="211" spans="1:20">
      <c r="A211" s="2369"/>
      <c r="B211" s="2369"/>
      <c r="C211" s="2369"/>
      <c r="D211" s="2369"/>
      <c r="E211" s="2369"/>
      <c r="F211" s="2369"/>
      <c r="G211" s="2369"/>
      <c r="H211" s="2369"/>
      <c r="I211" s="2369"/>
      <c r="J211" s="2369"/>
      <c r="K211" s="2370"/>
      <c r="L211" s="2371"/>
      <c r="M211" s="2369"/>
      <c r="N211" s="2369"/>
      <c r="O211" s="2369"/>
      <c r="P211" s="2369"/>
      <c r="Q211" s="2369"/>
      <c r="R211" s="2369"/>
      <c r="S211" s="2369"/>
      <c r="T211" s="2369"/>
    </row>
    <row r="212" spans="1:20">
      <c r="A212" s="2369"/>
      <c r="B212" s="2369"/>
      <c r="C212" s="2369"/>
      <c r="D212" s="2369"/>
      <c r="E212" s="2369"/>
      <c r="F212" s="2369"/>
      <c r="G212" s="2369"/>
      <c r="H212" s="2369"/>
      <c r="I212" s="2369"/>
      <c r="J212" s="2369"/>
      <c r="K212" s="2370"/>
      <c r="L212" s="2371"/>
      <c r="M212" s="2369"/>
      <c r="N212" s="2369"/>
      <c r="O212" s="2369"/>
      <c r="P212" s="2369"/>
      <c r="Q212" s="2369"/>
      <c r="R212" s="2369"/>
      <c r="S212" s="2369"/>
      <c r="T212" s="2369"/>
    </row>
    <row r="213" spans="1:20">
      <c r="A213" s="2369"/>
      <c r="B213" s="2369"/>
      <c r="C213" s="2369"/>
      <c r="D213" s="2369"/>
      <c r="E213" s="2369"/>
      <c r="F213" s="2369"/>
      <c r="G213" s="2369"/>
      <c r="H213" s="2369"/>
      <c r="I213" s="2369"/>
      <c r="J213" s="2369"/>
      <c r="K213" s="2370"/>
      <c r="L213" s="2371"/>
      <c r="M213" s="2369"/>
      <c r="N213" s="2369"/>
      <c r="O213" s="2369"/>
      <c r="P213" s="2369"/>
      <c r="Q213" s="2369"/>
      <c r="R213" s="2369"/>
      <c r="S213" s="2369"/>
      <c r="T213" s="2369"/>
    </row>
    <row r="214" spans="1:20">
      <c r="A214" s="2369"/>
      <c r="B214" s="2369"/>
      <c r="C214" s="2369"/>
      <c r="D214" s="2369"/>
      <c r="E214" s="2369"/>
      <c r="F214" s="2369"/>
      <c r="G214" s="2369"/>
      <c r="H214" s="2369"/>
      <c r="I214" s="2369"/>
      <c r="J214" s="2369"/>
      <c r="K214" s="2370"/>
      <c r="L214" s="2371"/>
      <c r="M214" s="2369"/>
      <c r="N214" s="2369"/>
      <c r="O214" s="2369"/>
      <c r="P214" s="2369"/>
      <c r="Q214" s="2369"/>
      <c r="R214" s="2369"/>
      <c r="S214" s="2369"/>
      <c r="T214" s="2369"/>
    </row>
    <row r="215" spans="1:20">
      <c r="A215" s="2369"/>
      <c r="B215" s="2369"/>
      <c r="C215" s="2369"/>
      <c r="D215" s="2369"/>
      <c r="E215" s="2369"/>
      <c r="F215" s="2369"/>
      <c r="G215" s="2369"/>
      <c r="H215" s="2369"/>
      <c r="I215" s="2369"/>
      <c r="J215" s="2369"/>
      <c r="K215" s="2370"/>
      <c r="L215" s="2371"/>
      <c r="M215" s="2369"/>
      <c r="N215" s="2369"/>
      <c r="O215" s="2369"/>
      <c r="P215" s="2369"/>
      <c r="Q215" s="2369"/>
      <c r="R215" s="2369"/>
      <c r="S215" s="2369"/>
      <c r="T215" s="2369"/>
    </row>
    <row r="216" spans="1:20">
      <c r="A216" s="2369"/>
      <c r="B216" s="2369"/>
      <c r="C216" s="2369"/>
      <c r="D216" s="2369"/>
      <c r="E216" s="2369"/>
      <c r="F216" s="2369"/>
      <c r="G216" s="2369"/>
      <c r="H216" s="2369"/>
      <c r="I216" s="2369"/>
      <c r="J216" s="2369"/>
      <c r="K216" s="2370"/>
      <c r="L216" s="2371"/>
      <c r="M216" s="2369"/>
      <c r="N216" s="2369"/>
      <c r="O216" s="2369"/>
      <c r="P216" s="2369"/>
      <c r="Q216" s="2369"/>
      <c r="R216" s="2369"/>
      <c r="S216" s="2369"/>
      <c r="T216" s="2369"/>
    </row>
    <row r="217" spans="1:20">
      <c r="A217" s="2369"/>
      <c r="B217" s="2369"/>
      <c r="C217" s="2369"/>
      <c r="D217" s="2369"/>
      <c r="E217" s="2369"/>
      <c r="F217" s="2369"/>
      <c r="G217" s="2369"/>
      <c r="H217" s="2369"/>
      <c r="I217" s="2369"/>
      <c r="J217" s="2369"/>
      <c r="K217" s="2370"/>
      <c r="L217" s="2371"/>
      <c r="M217" s="2369"/>
      <c r="N217" s="2369"/>
      <c r="O217" s="2369"/>
      <c r="P217" s="2369"/>
      <c r="Q217" s="2369"/>
      <c r="R217" s="2369"/>
      <c r="S217" s="2369"/>
      <c r="T217" s="2369"/>
    </row>
    <row r="218" spans="1:20">
      <c r="A218" s="2369"/>
      <c r="B218" s="2369"/>
      <c r="C218" s="2369"/>
      <c r="D218" s="2369"/>
      <c r="E218" s="2369"/>
      <c r="F218" s="2369"/>
      <c r="G218" s="2369"/>
      <c r="H218" s="2369"/>
      <c r="I218" s="2369"/>
      <c r="J218" s="2369"/>
      <c r="K218" s="2370"/>
      <c r="L218" s="2371"/>
      <c r="M218" s="2369"/>
      <c r="N218" s="2369"/>
      <c r="O218" s="2369"/>
      <c r="P218" s="2369"/>
      <c r="Q218" s="2369"/>
      <c r="R218" s="2369"/>
      <c r="S218" s="2369"/>
      <c r="T218" s="2369"/>
    </row>
    <row r="219" spans="1:20">
      <c r="A219" s="2369"/>
      <c r="B219" s="2369"/>
      <c r="C219" s="2369"/>
      <c r="D219" s="2369"/>
      <c r="E219" s="2369"/>
      <c r="F219" s="2369"/>
      <c r="G219" s="2369"/>
      <c r="H219" s="2369"/>
      <c r="I219" s="2369"/>
      <c r="J219" s="2369"/>
      <c r="K219" s="2370"/>
      <c r="L219" s="2371"/>
      <c r="M219" s="2369"/>
      <c r="N219" s="2369"/>
      <c r="O219" s="2369"/>
      <c r="P219" s="2369"/>
      <c r="Q219" s="2369"/>
      <c r="R219" s="2369"/>
      <c r="S219" s="2369"/>
      <c r="T219" s="2369"/>
    </row>
    <row r="220" spans="1:20">
      <c r="A220" s="2369"/>
      <c r="B220" s="2369"/>
      <c r="C220" s="2369"/>
      <c r="D220" s="2369"/>
      <c r="E220" s="2369"/>
      <c r="F220" s="2369"/>
      <c r="G220" s="2369"/>
      <c r="H220" s="2369"/>
      <c r="I220" s="2369"/>
      <c r="J220" s="2369"/>
      <c r="K220" s="2370"/>
      <c r="L220" s="2371"/>
      <c r="M220" s="2369"/>
      <c r="N220" s="2369"/>
      <c r="O220" s="2369"/>
      <c r="P220" s="2369"/>
      <c r="Q220" s="2369"/>
      <c r="R220" s="2369"/>
      <c r="S220" s="2369"/>
      <c r="T220" s="2369"/>
    </row>
    <row r="221" spans="1:20">
      <c r="A221" s="2369"/>
      <c r="B221" s="2369"/>
      <c r="C221" s="2369"/>
      <c r="D221" s="2369"/>
      <c r="E221" s="2369"/>
      <c r="F221" s="2369"/>
      <c r="G221" s="2369"/>
      <c r="H221" s="2369"/>
      <c r="I221" s="2369"/>
      <c r="J221" s="2369"/>
      <c r="K221" s="2370"/>
      <c r="L221" s="2371"/>
      <c r="M221" s="2369"/>
      <c r="N221" s="2369"/>
      <c r="O221" s="2369"/>
      <c r="P221" s="2369"/>
      <c r="Q221" s="2369"/>
      <c r="R221" s="2369"/>
      <c r="S221" s="2369"/>
      <c r="T221" s="2369"/>
    </row>
    <row r="222" spans="1:20">
      <c r="A222" s="2369"/>
      <c r="B222" s="2369"/>
      <c r="C222" s="2369"/>
      <c r="D222" s="2369"/>
      <c r="E222" s="2369"/>
      <c r="F222" s="2369"/>
      <c r="G222" s="2369"/>
      <c r="H222" s="2369"/>
      <c r="I222" s="2369"/>
      <c r="J222" s="2369"/>
      <c r="K222" s="2370"/>
      <c r="L222" s="2371"/>
      <c r="M222" s="2369"/>
      <c r="N222" s="2369"/>
      <c r="O222" s="2369"/>
      <c r="P222" s="2369"/>
      <c r="Q222" s="2369"/>
      <c r="R222" s="2369"/>
      <c r="S222" s="2369"/>
      <c r="T222" s="2369"/>
    </row>
    <row r="223" spans="1:20">
      <c r="A223" s="2369"/>
      <c r="B223" s="2369"/>
      <c r="C223" s="2369"/>
      <c r="D223" s="2369"/>
      <c r="E223" s="2369"/>
      <c r="F223" s="2369"/>
      <c r="G223" s="2369"/>
      <c r="H223" s="2369"/>
      <c r="I223" s="2369"/>
      <c r="J223" s="2369"/>
      <c r="K223" s="2370"/>
      <c r="L223" s="2371"/>
      <c r="M223" s="2369"/>
      <c r="N223" s="2369"/>
      <c r="O223" s="2369"/>
      <c r="P223" s="2369"/>
      <c r="Q223" s="2369"/>
      <c r="R223" s="2369"/>
      <c r="S223" s="2369"/>
      <c r="T223" s="2369"/>
    </row>
    <row r="224" spans="1:20">
      <c r="A224" s="2369"/>
      <c r="B224" s="2369"/>
      <c r="C224" s="2369"/>
      <c r="D224" s="2369"/>
      <c r="E224" s="2369"/>
      <c r="F224" s="2369"/>
      <c r="G224" s="2369"/>
      <c r="H224" s="2369"/>
      <c r="I224" s="2369"/>
      <c r="J224" s="2369"/>
      <c r="K224" s="2370"/>
      <c r="L224" s="2371"/>
      <c r="M224" s="2369"/>
      <c r="N224" s="2369"/>
      <c r="O224" s="2369"/>
      <c r="P224" s="2369"/>
      <c r="Q224" s="2369"/>
      <c r="R224" s="2369"/>
      <c r="S224" s="2369"/>
      <c r="T224" s="2369"/>
    </row>
    <row r="225" spans="1:20">
      <c r="A225" s="2369"/>
      <c r="B225" s="2369"/>
      <c r="C225" s="2369"/>
      <c r="D225" s="2369"/>
      <c r="E225" s="2369"/>
      <c r="F225" s="2369"/>
      <c r="G225" s="2369"/>
      <c r="H225" s="2369"/>
      <c r="I225" s="2369"/>
      <c r="J225" s="2369"/>
      <c r="K225" s="2370"/>
      <c r="L225" s="2371"/>
      <c r="M225" s="2369"/>
      <c r="N225" s="2369"/>
      <c r="O225" s="2369"/>
      <c r="P225" s="2369"/>
      <c r="Q225" s="2369"/>
      <c r="R225" s="2369"/>
      <c r="S225" s="2369"/>
      <c r="T225" s="2369"/>
    </row>
    <row r="226" spans="1:20">
      <c r="A226" s="2369"/>
      <c r="B226" s="2369"/>
      <c r="C226" s="2369"/>
      <c r="D226" s="2369"/>
      <c r="E226" s="2369"/>
      <c r="F226" s="2369"/>
      <c r="G226" s="2369"/>
      <c r="H226" s="2369"/>
      <c r="I226" s="2369"/>
      <c r="J226" s="2369"/>
      <c r="K226" s="2370"/>
      <c r="L226" s="2371"/>
      <c r="M226" s="2369"/>
      <c r="N226" s="2369"/>
      <c r="O226" s="2369"/>
      <c r="P226" s="2369"/>
      <c r="Q226" s="2369"/>
      <c r="R226" s="2369"/>
      <c r="S226" s="2369"/>
      <c r="T226" s="2369"/>
    </row>
    <row r="227" spans="1:20">
      <c r="A227" s="2369"/>
      <c r="B227" s="2369"/>
      <c r="C227" s="2369"/>
      <c r="D227" s="2369"/>
      <c r="E227" s="2369"/>
      <c r="F227" s="2369"/>
      <c r="G227" s="2369"/>
      <c r="H227" s="2369"/>
      <c r="I227" s="2369"/>
      <c r="J227" s="2369"/>
      <c r="K227" s="2370"/>
      <c r="L227" s="2371"/>
      <c r="M227" s="2369"/>
      <c r="N227" s="2369"/>
      <c r="O227" s="2369"/>
      <c r="P227" s="2369"/>
      <c r="Q227" s="2369"/>
      <c r="R227" s="2369"/>
      <c r="S227" s="2369"/>
      <c r="T227" s="2369"/>
    </row>
    <row r="228" spans="1:20">
      <c r="A228" s="2369"/>
      <c r="B228" s="2369"/>
      <c r="C228" s="2369"/>
      <c r="D228" s="2369"/>
      <c r="E228" s="2369"/>
      <c r="F228" s="2369"/>
      <c r="G228" s="2369"/>
      <c r="H228" s="2369"/>
      <c r="I228" s="2369"/>
      <c r="J228" s="2369"/>
      <c r="K228" s="2370"/>
      <c r="L228" s="2371"/>
      <c r="M228" s="2369"/>
      <c r="N228" s="2369"/>
      <c r="O228" s="2369"/>
      <c r="P228" s="2369"/>
      <c r="Q228" s="2369"/>
      <c r="R228" s="2369"/>
      <c r="S228" s="2369"/>
      <c r="T228" s="2369"/>
    </row>
    <row r="229" spans="1:20">
      <c r="A229" s="2369"/>
      <c r="B229" s="2369"/>
      <c r="C229" s="2369"/>
      <c r="D229" s="2369"/>
      <c r="E229" s="2369"/>
      <c r="F229" s="2369"/>
      <c r="G229" s="2369"/>
      <c r="H229" s="2369"/>
      <c r="I229" s="2369"/>
      <c r="J229" s="2369"/>
      <c r="K229" s="2370"/>
      <c r="L229" s="2371"/>
      <c r="M229" s="2369"/>
      <c r="N229" s="2369"/>
      <c r="O229" s="2369"/>
      <c r="P229" s="2369"/>
      <c r="Q229" s="2369"/>
      <c r="R229" s="2369"/>
      <c r="S229" s="2369"/>
      <c r="T229" s="2369"/>
    </row>
    <row r="230" spans="1:20">
      <c r="A230" s="2369"/>
      <c r="B230" s="2369"/>
      <c r="C230" s="2369"/>
      <c r="D230" s="2369"/>
      <c r="E230" s="2369"/>
      <c r="F230" s="2369"/>
      <c r="G230" s="2369"/>
      <c r="H230" s="2369"/>
      <c r="I230" s="2369"/>
      <c r="J230" s="2369"/>
      <c r="K230" s="2370"/>
      <c r="L230" s="2371"/>
      <c r="M230" s="2369"/>
      <c r="N230" s="2369"/>
      <c r="O230" s="2369"/>
      <c r="P230" s="2369"/>
      <c r="Q230" s="2369"/>
      <c r="R230" s="2369"/>
      <c r="S230" s="2369"/>
      <c r="T230" s="2369"/>
    </row>
    <row r="231" spans="1:20">
      <c r="A231" s="2369"/>
      <c r="B231" s="2369"/>
      <c r="C231" s="2369"/>
      <c r="D231" s="2369"/>
      <c r="E231" s="2369"/>
      <c r="F231" s="2369"/>
      <c r="G231" s="2369"/>
      <c r="H231" s="2369"/>
      <c r="I231" s="2369"/>
      <c r="J231" s="2369"/>
      <c r="K231" s="2370"/>
      <c r="L231" s="2371"/>
      <c r="M231" s="2369"/>
      <c r="N231" s="2369"/>
      <c r="O231" s="2369"/>
      <c r="P231" s="2369"/>
      <c r="Q231" s="2369"/>
      <c r="R231" s="2369"/>
      <c r="S231" s="2369"/>
      <c r="T231" s="2369"/>
    </row>
    <row r="232" spans="1:20">
      <c r="A232" s="2369"/>
      <c r="B232" s="2369"/>
      <c r="C232" s="2369"/>
      <c r="D232" s="2369"/>
      <c r="E232" s="2369"/>
      <c r="F232" s="2369"/>
      <c r="G232" s="2369"/>
      <c r="H232" s="2369"/>
      <c r="I232" s="2369"/>
      <c r="J232" s="2369"/>
      <c r="K232" s="2370"/>
      <c r="L232" s="2371"/>
      <c r="M232" s="2369"/>
      <c r="N232" s="2369"/>
      <c r="O232" s="2369"/>
      <c r="P232" s="2369"/>
      <c r="Q232" s="2369"/>
      <c r="R232" s="2369"/>
      <c r="S232" s="2369"/>
      <c r="T232" s="2369"/>
    </row>
    <row r="233" spans="1:20">
      <c r="A233" s="2369"/>
      <c r="B233" s="2369"/>
      <c r="C233" s="2369"/>
      <c r="D233" s="2369"/>
      <c r="E233" s="2369"/>
      <c r="F233" s="2369"/>
      <c r="G233" s="2369"/>
      <c r="H233" s="2369"/>
      <c r="I233" s="2369"/>
      <c r="J233" s="2369"/>
      <c r="K233" s="2370"/>
      <c r="L233" s="2371"/>
      <c r="M233" s="2369"/>
      <c r="N233" s="2369"/>
      <c r="O233" s="2369"/>
      <c r="P233" s="2369"/>
      <c r="Q233" s="2369"/>
      <c r="R233" s="2369"/>
      <c r="S233" s="2369"/>
      <c r="T233" s="2369"/>
    </row>
    <row r="234" spans="1:20">
      <c r="A234" s="2369"/>
      <c r="B234" s="2369"/>
      <c r="C234" s="2369"/>
      <c r="D234" s="2369"/>
      <c r="E234" s="2369"/>
      <c r="F234" s="2369"/>
      <c r="G234" s="2369"/>
      <c r="H234" s="2369"/>
      <c r="I234" s="2369"/>
      <c r="J234" s="2369"/>
      <c r="K234" s="2370"/>
      <c r="L234" s="2371"/>
      <c r="M234" s="2369"/>
      <c r="N234" s="2369"/>
      <c r="O234" s="2369"/>
      <c r="P234" s="2369"/>
      <c r="Q234" s="2369"/>
      <c r="R234" s="2369"/>
      <c r="S234" s="2369"/>
      <c r="T234" s="2369"/>
    </row>
    <row r="235" spans="1:20">
      <c r="A235" s="2369"/>
      <c r="B235" s="2369"/>
      <c r="C235" s="2369"/>
      <c r="D235" s="2369"/>
      <c r="E235" s="2369"/>
      <c r="F235" s="2369"/>
      <c r="G235" s="2369"/>
      <c r="H235" s="2369"/>
      <c r="I235" s="2369"/>
      <c r="J235" s="2369"/>
      <c r="K235" s="2370"/>
      <c r="L235" s="2371"/>
      <c r="M235" s="2369"/>
      <c r="N235" s="2369"/>
      <c r="O235" s="2369"/>
      <c r="P235" s="2369"/>
      <c r="Q235" s="2369"/>
      <c r="R235" s="2369"/>
      <c r="S235" s="2369"/>
      <c r="T235" s="2369"/>
    </row>
    <row r="236" spans="1:20">
      <c r="A236" s="2369"/>
      <c r="B236" s="2369"/>
      <c r="C236" s="2369"/>
      <c r="D236" s="2369"/>
      <c r="E236" s="2369"/>
      <c r="F236" s="2369"/>
      <c r="G236" s="2369"/>
      <c r="H236" s="2369"/>
      <c r="I236" s="2369"/>
      <c r="J236" s="2369"/>
      <c r="K236" s="2370"/>
      <c r="L236" s="2371"/>
      <c r="M236" s="2369"/>
      <c r="N236" s="2369"/>
      <c r="O236" s="2369"/>
      <c r="P236" s="2369"/>
      <c r="Q236" s="2369"/>
      <c r="R236" s="2369"/>
      <c r="S236" s="2369"/>
      <c r="T236" s="2369"/>
    </row>
    <row r="237" spans="1:20">
      <c r="A237" s="2369"/>
      <c r="B237" s="2369"/>
      <c r="C237" s="2369"/>
      <c r="D237" s="2369"/>
      <c r="E237" s="2369"/>
      <c r="F237" s="2369"/>
      <c r="G237" s="2369"/>
      <c r="H237" s="2369"/>
      <c r="I237" s="2369"/>
      <c r="J237" s="2369"/>
      <c r="K237" s="2370"/>
      <c r="L237" s="2371"/>
      <c r="M237" s="2369"/>
      <c r="N237" s="2369"/>
      <c r="O237" s="2369"/>
      <c r="P237" s="2369"/>
      <c r="Q237" s="2369"/>
      <c r="R237" s="2369"/>
      <c r="S237" s="2369"/>
      <c r="T237" s="2369"/>
    </row>
    <row r="238" spans="1:20">
      <c r="A238" s="2369"/>
      <c r="B238" s="2369"/>
      <c r="C238" s="2369"/>
      <c r="D238" s="2369"/>
      <c r="E238" s="2369"/>
      <c r="F238" s="2369"/>
      <c r="G238" s="2369"/>
      <c r="H238" s="2369"/>
      <c r="I238" s="2369"/>
      <c r="J238" s="2369"/>
      <c r="K238" s="2370"/>
      <c r="L238" s="2371"/>
      <c r="M238" s="2369"/>
      <c r="N238" s="2369"/>
      <c r="O238" s="2369"/>
      <c r="P238" s="2369"/>
      <c r="Q238" s="2369"/>
      <c r="R238" s="2369"/>
      <c r="S238" s="2369"/>
      <c r="T238" s="2369"/>
    </row>
    <row r="239" spans="1:20">
      <c r="A239" s="2369"/>
      <c r="B239" s="2369"/>
      <c r="C239" s="2369"/>
      <c r="D239" s="2369"/>
      <c r="E239" s="2369"/>
      <c r="F239" s="2369"/>
      <c r="G239" s="2369"/>
      <c r="H239" s="2369"/>
      <c r="I239" s="2369"/>
      <c r="J239" s="2369"/>
      <c r="K239" s="2370"/>
      <c r="L239" s="2371"/>
      <c r="M239" s="2369"/>
      <c r="N239" s="2369"/>
      <c r="O239" s="2369"/>
      <c r="P239" s="2369"/>
      <c r="Q239" s="2369"/>
      <c r="R239" s="2369"/>
      <c r="S239" s="2369"/>
      <c r="T239" s="2369"/>
    </row>
    <row r="240" spans="1:20">
      <c r="A240" s="2369"/>
      <c r="B240" s="2369"/>
      <c r="C240" s="2369"/>
      <c r="D240" s="2369"/>
      <c r="E240" s="2369"/>
      <c r="F240" s="2369"/>
      <c r="G240" s="2369"/>
      <c r="H240" s="2369"/>
      <c r="I240" s="2369"/>
      <c r="J240" s="2369"/>
      <c r="K240" s="2370"/>
      <c r="L240" s="2371"/>
      <c r="M240" s="2369"/>
      <c r="N240" s="2369"/>
      <c r="O240" s="2369"/>
      <c r="P240" s="2369"/>
      <c r="Q240" s="2369"/>
      <c r="R240" s="2369"/>
      <c r="S240" s="2369"/>
      <c r="T240" s="2369"/>
    </row>
    <row r="241" spans="1:20">
      <c r="A241" s="2369"/>
      <c r="B241" s="2369"/>
      <c r="C241" s="2369"/>
      <c r="D241" s="2369"/>
      <c r="E241" s="2369"/>
      <c r="F241" s="2369"/>
      <c r="G241" s="2369"/>
      <c r="H241" s="2369"/>
      <c r="I241" s="2369"/>
      <c r="J241" s="2369"/>
      <c r="K241" s="2370"/>
      <c r="L241" s="2371"/>
      <c r="M241" s="2369"/>
      <c r="N241" s="2369"/>
      <c r="O241" s="2369"/>
      <c r="P241" s="2369"/>
      <c r="Q241" s="2369"/>
      <c r="R241" s="2369"/>
      <c r="S241" s="2369"/>
      <c r="T241" s="236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73" priority="14" stopIfTrue="1" operator="containsText" text="超过">
      <formula>NOT(ISERROR(SEARCH("超过",F40)))</formula>
    </cfRule>
  </conditionalFormatting>
  <conditionalFormatting sqref="J42">
    <cfRule type="containsText" dxfId="72" priority="13" stopIfTrue="1" operator="containsText" text="超过">
      <formula>NOT(ISERROR(SEARCH("超过",J42)))</formula>
    </cfRule>
  </conditionalFormatting>
  <conditionalFormatting sqref="H42">
    <cfRule type="containsText" dxfId="71" priority="12" stopIfTrue="1" operator="containsText" text="超过">
      <formula>NOT(ISERROR(SEARCH("超过",H42)))</formula>
    </cfRule>
  </conditionalFormatting>
  <conditionalFormatting sqref="F42">
    <cfRule type="containsText" dxfId="70" priority="11" stopIfTrue="1" operator="containsText" text="超过">
      <formula>NOT(ISERROR(SEARCH("超过",F42)))</formula>
    </cfRule>
  </conditionalFormatting>
  <conditionalFormatting sqref="F41 H41 J41">
    <cfRule type="containsText" dxfId="69" priority="10" stopIfTrue="1" operator="containsText" text="超过">
      <formula>NOT(ISERROR(SEARCH("超过",F41)))</formula>
    </cfRule>
  </conditionalFormatting>
  <conditionalFormatting sqref="E40">
    <cfRule type="expression" dxfId="68" priority="9" stopIfTrue="1">
      <formula>$F$40="超过30%"</formula>
    </cfRule>
  </conditionalFormatting>
  <conditionalFormatting sqref="G42">
    <cfRule type="expression" dxfId="67" priority="8" stopIfTrue="1">
      <formula>$H$54+$H$42="超过30%"</formula>
    </cfRule>
  </conditionalFormatting>
  <conditionalFormatting sqref="E41">
    <cfRule type="expression" dxfId="66" priority="7" stopIfTrue="1">
      <formula>$F$41="超过20%"</formula>
    </cfRule>
  </conditionalFormatting>
  <conditionalFormatting sqref="E42">
    <cfRule type="expression" dxfId="65" priority="6" stopIfTrue="1">
      <formula>$F$42="超过30%"</formula>
    </cfRule>
  </conditionalFormatting>
  <conditionalFormatting sqref="G40">
    <cfRule type="expression" dxfId="64" priority="5" stopIfTrue="1">
      <formula>$H$52+$H$40="超过30%"</formula>
    </cfRule>
  </conditionalFormatting>
  <conditionalFormatting sqref="G41">
    <cfRule type="expression" dxfId="63" priority="4" stopIfTrue="1">
      <formula>$H$53+$H$41="超过20%"</formula>
    </cfRule>
  </conditionalFormatting>
  <conditionalFormatting sqref="I40">
    <cfRule type="expression" dxfId="62" priority="3" stopIfTrue="1">
      <formula>$J$40="超过30%"</formula>
    </cfRule>
  </conditionalFormatting>
  <conditionalFormatting sqref="I41">
    <cfRule type="expression" dxfId="61" priority="2" stopIfTrue="1">
      <formula>$J$41="超过20%"</formula>
    </cfRule>
  </conditionalFormatting>
  <conditionalFormatting sqref="I42">
    <cfRule type="expression" dxfId="60"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sheetPr codeName="Sheet15">
    <tabColor rgb="FF92D050"/>
    <pageSetUpPr fitToPage="1"/>
  </sheetPr>
  <dimension ref="A1:AD132"/>
  <sheetViews>
    <sheetView zoomScale="80" zoomScaleNormal="80" workbookViewId="0">
      <selection activeCell="E57" sqref="E57:E60"/>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7" customWidth="1"/>
    <col min="12" max="12" width="12.25" style="838"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481</v>
      </c>
      <c r="B1" s="738"/>
      <c r="C1" s="739" t="s">
        <v>482</v>
      </c>
      <c r="D1" s="1302"/>
      <c r="E1" s="1302"/>
      <c r="F1" s="1301" t="s">
        <v>389</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c r="AD1" s="740"/>
    </row>
    <row r="2" spans="1:30" s="741" customFormat="1" ht="28.5" customHeight="1">
      <c r="A2" s="577" t="s">
        <v>345</v>
      </c>
      <c r="B2" s="1079" t="e">
        <f>F66</f>
        <v>#DIV/0!</v>
      </c>
      <c r="C2" s="2338"/>
      <c r="D2" s="2338"/>
      <c r="E2" s="2339"/>
      <c r="F2" s="2340"/>
      <c r="G2" s="2339"/>
      <c r="H2" s="2339"/>
      <c r="I2" s="2339"/>
      <c r="J2" s="2339"/>
      <c r="K2" s="2341"/>
      <c r="L2" s="2342"/>
      <c r="M2" s="2343"/>
      <c r="N2" s="2343"/>
      <c r="O2" s="2343"/>
      <c r="P2" s="1315"/>
      <c r="Q2" s="1315"/>
      <c r="R2" s="1315"/>
      <c r="S2" s="1315"/>
      <c r="T2" s="1315"/>
      <c r="U2" s="1315"/>
      <c r="V2" s="1315"/>
      <c r="W2" s="1315"/>
      <c r="X2" s="1315"/>
      <c r="Y2" s="1315"/>
      <c r="Z2" s="1315"/>
      <c r="AA2" s="1315"/>
      <c r="AB2" s="1315"/>
      <c r="AC2" s="1316"/>
      <c r="AD2" s="740"/>
    </row>
    <row r="3" spans="1:30" s="741" customFormat="1" ht="28.5" customHeight="1" thickBot="1">
      <c r="A3" s="579" t="s">
        <v>346</v>
      </c>
      <c r="B3" s="951" t="e">
        <f>ROUND(IF(D3="",B2*10000/'数据-汇总表'!E3,B2*10000/D3),0)</f>
        <v>#DIV/0!</v>
      </c>
      <c r="C3" s="579" t="s">
        <v>2890</v>
      </c>
      <c r="D3" s="3049"/>
      <c r="E3" s="2339"/>
      <c r="F3" s="2340"/>
      <c r="G3" s="2339"/>
      <c r="H3" s="2339"/>
      <c r="I3" s="2339"/>
      <c r="J3" s="2339"/>
      <c r="K3" s="2341"/>
      <c r="L3" s="2342"/>
      <c r="M3" s="2343"/>
      <c r="N3" s="2343"/>
      <c r="O3" s="2343"/>
      <c r="P3" s="1315"/>
      <c r="Q3" s="1315"/>
      <c r="R3" s="1315"/>
      <c r="S3" s="1315"/>
      <c r="T3" s="1315"/>
      <c r="U3" s="1315"/>
      <c r="V3" s="1315"/>
      <c r="W3" s="1315"/>
      <c r="X3" s="1315"/>
      <c r="Y3" s="1315"/>
      <c r="Z3" s="1315"/>
      <c r="AA3" s="1315"/>
      <c r="AB3" s="1408"/>
      <c r="AC3" s="1398"/>
    </row>
    <row r="4" spans="1:30" ht="15">
      <c r="A4" s="744" t="s">
        <v>390</v>
      </c>
      <c r="B4" s="745"/>
      <c r="C4" s="3745" t="s">
        <v>391</v>
      </c>
      <c r="D4" s="3746"/>
      <c r="E4" s="3747" t="s">
        <v>392</v>
      </c>
      <c r="F4" s="3748"/>
      <c r="G4" s="3745" t="s">
        <v>393</v>
      </c>
      <c r="H4" s="3746"/>
      <c r="I4" s="3745" t="s">
        <v>394</v>
      </c>
      <c r="J4" s="3746"/>
      <c r="K4" s="952" t="s">
        <v>395</v>
      </c>
      <c r="L4" s="2344"/>
      <c r="M4" s="2345"/>
      <c r="N4" s="2345"/>
      <c r="O4" s="2345"/>
      <c r="P4" s="3749" t="s">
        <v>396</v>
      </c>
      <c r="Q4" s="3750"/>
      <c r="R4" s="3735" t="s">
        <v>392</v>
      </c>
      <c r="S4" s="3736"/>
      <c r="T4" s="3735" t="s">
        <v>393</v>
      </c>
      <c r="U4" s="3736"/>
      <c r="V4" s="3757" t="s">
        <v>394</v>
      </c>
      <c r="W4" s="3757"/>
      <c r="X4" s="1317"/>
      <c r="Y4" s="3735" t="s">
        <v>396</v>
      </c>
      <c r="Z4" s="3736"/>
      <c r="AA4" s="3730" t="s">
        <v>392</v>
      </c>
      <c r="AB4" s="3731" t="s">
        <v>393</v>
      </c>
      <c r="AC4" s="3730" t="s">
        <v>394</v>
      </c>
    </row>
    <row r="5" spans="1:30" ht="15">
      <c r="A5" s="747"/>
      <c r="B5" s="748"/>
      <c r="C5" s="3651" t="s">
        <v>1132</v>
      </c>
      <c r="D5" s="3652"/>
      <c r="E5" s="3649" t="s">
        <v>1133</v>
      </c>
      <c r="F5" s="3650"/>
      <c r="G5" s="3651" t="s">
        <v>1136</v>
      </c>
      <c r="H5" s="3652"/>
      <c r="I5" s="3651" t="s">
        <v>1134</v>
      </c>
      <c r="J5" s="3652"/>
      <c r="K5" s="952"/>
      <c r="L5" s="2344"/>
      <c r="M5" s="2345"/>
      <c r="N5" s="2345"/>
      <c r="O5" s="2345"/>
      <c r="P5" s="3751"/>
      <c r="Q5" s="3752"/>
      <c r="R5" s="3737"/>
      <c r="S5" s="3738"/>
      <c r="T5" s="3737"/>
      <c r="U5" s="3738"/>
      <c r="V5" s="3757"/>
      <c r="W5" s="3757"/>
      <c r="X5" s="1317"/>
      <c r="Y5" s="3737"/>
      <c r="Z5" s="3738"/>
      <c r="AA5" s="3731"/>
      <c r="AB5" s="3731"/>
      <c r="AC5" s="3731"/>
    </row>
    <row r="6" spans="1:30" ht="15.75" thickBot="1">
      <c r="A6" s="749"/>
      <c r="B6" s="750"/>
      <c r="C6" s="3653" t="s">
        <v>1135</v>
      </c>
      <c r="D6" s="3654"/>
      <c r="E6" s="3655" t="s">
        <v>1135</v>
      </c>
      <c r="F6" s="3656"/>
      <c r="G6" s="3653" t="s">
        <v>1135</v>
      </c>
      <c r="H6" s="3654"/>
      <c r="I6" s="3653" t="s">
        <v>1135</v>
      </c>
      <c r="J6" s="3654"/>
      <c r="K6" s="952" t="s">
        <v>397</v>
      </c>
      <c r="L6" s="2344"/>
      <c r="M6" s="2345"/>
      <c r="N6" s="2345"/>
      <c r="O6" s="2345"/>
      <c r="P6" s="3753"/>
      <c r="Q6" s="3754"/>
      <c r="R6" s="3737"/>
      <c r="S6" s="3738"/>
      <c r="T6" s="3755"/>
      <c r="U6" s="3756"/>
      <c r="V6" s="3757"/>
      <c r="W6" s="3757"/>
      <c r="X6" s="1317"/>
      <c r="Y6" s="3755"/>
      <c r="Z6" s="3756"/>
      <c r="AA6" s="3732"/>
      <c r="AB6" s="3732"/>
      <c r="AC6" s="3732"/>
    </row>
    <row r="7" spans="1:30" s="407" customFormat="1" ht="15.75" thickBot="1">
      <c r="A7" s="751" t="s">
        <v>398</v>
      </c>
      <c r="B7" s="752"/>
      <c r="C7" s="753">
        <f>'数据-取费表'!B2</f>
        <v>42958</v>
      </c>
      <c r="D7" s="754">
        <v>100</v>
      </c>
      <c r="E7" s="1016">
        <v>42309</v>
      </c>
      <c r="F7" s="756">
        <f>SUMIF(70:70,YEAR(E7)&amp;"-"&amp;INT((MONTH(E7)+2)/3),71:71)</f>
        <v>0</v>
      </c>
      <c r="G7" s="1017">
        <v>42309</v>
      </c>
      <c r="H7" s="754">
        <f>SUMIF(70:70,YEAR(G7)&amp;"-"&amp;INT((MONTH(G7)+2)/3),71:71)</f>
        <v>0</v>
      </c>
      <c r="I7" s="1017">
        <v>42036</v>
      </c>
      <c r="J7" s="754">
        <f>SUMIF(70:70,YEAR(I7)&amp;"-"&amp;INT((MONTH(I7)+2)/3),71:71)</f>
        <v>0</v>
      </c>
      <c r="K7" s="953"/>
      <c r="L7" s="2346"/>
      <c r="M7" s="2347"/>
      <c r="N7" s="2347"/>
      <c r="O7" s="2347"/>
      <c r="P7" s="3733" t="s">
        <v>399</v>
      </c>
      <c r="Q7" s="3758"/>
      <c r="R7" s="1318" t="s">
        <v>65</v>
      </c>
      <c r="S7" s="1319">
        <f t="shared" ref="S7:S15" si="0">F7</f>
        <v>0</v>
      </c>
      <c r="T7" s="1318" t="s">
        <v>65</v>
      </c>
      <c r="U7" s="1319">
        <f t="shared" ref="U7:U15" si="1">H7</f>
        <v>0</v>
      </c>
      <c r="V7" s="1318" t="s">
        <v>65</v>
      </c>
      <c r="W7" s="1319">
        <f t="shared" ref="W7:W15" si="2">J7</f>
        <v>0</v>
      </c>
      <c r="X7" s="1320"/>
      <c r="Y7" s="3733" t="s">
        <v>399</v>
      </c>
      <c r="Z7" s="3734"/>
      <c r="AA7" s="1321" t="e">
        <f>D7/F7</f>
        <v>#DIV/0!</v>
      </c>
      <c r="AB7" s="1321" t="e">
        <f>D7/H7</f>
        <v>#DIV/0!</v>
      </c>
      <c r="AC7" s="1321" t="e">
        <f>D7/J7</f>
        <v>#DIV/0!</v>
      </c>
    </row>
    <row r="8" spans="1:30" s="407" customFormat="1" ht="15.75" thickBot="1">
      <c r="A8" s="751" t="s">
        <v>400</v>
      </c>
      <c r="B8" s="752"/>
      <c r="C8" s="1019" t="s">
        <v>155</v>
      </c>
      <c r="D8" s="754">
        <v>100</v>
      </c>
      <c r="E8" s="1019"/>
      <c r="F8" s="756">
        <f>SUMIF(73:73,E8,74:74)-SUMIF(73:73,C8,74:74)+100</f>
        <v>0</v>
      </c>
      <c r="G8" s="1019"/>
      <c r="H8" s="754">
        <f>SUMIF(73:73,G8,74:74)-SUMIF(73:73,C8,74:74)+100</f>
        <v>0</v>
      </c>
      <c r="I8" s="1019"/>
      <c r="J8" s="754">
        <f>SUMIF(73:73,I8,74:74)-SUMIF(73:73,C8,74:74)+100</f>
        <v>0</v>
      </c>
      <c r="K8" s="953"/>
      <c r="L8" s="2346"/>
      <c r="M8" s="2347"/>
      <c r="N8" s="2347"/>
      <c r="O8" s="2347"/>
      <c r="P8" s="3733" t="s">
        <v>435</v>
      </c>
      <c r="Q8" s="3734"/>
      <c r="R8" s="1318" t="s">
        <v>65</v>
      </c>
      <c r="S8" s="1319">
        <f t="shared" si="0"/>
        <v>0</v>
      </c>
      <c r="T8" s="1318" t="s">
        <v>65</v>
      </c>
      <c r="U8" s="1319">
        <f t="shared" si="1"/>
        <v>0</v>
      </c>
      <c r="V8" s="1318" t="s">
        <v>65</v>
      </c>
      <c r="W8" s="1319">
        <f t="shared" si="2"/>
        <v>0</v>
      </c>
      <c r="X8" s="1320"/>
      <c r="Y8" s="3733" t="s">
        <v>435</v>
      </c>
      <c r="Z8" s="3734"/>
      <c r="AA8" s="1321" t="e">
        <f t="shared" ref="AA8:AA45" si="3">D8/F8</f>
        <v>#DIV/0!</v>
      </c>
      <c r="AB8" s="1321" t="e">
        <f t="shared" ref="AB8:AB45" si="4">D8/H8</f>
        <v>#DIV/0!</v>
      </c>
      <c r="AC8" s="1321" t="e">
        <f t="shared" ref="AC8:AC45" si="5">D8/J8</f>
        <v>#DIV/0!</v>
      </c>
    </row>
    <row r="9" spans="1:30" s="407" customFormat="1">
      <c r="A9" s="758" t="s">
        <v>401</v>
      </c>
      <c r="B9" s="361" t="s">
        <v>419</v>
      </c>
      <c r="C9" s="1021"/>
      <c r="D9" s="425">
        <v>100</v>
      </c>
      <c r="E9" s="1021"/>
      <c r="F9" s="425">
        <f>SUMIF(75:75,E9,76:76)-SUMIF(75:75,C9,76:76)+100</f>
        <v>100</v>
      </c>
      <c r="G9" s="1021"/>
      <c r="H9" s="425">
        <f>SUMIF(75:75,G9,76:76)-SUMIF(75:75,C9,76:76)+100</f>
        <v>100</v>
      </c>
      <c r="I9" s="1021"/>
      <c r="J9" s="425">
        <f>SUMIF(75:75,I9,76:76)-SUMIF(75:75,C9,76:76)+100</f>
        <v>100</v>
      </c>
      <c r="K9" s="953"/>
      <c r="L9" s="2346"/>
      <c r="M9" s="2347"/>
      <c r="N9" s="2347"/>
      <c r="O9" s="2348"/>
      <c r="P9" s="3744" t="s">
        <v>402</v>
      </c>
      <c r="Q9" s="296" t="str">
        <f t="shared" ref="Q9:Q15" si="6">B9</f>
        <v>用途</v>
      </c>
      <c r="R9" s="1318" t="s">
        <v>65</v>
      </c>
      <c r="S9" s="1319">
        <f t="shared" si="0"/>
        <v>100</v>
      </c>
      <c r="T9" s="1318" t="s">
        <v>65</v>
      </c>
      <c r="U9" s="1319">
        <f t="shared" si="1"/>
        <v>100</v>
      </c>
      <c r="V9" s="1318" t="s">
        <v>65</v>
      </c>
      <c r="W9" s="1319">
        <f t="shared" si="2"/>
        <v>100</v>
      </c>
      <c r="X9" s="1320"/>
      <c r="Y9" s="3609" t="s">
        <v>403</v>
      </c>
      <c r="Z9" s="344" t="str">
        <f t="shared" ref="Z9:Z15" si="7">Q9</f>
        <v>用途</v>
      </c>
      <c r="AA9" s="1321">
        <f t="shared" si="3"/>
        <v>1</v>
      </c>
      <c r="AB9" s="1321">
        <f t="shared" si="4"/>
        <v>1</v>
      </c>
      <c r="AC9" s="1321">
        <f t="shared" si="5"/>
        <v>1</v>
      </c>
    </row>
    <row r="10" spans="1:30" s="769" customFormat="1" ht="27">
      <c r="A10" s="763"/>
      <c r="B10" s="764" t="s">
        <v>404</v>
      </c>
      <c r="C10" s="774"/>
      <c r="D10" s="426">
        <v>100</v>
      </c>
      <c r="E10" s="807"/>
      <c r="F10" s="426" t="e">
        <f>ROUND(100/'数据-取费表'!G16,0)</f>
        <v>#DIV/0!</v>
      </c>
      <c r="G10" s="805"/>
      <c r="H10" s="426" t="e">
        <f>ROUND(100/'数据-取费表'!G16,0)</f>
        <v>#DIV/0!</v>
      </c>
      <c r="I10" s="805"/>
      <c r="J10" s="426" t="e">
        <f>ROUND(100/'数据-取费表'!G16,0)</f>
        <v>#DIV/0!</v>
      </c>
      <c r="K10" s="1080"/>
      <c r="L10" s="2349"/>
      <c r="M10" s="2350"/>
      <c r="N10" s="2350"/>
      <c r="O10" s="2351"/>
      <c r="P10" s="3744"/>
      <c r="Q10" s="296" t="str">
        <f t="shared" si="6"/>
        <v>土地使用年限（年）</v>
      </c>
      <c r="R10" s="1318" t="s">
        <v>65</v>
      </c>
      <c r="S10" s="1319" t="e">
        <f t="shared" si="0"/>
        <v>#DIV/0!</v>
      </c>
      <c r="T10" s="1318" t="s">
        <v>65</v>
      </c>
      <c r="U10" s="1319" t="e">
        <f t="shared" si="1"/>
        <v>#DIV/0!</v>
      </c>
      <c r="V10" s="1318" t="s">
        <v>65</v>
      </c>
      <c r="W10" s="1319" t="e">
        <f t="shared" si="2"/>
        <v>#DIV/0!</v>
      </c>
      <c r="X10" s="1320"/>
      <c r="Y10" s="3609"/>
      <c r="Z10" s="344" t="str">
        <f t="shared" si="7"/>
        <v>土地使用年限（年）</v>
      </c>
      <c r="AA10" s="1321" t="e">
        <f t="shared" si="3"/>
        <v>#DIV/0!</v>
      </c>
      <c r="AB10" s="1321" t="e">
        <f t="shared" si="4"/>
        <v>#DIV/0!</v>
      </c>
      <c r="AC10" s="1321" t="e">
        <f t="shared" si="5"/>
        <v>#DIV/0!</v>
      </c>
    </row>
    <row r="11" spans="1:30" ht="15">
      <c r="A11" s="770"/>
      <c r="B11" s="764" t="s">
        <v>405</v>
      </c>
      <c r="C11" s="771"/>
      <c r="D11" s="426">
        <v>100</v>
      </c>
      <c r="E11" s="771"/>
      <c r="F11" s="426" t="e">
        <f>LOOKUP(E11,80:80,81:81)-LOOKUP(C11,80:80,81:81)+100</f>
        <v>#N/A</v>
      </c>
      <c r="G11" s="772"/>
      <c r="H11" s="426" t="e">
        <f>LOOKUP(G11,80:80,81:81)-LOOKUP(C11,80:80,81:81)+100</f>
        <v>#N/A</v>
      </c>
      <c r="I11" s="771"/>
      <c r="J11" s="426" t="e">
        <f>LOOKUP(I11,80:80,81:81)-LOOKUP(C11,80:80,81:81)+100</f>
        <v>#N/A</v>
      </c>
      <c r="K11" s="1081"/>
      <c r="L11" s="2352"/>
      <c r="M11" s="2345"/>
      <c r="N11" s="2345"/>
      <c r="O11" s="2353"/>
      <c r="P11" s="3744"/>
      <c r="Q11" s="296" t="str">
        <f t="shared" si="6"/>
        <v>容积率</v>
      </c>
      <c r="R11" s="1318" t="s">
        <v>65</v>
      </c>
      <c r="S11" s="1319" t="e">
        <f t="shared" si="0"/>
        <v>#N/A</v>
      </c>
      <c r="T11" s="1318" t="s">
        <v>65</v>
      </c>
      <c r="U11" s="1319" t="e">
        <f t="shared" si="1"/>
        <v>#N/A</v>
      </c>
      <c r="V11" s="1318" t="s">
        <v>65</v>
      </c>
      <c r="W11" s="1319" t="e">
        <f t="shared" si="2"/>
        <v>#N/A</v>
      </c>
      <c r="X11" s="1320"/>
      <c r="Y11" s="3609"/>
      <c r="Z11" s="344" t="str">
        <f t="shared" si="7"/>
        <v>容积率</v>
      </c>
      <c r="AA11" s="1321" t="e">
        <f t="shared" si="3"/>
        <v>#N/A</v>
      </c>
      <c r="AB11" s="1321" t="e">
        <f t="shared" si="4"/>
        <v>#N/A</v>
      </c>
      <c r="AC11" s="1321" t="e">
        <f t="shared" si="5"/>
        <v>#N/A</v>
      </c>
    </row>
    <row r="12" spans="1:30" s="407" customFormat="1" ht="15">
      <c r="A12" s="773"/>
      <c r="B12" s="1030" t="s">
        <v>160</v>
      </c>
      <c r="C12" s="1023"/>
      <c r="D12" s="775">
        <v>100</v>
      </c>
      <c r="E12" s="1025"/>
      <c r="F12" s="426">
        <f>SUMIF(82:82,E12,83:83)-SUMIF(82:82,C12,83:83)+100</f>
        <v>100</v>
      </c>
      <c r="G12" s="1026"/>
      <c r="H12" s="426">
        <f>SUMIF(82:82,G12,83:83)-SUMIF(82:82,C12,83:83)+100</f>
        <v>100</v>
      </c>
      <c r="I12" s="1025"/>
      <c r="J12" s="426">
        <f>SUMIF(82:82,I12,83:83)-SUMIF(82:82,C12,83:83)+100</f>
        <v>100</v>
      </c>
      <c r="K12" s="1080"/>
      <c r="L12" s="2346"/>
      <c r="M12" s="2347"/>
      <c r="N12" s="2347"/>
      <c r="O12" s="2348"/>
      <c r="P12" s="3744"/>
      <c r="Q12" s="296" t="str">
        <f t="shared" si="6"/>
        <v>配建</v>
      </c>
      <c r="R12" s="1318" t="s">
        <v>65</v>
      </c>
      <c r="S12" s="1319">
        <f t="shared" si="0"/>
        <v>100</v>
      </c>
      <c r="T12" s="1318" t="s">
        <v>65</v>
      </c>
      <c r="U12" s="1319">
        <f t="shared" si="1"/>
        <v>100</v>
      </c>
      <c r="V12" s="1318" t="s">
        <v>65</v>
      </c>
      <c r="W12" s="1319">
        <f t="shared" si="2"/>
        <v>100</v>
      </c>
      <c r="X12" s="1320"/>
      <c r="Y12" s="3609"/>
      <c r="Z12" s="344" t="str">
        <f t="shared" si="7"/>
        <v>配建</v>
      </c>
      <c r="AA12" s="1321">
        <f>D12/F12</f>
        <v>1</v>
      </c>
      <c r="AB12" s="1321">
        <f>D12/H12</f>
        <v>1</v>
      </c>
      <c r="AC12" s="1321">
        <f>D12/J12</f>
        <v>1</v>
      </c>
    </row>
    <row r="13" spans="1:30" ht="15">
      <c r="A13" s="770"/>
      <c r="B13" s="1030">
        <v>111</v>
      </c>
      <c r="C13" s="93"/>
      <c r="D13" s="777">
        <v>100</v>
      </c>
      <c r="E13" s="126"/>
      <c r="F13" s="426">
        <f>SUMIF(84:84,E13,85:85)-SUMIF(84:84,C13,85:85)+100</f>
        <v>100</v>
      </c>
      <c r="G13" s="203"/>
      <c r="H13" s="777">
        <f>SUMIF(84:84,G13,85:85)-SUMIF(84:84,C13,85:85)+100</f>
        <v>100</v>
      </c>
      <c r="I13" s="203"/>
      <c r="J13" s="777">
        <f>SUMIF(84:84,I13,85:85)-SUMIF(84:84,C13,85:85)+100</f>
        <v>100</v>
      </c>
      <c r="K13" s="1080"/>
      <c r="L13" s="2354"/>
      <c r="M13" s="2345"/>
      <c r="N13" s="2345"/>
      <c r="O13" s="2353"/>
      <c r="P13" s="3744"/>
      <c r="Q13" s="296">
        <f t="shared" si="6"/>
        <v>111</v>
      </c>
      <c r="R13" s="1318" t="s">
        <v>65</v>
      </c>
      <c r="S13" s="1319">
        <f t="shared" si="0"/>
        <v>100</v>
      </c>
      <c r="T13" s="1318" t="s">
        <v>65</v>
      </c>
      <c r="U13" s="1319">
        <f t="shared" si="1"/>
        <v>100</v>
      </c>
      <c r="V13" s="1318" t="s">
        <v>65</v>
      </c>
      <c r="W13" s="1319">
        <f t="shared" si="2"/>
        <v>100</v>
      </c>
      <c r="X13" s="1320"/>
      <c r="Y13" s="3609"/>
      <c r="Z13" s="344">
        <f t="shared" si="7"/>
        <v>111</v>
      </c>
      <c r="AA13" s="1321">
        <f>D13/F13</f>
        <v>1</v>
      </c>
      <c r="AB13" s="1321">
        <f>D13/H13</f>
        <v>1</v>
      </c>
      <c r="AC13" s="1321">
        <f>D13/J13</f>
        <v>1</v>
      </c>
    </row>
    <row r="14" spans="1:30" ht="15.75" thickBot="1">
      <c r="A14" s="778"/>
      <c r="B14" s="1031">
        <v>111</v>
      </c>
      <c r="C14" s="94"/>
      <c r="D14" s="780">
        <v>100</v>
      </c>
      <c r="E14" s="126"/>
      <c r="F14" s="780">
        <f>SUMIF(86:86,E14,87:87)-SUMIF(86:86,C14,87:87)+100</f>
        <v>100</v>
      </c>
      <c r="G14" s="203"/>
      <c r="H14" s="780">
        <f>SUMIF(86:86,G14,87:87)-SUMIF(86:86,C14,87:87)+100</f>
        <v>100</v>
      </c>
      <c r="I14" s="203"/>
      <c r="J14" s="780">
        <f>SUMIF(86:86,I14,87:87)-SUMIF(86:86,C14,87:87)+100</f>
        <v>100</v>
      </c>
      <c r="K14" s="1080"/>
      <c r="L14" s="2354"/>
      <c r="M14" s="2345"/>
      <c r="N14" s="2345"/>
      <c r="O14" s="2353"/>
      <c r="P14" s="3744"/>
      <c r="Q14" s="296">
        <f t="shared" si="6"/>
        <v>111</v>
      </c>
      <c r="R14" s="1318" t="s">
        <v>65</v>
      </c>
      <c r="S14" s="1319">
        <f t="shared" si="0"/>
        <v>100</v>
      </c>
      <c r="T14" s="1318" t="s">
        <v>65</v>
      </c>
      <c r="U14" s="1319">
        <f t="shared" si="1"/>
        <v>100</v>
      </c>
      <c r="V14" s="1318" t="s">
        <v>65</v>
      </c>
      <c r="W14" s="1319">
        <f t="shared" si="2"/>
        <v>100</v>
      </c>
      <c r="X14" s="1320"/>
      <c r="Y14" s="3609"/>
      <c r="Z14" s="344">
        <f t="shared" si="7"/>
        <v>111</v>
      </c>
      <c r="AA14" s="1321">
        <f>D14/F14</f>
        <v>1</v>
      </c>
      <c r="AB14" s="1321">
        <f>D14/H14</f>
        <v>1</v>
      </c>
      <c r="AC14" s="1321">
        <f>D14/J14</f>
        <v>1</v>
      </c>
    </row>
    <row r="15" spans="1:30" ht="94.5">
      <c r="A15" s="782" t="s">
        <v>406</v>
      </c>
      <c r="B15" s="359" t="s">
        <v>286</v>
      </c>
      <c r="C15" s="157" t="str">
        <f>估价对象房地状况!C15</f>
        <v>估价对象周边居住用地比例、居住小区规模和社区发展完善程度，综合评价居住社区成熟度一般</v>
      </c>
      <c r="D15" s="783">
        <v>100</v>
      </c>
      <c r="E15" s="784"/>
      <c r="F15" s="783">
        <f>SUMIF(88:88,E16,89:89)-SUMIF(88:88,C16,89:89)+100</f>
        <v>100</v>
      </c>
      <c r="G15" s="784"/>
      <c r="H15" s="783">
        <f>SUMIF(88:88,G16,89:89)-SUMIF(88:88,C16,89:89)+100</f>
        <v>100</v>
      </c>
      <c r="I15" s="786"/>
      <c r="J15" s="783">
        <f>SUMIF(88:88,I16,89:89)-SUMIF(88:88,C16,89:89)+100</f>
        <v>100</v>
      </c>
      <c r="K15" s="1081"/>
      <c r="L15" s="2354"/>
      <c r="M15" s="2345"/>
      <c r="N15" s="2345"/>
      <c r="O15" s="2353"/>
      <c r="P15" s="3759" t="s">
        <v>407</v>
      </c>
      <c r="Q15" s="1322" t="str">
        <f t="shared" si="6"/>
        <v>居住社区成熟度</v>
      </c>
      <c r="R15" s="1323" t="s">
        <v>65</v>
      </c>
      <c r="S15" s="1324">
        <f t="shared" si="0"/>
        <v>100</v>
      </c>
      <c r="T15" s="1323" t="s">
        <v>65</v>
      </c>
      <c r="U15" s="1324">
        <f t="shared" si="1"/>
        <v>100</v>
      </c>
      <c r="V15" s="1323" t="s">
        <v>65</v>
      </c>
      <c r="W15" s="1324">
        <f t="shared" si="2"/>
        <v>100</v>
      </c>
      <c r="X15" s="1317"/>
      <c r="Y15" s="3759" t="s">
        <v>407</v>
      </c>
      <c r="Z15" s="1325" t="str">
        <f t="shared" si="7"/>
        <v>居住社区成熟度</v>
      </c>
      <c r="AA15" s="1326">
        <f t="shared" si="3"/>
        <v>1</v>
      </c>
      <c r="AB15" s="1326">
        <f t="shared" si="4"/>
        <v>1</v>
      </c>
      <c r="AC15" s="1326">
        <f t="shared" si="5"/>
        <v>1</v>
      </c>
    </row>
    <row r="16" spans="1:30" ht="15">
      <c r="A16" s="770"/>
      <c r="B16" s="788"/>
      <c r="C16" s="97"/>
      <c r="D16" s="790"/>
      <c r="E16" s="98"/>
      <c r="F16" s="790"/>
      <c r="G16" s="98"/>
      <c r="H16" s="792"/>
      <c r="I16" s="99"/>
      <c r="J16" s="790"/>
      <c r="K16" s="1080"/>
      <c r="L16" s="2354"/>
      <c r="M16" s="2345"/>
      <c r="N16" s="2345"/>
      <c r="O16" s="2353"/>
      <c r="P16" s="3760"/>
      <c r="Q16" s="1322"/>
      <c r="R16" s="1323"/>
      <c r="S16" s="1324"/>
      <c r="T16" s="1323"/>
      <c r="U16" s="1324"/>
      <c r="V16" s="1323"/>
      <c r="W16" s="1324"/>
      <c r="X16" s="1317"/>
      <c r="Y16" s="3760"/>
      <c r="Z16" s="1325"/>
      <c r="AA16" s="1326">
        <v>1</v>
      </c>
      <c r="AB16" s="1326">
        <v>1</v>
      </c>
      <c r="AC16" s="1326">
        <v>1</v>
      </c>
    </row>
    <row r="17" spans="1:29" ht="81">
      <c r="A17" s="770"/>
      <c r="B17" s="793" t="s">
        <v>436</v>
      </c>
      <c r="C17" s="190" t="str">
        <f>估价对象房地状况!C16</f>
        <v>估价对象位于XX商圈，周边商业氛围成熟，人流量大，商业繁华度好</v>
      </c>
      <c r="D17" s="792">
        <v>100</v>
      </c>
      <c r="E17" s="794"/>
      <c r="F17" s="792">
        <f>SUMIF(90:90,E18,91:91)-SUMIF(90:90,C18,91:91)+100</f>
        <v>100</v>
      </c>
      <c r="G17" s="794"/>
      <c r="H17" s="797">
        <f>SUMIF(90:90,G18,91:91)-SUMIF(90:90,C18,91:91)+100</f>
        <v>100</v>
      </c>
      <c r="I17" s="796"/>
      <c r="J17" s="797">
        <f>SUMIF(90:90,I18,91:91)-SUMIF(90:90,C18,91:91)+100</f>
        <v>100</v>
      </c>
      <c r="K17" s="1081"/>
      <c r="L17" s="2354"/>
      <c r="M17" s="2345"/>
      <c r="N17" s="2345"/>
      <c r="O17" s="2353"/>
      <c r="P17" s="3760"/>
      <c r="Q17" s="1322" t="str">
        <f>B17</f>
        <v>商业繁华度</v>
      </c>
      <c r="R17" s="1323" t="s">
        <v>65</v>
      </c>
      <c r="S17" s="1324">
        <f>F17</f>
        <v>100</v>
      </c>
      <c r="T17" s="1323" t="s">
        <v>65</v>
      </c>
      <c r="U17" s="1324">
        <f>H17</f>
        <v>100</v>
      </c>
      <c r="V17" s="1323" t="s">
        <v>65</v>
      </c>
      <c r="W17" s="1324">
        <f>J17</f>
        <v>100</v>
      </c>
      <c r="X17" s="1317"/>
      <c r="Y17" s="3760"/>
      <c r="Z17" s="1325" t="str">
        <f>Q17</f>
        <v>商业繁华度</v>
      </c>
      <c r="AA17" s="1326">
        <f t="shared" si="3"/>
        <v>1</v>
      </c>
      <c r="AB17" s="1326">
        <f t="shared" si="4"/>
        <v>1</v>
      </c>
      <c r="AC17" s="1326">
        <f t="shared" si="5"/>
        <v>1</v>
      </c>
    </row>
    <row r="18" spans="1:29" ht="15">
      <c r="A18" s="770"/>
      <c r="B18" s="798"/>
      <c r="C18" s="102"/>
      <c r="D18" s="792"/>
      <c r="E18" s="103"/>
      <c r="F18" s="792"/>
      <c r="G18" s="103"/>
      <c r="H18" s="790"/>
      <c r="I18" s="104"/>
      <c r="J18" s="790"/>
      <c r="K18" s="1080"/>
      <c r="L18" s="2354"/>
      <c r="M18" s="2345"/>
      <c r="N18" s="2345"/>
      <c r="O18" s="2353"/>
      <c r="P18" s="3760"/>
      <c r="Q18" s="1322"/>
      <c r="R18" s="1323"/>
      <c r="S18" s="1324"/>
      <c r="T18" s="1323"/>
      <c r="U18" s="1324"/>
      <c r="V18" s="1323"/>
      <c r="W18" s="1324"/>
      <c r="X18" s="1317"/>
      <c r="Y18" s="3760"/>
      <c r="Z18" s="1325"/>
      <c r="AA18" s="1326">
        <v>1</v>
      </c>
      <c r="AB18" s="1326">
        <v>1</v>
      </c>
      <c r="AC18" s="1326">
        <v>1</v>
      </c>
    </row>
    <row r="19" spans="1:29" ht="81">
      <c r="A19" s="770"/>
      <c r="B19" s="793" t="s">
        <v>441</v>
      </c>
      <c r="C19" s="190" t="str">
        <f>估价对象房地状况!C17</f>
        <v>估价对象位于XX商圈，周边办公楼项目较多，入驻率高，办公集聚程度较好</v>
      </c>
      <c r="D19" s="797">
        <v>100</v>
      </c>
      <c r="E19" s="799"/>
      <c r="F19" s="797">
        <f>SUMIF(92:92,E20,93:93)-SUMIF(92:92,C20,93:93)+100</f>
        <v>100</v>
      </c>
      <c r="G19" s="799"/>
      <c r="H19" s="792">
        <f>SUMIF(92:92,G20,93:93)-SUMIF(92:92,C20,93:93)+100</f>
        <v>100</v>
      </c>
      <c r="I19" s="801"/>
      <c r="J19" s="792">
        <f>SUMIF(92:92,I20,93:93)-SUMIF(92:92,C20,93:93)+100</f>
        <v>100</v>
      </c>
      <c r="K19" s="1081"/>
      <c r="L19" s="2354"/>
      <c r="M19" s="2345"/>
      <c r="N19" s="2345"/>
      <c r="O19" s="2353"/>
      <c r="P19" s="3760"/>
      <c r="Q19" s="1322" t="str">
        <f>B19</f>
        <v>办公集聚程度</v>
      </c>
      <c r="R19" s="1323" t="s">
        <v>65</v>
      </c>
      <c r="S19" s="1324">
        <f>F19</f>
        <v>100</v>
      </c>
      <c r="T19" s="1323" t="s">
        <v>65</v>
      </c>
      <c r="U19" s="1324">
        <f>H19</f>
        <v>100</v>
      </c>
      <c r="V19" s="1323" t="s">
        <v>65</v>
      </c>
      <c r="W19" s="1324">
        <f>J19</f>
        <v>100</v>
      </c>
      <c r="X19" s="1317"/>
      <c r="Y19" s="3760"/>
      <c r="Z19" s="1325" t="str">
        <f>Q19</f>
        <v>办公集聚程度</v>
      </c>
      <c r="AA19" s="1326">
        <f t="shared" si="3"/>
        <v>1</v>
      </c>
      <c r="AB19" s="1326">
        <f t="shared" si="4"/>
        <v>1</v>
      </c>
      <c r="AC19" s="1326">
        <f t="shared" si="5"/>
        <v>1</v>
      </c>
    </row>
    <row r="20" spans="1:29" ht="15">
      <c r="A20" s="770"/>
      <c r="B20" s="798"/>
      <c r="C20" s="97"/>
      <c r="D20" s="790"/>
      <c r="E20" s="98"/>
      <c r="F20" s="790"/>
      <c r="G20" s="98"/>
      <c r="H20" s="790"/>
      <c r="I20" s="99"/>
      <c r="J20" s="790"/>
      <c r="K20" s="1080"/>
      <c r="L20" s="2354"/>
      <c r="M20" s="2345"/>
      <c r="N20" s="2345"/>
      <c r="O20" s="2353"/>
      <c r="P20" s="3760"/>
      <c r="Q20" s="1322"/>
      <c r="R20" s="1323"/>
      <c r="S20" s="1324"/>
      <c r="T20" s="1323"/>
      <c r="U20" s="1324"/>
      <c r="V20" s="1323"/>
      <c r="W20" s="1324"/>
      <c r="X20" s="1317"/>
      <c r="Y20" s="3760"/>
      <c r="Z20" s="1325"/>
      <c r="AA20" s="1326">
        <v>1</v>
      </c>
      <c r="AB20" s="1326">
        <v>1</v>
      </c>
      <c r="AC20" s="1326">
        <v>1</v>
      </c>
    </row>
    <row r="21" spans="1:29" ht="94.5">
      <c r="A21" s="770"/>
      <c r="B21" s="793" t="s">
        <v>456</v>
      </c>
      <c r="C21" s="158" t="str">
        <f>估价对象房地状况!C18</f>
        <v>估价对象周边道路状况、公共交通通达情况、停车便捷程度，综合评价交通便捷度较好</v>
      </c>
      <c r="D21" s="792">
        <v>100</v>
      </c>
      <c r="E21" s="794"/>
      <c r="F21" s="797">
        <f>SUMIF(94:94,E22,95:95)-SUMIF(94:94,C22,95:95)+100</f>
        <v>100</v>
      </c>
      <c r="G21" s="794"/>
      <c r="H21" s="792">
        <f>SUMIF(94:94,G22,95:95)-SUMIF(94:94,C22,95:95)+100</f>
        <v>100</v>
      </c>
      <c r="I21" s="796"/>
      <c r="J21" s="792">
        <f>SUMIF(94:94,I22,95:95)-SUMIF(94:94,C22,95:95)+100</f>
        <v>100</v>
      </c>
      <c r="K21" s="1081"/>
      <c r="L21" s="2354"/>
      <c r="M21" s="2345"/>
      <c r="N21" s="2345"/>
      <c r="O21" s="2353"/>
      <c r="P21" s="3760"/>
      <c r="Q21" s="1322" t="str">
        <f>B21</f>
        <v>交通便捷度</v>
      </c>
      <c r="R21" s="1323" t="s">
        <v>65</v>
      </c>
      <c r="S21" s="1324">
        <f>F21</f>
        <v>100</v>
      </c>
      <c r="T21" s="1323" t="s">
        <v>65</v>
      </c>
      <c r="U21" s="1324">
        <f>H21</f>
        <v>100</v>
      </c>
      <c r="V21" s="1323" t="s">
        <v>65</v>
      </c>
      <c r="W21" s="1324">
        <f>J21</f>
        <v>100</v>
      </c>
      <c r="X21" s="1317"/>
      <c r="Y21" s="3760"/>
      <c r="Z21" s="1325" t="str">
        <f>Q21</f>
        <v>交通便捷度</v>
      </c>
      <c r="AA21" s="1326">
        <f t="shared" si="3"/>
        <v>1</v>
      </c>
      <c r="AB21" s="1326">
        <f t="shared" si="4"/>
        <v>1</v>
      </c>
      <c r="AC21" s="1326">
        <f t="shared" si="5"/>
        <v>1</v>
      </c>
    </row>
    <row r="22" spans="1:29" ht="15">
      <c r="A22" s="770"/>
      <c r="B22" s="2765"/>
      <c r="C22" s="97"/>
      <c r="D22" s="792"/>
      <c r="E22" s="98"/>
      <c r="F22" s="790"/>
      <c r="G22" s="98"/>
      <c r="H22" s="790"/>
      <c r="I22" s="99"/>
      <c r="J22" s="790"/>
      <c r="K22" s="1080"/>
      <c r="L22" s="2354"/>
      <c r="M22" s="2345"/>
      <c r="N22" s="2345"/>
      <c r="O22" s="2353"/>
      <c r="P22" s="3760"/>
      <c r="Q22" s="1322"/>
      <c r="R22" s="1323"/>
      <c r="S22" s="1324"/>
      <c r="T22" s="1323"/>
      <c r="U22" s="1324"/>
      <c r="V22" s="1323"/>
      <c r="W22" s="1324"/>
      <c r="X22" s="1317"/>
      <c r="Y22" s="3760"/>
      <c r="Z22" s="1325"/>
      <c r="AA22" s="1326">
        <v>1</v>
      </c>
      <c r="AB22" s="1326">
        <v>1</v>
      </c>
      <c r="AC22" s="1326">
        <v>1</v>
      </c>
    </row>
    <row r="23" spans="1:29" ht="27">
      <c r="A23" s="747"/>
      <c r="B23" s="793" t="s">
        <v>483</v>
      </c>
      <c r="C23" s="2770">
        <f>估价对象房地状况!C19</f>
        <v>0</v>
      </c>
      <c r="D23" s="797">
        <v>100</v>
      </c>
      <c r="E23" s="794"/>
      <c r="F23" s="797">
        <f>SUMIF(96:96,E24,97:97)-SUMIF(96:96,C24,97:97)+100</f>
        <v>100</v>
      </c>
      <c r="G23" s="796"/>
      <c r="H23" s="797">
        <f>SUMIF(96:96,G24,97:97)-SUMIF(96:96,C24,97:97)+100</f>
        <v>100</v>
      </c>
      <c r="I23" s="796"/>
      <c r="J23" s="797">
        <f>SUMIF(96:96,I24,97:97)-SUMIF(96:96,C24,97:97)+100</f>
        <v>100</v>
      </c>
      <c r="K23" s="1081"/>
      <c r="L23" s="2354"/>
      <c r="M23" s="2345"/>
      <c r="N23" s="2345"/>
      <c r="O23" s="2353"/>
      <c r="P23" s="3760"/>
      <c r="Q23" s="1322" t="str">
        <f t="shared" ref="Q23:Q37" si="8">B23</f>
        <v>区域土地利用方向</v>
      </c>
      <c r="R23" s="1323" t="s">
        <v>65</v>
      </c>
      <c r="S23" s="1324">
        <f>F23</f>
        <v>100</v>
      </c>
      <c r="T23" s="1323" t="s">
        <v>65</v>
      </c>
      <c r="U23" s="1324">
        <f>H23</f>
        <v>100</v>
      </c>
      <c r="V23" s="1323" t="s">
        <v>65</v>
      </c>
      <c r="W23" s="1324">
        <f>J23</f>
        <v>100</v>
      </c>
      <c r="X23" s="1317"/>
      <c r="Y23" s="3760"/>
      <c r="Z23" s="1325" t="str">
        <f>Q23</f>
        <v>区域土地利用方向</v>
      </c>
      <c r="AA23" s="1326">
        <f t="shared" si="3"/>
        <v>1</v>
      </c>
      <c r="AB23" s="1326">
        <f t="shared" si="4"/>
        <v>1</v>
      </c>
      <c r="AC23" s="1326">
        <f t="shared" si="5"/>
        <v>1</v>
      </c>
    </row>
    <row r="24" spans="1:29" ht="15">
      <c r="A24" s="747"/>
      <c r="B24" s="798"/>
      <c r="C24" s="182"/>
      <c r="D24" s="790"/>
      <c r="E24" s="98"/>
      <c r="F24" s="790"/>
      <c r="G24" s="99"/>
      <c r="H24" s="790"/>
      <c r="I24" s="99"/>
      <c r="J24" s="790"/>
      <c r="K24" s="1482"/>
      <c r="L24" s="2354"/>
      <c r="M24" s="2345"/>
      <c r="N24" s="2345"/>
      <c r="O24" s="2353"/>
      <c r="P24" s="3760"/>
      <c r="Q24" s="1469"/>
      <c r="R24" s="1323"/>
      <c r="S24" s="1324"/>
      <c r="T24" s="1323"/>
      <c r="U24" s="1324"/>
      <c r="V24" s="1323"/>
      <c r="W24" s="1324"/>
      <c r="X24" s="1468"/>
      <c r="Y24" s="3760"/>
      <c r="Z24" s="1470"/>
      <c r="AA24" s="1326"/>
      <c r="AB24" s="1326"/>
      <c r="AC24" s="1326"/>
    </row>
    <row r="25" spans="1:29" ht="54">
      <c r="A25" s="747"/>
      <c r="B25" s="2765" t="s">
        <v>484</v>
      </c>
      <c r="C25" s="190" t="str">
        <f>估价对象房地状况!C20</f>
        <v>区域自然环境：；人文环境；综合评价环境状况一般</v>
      </c>
      <c r="D25" s="792">
        <v>100</v>
      </c>
      <c r="E25" s="794"/>
      <c r="F25" s="792">
        <f>SUMIF(98:98,E26,99:99)-SUMIF(98:98,C26,99:99)+100</f>
        <v>100</v>
      </c>
      <c r="G25" s="794"/>
      <c r="H25" s="792">
        <f>SUMIF(98:98,G26,99:99)-SUMIF(98:98,C26,99:99)+100</f>
        <v>100</v>
      </c>
      <c r="I25" s="796"/>
      <c r="J25" s="792">
        <f>SUMIF(98:98,I26,99:99)-SUMIF(98:98,C26,99:99)+100</f>
        <v>100</v>
      </c>
      <c r="K25" s="1081"/>
      <c r="L25" s="2354"/>
      <c r="M25" s="2345"/>
      <c r="N25" s="2345"/>
      <c r="O25" s="2353"/>
      <c r="P25" s="3760"/>
      <c r="Q25" s="1322" t="str">
        <f t="shared" si="8"/>
        <v>自然及人文环境状况</v>
      </c>
      <c r="R25" s="1323" t="s">
        <v>65</v>
      </c>
      <c r="S25" s="1324">
        <f>F25</f>
        <v>100</v>
      </c>
      <c r="T25" s="1323" t="s">
        <v>65</v>
      </c>
      <c r="U25" s="1324">
        <f>H25</f>
        <v>100</v>
      </c>
      <c r="V25" s="1323" t="s">
        <v>65</v>
      </c>
      <c r="W25" s="1324">
        <f>J25</f>
        <v>100</v>
      </c>
      <c r="X25" s="1317"/>
      <c r="Y25" s="3760"/>
      <c r="Z25" s="1325" t="str">
        <f>Q25</f>
        <v>自然及人文环境状况</v>
      </c>
      <c r="AA25" s="1326">
        <f t="shared" si="3"/>
        <v>1</v>
      </c>
      <c r="AB25" s="1326">
        <f t="shared" si="4"/>
        <v>1</v>
      </c>
      <c r="AC25" s="1326">
        <f t="shared" si="5"/>
        <v>1</v>
      </c>
    </row>
    <row r="26" spans="1:29" ht="15">
      <c r="A26" s="747"/>
      <c r="B26" s="798"/>
      <c r="C26" s="97"/>
      <c r="D26" s="790"/>
      <c r="E26" s="192"/>
      <c r="F26" s="790"/>
      <c r="G26" s="192"/>
      <c r="H26" s="790"/>
      <c r="I26" s="97"/>
      <c r="J26" s="790"/>
      <c r="K26" s="1080"/>
      <c r="L26" s="2354"/>
      <c r="M26" s="2345"/>
      <c r="N26" s="2345"/>
      <c r="O26" s="2353"/>
      <c r="P26" s="3760"/>
      <c r="Q26" s="1322"/>
      <c r="R26" s="1323"/>
      <c r="S26" s="1324"/>
      <c r="T26" s="1323"/>
      <c r="U26" s="1324"/>
      <c r="V26" s="1323"/>
      <c r="W26" s="1324"/>
      <c r="X26" s="1317"/>
      <c r="Y26" s="3760"/>
      <c r="Z26" s="1325"/>
      <c r="AA26" s="1326">
        <v>1</v>
      </c>
      <c r="AB26" s="1326">
        <v>1</v>
      </c>
      <c r="AC26" s="1326">
        <v>1</v>
      </c>
    </row>
    <row r="27" spans="1:29" s="407" customFormat="1" ht="40.5">
      <c r="A27" s="991"/>
      <c r="B27" s="1411" t="s">
        <v>2673</v>
      </c>
      <c r="C27" s="158" t="str">
        <f>估价对象房地状况!C21</f>
        <v>估价对象所在区域公共配套设施齐备情况</v>
      </c>
      <c r="D27" s="792">
        <v>100</v>
      </c>
      <c r="E27" s="794"/>
      <c r="F27" s="792">
        <f>SUMIF(100:100,E28,101:101)-SUMIF(100:100,C28,101:101)+100</f>
        <v>100</v>
      </c>
      <c r="G27" s="794"/>
      <c r="H27" s="792">
        <f>SUMIF(100:100,G28,101:101)-SUMIF(100:100,C28,101:101)+100</f>
        <v>100</v>
      </c>
      <c r="I27" s="796"/>
      <c r="J27" s="792">
        <f>SUMIF(100:100,I28,101:101)-SUMIF(100:100,C28,101:101)+100</f>
        <v>100</v>
      </c>
      <c r="K27" s="1081"/>
      <c r="L27" s="2346"/>
      <c r="M27" s="2347"/>
      <c r="N27" s="2347"/>
      <c r="O27" s="2348"/>
      <c r="P27" s="3760"/>
      <c r="Q27" s="296" t="str">
        <f t="shared" si="8"/>
        <v>公共配套设施</v>
      </c>
      <c r="R27" s="1318" t="s">
        <v>65</v>
      </c>
      <c r="S27" s="1319">
        <f>F27</f>
        <v>100</v>
      </c>
      <c r="T27" s="1318" t="s">
        <v>65</v>
      </c>
      <c r="U27" s="1319">
        <f>H27</f>
        <v>100</v>
      </c>
      <c r="V27" s="1318" t="s">
        <v>65</v>
      </c>
      <c r="W27" s="1319">
        <f>J27</f>
        <v>100</v>
      </c>
      <c r="X27" s="1320"/>
      <c r="Y27" s="3760"/>
      <c r="Z27" s="344" t="str">
        <f>Q27</f>
        <v>公共配套设施</v>
      </c>
      <c r="AA27" s="1326">
        <f>D27/F27</f>
        <v>1</v>
      </c>
      <c r="AB27" s="1326">
        <f>D27/H27</f>
        <v>1</v>
      </c>
      <c r="AC27" s="1326">
        <f>D27/J27</f>
        <v>1</v>
      </c>
    </row>
    <row r="28" spans="1:29" s="407" customFormat="1" ht="15">
      <c r="A28" s="991"/>
      <c r="B28" s="798"/>
      <c r="C28" s="2771"/>
      <c r="D28" s="790"/>
      <c r="E28" s="192"/>
      <c r="F28" s="790"/>
      <c r="G28" s="192"/>
      <c r="H28" s="790"/>
      <c r="I28" s="97"/>
      <c r="J28" s="790"/>
      <c r="K28" s="1080"/>
      <c r="L28" s="2346"/>
      <c r="M28" s="2347"/>
      <c r="N28" s="2347"/>
      <c r="O28" s="2348"/>
      <c r="P28" s="3760"/>
      <c r="Q28" s="296"/>
      <c r="R28" s="1318"/>
      <c r="S28" s="1319"/>
      <c r="T28" s="1318"/>
      <c r="U28" s="1319"/>
      <c r="V28" s="1318"/>
      <c r="W28" s="1319"/>
      <c r="X28" s="1320"/>
      <c r="Y28" s="3760"/>
      <c r="Z28" s="344"/>
      <c r="AA28" s="1326">
        <v>1</v>
      </c>
      <c r="AB28" s="1326">
        <v>1</v>
      </c>
      <c r="AC28" s="1326">
        <v>1</v>
      </c>
    </row>
    <row r="29" spans="1:29" s="407" customFormat="1" ht="40.5">
      <c r="A29" s="991"/>
      <c r="B29" s="1411" t="s">
        <v>2674</v>
      </c>
      <c r="C29" s="158" t="str">
        <f>估价对象房地状况!C22</f>
        <v>估价对象所在区域基础设施水平</v>
      </c>
      <c r="D29" s="792">
        <v>100</v>
      </c>
      <c r="E29" s="794"/>
      <c r="F29" s="792">
        <f>SUMIF(102:102,E30,103:103)-SUMIF(102:102,C30,103:103)+100</f>
        <v>100</v>
      </c>
      <c r="G29" s="794"/>
      <c r="H29" s="792">
        <f>SUMIF(102:102,G30,103:103)-SUMIF(102:102,C30,103:103)+100</f>
        <v>100</v>
      </c>
      <c r="I29" s="796"/>
      <c r="J29" s="792">
        <f>SUMIF(102:102,I30,103:103)-SUMIF(102:102,C30,103:103)+100</f>
        <v>100</v>
      </c>
      <c r="K29" s="1081"/>
      <c r="L29" s="2346"/>
      <c r="M29" s="2347"/>
      <c r="N29" s="2347"/>
      <c r="O29" s="2348"/>
      <c r="P29" s="3760"/>
      <c r="Q29" s="2740" t="str">
        <f>B29</f>
        <v>基础设施水平</v>
      </c>
      <c r="R29" s="1318" t="s">
        <v>65</v>
      </c>
      <c r="S29" s="1319">
        <f>F29</f>
        <v>100</v>
      </c>
      <c r="T29" s="1318" t="s">
        <v>65</v>
      </c>
      <c r="U29" s="1319">
        <f>H29</f>
        <v>100</v>
      </c>
      <c r="V29" s="1318" t="s">
        <v>65</v>
      </c>
      <c r="W29" s="1319">
        <f>J29</f>
        <v>100</v>
      </c>
      <c r="X29" s="1320"/>
      <c r="Y29" s="3760"/>
      <c r="Z29" s="344" t="str">
        <f>Q29</f>
        <v>基础设施水平</v>
      </c>
      <c r="AA29" s="1326">
        <f>D29/F29</f>
        <v>1</v>
      </c>
      <c r="AB29" s="1326">
        <f>D29/H29</f>
        <v>1</v>
      </c>
      <c r="AC29" s="1326">
        <f>D29/J29</f>
        <v>1</v>
      </c>
    </row>
    <row r="30" spans="1:29" s="407" customFormat="1" ht="15">
      <c r="A30" s="991"/>
      <c r="B30" s="798"/>
      <c r="C30" s="2771"/>
      <c r="D30" s="790"/>
      <c r="E30" s="1036"/>
      <c r="F30" s="790"/>
      <c r="G30" s="1036"/>
      <c r="H30" s="790"/>
      <c r="I30" s="1036"/>
      <c r="J30" s="790"/>
      <c r="K30" s="1080"/>
      <c r="L30" s="2346"/>
      <c r="M30" s="2347"/>
      <c r="N30" s="2347"/>
      <c r="O30" s="2348"/>
      <c r="P30" s="3760"/>
      <c r="Q30" s="2740"/>
      <c r="R30" s="1318"/>
      <c r="S30" s="1319"/>
      <c r="T30" s="1318"/>
      <c r="U30" s="1319"/>
      <c r="V30" s="1318"/>
      <c r="W30" s="1319"/>
      <c r="X30" s="1320"/>
      <c r="Y30" s="3760"/>
      <c r="Z30" s="344"/>
      <c r="AA30" s="1326">
        <v>1</v>
      </c>
      <c r="AB30" s="1326">
        <v>1</v>
      </c>
      <c r="AC30" s="1326">
        <v>1</v>
      </c>
    </row>
    <row r="31" spans="1:29" ht="15">
      <c r="A31" s="770"/>
      <c r="B31" s="798" t="s">
        <v>437</v>
      </c>
      <c r="C31" s="182"/>
      <c r="D31" s="777">
        <v>100</v>
      </c>
      <c r="E31" s="195"/>
      <c r="F31" s="777">
        <f>SUMIF(104:104,E31,105:105)-SUMIF(104:104,C31,105:105)+100</f>
        <v>100</v>
      </c>
      <c r="G31" s="195"/>
      <c r="H31" s="777">
        <f>SUMIF(104:104,G31,105:105)-SUMIF(104:104,C31,105:105)+100</f>
        <v>100</v>
      </c>
      <c r="I31" s="195"/>
      <c r="J31" s="777">
        <f>SUMIF(104:104,I31,105:105)-SUMIF(104:104,C31,105:105)+100</f>
        <v>100</v>
      </c>
      <c r="K31" s="1081"/>
      <c r="L31" s="2354"/>
      <c r="M31" s="2345"/>
      <c r="N31" s="2345"/>
      <c r="O31" s="2353"/>
      <c r="P31" s="3760"/>
      <c r="Q31" s="1322" t="str">
        <f t="shared" si="8"/>
        <v>临街状况</v>
      </c>
      <c r="R31" s="1323" t="s">
        <v>65</v>
      </c>
      <c r="S31" s="1324">
        <f t="shared" ref="S31:S45" si="9">F31</f>
        <v>100</v>
      </c>
      <c r="T31" s="1323" t="s">
        <v>65</v>
      </c>
      <c r="U31" s="1324">
        <f t="shared" ref="U31:U45" si="10">H31</f>
        <v>100</v>
      </c>
      <c r="V31" s="1323" t="s">
        <v>65</v>
      </c>
      <c r="W31" s="1324">
        <f t="shared" ref="W31:W45" si="11">J31</f>
        <v>100</v>
      </c>
      <c r="X31" s="1317"/>
      <c r="Y31" s="3760"/>
      <c r="Z31" s="1325" t="str">
        <f t="shared" ref="Z31:Z45" si="12">Q31</f>
        <v>临街状况</v>
      </c>
      <c r="AA31" s="1326">
        <f t="shared" si="3"/>
        <v>1</v>
      </c>
      <c r="AB31" s="1326">
        <f t="shared" si="4"/>
        <v>1</v>
      </c>
      <c r="AC31" s="1326">
        <f t="shared" si="5"/>
        <v>1</v>
      </c>
    </row>
    <row r="32" spans="1:29" ht="27">
      <c r="A32" s="770"/>
      <c r="B32" s="2765" t="s">
        <v>442</v>
      </c>
      <c r="C32" s="796"/>
      <c r="D32" s="792">
        <v>100</v>
      </c>
      <c r="E32" s="794"/>
      <c r="F32" s="792">
        <f>SUMIF(106:106,E33,107:107)-SUMIF(106:106,C33,107:107)+100</f>
        <v>100</v>
      </c>
      <c r="G32" s="794"/>
      <c r="H32" s="792">
        <f>SUMIF(106:106,G33,107:107)-SUMIF(106:106,C33,107:107)+100</f>
        <v>100</v>
      </c>
      <c r="I32" s="796"/>
      <c r="J32" s="792">
        <f>SUMIF(106:106,I33,107:107)-SUMIF(106:106,C33,107:107)+100</f>
        <v>100</v>
      </c>
      <c r="K32" s="1081"/>
      <c r="L32" s="2354"/>
      <c r="M32" s="2345"/>
      <c r="N32" s="2345"/>
      <c r="O32" s="2353"/>
      <c r="P32" s="3760"/>
      <c r="Q32" s="1322" t="str">
        <f t="shared" si="8"/>
        <v>毗邻道路的类型与等级</v>
      </c>
      <c r="R32" s="1323" t="s">
        <v>65</v>
      </c>
      <c r="S32" s="1324">
        <f t="shared" si="9"/>
        <v>100</v>
      </c>
      <c r="T32" s="1323" t="s">
        <v>65</v>
      </c>
      <c r="U32" s="1324">
        <f t="shared" si="10"/>
        <v>100</v>
      </c>
      <c r="V32" s="1323" t="s">
        <v>65</v>
      </c>
      <c r="W32" s="1324">
        <f t="shared" si="11"/>
        <v>100</v>
      </c>
      <c r="X32" s="1317"/>
      <c r="Y32" s="3760"/>
      <c r="Z32" s="1325" t="str">
        <f t="shared" si="12"/>
        <v>毗邻道路的类型与等级</v>
      </c>
      <c r="AA32" s="1326">
        <f t="shared" si="3"/>
        <v>1</v>
      </c>
      <c r="AB32" s="1326">
        <f t="shared" si="4"/>
        <v>1</v>
      </c>
      <c r="AC32" s="1326">
        <f t="shared" si="5"/>
        <v>1</v>
      </c>
    </row>
    <row r="33" spans="1:29" ht="15">
      <c r="A33" s="770"/>
      <c r="B33" s="798"/>
      <c r="C33" s="97"/>
      <c r="D33" s="790"/>
      <c r="E33" s="192"/>
      <c r="F33" s="790"/>
      <c r="G33" s="192"/>
      <c r="H33" s="790"/>
      <c r="I33" s="97"/>
      <c r="J33" s="790"/>
      <c r="K33" s="955"/>
      <c r="L33" s="2354"/>
      <c r="M33" s="2345"/>
      <c r="N33" s="2345"/>
      <c r="O33" s="2353"/>
      <c r="P33" s="3760"/>
      <c r="Q33" s="1322"/>
      <c r="R33" s="1323"/>
      <c r="S33" s="1324"/>
      <c r="T33" s="1323"/>
      <c r="U33" s="1324"/>
      <c r="V33" s="1323"/>
      <c r="W33" s="1324"/>
      <c r="X33" s="1317"/>
      <c r="Y33" s="3760"/>
      <c r="Z33" s="1325"/>
      <c r="AA33" s="1326">
        <v>1</v>
      </c>
      <c r="AB33" s="1326">
        <v>1</v>
      </c>
      <c r="AC33" s="1326">
        <v>1</v>
      </c>
    </row>
    <row r="34" spans="1:29" ht="15">
      <c r="A34" s="770"/>
      <c r="B34" s="764" t="s">
        <v>485</v>
      </c>
      <c r="C34" s="182"/>
      <c r="D34" s="777">
        <v>100</v>
      </c>
      <c r="E34" s="195"/>
      <c r="F34" s="777">
        <f>SUMIF(108:108,E34,109:109)-SUMIF(108:108,C34,109:109)+100</f>
        <v>100</v>
      </c>
      <c r="G34" s="195"/>
      <c r="H34" s="777">
        <f>SUMIF(108:108,G34,109:109)-SUMIF(108:108,C34,109:109)+100</f>
        <v>100</v>
      </c>
      <c r="I34" s="182"/>
      <c r="J34" s="777">
        <f>SUMIF(108:108,I34,109:109)-SUMIF(108:108,C34,109:109)+100</f>
        <v>100</v>
      </c>
      <c r="K34" s="954"/>
      <c r="L34" s="2354"/>
      <c r="M34" s="2345"/>
      <c r="N34" s="2345"/>
      <c r="O34" s="2353"/>
      <c r="P34" s="3760"/>
      <c r="Q34" s="1322" t="str">
        <f t="shared" si="8"/>
        <v>土地级别</v>
      </c>
      <c r="R34" s="1323" t="s">
        <v>65</v>
      </c>
      <c r="S34" s="1324">
        <f t="shared" si="9"/>
        <v>100</v>
      </c>
      <c r="T34" s="1323" t="s">
        <v>65</v>
      </c>
      <c r="U34" s="1324">
        <f t="shared" si="10"/>
        <v>100</v>
      </c>
      <c r="V34" s="1323" t="s">
        <v>65</v>
      </c>
      <c r="W34" s="1324">
        <f t="shared" si="11"/>
        <v>100</v>
      </c>
      <c r="X34" s="1317"/>
      <c r="Y34" s="3760"/>
      <c r="Z34" s="1325" t="str">
        <f t="shared" si="12"/>
        <v>土地级别</v>
      </c>
      <c r="AA34" s="1326">
        <f t="shared" si="3"/>
        <v>1</v>
      </c>
      <c r="AB34" s="1326">
        <f t="shared" si="4"/>
        <v>1</v>
      </c>
      <c r="AC34" s="1326">
        <f t="shared" si="5"/>
        <v>1</v>
      </c>
    </row>
    <row r="35" spans="1:29" ht="15">
      <c r="A35" s="747"/>
      <c r="B35" s="2767">
        <v>111</v>
      </c>
      <c r="C35" s="1082"/>
      <c r="D35" s="777">
        <v>100</v>
      </c>
      <c r="E35" s="819"/>
      <c r="F35" s="777">
        <f>SUMIF(110:110,E35,111:111)-SUMIF(110:110,C35,111:111)+100</f>
        <v>100</v>
      </c>
      <c r="G35" s="819"/>
      <c r="H35" s="777">
        <f>SUMIF(110:110,G35,111:111)-SUMIF(110:110,C35,111:111)+100</f>
        <v>100</v>
      </c>
      <c r="I35" s="1082"/>
      <c r="J35" s="777">
        <f>SUMIF(110:110,I35,111:111)-SUMIF(110:110,C35,111:111)+100</f>
        <v>100</v>
      </c>
      <c r="K35" s="955"/>
      <c r="L35" s="2354"/>
      <c r="M35" s="2345"/>
      <c r="N35" s="2345"/>
      <c r="O35" s="2353"/>
      <c r="P35" s="3760"/>
      <c r="Q35" s="1322">
        <f t="shared" si="8"/>
        <v>111</v>
      </c>
      <c r="R35" s="1323" t="s">
        <v>65</v>
      </c>
      <c r="S35" s="1324">
        <f t="shared" si="9"/>
        <v>100</v>
      </c>
      <c r="T35" s="1323" t="s">
        <v>65</v>
      </c>
      <c r="U35" s="1324">
        <f t="shared" si="10"/>
        <v>100</v>
      </c>
      <c r="V35" s="1323" t="s">
        <v>65</v>
      </c>
      <c r="W35" s="1324">
        <f t="shared" si="11"/>
        <v>100</v>
      </c>
      <c r="X35" s="1317"/>
      <c r="Y35" s="3760"/>
      <c r="Z35" s="1325">
        <f t="shared" si="12"/>
        <v>111</v>
      </c>
      <c r="AA35" s="1326">
        <f t="shared" si="3"/>
        <v>1</v>
      </c>
      <c r="AB35" s="1326">
        <f t="shared" si="4"/>
        <v>1</v>
      </c>
      <c r="AC35" s="1326">
        <f t="shared" si="5"/>
        <v>1</v>
      </c>
    </row>
    <row r="36" spans="1:29" ht="15">
      <c r="A36" s="1083"/>
      <c r="B36" s="2768">
        <v>111</v>
      </c>
      <c r="C36" s="1082"/>
      <c r="D36" s="777">
        <v>100</v>
      </c>
      <c r="E36" s="819"/>
      <c r="F36" s="777">
        <f>SUMIF(112:112,E37,113:113)-SUMIF(112:112,C37,113:113)+100</f>
        <v>100</v>
      </c>
      <c r="G36" s="819"/>
      <c r="H36" s="777">
        <f>SUMIF(112:112,G36,113:113)-SUMIF(112:112,C36,113:113)+100</f>
        <v>100</v>
      </c>
      <c r="I36" s="1082"/>
      <c r="J36" s="777">
        <f>SUMIF(112:112,I36,113:113)-SUMIF(112:112,C36,113:113)+100</f>
        <v>100</v>
      </c>
      <c r="K36" s="955"/>
      <c r="L36" s="2354"/>
      <c r="M36" s="2345"/>
      <c r="N36" s="2345"/>
      <c r="O36" s="2353"/>
      <c r="P36" s="3761" t="s">
        <v>409</v>
      </c>
      <c r="Q36" s="1322">
        <f t="shared" si="8"/>
        <v>111</v>
      </c>
      <c r="R36" s="1323" t="s">
        <v>65</v>
      </c>
      <c r="S36" s="1324">
        <f t="shared" si="9"/>
        <v>100</v>
      </c>
      <c r="T36" s="1323" t="s">
        <v>65</v>
      </c>
      <c r="U36" s="1324">
        <f t="shared" si="10"/>
        <v>100</v>
      </c>
      <c r="V36" s="1323" t="s">
        <v>65</v>
      </c>
      <c r="W36" s="1324">
        <f t="shared" si="11"/>
        <v>100</v>
      </c>
      <c r="X36" s="1317"/>
      <c r="Y36" s="3762" t="s">
        <v>409</v>
      </c>
      <c r="Z36" s="1325">
        <f t="shared" si="12"/>
        <v>111</v>
      </c>
      <c r="AA36" s="1326">
        <f t="shared" si="3"/>
        <v>1</v>
      </c>
      <c r="AB36" s="1326">
        <f t="shared" si="4"/>
        <v>1</v>
      </c>
      <c r="AC36" s="1326">
        <f t="shared" si="5"/>
        <v>1</v>
      </c>
    </row>
    <row r="37" spans="1:29" s="813" customFormat="1" ht="15.75" thickBot="1">
      <c r="A37" s="1084"/>
      <c r="B37" s="2769">
        <v>111</v>
      </c>
      <c r="C37" s="1086"/>
      <c r="D37" s="427">
        <v>100</v>
      </c>
      <c r="E37" s="1109"/>
      <c r="F37" s="780">
        <f>SUMIF(114:114,E37,115:115)-SUMIF(114:114,C37,115:115)+100</f>
        <v>100</v>
      </c>
      <c r="G37" s="1109"/>
      <c r="H37" s="780">
        <f>SUMIF(114:114,G37,115:115)-SUMIF(114:114,C37,115:115)+100</f>
        <v>100</v>
      </c>
      <c r="I37" s="1086"/>
      <c r="J37" s="780">
        <f>SUMIF(114:114,I37,115:115)-SUMIF(114:114,C37,115:115)+100</f>
        <v>100</v>
      </c>
      <c r="K37" s="955"/>
      <c r="L37" s="2352"/>
      <c r="M37" s="2355"/>
      <c r="N37" s="2355"/>
      <c r="O37" s="2356"/>
      <c r="P37" s="3762"/>
      <c r="Q37" s="1322">
        <f t="shared" si="8"/>
        <v>111</v>
      </c>
      <c r="R37" s="1328" t="s">
        <v>65</v>
      </c>
      <c r="S37" s="1329">
        <f t="shared" si="9"/>
        <v>100</v>
      </c>
      <c r="T37" s="1328" t="s">
        <v>65</v>
      </c>
      <c r="U37" s="1329">
        <f t="shared" si="10"/>
        <v>100</v>
      </c>
      <c r="V37" s="1328" t="s">
        <v>65</v>
      </c>
      <c r="W37" s="1329">
        <f t="shared" si="11"/>
        <v>100</v>
      </c>
      <c r="X37" s="1330"/>
      <c r="Y37" s="3762"/>
      <c r="Z37" s="1331">
        <f t="shared" si="12"/>
        <v>111</v>
      </c>
      <c r="AA37" s="1326">
        <f t="shared" si="3"/>
        <v>1</v>
      </c>
      <c r="AB37" s="1326">
        <f t="shared" si="4"/>
        <v>1</v>
      </c>
      <c r="AC37" s="1326">
        <f t="shared" si="5"/>
        <v>1</v>
      </c>
    </row>
    <row r="38" spans="1:29" ht="15">
      <c r="A38" s="814" t="s">
        <v>408</v>
      </c>
      <c r="B38" s="798" t="s">
        <v>486</v>
      </c>
      <c r="C38" s="1087"/>
      <c r="D38" s="809">
        <v>100</v>
      </c>
      <c r="E38" s="1087"/>
      <c r="F38" s="809" t="e">
        <f>LOOKUP(E38,117:117,118:118)-LOOKUP(C38,117:117,118:118)+100</f>
        <v>#N/A</v>
      </c>
      <c r="G38" s="1087"/>
      <c r="H38" s="809" t="e">
        <f>LOOKUP(G38,117:117,118:118)-LOOKUP(C38,117:117,118:118)+100</f>
        <v>#N/A</v>
      </c>
      <c r="I38" s="872"/>
      <c r="J38" s="809" t="e">
        <f>LOOKUP(I38,117:117,118:118)-LOOKUP(C38,117:117,118:118)+100</f>
        <v>#N/A</v>
      </c>
      <c r="K38" s="955"/>
      <c r="L38" s="2354"/>
      <c r="M38" s="2345"/>
      <c r="N38" s="2345"/>
      <c r="O38" s="2353"/>
      <c r="P38" s="3762"/>
      <c r="Q38" s="1322" t="str">
        <f>B38</f>
        <v>宗地面积</v>
      </c>
      <c r="R38" s="1323" t="s">
        <v>65</v>
      </c>
      <c r="S38" s="1324" t="e">
        <f t="shared" si="9"/>
        <v>#N/A</v>
      </c>
      <c r="T38" s="1323" t="s">
        <v>65</v>
      </c>
      <c r="U38" s="1324" t="e">
        <f t="shared" si="10"/>
        <v>#N/A</v>
      </c>
      <c r="V38" s="1323" t="s">
        <v>65</v>
      </c>
      <c r="W38" s="1324" t="e">
        <f t="shared" si="11"/>
        <v>#N/A</v>
      </c>
      <c r="X38" s="1317"/>
      <c r="Y38" s="3762"/>
      <c r="Z38" s="1325" t="str">
        <f t="shared" si="12"/>
        <v>宗地面积</v>
      </c>
      <c r="AA38" s="1326" t="e">
        <f t="shared" si="3"/>
        <v>#N/A</v>
      </c>
      <c r="AB38" s="1326" t="e">
        <f t="shared" si="4"/>
        <v>#N/A</v>
      </c>
      <c r="AC38" s="1326" t="e">
        <f t="shared" si="5"/>
        <v>#N/A</v>
      </c>
    </row>
    <row r="39" spans="1:29" ht="15">
      <c r="A39" s="814"/>
      <c r="B39" s="764" t="s">
        <v>487</v>
      </c>
      <c r="C39" s="109"/>
      <c r="D39" s="777">
        <v>100</v>
      </c>
      <c r="E39" s="109"/>
      <c r="F39" s="777">
        <f>SUMIF(119:119,E39,120:120)-SUMIF(119:119,C39,120:120)+100</f>
        <v>100</v>
      </c>
      <c r="G39" s="109"/>
      <c r="H39" s="777">
        <f>SUMIF(119:119,G39,120:120)-SUMIF(119:119,C39,120:120)+100</f>
        <v>100</v>
      </c>
      <c r="I39" s="109"/>
      <c r="J39" s="777">
        <f>SUMIF(119:119,I39,120:120)-SUMIF(119:119,C39,120:120)+100</f>
        <v>100</v>
      </c>
      <c r="K39" s="954"/>
      <c r="L39" s="2354"/>
      <c r="M39" s="2345"/>
      <c r="N39" s="2345"/>
      <c r="O39" s="2353"/>
      <c r="P39" s="3762"/>
      <c r="Q39" s="1322" t="str">
        <f t="shared" ref="Q39:Q45" si="13">B39</f>
        <v>宗地形状</v>
      </c>
      <c r="R39" s="1323" t="s">
        <v>65</v>
      </c>
      <c r="S39" s="1324">
        <f t="shared" si="9"/>
        <v>100</v>
      </c>
      <c r="T39" s="1323" t="s">
        <v>65</v>
      </c>
      <c r="U39" s="1324">
        <f t="shared" si="10"/>
        <v>100</v>
      </c>
      <c r="V39" s="1323" t="s">
        <v>65</v>
      </c>
      <c r="W39" s="1324">
        <f t="shared" si="11"/>
        <v>100</v>
      </c>
      <c r="X39" s="1317"/>
      <c r="Y39" s="3762"/>
      <c r="Z39" s="1325" t="str">
        <f t="shared" si="12"/>
        <v>宗地形状</v>
      </c>
      <c r="AA39" s="1326">
        <f t="shared" si="3"/>
        <v>1</v>
      </c>
      <c r="AB39" s="1326">
        <f t="shared" si="4"/>
        <v>1</v>
      </c>
      <c r="AC39" s="1326">
        <f t="shared" si="5"/>
        <v>1</v>
      </c>
    </row>
    <row r="40" spans="1:29" ht="15">
      <c r="A40" s="814"/>
      <c r="B40" s="764" t="s">
        <v>488</v>
      </c>
      <c r="C40" s="109"/>
      <c r="D40" s="777">
        <v>100</v>
      </c>
      <c r="E40" s="109"/>
      <c r="F40" s="777">
        <f>SUMIF(121:121,E40,122:122)-SUMIF(121:121,C40,122:122)+100</f>
        <v>100</v>
      </c>
      <c r="G40" s="109"/>
      <c r="H40" s="777">
        <f>SUMIF(121:121,G40,122:122)-SUMIF(121:121,C40,122:122)+100</f>
        <v>100</v>
      </c>
      <c r="I40" s="109"/>
      <c r="J40" s="777">
        <f>SUMIF(121:121,I40,122:122)-SUMIF(121:121,C40,122:122)+100</f>
        <v>100</v>
      </c>
      <c r="K40" s="954"/>
      <c r="L40" s="2354"/>
      <c r="M40" s="2345"/>
      <c r="N40" s="2345"/>
      <c r="O40" s="2353"/>
      <c r="P40" s="3762"/>
      <c r="Q40" s="1322" t="str">
        <f t="shared" si="13"/>
        <v>临街宽度及深度</v>
      </c>
      <c r="R40" s="1323" t="s">
        <v>65</v>
      </c>
      <c r="S40" s="1324">
        <f t="shared" si="9"/>
        <v>100</v>
      </c>
      <c r="T40" s="1323" t="s">
        <v>65</v>
      </c>
      <c r="U40" s="1324">
        <f t="shared" si="10"/>
        <v>100</v>
      </c>
      <c r="V40" s="1323" t="s">
        <v>65</v>
      </c>
      <c r="W40" s="1324">
        <f t="shared" si="11"/>
        <v>100</v>
      </c>
      <c r="X40" s="1317"/>
      <c r="Y40" s="3762"/>
      <c r="Z40" s="1325" t="str">
        <f t="shared" si="12"/>
        <v>临街宽度及深度</v>
      </c>
      <c r="AA40" s="1326">
        <f t="shared" si="3"/>
        <v>1</v>
      </c>
      <c r="AB40" s="1326">
        <f t="shared" si="4"/>
        <v>1</v>
      </c>
      <c r="AC40" s="1326">
        <f t="shared" si="5"/>
        <v>1</v>
      </c>
    </row>
    <row r="41" spans="1:29" s="407" customFormat="1" ht="15">
      <c r="A41" s="815"/>
      <c r="B41" s="2606" t="s">
        <v>2506</v>
      </c>
      <c r="C41" s="1041"/>
      <c r="D41" s="426">
        <v>100</v>
      </c>
      <c r="E41" s="1041"/>
      <c r="F41" s="777">
        <f>SUMIF(123:123,E41,124:124)-SUMIF(123:123,C41,124:124)+100</f>
        <v>100</v>
      </c>
      <c r="G41" s="1041"/>
      <c r="H41" s="777">
        <f>SUMIF(123:123,G41,124:124)-SUMIF(123:123,C41,124:124)+100</f>
        <v>100</v>
      </c>
      <c r="I41" s="1041"/>
      <c r="J41" s="777">
        <f>SUMIF(123:123,I41,124:124)-SUMIF(123:123,C41,124:124)+100</f>
        <v>100</v>
      </c>
      <c r="K41" s="954"/>
      <c r="L41" s="2346"/>
      <c r="M41" s="2347"/>
      <c r="N41" s="2347"/>
      <c r="O41" s="2348"/>
      <c r="P41" s="3762"/>
      <c r="Q41" s="1322" t="str">
        <f t="shared" si="13"/>
        <v>宗地开发程度</v>
      </c>
      <c r="R41" s="1318" t="s">
        <v>65</v>
      </c>
      <c r="S41" s="1319">
        <f t="shared" si="9"/>
        <v>100</v>
      </c>
      <c r="T41" s="1318" t="s">
        <v>65</v>
      </c>
      <c r="U41" s="1319">
        <f t="shared" si="10"/>
        <v>100</v>
      </c>
      <c r="V41" s="1318" t="s">
        <v>65</v>
      </c>
      <c r="W41" s="1319">
        <f t="shared" si="11"/>
        <v>100</v>
      </c>
      <c r="X41" s="1320"/>
      <c r="Y41" s="3762"/>
      <c r="Z41" s="344" t="str">
        <f t="shared" si="12"/>
        <v>宗地开发程度</v>
      </c>
      <c r="AA41" s="1321">
        <f t="shared" si="3"/>
        <v>1</v>
      </c>
      <c r="AB41" s="1321">
        <f t="shared" si="4"/>
        <v>1</v>
      </c>
      <c r="AC41" s="1321">
        <f t="shared" si="5"/>
        <v>1</v>
      </c>
    </row>
    <row r="42" spans="1:29" ht="15">
      <c r="A42" s="814"/>
      <c r="B42" s="764" t="s">
        <v>489</v>
      </c>
      <c r="C42" s="109"/>
      <c r="D42" s="777">
        <v>100</v>
      </c>
      <c r="E42" s="109"/>
      <c r="F42" s="777">
        <f>SUMIF(125:125,E42,126:126)-SUMIF(125:125,C42,126:126)+100</f>
        <v>100</v>
      </c>
      <c r="G42" s="109"/>
      <c r="H42" s="777">
        <f>SUMIF(125:125,G42,126:126)-SUMIF(125:125,C42,126:126)+100</f>
        <v>100</v>
      </c>
      <c r="I42" s="109"/>
      <c r="J42" s="777">
        <f>SUMIF(125:125,I42,126:126)-SUMIF(125:125,C42,126:126)+100</f>
        <v>100</v>
      </c>
      <c r="K42" s="954"/>
      <c r="L42" s="2354"/>
      <c r="M42" s="2345"/>
      <c r="N42" s="2345"/>
      <c r="O42" s="2353"/>
      <c r="P42" s="3762" t="s">
        <v>409</v>
      </c>
      <c r="Q42" s="1322" t="str">
        <f t="shared" si="13"/>
        <v>工程地质条件</v>
      </c>
      <c r="R42" s="1323" t="s">
        <v>65</v>
      </c>
      <c r="S42" s="1324">
        <f t="shared" si="9"/>
        <v>100</v>
      </c>
      <c r="T42" s="1323" t="s">
        <v>65</v>
      </c>
      <c r="U42" s="1324">
        <f t="shared" si="10"/>
        <v>100</v>
      </c>
      <c r="V42" s="1323" t="s">
        <v>65</v>
      </c>
      <c r="W42" s="1324">
        <f t="shared" si="11"/>
        <v>100</v>
      </c>
      <c r="X42" s="1317"/>
      <c r="Y42" s="3762" t="s">
        <v>409</v>
      </c>
      <c r="Z42" s="1325" t="str">
        <f t="shared" si="12"/>
        <v>工程地质条件</v>
      </c>
      <c r="AA42" s="1326">
        <f t="shared" si="3"/>
        <v>1</v>
      </c>
      <c r="AB42" s="1326">
        <f t="shared" si="4"/>
        <v>1</v>
      </c>
      <c r="AC42" s="1326">
        <f t="shared" si="5"/>
        <v>1</v>
      </c>
    </row>
    <row r="43" spans="1:29" ht="15">
      <c r="A43" s="814"/>
      <c r="B43" s="206">
        <v>111</v>
      </c>
      <c r="C43" s="203"/>
      <c r="D43" s="777">
        <v>100</v>
      </c>
      <c r="E43" s="203"/>
      <c r="F43" s="777">
        <f>SUMIF(127:127,E43,128:128)-SUMIF(127:127,C43,128:128)+100</f>
        <v>100</v>
      </c>
      <c r="G43" s="203"/>
      <c r="H43" s="777">
        <f>SUMIF(127:127,G43,128:128)-SUMIF(127:127,C43,128:128)+100</f>
        <v>100</v>
      </c>
      <c r="I43" s="126"/>
      <c r="J43" s="777">
        <f>SUMIF(127:127,I43,128:128)-SUMIF(127:127,C43,128:128)+100</f>
        <v>100</v>
      </c>
      <c r="K43" s="955"/>
      <c r="L43" s="2354"/>
      <c r="M43" s="2345"/>
      <c r="N43" s="2345"/>
      <c r="O43" s="2353"/>
      <c r="P43" s="3762"/>
      <c r="Q43" s="1322">
        <f t="shared" si="13"/>
        <v>111</v>
      </c>
      <c r="R43" s="1323" t="s">
        <v>65</v>
      </c>
      <c r="S43" s="1324">
        <f t="shared" si="9"/>
        <v>100</v>
      </c>
      <c r="T43" s="1323" t="s">
        <v>65</v>
      </c>
      <c r="U43" s="1324">
        <f t="shared" si="10"/>
        <v>100</v>
      </c>
      <c r="V43" s="1323" t="s">
        <v>65</v>
      </c>
      <c r="W43" s="1324">
        <f t="shared" si="11"/>
        <v>100</v>
      </c>
      <c r="X43" s="1317"/>
      <c r="Y43" s="3762"/>
      <c r="Z43" s="1325">
        <f t="shared" si="12"/>
        <v>111</v>
      </c>
      <c r="AA43" s="1326">
        <f t="shared" si="3"/>
        <v>1</v>
      </c>
      <c r="AB43" s="1326">
        <f t="shared" si="4"/>
        <v>1</v>
      </c>
      <c r="AC43" s="1326">
        <f t="shared" si="5"/>
        <v>1</v>
      </c>
    </row>
    <row r="44" spans="1:29" ht="15">
      <c r="A44" s="814"/>
      <c r="B44" s="206">
        <v>111</v>
      </c>
      <c r="C44" s="203"/>
      <c r="D44" s="777">
        <v>100</v>
      </c>
      <c r="E44" s="203"/>
      <c r="F44" s="777">
        <f>SUMIF(129:129,E44,130:130)-SUMIF(129:129,C44,130:130)+100</f>
        <v>100</v>
      </c>
      <c r="G44" s="203"/>
      <c r="H44" s="777">
        <f>SUMIF(129:129,G44,130:130)-SUMIF(129:129,C44,130:130)+100</f>
        <v>100</v>
      </c>
      <c r="I44" s="126"/>
      <c r="J44" s="777">
        <f>SUMIF(129:129,I44,130:130)-SUMIF(129:129,C44,130:130)+100</f>
        <v>100</v>
      </c>
      <c r="K44" s="955"/>
      <c r="L44" s="2354"/>
      <c r="M44" s="2345"/>
      <c r="N44" s="2345"/>
      <c r="O44" s="2353"/>
      <c r="P44" s="3762"/>
      <c r="Q44" s="1322">
        <f t="shared" si="13"/>
        <v>111</v>
      </c>
      <c r="R44" s="1323" t="s">
        <v>65</v>
      </c>
      <c r="S44" s="1324">
        <f t="shared" si="9"/>
        <v>100</v>
      </c>
      <c r="T44" s="1323" t="s">
        <v>65</v>
      </c>
      <c r="U44" s="1324">
        <f t="shared" si="10"/>
        <v>100</v>
      </c>
      <c r="V44" s="1323" t="s">
        <v>65</v>
      </c>
      <c r="W44" s="1324">
        <f t="shared" si="11"/>
        <v>100</v>
      </c>
      <c r="X44" s="1317"/>
      <c r="Y44" s="3762"/>
      <c r="Z44" s="1325">
        <f t="shared" si="12"/>
        <v>111</v>
      </c>
      <c r="AA44" s="1326">
        <f t="shared" si="3"/>
        <v>1</v>
      </c>
      <c r="AB44" s="1326">
        <f t="shared" si="4"/>
        <v>1</v>
      </c>
      <c r="AC44" s="1326">
        <f t="shared" si="5"/>
        <v>1</v>
      </c>
    </row>
    <row r="45" spans="1:29" s="813" customFormat="1" ht="15.75" thickBot="1">
      <c r="A45" s="810"/>
      <c r="B45" s="206">
        <v>111</v>
      </c>
      <c r="C45" s="1043"/>
      <c r="D45" s="1088">
        <v>100</v>
      </c>
      <c r="E45" s="203"/>
      <c r="F45" s="780">
        <f>SUMIF(131:131,E45,132:132)-SUMIF(131:131,C45,132:132)+100</f>
        <v>100</v>
      </c>
      <c r="G45" s="203"/>
      <c r="H45" s="780">
        <f>SUMIF(131:131,G45,132:132)-SUMIF(131:131,C45,132:132)+100</f>
        <v>100</v>
      </c>
      <c r="I45" s="203"/>
      <c r="J45" s="780">
        <f>SUMIF(131:131,I45,132:132)-SUMIF(131:131,C45,132:132)+100</f>
        <v>100</v>
      </c>
      <c r="K45" s="1089"/>
      <c r="L45" s="2352"/>
      <c r="M45" s="2355"/>
      <c r="N45" s="2355"/>
      <c r="O45" s="2356"/>
      <c r="P45" s="3762"/>
      <c r="Q45" s="1322">
        <f t="shared" si="13"/>
        <v>111</v>
      </c>
      <c r="R45" s="1328" t="s">
        <v>65</v>
      </c>
      <c r="S45" s="1329">
        <f t="shared" si="9"/>
        <v>100</v>
      </c>
      <c r="T45" s="1328" t="s">
        <v>65</v>
      </c>
      <c r="U45" s="1329">
        <f t="shared" si="10"/>
        <v>100</v>
      </c>
      <c r="V45" s="1328" t="s">
        <v>65</v>
      </c>
      <c r="W45" s="1329">
        <f t="shared" si="11"/>
        <v>100</v>
      </c>
      <c r="X45" s="1330"/>
      <c r="Y45" s="3762"/>
      <c r="Z45" s="1331">
        <f t="shared" si="12"/>
        <v>111</v>
      </c>
      <c r="AA45" s="1326">
        <f t="shared" si="3"/>
        <v>1</v>
      </c>
      <c r="AB45" s="1326">
        <f t="shared" si="4"/>
        <v>1</v>
      </c>
      <c r="AC45" s="1326">
        <f t="shared" si="5"/>
        <v>1</v>
      </c>
    </row>
    <row r="46" spans="1:29" ht="15">
      <c r="A46" s="821" t="s">
        <v>490</v>
      </c>
      <c r="B46" s="207" t="s">
        <v>158</v>
      </c>
      <c r="C46" s="1090" t="s">
        <v>23</v>
      </c>
      <c r="D46" s="823"/>
      <c r="E46" s="824"/>
      <c r="F46" s="825"/>
      <c r="G46" s="826"/>
      <c r="H46" s="827"/>
      <c r="I46" s="824"/>
      <c r="J46" s="827"/>
      <c r="K46" s="1399"/>
      <c r="L46" s="2357"/>
      <c r="M46" s="2358"/>
      <c r="N46" s="2345"/>
      <c r="O46" s="2358"/>
      <c r="P46" s="3744" t="str">
        <f>A46</f>
        <v>成交单价</v>
      </c>
      <c r="Q46" s="3744"/>
      <c r="R46" s="3757">
        <f>E46</f>
        <v>0</v>
      </c>
      <c r="S46" s="3757"/>
      <c r="T46" s="3757">
        <f>G46</f>
        <v>0</v>
      </c>
      <c r="U46" s="3757"/>
      <c r="V46" s="3757">
        <f>I46</f>
        <v>0</v>
      </c>
      <c r="W46" s="3757"/>
      <c r="X46" s="1306"/>
      <c r="Y46" s="1332"/>
      <c r="Z46" s="1306"/>
      <c r="AA46" s="1306"/>
      <c r="AB46" s="1306"/>
      <c r="AC46" s="1306"/>
    </row>
    <row r="47" spans="1:29" ht="15.75" thickBot="1">
      <c r="A47" s="828" t="s">
        <v>411</v>
      </c>
      <c r="B47" s="1091"/>
      <c r="C47" s="832" t="e">
        <f>R48</f>
        <v>#DIV/0!</v>
      </c>
      <c r="D47" s="831"/>
      <c r="E47" s="832" t="e">
        <f>R47</f>
        <v>#DIV/0!</v>
      </c>
      <c r="F47" s="833"/>
      <c r="G47" s="830" t="e">
        <f>T47</f>
        <v>#DIV/0!</v>
      </c>
      <c r="H47" s="831"/>
      <c r="I47" s="832" t="e">
        <f>V47</f>
        <v>#DIV/0!</v>
      </c>
      <c r="J47" s="831"/>
      <c r="K47" s="1400"/>
      <c r="L47" s="2357"/>
      <c r="M47" s="2358"/>
      <c r="N47" s="2358"/>
      <c r="O47" s="2358"/>
      <c r="P47" s="3744" t="str">
        <f>A47</f>
        <v>比较价值（元/平方米）</v>
      </c>
      <c r="Q47" s="3744"/>
      <c r="R47" s="3767" t="e">
        <f>ROUND(PRODUCT(R46,AA7:AA45),0)</f>
        <v>#DIV/0!</v>
      </c>
      <c r="S47" s="3767"/>
      <c r="T47" s="3767" t="e">
        <f>ROUND(PRODUCT(T46,AB7:AB45),0)</f>
        <v>#DIV/0!</v>
      </c>
      <c r="U47" s="3767"/>
      <c r="V47" s="3767" t="e">
        <f>ROUND(PRODUCT(V46,AC7:AC45),0)</f>
        <v>#DIV/0!</v>
      </c>
      <c r="W47" s="3767"/>
      <c r="X47" s="1306"/>
      <c r="Y47" s="1306"/>
      <c r="Z47" s="1306"/>
      <c r="AA47" s="1306"/>
      <c r="AB47" s="1306"/>
      <c r="AC47" s="1306"/>
    </row>
    <row r="48" spans="1:29" ht="15.75" thickBot="1">
      <c r="A48" s="115" t="s">
        <v>516</v>
      </c>
      <c r="B48" s="835"/>
      <c r="C48" s="836" t="e">
        <f>R48</f>
        <v>#DIV/0!</v>
      </c>
      <c r="D48" s="836"/>
      <c r="E48" s="836"/>
      <c r="F48" s="836"/>
      <c r="G48" s="836"/>
      <c r="H48" s="836"/>
      <c r="I48" s="836"/>
      <c r="J48" s="836"/>
      <c r="K48" s="1401"/>
      <c r="L48" s="2357"/>
      <c r="M48" s="2358"/>
      <c r="N48" s="2358"/>
      <c r="O48" s="2358"/>
      <c r="P48" s="3764" t="str">
        <f>A48</f>
        <v>估价对象XX用房的比较价值（楼面单价，元/平方米）</v>
      </c>
      <c r="Q48" s="3765"/>
      <c r="R48" s="3768" t="e">
        <f>ROUND(AVERAGE(R47:V47),0)</f>
        <v>#DIV/0!</v>
      </c>
      <c r="S48" s="3768"/>
      <c r="T48" s="3768"/>
      <c r="U48" s="3768"/>
      <c r="V48" s="3768"/>
      <c r="W48" s="3768"/>
      <c r="X48" s="1306"/>
      <c r="Y48" s="1306"/>
      <c r="Z48" s="1306"/>
      <c r="AA48" s="1306"/>
      <c r="AB48" s="1306"/>
      <c r="AC48" s="1306"/>
    </row>
    <row r="49" spans="1:15">
      <c r="A49" s="2358"/>
      <c r="B49" s="2358"/>
      <c r="C49" s="2358"/>
      <c r="D49" s="2358"/>
      <c r="E49" s="2358"/>
      <c r="F49" s="2358"/>
      <c r="G49" s="2361"/>
      <c r="H49" s="2358"/>
      <c r="I49" s="2358"/>
      <c r="J49" s="2358"/>
      <c r="K49" s="2184"/>
      <c r="L49" s="2185"/>
      <c r="M49" s="2358"/>
      <c r="N49" s="2358"/>
      <c r="O49" s="2358"/>
    </row>
    <row r="50" spans="1:15">
      <c r="A50" s="2358"/>
      <c r="B50" s="2358"/>
      <c r="C50" s="2358"/>
      <c r="D50" s="2358"/>
      <c r="E50" s="2358"/>
      <c r="F50" s="2358"/>
      <c r="G50" s="2358"/>
      <c r="H50" s="2358"/>
      <c r="I50" s="2358"/>
      <c r="J50" s="2358"/>
      <c r="K50" s="2184"/>
      <c r="L50" s="2185"/>
      <c r="M50" s="2358"/>
      <c r="N50" s="2358"/>
      <c r="O50" s="2358"/>
    </row>
    <row r="51" spans="1:15" ht="13.5" customHeight="1">
      <c r="A51" s="2358"/>
      <c r="B51" s="2358"/>
      <c r="C51" s="839" t="s">
        <v>412</v>
      </c>
      <c r="D51" s="840"/>
      <c r="E51" s="841" t="e">
        <f>IF(E46&lt;E47,E47/E46-1,E46/E47-1)</f>
        <v>#DIV/0!</v>
      </c>
      <c r="F51" s="842" t="e">
        <f>IF(OR(E51&gt;=0.3,E51&lt;=-0.3),"超过30%","")</f>
        <v>#DIV/0!</v>
      </c>
      <c r="G51" s="841" t="e">
        <f>IF(G46&lt;G47,G47/G46-1,G46/G47-1)</f>
        <v>#DIV/0!</v>
      </c>
      <c r="H51" s="842" t="e">
        <f>IF(OR(G51&gt;=0.3,G51&lt;=-0.3),"超过30%","")</f>
        <v>#DIV/0!</v>
      </c>
      <c r="I51" s="841" t="e">
        <f>IF(I46&lt;I47,I47/I46-1,I46/I47-1)</f>
        <v>#DIV/0!</v>
      </c>
      <c r="J51" s="842" t="e">
        <f>IF(OR(I51&gt;=0.3,I51&lt;=-0.3),"超过30%","")</f>
        <v>#DIV/0!</v>
      </c>
      <c r="K51" s="2184"/>
      <c r="L51" s="2185"/>
      <c r="M51" s="2358"/>
      <c r="N51" s="2358"/>
      <c r="O51" s="2358"/>
    </row>
    <row r="52" spans="1:15" ht="13.5" customHeight="1">
      <c r="A52" s="2358"/>
      <c r="B52" s="2358"/>
      <c r="C52" s="839" t="s">
        <v>413</v>
      </c>
      <c r="D52" s="843"/>
      <c r="E52" s="841" t="e">
        <f>IF(E47&lt;G47,G47/E47-1,E47/G47-1)</f>
        <v>#DIV/0!</v>
      </c>
      <c r="F52" s="842" t="e">
        <f>IF(OR(E52&gt;=0.2,E52&lt;=-0.2),"超过20%","")</f>
        <v>#DIV/0!</v>
      </c>
      <c r="G52" s="841" t="e">
        <f>IF(G47&lt;I47,I47/G47-1,G47/I47-1)</f>
        <v>#DIV/0!</v>
      </c>
      <c r="H52" s="842" t="e">
        <f>IF(OR(G52&gt;=0.2,G52&lt;=-0.2),"超过20%","")</f>
        <v>#DIV/0!</v>
      </c>
      <c r="I52" s="841" t="e">
        <f>IF(I47&lt;E47,E47/I47-1,I47/E47-1)</f>
        <v>#DIV/0!</v>
      </c>
      <c r="J52" s="842" t="e">
        <f>IF(OR(I52&gt;=0.2,I52&lt;=-0.2),"超过20%","")</f>
        <v>#DIV/0!</v>
      </c>
      <c r="K52" s="2184"/>
      <c r="L52" s="2185"/>
      <c r="M52" s="2358"/>
      <c r="N52" s="2358"/>
      <c r="O52" s="2358"/>
    </row>
    <row r="53" spans="1:15" s="844" customFormat="1" ht="13.5" customHeight="1">
      <c r="A53" s="2359"/>
      <c r="B53" s="2359"/>
      <c r="C53" s="839" t="s">
        <v>414</v>
      </c>
      <c r="D53" s="843"/>
      <c r="E53" s="841" t="e">
        <f>IF(E46&lt;G46,G46/E46-1,E46/G46-1)</f>
        <v>#DIV/0!</v>
      </c>
      <c r="F53" s="842" t="e">
        <f>IF(OR(E53&gt;=0.3,E53&lt;=-0.3),"超过30%","")</f>
        <v>#DIV/0!</v>
      </c>
      <c r="G53" s="841" t="e">
        <f>IF(G46&lt;I46,I46/G46-1,G46/I46-1)</f>
        <v>#DIV/0!</v>
      </c>
      <c r="H53" s="842" t="e">
        <f>IF(OR(G53&gt;=0.3,G53&lt;=-0.3),"超过30%","")</f>
        <v>#DIV/0!</v>
      </c>
      <c r="I53" s="841" t="e">
        <f>IF(I46&lt;E46,E46/I46-1,I46/E46-1)</f>
        <v>#DIV/0!</v>
      </c>
      <c r="J53" s="842" t="e">
        <f>IF(OR(I53&gt;=0.3,I53&lt;=-0.3),"超过30%","")</f>
        <v>#DIV/0!</v>
      </c>
      <c r="K53" s="2362"/>
      <c r="L53" s="2363"/>
      <c r="M53" s="2359"/>
      <c r="N53" s="2359"/>
      <c r="O53" s="2359"/>
    </row>
    <row r="54" spans="1:15" s="844" customFormat="1" ht="15" thickBot="1">
      <c r="A54" s="2359"/>
      <c r="B54" s="2360"/>
      <c r="C54" s="1309"/>
      <c r="D54" s="1307"/>
      <c r="E54" s="1307"/>
      <c r="F54" s="1307"/>
      <c r="G54" s="1307"/>
      <c r="H54" s="1307"/>
      <c r="I54" s="1307"/>
      <c r="J54" s="1307"/>
      <c r="K54" s="2362"/>
      <c r="L54" s="2363"/>
      <c r="M54" s="2359"/>
      <c r="N54" s="2359"/>
      <c r="O54" s="2359"/>
    </row>
    <row r="55" spans="1:15" ht="27" customHeight="1">
      <c r="A55" s="1092" t="s">
        <v>491</v>
      </c>
      <c r="B55" s="1093" t="s">
        <v>492</v>
      </c>
      <c r="C55" s="1773" t="s">
        <v>1893</v>
      </c>
      <c r="D55" s="2389" t="s">
        <v>2330</v>
      </c>
      <c r="E55" s="1094" t="s">
        <v>493</v>
      </c>
      <c r="F55" s="2186" t="s">
        <v>494</v>
      </c>
      <c r="G55" s="3769" t="s">
        <v>2323</v>
      </c>
      <c r="H55" s="3770"/>
      <c r="I55" s="2187" t="s">
        <v>1892</v>
      </c>
      <c r="J55" s="2191" t="str">
        <f>项目基本情况!F35</f>
        <v>西安市</v>
      </c>
      <c r="K55" s="2372" t="s">
        <v>1894</v>
      </c>
      <c r="L55" s="2185"/>
      <c r="M55" s="2358"/>
      <c r="N55" s="2358"/>
      <c r="O55" s="2358"/>
    </row>
    <row r="56" spans="1:15" s="1100" customFormat="1">
      <c r="A56" s="1096" t="s">
        <v>495</v>
      </c>
      <c r="B56" s="1097" t="e">
        <f>C48</f>
        <v>#DIV/0!</v>
      </c>
      <c r="C56" s="1098">
        <v>1</v>
      </c>
      <c r="D56" s="2390">
        <v>1</v>
      </c>
      <c r="E56" s="1098">
        <f>'数据-汇总表'!E8+'数据-汇总表'!E9</f>
        <v>1653.4</v>
      </c>
      <c r="F56" s="2182" t="e">
        <f t="shared" ref="F56:F65" si="14">ROUND(B56*E56/10000,0)</f>
        <v>#DIV/0!</v>
      </c>
      <c r="G56" s="3771"/>
      <c r="H56" s="3772"/>
      <c r="I56" s="2188">
        <v>1</v>
      </c>
      <c r="J56" s="2192">
        <v>1</v>
      </c>
      <c r="K56" s="2359"/>
      <c r="L56" s="1770"/>
      <c r="M56" s="1770"/>
      <c r="N56" s="1770"/>
      <c r="O56" s="1770"/>
    </row>
    <row r="57" spans="1:15" s="1100" customFormat="1">
      <c r="A57" s="1101" t="s">
        <v>496</v>
      </c>
      <c r="B57" s="594" t="e">
        <f>ROUND($C$48*C57*D57,0)</f>
        <v>#DIV/0!</v>
      </c>
      <c r="C57" s="532">
        <f t="shared" ref="C57:C65" si="15">IF($C$55="北京市系数",I57,J57)</f>
        <v>0</v>
      </c>
      <c r="D57" s="2391">
        <v>0.25</v>
      </c>
      <c r="E57" s="1102"/>
      <c r="F57" s="2182" t="e">
        <f t="shared" si="14"/>
        <v>#DIV/0!</v>
      </c>
      <c r="G57" s="3773" t="s">
        <v>2324</v>
      </c>
      <c r="H57" s="2183">
        <f>项目基本情况!B37</f>
        <v>0</v>
      </c>
      <c r="I57" s="2188">
        <f>SUMIF(修正!A45:A56,H57,修正!B45:B56)</f>
        <v>0</v>
      </c>
      <c r="J57" s="2193"/>
      <c r="K57" s="2358"/>
      <c r="L57" s="1770"/>
      <c r="M57" s="1770"/>
      <c r="N57" s="1770"/>
      <c r="O57" s="1770"/>
    </row>
    <row r="58" spans="1:15" s="1100" customFormat="1">
      <c r="A58" s="1101" t="s">
        <v>497</v>
      </c>
      <c r="B58" s="594" t="e">
        <f t="shared" ref="B58:B65" si="16">ROUND($C$48*C58*D58,0)</f>
        <v>#DIV/0!</v>
      </c>
      <c r="C58" s="532">
        <f t="shared" si="15"/>
        <v>0</v>
      </c>
      <c r="D58" s="2391">
        <v>0.25</v>
      </c>
      <c r="E58" s="1102"/>
      <c r="F58" s="2182" t="e">
        <f t="shared" si="14"/>
        <v>#DIV/0!</v>
      </c>
      <c r="G58" s="3773"/>
      <c r="H58" s="2183">
        <f>项目基本情况!B37</f>
        <v>0</v>
      </c>
      <c r="I58" s="2188">
        <f>SUMIF(修正!A45:A56,H58,修正!C45:C56)</f>
        <v>0</v>
      </c>
      <c r="J58" s="2193"/>
      <c r="K58" s="2359"/>
      <c r="L58" s="1770"/>
      <c r="M58" s="1770"/>
      <c r="N58" s="1770"/>
      <c r="O58" s="1770"/>
    </row>
    <row r="59" spans="1:15" s="1100" customFormat="1">
      <c r="A59" s="1101" t="s">
        <v>498</v>
      </c>
      <c r="B59" s="594" t="e">
        <f t="shared" si="16"/>
        <v>#DIV/0!</v>
      </c>
      <c r="C59" s="532">
        <f t="shared" si="15"/>
        <v>0</v>
      </c>
      <c r="D59" s="2391">
        <v>0.25</v>
      </c>
      <c r="E59" s="1102"/>
      <c r="F59" s="2182" t="e">
        <f t="shared" si="14"/>
        <v>#DIV/0!</v>
      </c>
      <c r="G59" s="3773"/>
      <c r="H59" s="2183">
        <f>项目基本情况!B37</f>
        <v>0</v>
      </c>
      <c r="I59" s="2188">
        <f>SUMIF(修正!A45:A56,H59,修正!D45:D56)</f>
        <v>0</v>
      </c>
      <c r="J59" s="2193"/>
      <c r="K59" s="2358"/>
      <c r="L59" s="1770"/>
      <c r="M59" s="1770"/>
      <c r="N59" s="1770"/>
      <c r="O59" s="1770"/>
    </row>
    <row r="60" spans="1:15" s="1100" customFormat="1">
      <c r="A60" s="1101" t="s">
        <v>499</v>
      </c>
      <c r="B60" s="594" t="e">
        <f t="shared" si="16"/>
        <v>#DIV/0!</v>
      </c>
      <c r="C60" s="532">
        <f t="shared" si="15"/>
        <v>0</v>
      </c>
      <c r="D60" s="2391">
        <v>0.25</v>
      </c>
      <c r="E60" s="1102"/>
      <c r="F60" s="2182" t="e">
        <f t="shared" si="14"/>
        <v>#DIV/0!</v>
      </c>
      <c r="G60" s="3773"/>
      <c r="H60" s="2183">
        <f>项目基本情况!B37</f>
        <v>0</v>
      </c>
      <c r="I60" s="2188">
        <f>SUMIF(修正!A45:A56,H60,修正!E45:E56)</f>
        <v>0</v>
      </c>
      <c r="J60" s="2193"/>
      <c r="K60" s="2359"/>
      <c r="L60" s="1770"/>
      <c r="M60" s="1770"/>
      <c r="N60" s="1770"/>
      <c r="O60" s="1770"/>
    </row>
    <row r="61" spans="1:15" s="1100" customFormat="1">
      <c r="A61" s="2511" t="s">
        <v>2405</v>
      </c>
      <c r="B61" s="594" t="e">
        <f t="shared" si="16"/>
        <v>#DIV/0!</v>
      </c>
      <c r="C61" s="532">
        <f t="shared" si="15"/>
        <v>0</v>
      </c>
      <c r="D61" s="2391">
        <v>0.25</v>
      </c>
      <c r="E61" s="593">
        <f>'数据-汇总表'!E11</f>
        <v>0</v>
      </c>
      <c r="F61" s="2182" t="e">
        <f t="shared" si="14"/>
        <v>#DIV/0!</v>
      </c>
      <c r="G61" s="2195" t="s">
        <v>2325</v>
      </c>
      <c r="H61" s="2183">
        <f>项目基本情况!C37</f>
        <v>0</v>
      </c>
      <c r="I61" s="2188">
        <f>SUMIF(修正!A45:A56,H61,修正!F45:F56)</f>
        <v>0</v>
      </c>
      <c r="J61" s="2193"/>
      <c r="K61" s="2358"/>
      <c r="L61" s="1770"/>
      <c r="M61" s="1770"/>
      <c r="N61" s="1770"/>
      <c r="O61" s="1770"/>
    </row>
    <row r="62" spans="1:15" s="1100" customFormat="1">
      <c r="A62" s="1101" t="s">
        <v>500</v>
      </c>
      <c r="B62" s="594" t="e">
        <f t="shared" si="16"/>
        <v>#DIV/0!</v>
      </c>
      <c r="C62" s="532">
        <f t="shared" si="15"/>
        <v>0</v>
      </c>
      <c r="D62" s="2391">
        <v>0.25</v>
      </c>
      <c r="E62" s="593">
        <f>'数据-汇总表'!E12</f>
        <v>0</v>
      </c>
      <c r="F62" s="2182" t="e">
        <f t="shared" si="14"/>
        <v>#DIV/0!</v>
      </c>
      <c r="G62" s="2189" t="s">
        <v>141</v>
      </c>
      <c r="H62" s="2183">
        <f>IF(G62="商业",项目基本情况!B37,IF(G62="办公",项目基本情况!C37,IF(G62="住宅",项目基本情况!D37,项目基本情况!E37)))</f>
        <v>0</v>
      </c>
      <c r="I62" s="2188">
        <f>SUMIF(修正!A45:A56,H62,修正!G45:G56)</f>
        <v>0</v>
      </c>
      <c r="J62" s="2193"/>
      <c r="K62" s="2359"/>
      <c r="L62" s="1770"/>
      <c r="M62" s="1770"/>
      <c r="N62" s="1770"/>
      <c r="O62" s="1770"/>
    </row>
    <row r="63" spans="1:15" s="1100" customFormat="1">
      <c r="A63" s="1101" t="s">
        <v>501</v>
      </c>
      <c r="B63" s="594" t="e">
        <f t="shared" si="16"/>
        <v>#DIV/0!</v>
      </c>
      <c r="C63" s="532">
        <f t="shared" si="15"/>
        <v>0</v>
      </c>
      <c r="D63" s="2391">
        <v>0.25</v>
      </c>
      <c r="E63" s="593">
        <f>'数据-汇总表'!E13</f>
        <v>2390.3000000000002</v>
      </c>
      <c r="F63" s="2182" t="e">
        <f t="shared" si="14"/>
        <v>#DIV/0!</v>
      </c>
      <c r="G63" s="2189" t="s">
        <v>40</v>
      </c>
      <c r="H63" s="2183">
        <f>IF(G63="商业",项目基本情况!B37,IF(G63="办公",项目基本情况!C37,IF(G63="住宅",项目基本情况!D37,项目基本情况!E37)))</f>
        <v>0</v>
      </c>
      <c r="I63" s="2188">
        <f>SUMIF(修正!A45:A56,H63,修正!H45:H56)</f>
        <v>0</v>
      </c>
      <c r="J63" s="2193"/>
      <c r="K63" s="2358"/>
      <c r="L63" s="1770"/>
      <c r="M63" s="1770"/>
      <c r="N63" s="1770"/>
      <c r="O63" s="1770"/>
    </row>
    <row r="64" spans="1:15" s="1100" customFormat="1">
      <c r="A64" s="1101" t="s">
        <v>502</v>
      </c>
      <c r="B64" s="594" t="e">
        <f t="shared" si="16"/>
        <v>#DIV/0!</v>
      </c>
      <c r="C64" s="532">
        <f t="shared" si="15"/>
        <v>0</v>
      </c>
      <c r="D64" s="2391">
        <v>0.25</v>
      </c>
      <c r="E64" s="593">
        <f>'数据-汇总表'!E14</f>
        <v>0</v>
      </c>
      <c r="F64" s="2182" t="e">
        <f t="shared" si="14"/>
        <v>#DIV/0!</v>
      </c>
      <c r="G64" s="2195" t="s">
        <v>2326</v>
      </c>
      <c r="H64" s="2183">
        <f>项目基本情况!B37</f>
        <v>0</v>
      </c>
      <c r="I64" s="2188">
        <f>SUMIF(修正!A45:A56,H64,修正!H45:H56)</f>
        <v>0</v>
      </c>
      <c r="J64" s="2193"/>
      <c r="K64" s="2359"/>
      <c r="L64" s="1770"/>
      <c r="M64" s="1770"/>
      <c r="N64" s="1770"/>
      <c r="O64" s="1770"/>
    </row>
    <row r="65" spans="1:17" s="1100" customFormat="1" ht="15" thickBot="1">
      <c r="A65" s="1101" t="s">
        <v>503</v>
      </c>
      <c r="B65" s="594" t="e">
        <f t="shared" si="16"/>
        <v>#DIV/0!</v>
      </c>
      <c r="C65" s="532">
        <f t="shared" si="15"/>
        <v>0</v>
      </c>
      <c r="D65" s="2391">
        <v>0.25</v>
      </c>
      <c r="E65" s="593">
        <f>'数据-汇总表'!E15</f>
        <v>0</v>
      </c>
      <c r="F65" s="2182" t="e">
        <f t="shared" si="14"/>
        <v>#DIV/0!</v>
      </c>
      <c r="G65" s="2196" t="s">
        <v>2325</v>
      </c>
      <c r="H65" s="2197">
        <f>项目基本情况!C37</f>
        <v>0</v>
      </c>
      <c r="I65" s="2190">
        <f>SUMIF(修正!A45:A56,H65,修正!H45:H56)</f>
        <v>0</v>
      </c>
      <c r="J65" s="2194"/>
      <c r="K65" s="2358"/>
      <c r="L65" s="1770"/>
      <c r="M65" s="1770"/>
      <c r="N65" s="1770"/>
      <c r="O65" s="1770"/>
    </row>
    <row r="66" spans="1:17" s="1100" customFormat="1" ht="13.5" thickBot="1">
      <c r="A66" s="1103" t="s">
        <v>504</v>
      </c>
      <c r="B66" s="1104" t="s">
        <v>156</v>
      </c>
      <c r="C66" s="1104" t="s">
        <v>157</v>
      </c>
      <c r="D66" s="1104" t="s">
        <v>2331</v>
      </c>
      <c r="E66" s="1104">
        <f>IF(B46="楼面地价",SUM(E56:E65),'数据-汇总表'!D3)</f>
        <v>4043.7000000000003</v>
      </c>
      <c r="F66" s="1105" t="e">
        <f>IF(B46="楼面地价",SUM(F56:F65),ROUND(C48*E66/10000,0))</f>
        <v>#DIV/0!</v>
      </c>
      <c r="G66" s="1414"/>
      <c r="H66" s="1414"/>
      <c r="I66" s="1414"/>
      <c r="J66" s="1414"/>
      <c r="K66" s="2373"/>
      <c r="L66" s="1770"/>
      <c r="M66" s="1770"/>
      <c r="N66" s="1770"/>
      <c r="O66" s="1770"/>
    </row>
    <row r="67" spans="1:17">
      <c r="A67" s="1306"/>
      <c r="B67" s="1308"/>
      <c r="C67" s="1309"/>
      <c r="D67" s="1306"/>
      <c r="E67" s="1306"/>
      <c r="F67" s="1306"/>
      <c r="G67" s="1306"/>
      <c r="H67" s="1306"/>
      <c r="I67" s="1306"/>
      <c r="J67" s="2358"/>
      <c r="K67" s="2184"/>
      <c r="L67" s="2185"/>
      <c r="M67" s="2358"/>
      <c r="N67" s="2358"/>
      <c r="O67" s="2358"/>
    </row>
    <row r="68" spans="1:17">
      <c r="A68" s="1306"/>
      <c r="B68" s="1308"/>
      <c r="C68" s="1308" t="str">
        <f>YEAR(C7)&amp;"-"&amp;MONTH(C7)&amp;"-1"</f>
        <v>2017-8-1</v>
      </c>
      <c r="D68" s="1308">
        <f>EDATE(C68,-3)</f>
        <v>42856</v>
      </c>
      <c r="E68" s="1308">
        <f>EDATE(D68,-3)</f>
        <v>42767</v>
      </c>
      <c r="F68" s="1308">
        <f t="shared" ref="F68:O68" si="17">EDATE(E68,-3)</f>
        <v>42675</v>
      </c>
      <c r="G68" s="1308">
        <f t="shared" si="17"/>
        <v>42583</v>
      </c>
      <c r="H68" s="1308">
        <f t="shared" si="17"/>
        <v>42491</v>
      </c>
      <c r="I68" s="1308">
        <f t="shared" si="17"/>
        <v>42401</v>
      </c>
      <c r="J68" s="1308">
        <f t="shared" si="17"/>
        <v>42309</v>
      </c>
      <c r="K68" s="1308">
        <f t="shared" si="17"/>
        <v>42217</v>
      </c>
      <c r="L68" s="1308">
        <f t="shared" si="17"/>
        <v>42125</v>
      </c>
      <c r="M68" s="1308">
        <f t="shared" si="17"/>
        <v>42036</v>
      </c>
      <c r="N68" s="1308">
        <f t="shared" si="17"/>
        <v>41944</v>
      </c>
      <c r="O68" s="1308">
        <f t="shared" si="17"/>
        <v>41852</v>
      </c>
    </row>
    <row r="69" spans="1:17" ht="21.75" thickBot="1">
      <c r="A69" s="1310" t="s">
        <v>415</v>
      </c>
      <c r="B69" s="1306"/>
      <c r="C69" s="1311"/>
      <c r="D69" s="1311"/>
      <c r="E69" s="1311"/>
      <c r="F69" s="1312"/>
      <c r="G69" s="1312"/>
      <c r="H69" s="1311"/>
      <c r="I69" s="1311"/>
      <c r="J69" s="2374"/>
      <c r="K69" s="2375"/>
      <c r="L69" s="2376"/>
      <c r="M69" s="2374"/>
      <c r="N69" s="2374"/>
      <c r="O69" s="2374"/>
      <c r="P69" s="845"/>
      <c r="Q69" s="846"/>
    </row>
    <row r="70" spans="1:17" s="850" customFormat="1" ht="15">
      <c r="A70" s="2702" t="s">
        <v>2795</v>
      </c>
      <c r="B70" s="2703"/>
      <c r="C70" s="3033" t="str">
        <f>YEAR(C68)&amp;"-"&amp;ROUNDUP(MONTH(C68)/3,0)</f>
        <v>2017-3</v>
      </c>
      <c r="D70" s="3033" t="str">
        <f>YEAR(D68)&amp;"-"&amp;ROUNDUP(MONTH(D68)/3,0)</f>
        <v>2017-2</v>
      </c>
      <c r="E70" s="3033" t="str">
        <f t="shared" ref="E70:O70" si="18">YEAR(E68)&amp;"-"&amp;ROUNDUP(MONTH(E68)/3,0)</f>
        <v>2017-1</v>
      </c>
      <c r="F70" s="3033" t="str">
        <f t="shared" si="18"/>
        <v>2016-4</v>
      </c>
      <c r="G70" s="3033" t="str">
        <f t="shared" si="18"/>
        <v>2016-3</v>
      </c>
      <c r="H70" s="3033" t="str">
        <f t="shared" si="18"/>
        <v>2016-2</v>
      </c>
      <c r="I70" s="3033" t="str">
        <f t="shared" si="18"/>
        <v>2016-1</v>
      </c>
      <c r="J70" s="3033" t="str">
        <f t="shared" si="18"/>
        <v>2015-4</v>
      </c>
      <c r="K70" s="3033" t="str">
        <f t="shared" si="18"/>
        <v>2015-3</v>
      </c>
      <c r="L70" s="3033" t="str">
        <f t="shared" si="18"/>
        <v>2015-2</v>
      </c>
      <c r="M70" s="3033" t="str">
        <f t="shared" si="18"/>
        <v>2015-1</v>
      </c>
      <c r="N70" s="3033" t="str">
        <f t="shared" si="18"/>
        <v>2014-4</v>
      </c>
      <c r="O70" s="3033" t="str">
        <f t="shared" si="18"/>
        <v>2014-3</v>
      </c>
      <c r="P70" s="849"/>
    </row>
    <row r="71" spans="1:17" s="407" customFormat="1" ht="30" customHeight="1">
      <c r="A71" s="3036" t="s">
        <v>40</v>
      </c>
      <c r="B71" s="664" t="str">
        <f>"北京市平均增长率"&amp;TEXT(SUMIF(基准地价修正!N21:N25,A71,基准地价修正!P21:P25),"0.00%")</f>
        <v>北京市平均增长率2.75%</v>
      </c>
      <c r="C71" s="945">
        <v>100</v>
      </c>
      <c r="D71" s="937"/>
      <c r="E71" s="937"/>
      <c r="F71" s="937"/>
      <c r="G71" s="937"/>
      <c r="H71" s="937"/>
      <c r="I71" s="937"/>
      <c r="J71" s="937"/>
      <c r="K71" s="937"/>
      <c r="L71" s="937"/>
      <c r="M71" s="3027"/>
      <c r="N71" s="937"/>
      <c r="O71" s="3028"/>
      <c r="P71" s="846"/>
    </row>
    <row r="72" spans="1:17" s="407" customFormat="1" ht="15.75" thickBot="1">
      <c r="A72" s="857" t="s">
        <v>416</v>
      </c>
      <c r="B72" s="858"/>
      <c r="C72" s="859"/>
      <c r="D72" s="860"/>
      <c r="E72" s="860"/>
      <c r="F72" s="860"/>
      <c r="G72" s="860"/>
      <c r="H72" s="860"/>
      <c r="I72" s="860"/>
      <c r="J72" s="860"/>
      <c r="K72" s="860"/>
      <c r="L72" s="860"/>
      <c r="M72" s="861"/>
      <c r="N72" s="860"/>
      <c r="O72" s="2377"/>
      <c r="P72" s="846"/>
      <c r="Q72" s="846"/>
    </row>
    <row r="73" spans="1:17" s="407" customFormat="1" ht="15">
      <c r="A73" s="863" t="s">
        <v>400</v>
      </c>
      <c r="B73" s="852"/>
      <c r="C73" s="864" t="s">
        <v>417</v>
      </c>
      <c r="D73" s="140"/>
      <c r="E73" s="140"/>
      <c r="F73" s="140"/>
      <c r="G73" s="140"/>
      <c r="H73" s="140"/>
      <c r="I73" s="140"/>
      <c r="J73" s="140"/>
      <c r="K73" s="140"/>
      <c r="L73" s="141"/>
      <c r="M73" s="1050"/>
      <c r="N73" s="2365"/>
      <c r="O73" s="2365"/>
      <c r="P73" s="868"/>
      <c r="Q73" s="846"/>
    </row>
    <row r="74" spans="1:17" s="407" customFormat="1" ht="15.75" thickBot="1">
      <c r="A74" s="863"/>
      <c r="B74" s="852"/>
      <c r="C74" s="981">
        <v>100</v>
      </c>
      <c r="D74" s="854"/>
      <c r="E74" s="854"/>
      <c r="F74" s="854"/>
      <c r="G74" s="854"/>
      <c r="H74" s="854"/>
      <c r="I74" s="854"/>
      <c r="J74" s="854"/>
      <c r="K74" s="854"/>
      <c r="L74" s="854"/>
      <c r="M74" s="856"/>
      <c r="N74" s="2365"/>
      <c r="O74" s="2365"/>
      <c r="P74" s="846"/>
      <c r="Q74" s="846"/>
    </row>
    <row r="75" spans="1:17">
      <c r="A75" s="869" t="s">
        <v>418</v>
      </c>
      <c r="B75" s="870" t="s">
        <v>419</v>
      </c>
      <c r="C75" s="122"/>
      <c r="D75" s="122"/>
      <c r="E75" s="122"/>
      <c r="F75" s="122"/>
      <c r="G75" s="122"/>
      <c r="H75" s="122"/>
      <c r="I75" s="122"/>
      <c r="J75" s="122"/>
      <c r="K75" s="123"/>
      <c r="L75" s="124"/>
      <c r="M75" s="125"/>
      <c r="N75" s="2366"/>
      <c r="O75" s="2366"/>
      <c r="P75" s="334"/>
      <c r="Q75" s="846"/>
    </row>
    <row r="76" spans="1:17" ht="15.75" thickBot="1">
      <c r="A76" s="876"/>
      <c r="B76" s="877"/>
      <c r="C76" s="878"/>
      <c r="D76" s="878"/>
      <c r="E76" s="878"/>
      <c r="F76" s="878"/>
      <c r="G76" s="878"/>
      <c r="H76" s="878"/>
      <c r="I76" s="878"/>
      <c r="J76" s="878"/>
      <c r="K76" s="878"/>
      <c r="L76" s="878"/>
      <c r="M76" s="879"/>
      <c r="N76" s="2367"/>
      <c r="O76" s="2367"/>
      <c r="P76" s="334"/>
      <c r="Q76" s="846"/>
    </row>
    <row r="77" spans="1:17" ht="27.75" thickTop="1">
      <c r="A77" s="876"/>
      <c r="B77" s="880" t="s">
        <v>404</v>
      </c>
      <c r="C77" s="881"/>
      <c r="D77" s="881"/>
      <c r="E77" s="881"/>
      <c r="F77" s="881"/>
      <c r="G77" s="881"/>
      <c r="H77" s="881"/>
      <c r="I77" s="881"/>
      <c r="J77" s="881"/>
      <c r="K77" s="882"/>
      <c r="L77" s="883"/>
      <c r="M77" s="884"/>
      <c r="N77" s="2366"/>
      <c r="O77" s="2366"/>
      <c r="P77" s="334"/>
      <c r="Q77" s="846"/>
    </row>
    <row r="78" spans="1:17" ht="15.75" thickBot="1">
      <c r="A78" s="876"/>
      <c r="B78" s="885"/>
      <c r="C78" s="886"/>
      <c r="D78" s="886"/>
      <c r="E78" s="886"/>
      <c r="F78" s="886"/>
      <c r="G78" s="886"/>
      <c r="H78" s="886"/>
      <c r="I78" s="886"/>
      <c r="J78" s="886"/>
      <c r="K78" s="886"/>
      <c r="L78" s="886"/>
      <c r="M78" s="887"/>
      <c r="N78" s="2367"/>
      <c r="O78" s="2367"/>
      <c r="P78" s="334"/>
      <c r="Q78" s="846"/>
    </row>
    <row r="79" spans="1:17" ht="15.75" thickTop="1">
      <c r="A79" s="876"/>
      <c r="B79" s="888" t="s">
        <v>405</v>
      </c>
      <c r="C79" s="889" t="str">
        <f>C80&amp;"（含）"&amp;"-"&amp;D80</f>
        <v>（含）-</v>
      </c>
      <c r="D79" s="889" t="str">
        <f t="shared" ref="D79:L79" si="19">D80&amp;"（含）"&amp;"-"&amp;E80</f>
        <v>（含）-</v>
      </c>
      <c r="E79" s="889" t="str">
        <f t="shared" si="19"/>
        <v>（含）-</v>
      </c>
      <c r="F79" s="889" t="str">
        <f t="shared" si="19"/>
        <v>（含）-</v>
      </c>
      <c r="G79" s="889" t="str">
        <f t="shared" si="19"/>
        <v>（含）-</v>
      </c>
      <c r="H79" s="889" t="str">
        <f t="shared" si="19"/>
        <v>（含）-</v>
      </c>
      <c r="I79" s="889" t="str">
        <f t="shared" si="19"/>
        <v>（含）-</v>
      </c>
      <c r="J79" s="889" t="str">
        <f t="shared" si="19"/>
        <v>（含）-</v>
      </c>
      <c r="K79" s="889" t="str">
        <f t="shared" si="19"/>
        <v>（含）-</v>
      </c>
      <c r="L79" s="889" t="str">
        <f t="shared" si="19"/>
        <v>（含）-</v>
      </c>
      <c r="M79" s="790" t="str">
        <f>M80&amp;"（含）"&amp;"-"&amp;P80</f>
        <v>（含）-</v>
      </c>
      <c r="N79" s="2367"/>
      <c r="O79" s="2367"/>
      <c r="P79" s="334"/>
      <c r="Q79" s="846"/>
    </row>
    <row r="80" spans="1:17" ht="15">
      <c r="A80" s="876"/>
      <c r="B80" s="890"/>
      <c r="C80" s="891"/>
      <c r="D80" s="891"/>
      <c r="E80" s="891"/>
      <c r="F80" s="891"/>
      <c r="G80" s="891"/>
      <c r="H80" s="891"/>
      <c r="I80" s="891"/>
      <c r="J80" s="891"/>
      <c r="K80" s="892"/>
      <c r="L80" s="893"/>
      <c r="M80" s="894"/>
      <c r="N80" s="2366"/>
      <c r="O80" s="2366"/>
      <c r="P80" s="334"/>
      <c r="Q80" s="846"/>
    </row>
    <row r="81" spans="1:17" ht="15.75" thickBot="1">
      <c r="A81" s="876"/>
      <c r="B81" s="877"/>
      <c r="C81" s="886">
        <v>100</v>
      </c>
      <c r="D81" s="886">
        <f t="shared" ref="D81:M81" si="20">IF($B$46="单位面积地价",C81+$K11,C81-$K11)</f>
        <v>100</v>
      </c>
      <c r="E81" s="886">
        <f t="shared" si="20"/>
        <v>100</v>
      </c>
      <c r="F81" s="886">
        <f t="shared" si="20"/>
        <v>100</v>
      </c>
      <c r="G81" s="886">
        <f t="shared" si="20"/>
        <v>100</v>
      </c>
      <c r="H81" s="886">
        <f t="shared" si="20"/>
        <v>100</v>
      </c>
      <c r="I81" s="886">
        <f t="shared" si="20"/>
        <v>100</v>
      </c>
      <c r="J81" s="886">
        <f t="shared" si="20"/>
        <v>100</v>
      </c>
      <c r="K81" s="886">
        <f t="shared" si="20"/>
        <v>100</v>
      </c>
      <c r="L81" s="886">
        <f t="shared" si="20"/>
        <v>100</v>
      </c>
      <c r="M81" s="886">
        <f t="shared" si="20"/>
        <v>100</v>
      </c>
      <c r="N81" s="2367"/>
      <c r="O81" s="2367"/>
      <c r="P81" s="334"/>
      <c r="Q81" s="846"/>
    </row>
    <row r="82" spans="1:17" s="813" customFormat="1" ht="15.75" thickTop="1">
      <c r="A82" s="895"/>
      <c r="B82" s="880" t="str">
        <f>B12</f>
        <v>配建</v>
      </c>
      <c r="C82" s="139"/>
      <c r="D82" s="139"/>
      <c r="E82" s="139"/>
      <c r="F82" s="139"/>
      <c r="G82" s="139"/>
      <c r="H82" s="1058"/>
      <c r="I82" s="1058"/>
      <c r="J82" s="1058"/>
      <c r="K82" s="1058"/>
      <c r="L82" s="1059"/>
      <c r="M82" s="1060"/>
      <c r="N82" s="2368"/>
      <c r="O82" s="2368"/>
      <c r="P82" s="900"/>
      <c r="Q82" s="901"/>
    </row>
    <row r="83" spans="1:17" s="813" customFormat="1" ht="15.75" thickBot="1">
      <c r="A83" s="895"/>
      <c r="B83" s="885"/>
      <c r="C83" s="902"/>
      <c r="D83" s="878"/>
      <c r="E83" s="878"/>
      <c r="F83" s="878"/>
      <c r="G83" s="878"/>
      <c r="H83" s="878"/>
      <c r="I83" s="878"/>
      <c r="J83" s="878"/>
      <c r="K83" s="878"/>
      <c r="L83" s="878"/>
      <c r="M83" s="879"/>
      <c r="N83" s="2367"/>
      <c r="O83" s="2367"/>
      <c r="P83" s="900"/>
      <c r="Q83" s="901"/>
    </row>
    <row r="84" spans="1:17" s="813" customFormat="1" ht="15.75" thickTop="1">
      <c r="A84" s="895"/>
      <c r="B84" s="880">
        <f>B13</f>
        <v>111</v>
      </c>
      <c r="C84" s="139"/>
      <c r="D84" s="139"/>
      <c r="E84" s="139"/>
      <c r="F84" s="139"/>
      <c r="G84" s="139"/>
      <c r="H84" s="1058"/>
      <c r="I84" s="1058"/>
      <c r="J84" s="1058"/>
      <c r="K84" s="1058"/>
      <c r="L84" s="1059"/>
      <c r="M84" s="1060"/>
      <c r="N84" s="2368"/>
      <c r="O84" s="2368"/>
      <c r="P84" s="812"/>
      <c r="Q84" s="903"/>
    </row>
    <row r="85" spans="1:17" s="813" customFormat="1" ht="15.75" thickBot="1">
      <c r="A85" s="895"/>
      <c r="B85" s="885"/>
      <c r="C85" s="902"/>
      <c r="D85" s="902"/>
      <c r="E85" s="902"/>
      <c r="F85" s="902"/>
      <c r="G85" s="902"/>
      <c r="H85" s="904"/>
      <c r="I85" s="904"/>
      <c r="J85" s="904"/>
      <c r="K85" s="904"/>
      <c r="L85" s="904"/>
      <c r="M85" s="905"/>
      <c r="N85" s="2368"/>
      <c r="O85" s="2368"/>
      <c r="P85" s="900"/>
      <c r="Q85" s="901"/>
    </row>
    <row r="86" spans="1:17" s="813" customFormat="1" ht="15.75" thickTop="1">
      <c r="A86" s="895"/>
      <c r="B86" s="888">
        <f>B14</f>
        <v>111</v>
      </c>
      <c r="C86" s="140"/>
      <c r="D86" s="140"/>
      <c r="E86" s="140"/>
      <c r="F86" s="140"/>
      <c r="G86" s="140"/>
      <c r="H86" s="1065"/>
      <c r="I86" s="1065"/>
      <c r="J86" s="1065"/>
      <c r="K86" s="1065"/>
      <c r="L86" s="1066"/>
      <c r="M86" s="1067"/>
      <c r="N86" s="2368"/>
      <c r="O86" s="2368"/>
      <c r="P86" s="909"/>
      <c r="Q86" s="901"/>
    </row>
    <row r="87" spans="1:17" s="813" customFormat="1" ht="15.75" thickBot="1">
      <c r="A87" s="910"/>
      <c r="B87" s="911"/>
      <c r="C87" s="912"/>
      <c r="D87" s="912"/>
      <c r="E87" s="912"/>
      <c r="F87" s="912"/>
      <c r="G87" s="912"/>
      <c r="H87" s="913"/>
      <c r="I87" s="913"/>
      <c r="J87" s="913"/>
      <c r="K87" s="913"/>
      <c r="L87" s="913"/>
      <c r="M87" s="914"/>
      <c r="N87" s="2368"/>
      <c r="O87" s="2368"/>
      <c r="P87" s="900"/>
      <c r="Q87" s="901"/>
    </row>
    <row r="88" spans="1:17">
      <c r="A88" s="869" t="s">
        <v>406</v>
      </c>
      <c r="B88" s="870" t="s">
        <v>424</v>
      </c>
      <c r="C88" s="915" t="s">
        <v>425</v>
      </c>
      <c r="D88" s="915" t="s">
        <v>426</v>
      </c>
      <c r="E88" s="915" t="s">
        <v>427</v>
      </c>
      <c r="F88" s="915" t="s">
        <v>428</v>
      </c>
      <c r="G88" s="915" t="s">
        <v>429</v>
      </c>
      <c r="H88" s="871"/>
      <c r="I88" s="871"/>
      <c r="J88" s="871"/>
      <c r="K88" s="916"/>
      <c r="L88" s="917"/>
      <c r="M88" s="918"/>
      <c r="N88" s="2366"/>
      <c r="O88" s="2366"/>
      <c r="P88" s="919"/>
      <c r="Q88" s="846"/>
    </row>
    <row r="89" spans="1:17" ht="15.75" thickBot="1">
      <c r="A89" s="876"/>
      <c r="B89" s="885"/>
      <c r="C89" s="886">
        <v>100</v>
      </c>
      <c r="D89" s="886">
        <f>C89-$K15</f>
        <v>100</v>
      </c>
      <c r="E89" s="886">
        <f>D89-$K15</f>
        <v>100</v>
      </c>
      <c r="F89" s="886">
        <f>E89-$K15</f>
        <v>100</v>
      </c>
      <c r="G89" s="886">
        <f>F89-$K15</f>
        <v>100</v>
      </c>
      <c r="H89" s="886"/>
      <c r="I89" s="886"/>
      <c r="J89" s="886"/>
      <c r="K89" s="886"/>
      <c r="L89" s="886"/>
      <c r="M89" s="887"/>
      <c r="N89" s="2367"/>
      <c r="O89" s="2367"/>
      <c r="P89" s="334"/>
      <c r="Q89" s="846"/>
    </row>
    <row r="90" spans="1:17" ht="15.75" thickTop="1">
      <c r="A90" s="876"/>
      <c r="B90" s="880" t="s">
        <v>505</v>
      </c>
      <c r="C90" s="920" t="s">
        <v>425</v>
      </c>
      <c r="D90" s="920" t="s">
        <v>426</v>
      </c>
      <c r="E90" s="920" t="s">
        <v>427</v>
      </c>
      <c r="F90" s="920" t="s">
        <v>428</v>
      </c>
      <c r="G90" s="920" t="s">
        <v>429</v>
      </c>
      <c r="H90" s="881"/>
      <c r="I90" s="881"/>
      <c r="J90" s="881"/>
      <c r="K90" s="882"/>
      <c r="L90" s="883"/>
      <c r="M90" s="884"/>
      <c r="N90" s="2366"/>
      <c r="O90" s="2366"/>
      <c r="P90" s="334"/>
      <c r="Q90" s="846"/>
    </row>
    <row r="91" spans="1:17" ht="15.75" thickBot="1">
      <c r="A91" s="876"/>
      <c r="B91" s="885"/>
      <c r="C91" s="886">
        <v>100</v>
      </c>
      <c r="D91" s="886">
        <f>C91-$K17</f>
        <v>100</v>
      </c>
      <c r="E91" s="886">
        <f>D91-$K17</f>
        <v>100</v>
      </c>
      <c r="F91" s="886">
        <f>E91-$K17</f>
        <v>100</v>
      </c>
      <c r="G91" s="886">
        <f>F91-$K17</f>
        <v>100</v>
      </c>
      <c r="H91" s="886"/>
      <c r="I91" s="886"/>
      <c r="J91" s="886"/>
      <c r="K91" s="886"/>
      <c r="L91" s="886"/>
      <c r="M91" s="887"/>
      <c r="N91" s="2367"/>
      <c r="O91" s="2367"/>
      <c r="P91" s="334"/>
      <c r="Q91" s="846"/>
    </row>
    <row r="92" spans="1:17" ht="15.75" thickTop="1">
      <c r="A92" s="876"/>
      <c r="B92" s="880" t="s">
        <v>443</v>
      </c>
      <c r="C92" s="920" t="s">
        <v>425</v>
      </c>
      <c r="D92" s="920" t="s">
        <v>426</v>
      </c>
      <c r="E92" s="920" t="s">
        <v>427</v>
      </c>
      <c r="F92" s="920" t="s">
        <v>428</v>
      </c>
      <c r="G92" s="920" t="s">
        <v>429</v>
      </c>
      <c r="H92" s="881"/>
      <c r="I92" s="881"/>
      <c r="J92" s="881"/>
      <c r="K92" s="882"/>
      <c r="L92" s="883"/>
      <c r="M92" s="884"/>
      <c r="N92" s="2366"/>
      <c r="O92" s="2366"/>
      <c r="P92" s="334"/>
      <c r="Q92" s="846"/>
    </row>
    <row r="93" spans="1:17" ht="15.75" thickBot="1">
      <c r="A93" s="876"/>
      <c r="B93" s="885"/>
      <c r="C93" s="886">
        <v>100</v>
      </c>
      <c r="D93" s="886">
        <f>C93-$K19</f>
        <v>100</v>
      </c>
      <c r="E93" s="886">
        <f>D93-$K19</f>
        <v>100</v>
      </c>
      <c r="F93" s="886">
        <f>E93-$K19</f>
        <v>100</v>
      </c>
      <c r="G93" s="886">
        <f>F93-$K19</f>
        <v>100</v>
      </c>
      <c r="H93" s="886"/>
      <c r="I93" s="886"/>
      <c r="J93" s="886"/>
      <c r="K93" s="886"/>
      <c r="L93" s="886"/>
      <c r="M93" s="887"/>
      <c r="N93" s="2367"/>
      <c r="O93" s="2367"/>
      <c r="P93" s="334"/>
      <c r="Q93" s="846"/>
    </row>
    <row r="94" spans="1:17" ht="15.75" thickTop="1">
      <c r="A94" s="876"/>
      <c r="B94" s="880" t="s">
        <v>430</v>
      </c>
      <c r="C94" s="920" t="s">
        <v>425</v>
      </c>
      <c r="D94" s="920" t="s">
        <v>426</v>
      </c>
      <c r="E94" s="920" t="s">
        <v>427</v>
      </c>
      <c r="F94" s="920" t="s">
        <v>428</v>
      </c>
      <c r="G94" s="920" t="s">
        <v>429</v>
      </c>
      <c r="H94" s="881"/>
      <c r="I94" s="881"/>
      <c r="J94" s="881"/>
      <c r="K94" s="882"/>
      <c r="L94" s="883"/>
      <c r="M94" s="884"/>
      <c r="N94" s="2366"/>
      <c r="O94" s="2366"/>
      <c r="P94" s="334"/>
      <c r="Q94" s="846"/>
    </row>
    <row r="95" spans="1:17" ht="15.75" thickBot="1">
      <c r="A95" s="876"/>
      <c r="B95" s="885"/>
      <c r="C95" s="886">
        <v>100</v>
      </c>
      <c r="D95" s="886">
        <f>C95-$K21</f>
        <v>100</v>
      </c>
      <c r="E95" s="886">
        <f>D95-$K21</f>
        <v>100</v>
      </c>
      <c r="F95" s="886">
        <f>E95-$K21</f>
        <v>100</v>
      </c>
      <c r="G95" s="886">
        <f>F95-$K21</f>
        <v>100</v>
      </c>
      <c r="H95" s="886"/>
      <c r="I95" s="886"/>
      <c r="J95" s="886"/>
      <c r="K95" s="886"/>
      <c r="L95" s="886"/>
      <c r="M95" s="887"/>
      <c r="N95" s="2367"/>
      <c r="O95" s="2367"/>
      <c r="P95" s="334"/>
      <c r="Q95" s="846"/>
    </row>
    <row r="96" spans="1:17" s="407" customFormat="1" ht="27.75" thickTop="1">
      <c r="A96" s="921"/>
      <c r="B96" s="880" t="s">
        <v>506</v>
      </c>
      <c r="C96" s="920" t="s">
        <v>425</v>
      </c>
      <c r="D96" s="920" t="s">
        <v>426</v>
      </c>
      <c r="E96" s="920" t="s">
        <v>427</v>
      </c>
      <c r="F96" s="920" t="s">
        <v>428</v>
      </c>
      <c r="G96" s="920" t="s">
        <v>429</v>
      </c>
      <c r="H96" s="920"/>
      <c r="I96" s="920"/>
      <c r="J96" s="920"/>
      <c r="K96" s="920"/>
      <c r="L96" s="1106"/>
      <c r="M96" s="964"/>
      <c r="N96" s="2365"/>
      <c r="O96" s="2365"/>
      <c r="P96" s="334"/>
      <c r="Q96" s="846"/>
    </row>
    <row r="97" spans="1:17" s="407" customFormat="1" ht="15.75" thickBot="1">
      <c r="A97" s="921"/>
      <c r="B97" s="885"/>
      <c r="C97" s="924">
        <v>100</v>
      </c>
      <c r="D97" s="886">
        <f>C97-$K23</f>
        <v>100</v>
      </c>
      <c r="E97" s="886">
        <f>D97-$K23</f>
        <v>100</v>
      </c>
      <c r="F97" s="886">
        <f>E97-$K23</f>
        <v>100</v>
      </c>
      <c r="G97" s="886">
        <f>F97-$K23</f>
        <v>100</v>
      </c>
      <c r="H97" s="886"/>
      <c r="I97" s="886"/>
      <c r="J97" s="886"/>
      <c r="K97" s="886"/>
      <c r="L97" s="886"/>
      <c r="M97" s="887"/>
      <c r="N97" s="2367"/>
      <c r="O97" s="2367"/>
      <c r="P97" s="334"/>
      <c r="Q97" s="846"/>
    </row>
    <row r="98" spans="1:17" s="407" customFormat="1" ht="27.75" thickTop="1">
      <c r="A98" s="921"/>
      <c r="B98" s="880" t="s">
        <v>507</v>
      </c>
      <c r="C98" s="915" t="s">
        <v>425</v>
      </c>
      <c r="D98" s="915" t="s">
        <v>426</v>
      </c>
      <c r="E98" s="915" t="s">
        <v>427</v>
      </c>
      <c r="F98" s="915" t="s">
        <v>428</v>
      </c>
      <c r="G98" s="915" t="s">
        <v>429</v>
      </c>
      <c r="H98" s="920"/>
      <c r="I98" s="920"/>
      <c r="J98" s="920"/>
      <c r="K98" s="920"/>
      <c r="L98" s="920"/>
      <c r="M98" s="964"/>
      <c r="N98" s="2365"/>
      <c r="O98" s="2365"/>
      <c r="P98" s="334"/>
      <c r="Q98" s="846"/>
    </row>
    <row r="99" spans="1:17" s="407" customFormat="1" ht="15.75" thickBot="1">
      <c r="A99" s="921"/>
      <c r="B99" s="885"/>
      <c r="C99" s="886">
        <v>100</v>
      </c>
      <c r="D99" s="886">
        <f>C99-$K25</f>
        <v>100</v>
      </c>
      <c r="E99" s="886">
        <f>D99-$K25</f>
        <v>100</v>
      </c>
      <c r="F99" s="886">
        <f>E99-$K25</f>
        <v>100</v>
      </c>
      <c r="G99" s="886">
        <f>F99-$K25</f>
        <v>100</v>
      </c>
      <c r="H99" s="886"/>
      <c r="I99" s="886"/>
      <c r="J99" s="886"/>
      <c r="K99" s="886"/>
      <c r="L99" s="886"/>
      <c r="M99" s="887"/>
      <c r="N99" s="2367"/>
      <c r="O99" s="2367"/>
      <c r="P99" s="334"/>
      <c r="Q99" s="846"/>
    </row>
    <row r="100" spans="1:17" s="813" customFormat="1" ht="15.75" thickTop="1">
      <c r="A100" s="895"/>
      <c r="B100" s="1053" t="s">
        <v>2673</v>
      </c>
      <c r="C100" s="915" t="s">
        <v>425</v>
      </c>
      <c r="D100" s="915" t="s">
        <v>426</v>
      </c>
      <c r="E100" s="915" t="s">
        <v>427</v>
      </c>
      <c r="F100" s="915" t="s">
        <v>428</v>
      </c>
      <c r="G100" s="915" t="s">
        <v>429</v>
      </c>
      <c r="H100" s="942"/>
      <c r="I100" s="942"/>
      <c r="J100" s="942"/>
      <c r="K100" s="942"/>
      <c r="L100" s="943"/>
      <c r="M100" s="944"/>
      <c r="N100" s="2368"/>
      <c r="O100" s="2368"/>
      <c r="P100" s="900"/>
      <c r="Q100" s="901"/>
    </row>
    <row r="101" spans="1:17" s="813" customFormat="1" ht="15.75" thickBot="1">
      <c r="A101" s="895"/>
      <c r="B101" s="885"/>
      <c r="C101" s="886">
        <v>100</v>
      </c>
      <c r="D101" s="886">
        <f>C101-$K27</f>
        <v>100</v>
      </c>
      <c r="E101" s="886">
        <f>D101-$K27</f>
        <v>100</v>
      </c>
      <c r="F101" s="886">
        <f>E101-$K27</f>
        <v>100</v>
      </c>
      <c r="G101" s="886">
        <f>F101-$K27</f>
        <v>100</v>
      </c>
      <c r="H101" s="949"/>
      <c r="I101" s="949"/>
      <c r="J101" s="949"/>
      <c r="K101" s="949"/>
      <c r="L101" s="949"/>
      <c r="M101" s="950"/>
      <c r="N101" s="2368"/>
      <c r="O101" s="2368"/>
      <c r="P101" s="900"/>
      <c r="Q101" s="901"/>
    </row>
    <row r="102" spans="1:17" s="813" customFormat="1" ht="15.75" thickTop="1">
      <c r="A102" s="895"/>
      <c r="B102" s="1055" t="s">
        <v>2660</v>
      </c>
      <c r="C102" s="213" t="s">
        <v>2661</v>
      </c>
      <c r="D102" s="213" t="s">
        <v>2662</v>
      </c>
      <c r="E102" s="213" t="s">
        <v>2663</v>
      </c>
      <c r="F102" s="213" t="s">
        <v>2664</v>
      </c>
      <c r="G102" s="213" t="s">
        <v>2665</v>
      </c>
      <c r="H102" s="942"/>
      <c r="I102" s="942"/>
      <c r="J102" s="942"/>
      <c r="K102" s="942"/>
      <c r="L102" s="942"/>
      <c r="M102" s="2766"/>
      <c r="N102" s="2368"/>
      <c r="O102" s="2368"/>
      <c r="P102" s="900"/>
      <c r="Q102" s="901"/>
    </row>
    <row r="103" spans="1:17" s="813" customFormat="1" ht="15.75" thickBot="1">
      <c r="A103" s="895"/>
      <c r="B103" s="1055"/>
      <c r="C103" s="886">
        <v>100</v>
      </c>
      <c r="D103" s="886">
        <f>C103-$K29</f>
        <v>100</v>
      </c>
      <c r="E103" s="886">
        <f>D103-$K29</f>
        <v>100</v>
      </c>
      <c r="F103" s="886">
        <f>E103-$K29</f>
        <v>100</v>
      </c>
      <c r="G103" s="886">
        <f>F103-$K29</f>
        <v>100</v>
      </c>
      <c r="H103" s="890"/>
      <c r="I103" s="890"/>
      <c r="J103" s="890"/>
      <c r="K103" s="890"/>
      <c r="L103" s="890"/>
      <c r="M103" s="2766"/>
      <c r="N103" s="2368"/>
      <c r="O103" s="2368"/>
      <c r="P103" s="900"/>
      <c r="Q103" s="901"/>
    </row>
    <row r="104" spans="1:17" ht="15.75" thickTop="1">
      <c r="A104" s="876"/>
      <c r="B104" s="1053" t="str">
        <f>B31</f>
        <v>临街状况</v>
      </c>
      <c r="C104" s="881" t="s">
        <v>508</v>
      </c>
      <c r="D104" s="881" t="s">
        <v>509</v>
      </c>
      <c r="E104" s="881" t="s">
        <v>510</v>
      </c>
      <c r="F104" s="881" t="s">
        <v>511</v>
      </c>
      <c r="G104" s="881"/>
      <c r="H104" s="881"/>
      <c r="I104" s="881"/>
      <c r="J104" s="881"/>
      <c r="K104" s="882"/>
      <c r="L104" s="883"/>
      <c r="M104" s="884"/>
      <c r="N104" s="2366"/>
      <c r="O104" s="2366"/>
      <c r="P104" s="334"/>
      <c r="Q104" s="846"/>
    </row>
    <row r="105" spans="1:17" ht="15.75" thickBot="1">
      <c r="A105" s="876"/>
      <c r="B105" s="885"/>
      <c r="C105" s="886">
        <v>100</v>
      </c>
      <c r="D105" s="886">
        <f>C105-$K31</f>
        <v>100</v>
      </c>
      <c r="E105" s="886">
        <f t="shared" ref="E105:M105" si="21">D105-$K31</f>
        <v>100</v>
      </c>
      <c r="F105" s="886">
        <f t="shared" si="21"/>
        <v>100</v>
      </c>
      <c r="G105" s="886">
        <f t="shared" si="21"/>
        <v>100</v>
      </c>
      <c r="H105" s="886">
        <f t="shared" si="21"/>
        <v>100</v>
      </c>
      <c r="I105" s="886">
        <f t="shared" si="21"/>
        <v>100</v>
      </c>
      <c r="J105" s="886">
        <f t="shared" si="21"/>
        <v>100</v>
      </c>
      <c r="K105" s="886">
        <f t="shared" si="21"/>
        <v>100</v>
      </c>
      <c r="L105" s="886">
        <f t="shared" si="21"/>
        <v>100</v>
      </c>
      <c r="M105" s="886">
        <f t="shared" si="21"/>
        <v>100</v>
      </c>
      <c r="N105" s="2367"/>
      <c r="O105" s="2367"/>
      <c r="P105" s="334"/>
      <c r="Q105" s="846"/>
    </row>
    <row r="106" spans="1:17" ht="27.75" thickTop="1">
      <c r="A106" s="876"/>
      <c r="B106" s="880" t="s">
        <v>442</v>
      </c>
      <c r="C106" s="139"/>
      <c r="D106" s="139"/>
      <c r="E106" s="139"/>
      <c r="F106" s="139"/>
      <c r="G106" s="139"/>
      <c r="H106" s="131"/>
      <c r="I106" s="131"/>
      <c r="J106" s="131"/>
      <c r="K106" s="132"/>
      <c r="L106" s="133"/>
      <c r="M106" s="134"/>
      <c r="N106" s="2366"/>
      <c r="O106" s="2366"/>
      <c r="P106" s="334"/>
      <c r="Q106" s="846"/>
    </row>
    <row r="107" spans="1:17" ht="15.75" thickBot="1">
      <c r="A107" s="876"/>
      <c r="B107" s="885"/>
      <c r="C107" s="886">
        <v>100</v>
      </c>
      <c r="D107" s="886">
        <f>C107-$K32</f>
        <v>100</v>
      </c>
      <c r="E107" s="886">
        <f t="shared" ref="E107:M107" si="22">D107-$K32</f>
        <v>100</v>
      </c>
      <c r="F107" s="886">
        <f t="shared" si="22"/>
        <v>100</v>
      </c>
      <c r="G107" s="886">
        <f t="shared" si="22"/>
        <v>100</v>
      </c>
      <c r="H107" s="886">
        <f t="shared" si="22"/>
        <v>100</v>
      </c>
      <c r="I107" s="886">
        <f t="shared" si="22"/>
        <v>100</v>
      </c>
      <c r="J107" s="886">
        <f t="shared" si="22"/>
        <v>100</v>
      </c>
      <c r="K107" s="886">
        <f t="shared" si="22"/>
        <v>100</v>
      </c>
      <c r="L107" s="886">
        <f t="shared" si="22"/>
        <v>100</v>
      </c>
      <c r="M107" s="886">
        <f t="shared" si="22"/>
        <v>100</v>
      </c>
      <c r="N107" s="2367"/>
      <c r="O107" s="2367"/>
      <c r="P107" s="334"/>
      <c r="Q107" s="846"/>
    </row>
    <row r="108" spans="1:17" ht="15.75" thickTop="1">
      <c r="A108" s="876"/>
      <c r="B108" s="880" t="s">
        <v>485</v>
      </c>
      <c r="C108" s="131"/>
      <c r="D108" s="131"/>
      <c r="E108" s="131"/>
      <c r="F108" s="131"/>
      <c r="G108" s="131"/>
      <c r="H108" s="131"/>
      <c r="I108" s="131"/>
      <c r="J108" s="131"/>
      <c r="K108" s="132"/>
      <c r="L108" s="133"/>
      <c r="M108" s="134"/>
      <c r="N108" s="2366"/>
      <c r="O108" s="2366"/>
      <c r="P108" s="334"/>
      <c r="Q108" s="846"/>
    </row>
    <row r="109" spans="1:17" ht="15.75" thickBot="1">
      <c r="A109" s="876"/>
      <c r="B109" s="885"/>
      <c r="C109" s="886">
        <v>100</v>
      </c>
      <c r="D109" s="886">
        <f>C109-$K34</f>
        <v>100</v>
      </c>
      <c r="E109" s="886">
        <f t="shared" ref="E109:M109" si="23">D109-$K34</f>
        <v>100</v>
      </c>
      <c r="F109" s="886">
        <f t="shared" si="23"/>
        <v>100</v>
      </c>
      <c r="G109" s="886">
        <f t="shared" si="23"/>
        <v>100</v>
      </c>
      <c r="H109" s="886">
        <f t="shared" si="23"/>
        <v>100</v>
      </c>
      <c r="I109" s="886">
        <f t="shared" si="23"/>
        <v>100</v>
      </c>
      <c r="J109" s="886">
        <f t="shared" si="23"/>
        <v>100</v>
      </c>
      <c r="K109" s="886">
        <f t="shared" si="23"/>
        <v>100</v>
      </c>
      <c r="L109" s="886">
        <f t="shared" si="23"/>
        <v>100</v>
      </c>
      <c r="M109" s="886">
        <f t="shared" si="23"/>
        <v>100</v>
      </c>
      <c r="N109" s="2367"/>
      <c r="O109" s="2367"/>
      <c r="P109" s="334"/>
      <c r="Q109" s="846"/>
    </row>
    <row r="110" spans="1:17" ht="15.75" thickTop="1">
      <c r="A110" s="876"/>
      <c r="B110" s="888">
        <f>B35</f>
        <v>111</v>
      </c>
      <c r="C110" s="139"/>
      <c r="D110" s="139"/>
      <c r="E110" s="139"/>
      <c r="F110" s="139"/>
      <c r="G110" s="135"/>
      <c r="H110" s="135"/>
      <c r="I110" s="135"/>
      <c r="J110" s="135"/>
      <c r="K110" s="136"/>
      <c r="L110" s="137"/>
      <c r="M110" s="138"/>
      <c r="N110" s="2366"/>
      <c r="O110" s="2366"/>
      <c r="P110" s="334"/>
      <c r="Q110" s="846"/>
    </row>
    <row r="111" spans="1:17" ht="15.75" thickBot="1">
      <c r="A111" s="876"/>
      <c r="B111" s="911"/>
      <c r="C111" s="902"/>
      <c r="D111" s="902"/>
      <c r="E111" s="902"/>
      <c r="F111" s="902"/>
      <c r="G111" s="933"/>
      <c r="H111" s="933"/>
      <c r="I111" s="933"/>
      <c r="J111" s="933"/>
      <c r="K111" s="933"/>
      <c r="L111" s="933"/>
      <c r="M111" s="934"/>
      <c r="N111" s="2367"/>
      <c r="O111" s="2367"/>
      <c r="P111" s="334"/>
      <c r="Q111" s="846"/>
    </row>
    <row r="112" spans="1:17" ht="15" thickTop="1">
      <c r="A112" s="1083"/>
      <c r="B112" s="880">
        <f>B36</f>
        <v>111</v>
      </c>
      <c r="C112" s="140"/>
      <c r="D112" s="140"/>
      <c r="E112" s="140"/>
      <c r="F112" s="140"/>
      <c r="G112" s="131"/>
      <c r="H112" s="131"/>
      <c r="I112" s="131"/>
      <c r="J112" s="131"/>
      <c r="K112" s="132"/>
      <c r="L112" s="133"/>
      <c r="M112" s="134"/>
      <c r="N112" s="2366"/>
      <c r="O112" s="2366"/>
      <c r="P112" s="334"/>
      <c r="Q112" s="846"/>
    </row>
    <row r="113" spans="1:17" ht="15.75" thickBot="1">
      <c r="A113" s="876"/>
      <c r="B113" s="885"/>
      <c r="C113" s="912"/>
      <c r="D113" s="912"/>
      <c r="E113" s="912"/>
      <c r="F113" s="912"/>
      <c r="G113" s="878"/>
      <c r="H113" s="878"/>
      <c r="I113" s="878"/>
      <c r="J113" s="878"/>
      <c r="K113" s="878"/>
      <c r="L113" s="878"/>
      <c r="M113" s="879"/>
      <c r="N113" s="2367"/>
      <c r="O113" s="2367"/>
      <c r="P113" s="334"/>
      <c r="Q113" s="846"/>
    </row>
    <row r="114" spans="1:17" s="813" customFormat="1" ht="15" thickTop="1">
      <c r="A114" s="935"/>
      <c r="B114" s="936">
        <f>B37</f>
        <v>111</v>
      </c>
      <c r="C114" s="1074"/>
      <c r="D114" s="1074"/>
      <c r="E114" s="1074"/>
      <c r="F114" s="1074"/>
      <c r="G114" s="1074"/>
      <c r="H114" s="1074"/>
      <c r="I114" s="1074"/>
      <c r="J114" s="1075"/>
      <c r="K114" s="1075"/>
      <c r="L114" s="1076"/>
      <c r="M114" s="1077"/>
      <c r="N114" s="2368"/>
      <c r="O114" s="2368"/>
      <c r="P114" s="900"/>
      <c r="Q114" s="901"/>
    </row>
    <row r="115" spans="1:17" s="813" customFormat="1" ht="15.75" thickBot="1">
      <c r="A115" s="895"/>
      <c r="B115" s="888"/>
      <c r="C115" s="854"/>
      <c r="D115" s="1085"/>
      <c r="E115" s="1085"/>
      <c r="F115" s="1085"/>
      <c r="G115" s="1085"/>
      <c r="H115" s="1085"/>
      <c r="I115" s="1085"/>
      <c r="J115" s="1085"/>
      <c r="K115" s="1085"/>
      <c r="L115" s="1085"/>
      <c r="M115" s="1107"/>
      <c r="N115" s="2367"/>
      <c r="O115" s="2367"/>
      <c r="P115" s="900"/>
      <c r="Q115" s="901"/>
    </row>
    <row r="116" spans="1:17">
      <c r="A116" s="869" t="s">
        <v>408</v>
      </c>
      <c r="B116" s="870" t="s">
        <v>512</v>
      </c>
      <c r="C116" s="872"/>
      <c r="D116" s="872"/>
      <c r="E116" s="872"/>
      <c r="F116" s="872"/>
      <c r="G116" s="872"/>
      <c r="H116" s="872"/>
      <c r="I116" s="872"/>
      <c r="J116" s="872"/>
      <c r="K116" s="873"/>
      <c r="L116" s="874"/>
      <c r="M116" s="875"/>
      <c r="N116" s="2366"/>
      <c r="O116" s="2366"/>
      <c r="P116" s="334"/>
      <c r="Q116" s="846"/>
    </row>
    <row r="117" spans="1:17" ht="15">
      <c r="A117" s="876"/>
      <c r="B117" s="888"/>
      <c r="C117" s="937"/>
      <c r="D117" s="937"/>
      <c r="E117" s="937"/>
      <c r="F117" s="937"/>
      <c r="G117" s="937"/>
      <c r="H117" s="937"/>
      <c r="I117" s="937"/>
      <c r="J117" s="938"/>
      <c r="K117" s="938"/>
      <c r="L117" s="939"/>
      <c r="M117" s="940"/>
      <c r="N117" s="2366"/>
      <c r="O117" s="2366"/>
      <c r="P117" s="334"/>
      <c r="Q117" s="846"/>
    </row>
    <row r="118" spans="1:17" ht="15.75" thickBot="1">
      <c r="A118" s="876"/>
      <c r="B118" s="885"/>
      <c r="C118" s="912"/>
      <c r="D118" s="933"/>
      <c r="E118" s="933"/>
      <c r="F118" s="933"/>
      <c r="G118" s="933"/>
      <c r="H118" s="933"/>
      <c r="I118" s="933"/>
      <c r="J118" s="933"/>
      <c r="K118" s="933"/>
      <c r="L118" s="933"/>
      <c r="M118" s="934"/>
      <c r="N118" s="2367"/>
      <c r="O118" s="2367"/>
      <c r="P118" s="334"/>
      <c r="Q118" s="846"/>
    </row>
    <row r="119" spans="1:17" ht="15" thickTop="1">
      <c r="A119" s="941"/>
      <c r="B119" s="880" t="s">
        <v>513</v>
      </c>
      <c r="C119" s="131"/>
      <c r="D119" s="131"/>
      <c r="E119" s="131"/>
      <c r="F119" s="131"/>
      <c r="G119" s="131"/>
      <c r="H119" s="131"/>
      <c r="I119" s="131"/>
      <c r="J119" s="131"/>
      <c r="K119" s="132"/>
      <c r="L119" s="133"/>
      <c r="M119" s="134"/>
      <c r="N119" s="2366"/>
      <c r="O119" s="2366"/>
      <c r="P119" s="334"/>
      <c r="Q119" s="846"/>
    </row>
    <row r="120" spans="1:17" ht="15.75" thickBot="1">
      <c r="A120" s="876"/>
      <c r="B120" s="885"/>
      <c r="C120" s="886">
        <v>100</v>
      </c>
      <c r="D120" s="886">
        <f t="shared" ref="D120:M120" si="24">C120-$K39</f>
        <v>100</v>
      </c>
      <c r="E120" s="886">
        <f t="shared" si="24"/>
        <v>100</v>
      </c>
      <c r="F120" s="886">
        <f t="shared" si="24"/>
        <v>100</v>
      </c>
      <c r="G120" s="886">
        <f t="shared" si="24"/>
        <v>100</v>
      </c>
      <c r="H120" s="886">
        <f t="shared" si="24"/>
        <v>100</v>
      </c>
      <c r="I120" s="886">
        <f t="shared" si="24"/>
        <v>100</v>
      </c>
      <c r="J120" s="886">
        <f t="shared" si="24"/>
        <v>100</v>
      </c>
      <c r="K120" s="886">
        <f t="shared" si="24"/>
        <v>100</v>
      </c>
      <c r="L120" s="886">
        <f t="shared" si="24"/>
        <v>100</v>
      </c>
      <c r="M120" s="887">
        <f t="shared" si="24"/>
        <v>100</v>
      </c>
      <c r="N120" s="2367"/>
      <c r="O120" s="2367"/>
      <c r="P120" s="334"/>
      <c r="Q120" s="846"/>
    </row>
    <row r="121" spans="1:17" ht="15" thickTop="1">
      <c r="A121" s="941"/>
      <c r="B121" s="880" t="s">
        <v>514</v>
      </c>
      <c r="C121" s="139"/>
      <c r="D121" s="139"/>
      <c r="E121" s="139"/>
      <c r="F121" s="131"/>
      <c r="G121" s="131"/>
      <c r="H121" s="131"/>
      <c r="I121" s="131"/>
      <c r="J121" s="131"/>
      <c r="K121" s="132"/>
      <c r="L121" s="133"/>
      <c r="M121" s="134"/>
      <c r="N121" s="2366"/>
      <c r="O121" s="2366"/>
      <c r="P121" s="334"/>
      <c r="Q121" s="846"/>
    </row>
    <row r="122" spans="1:17" ht="15.75" thickBot="1">
      <c r="A122" s="876"/>
      <c r="B122" s="885"/>
      <c r="C122" s="886">
        <v>100</v>
      </c>
      <c r="D122" s="886">
        <f t="shared" ref="D122:M122" si="25">C122-$K40</f>
        <v>100</v>
      </c>
      <c r="E122" s="886">
        <f t="shared" si="25"/>
        <v>100</v>
      </c>
      <c r="F122" s="886">
        <f t="shared" si="25"/>
        <v>100</v>
      </c>
      <c r="G122" s="886">
        <f t="shared" si="25"/>
        <v>100</v>
      </c>
      <c r="H122" s="886">
        <f t="shared" si="25"/>
        <v>100</v>
      </c>
      <c r="I122" s="886">
        <f t="shared" si="25"/>
        <v>100</v>
      </c>
      <c r="J122" s="886">
        <f t="shared" si="25"/>
        <v>100</v>
      </c>
      <c r="K122" s="886">
        <f t="shared" si="25"/>
        <v>100</v>
      </c>
      <c r="L122" s="886">
        <f t="shared" si="25"/>
        <v>100</v>
      </c>
      <c r="M122" s="887">
        <f t="shared" si="25"/>
        <v>100</v>
      </c>
      <c r="N122" s="2367"/>
      <c r="O122" s="2367"/>
      <c r="P122" s="334"/>
      <c r="Q122" s="846"/>
    </row>
    <row r="123" spans="1:17" s="813" customFormat="1" ht="15" thickTop="1">
      <c r="A123" s="935"/>
      <c r="B123" s="1053" t="s">
        <v>2505</v>
      </c>
      <c r="C123" s="139"/>
      <c r="D123" s="139"/>
      <c r="E123" s="139"/>
      <c r="F123" s="139"/>
      <c r="G123" s="139"/>
      <c r="H123" s="131"/>
      <c r="I123" s="131"/>
      <c r="J123" s="131"/>
      <c r="K123" s="132"/>
      <c r="L123" s="133"/>
      <c r="M123" s="134"/>
      <c r="N123" s="2368"/>
      <c r="O123" s="2368"/>
      <c r="P123" s="900"/>
      <c r="Q123" s="901"/>
    </row>
    <row r="124" spans="1:17" s="813" customFormat="1" ht="15.75" thickBot="1">
      <c r="A124" s="895"/>
      <c r="B124" s="885"/>
      <c r="C124" s="886">
        <v>100</v>
      </c>
      <c r="D124" s="886">
        <f>C124-$K41</f>
        <v>100</v>
      </c>
      <c r="E124" s="886">
        <f t="shared" ref="E124:M124" si="26">D124-$K41</f>
        <v>100</v>
      </c>
      <c r="F124" s="886">
        <f t="shared" si="26"/>
        <v>100</v>
      </c>
      <c r="G124" s="886">
        <f t="shared" si="26"/>
        <v>100</v>
      </c>
      <c r="H124" s="886">
        <f t="shared" si="26"/>
        <v>100</v>
      </c>
      <c r="I124" s="886">
        <f t="shared" si="26"/>
        <v>100</v>
      </c>
      <c r="J124" s="886">
        <f t="shared" si="26"/>
        <v>100</v>
      </c>
      <c r="K124" s="886">
        <f t="shared" si="26"/>
        <v>100</v>
      </c>
      <c r="L124" s="886">
        <f t="shared" si="26"/>
        <v>100</v>
      </c>
      <c r="M124" s="887">
        <f t="shared" si="26"/>
        <v>100</v>
      </c>
      <c r="N124" s="2368"/>
      <c r="O124" s="2368"/>
      <c r="P124" s="900"/>
      <c r="Q124" s="901"/>
    </row>
    <row r="125" spans="1:17" ht="15" thickTop="1">
      <c r="A125" s="941"/>
      <c r="B125" s="880" t="s">
        <v>515</v>
      </c>
      <c r="C125" s="139"/>
      <c r="D125" s="139"/>
      <c r="E125" s="131"/>
      <c r="F125" s="131"/>
      <c r="G125" s="131"/>
      <c r="H125" s="131"/>
      <c r="I125" s="131"/>
      <c r="J125" s="131"/>
      <c r="K125" s="132"/>
      <c r="L125" s="133"/>
      <c r="M125" s="134"/>
      <c r="N125" s="2366"/>
      <c r="O125" s="2366"/>
      <c r="P125" s="334"/>
      <c r="Q125" s="846"/>
    </row>
    <row r="126" spans="1:17" ht="15.75" thickBot="1">
      <c r="A126" s="876"/>
      <c r="B126" s="885"/>
      <c r="C126" s="886">
        <v>100</v>
      </c>
      <c r="D126" s="886">
        <f t="shared" ref="D126:M126" si="27">C126-$K42</f>
        <v>100</v>
      </c>
      <c r="E126" s="886">
        <f t="shared" si="27"/>
        <v>100</v>
      </c>
      <c r="F126" s="886">
        <f t="shared" si="27"/>
        <v>100</v>
      </c>
      <c r="G126" s="886">
        <f t="shared" si="27"/>
        <v>100</v>
      </c>
      <c r="H126" s="886">
        <f t="shared" si="27"/>
        <v>100</v>
      </c>
      <c r="I126" s="886">
        <f t="shared" si="27"/>
        <v>100</v>
      </c>
      <c r="J126" s="886">
        <f t="shared" si="27"/>
        <v>100</v>
      </c>
      <c r="K126" s="886">
        <f t="shared" si="27"/>
        <v>100</v>
      </c>
      <c r="L126" s="886">
        <f t="shared" si="27"/>
        <v>100</v>
      </c>
      <c r="M126" s="887">
        <f t="shared" si="27"/>
        <v>100</v>
      </c>
      <c r="N126" s="2367"/>
      <c r="O126" s="2367"/>
      <c r="P126" s="334"/>
      <c r="Q126" s="846"/>
    </row>
    <row r="127" spans="1:17" ht="15" thickTop="1">
      <c r="A127" s="941"/>
      <c r="B127" s="880">
        <f>B43</f>
        <v>111</v>
      </c>
      <c r="C127" s="139"/>
      <c r="D127" s="139"/>
      <c r="E127" s="139"/>
      <c r="F127" s="139"/>
      <c r="G127" s="139"/>
      <c r="H127" s="131"/>
      <c r="I127" s="131"/>
      <c r="J127" s="131"/>
      <c r="K127" s="132"/>
      <c r="L127" s="133"/>
      <c r="M127" s="134"/>
      <c r="N127" s="2366"/>
      <c r="O127" s="2366"/>
      <c r="P127" s="334"/>
      <c r="Q127" s="846"/>
    </row>
    <row r="128" spans="1:17" ht="15.75" thickBot="1">
      <c r="A128" s="876"/>
      <c r="B128" s="885"/>
      <c r="C128" s="902"/>
      <c r="D128" s="902"/>
      <c r="E128" s="902"/>
      <c r="F128" s="902"/>
      <c r="G128" s="878"/>
      <c r="H128" s="878"/>
      <c r="I128" s="878"/>
      <c r="J128" s="878"/>
      <c r="K128" s="878"/>
      <c r="L128" s="878"/>
      <c r="M128" s="879"/>
      <c r="N128" s="2367"/>
      <c r="O128" s="2367"/>
      <c r="P128" s="334"/>
      <c r="Q128" s="846"/>
    </row>
    <row r="129" spans="1:17" ht="15" thickTop="1">
      <c r="A129" s="941"/>
      <c r="B129" s="880">
        <f>B44</f>
        <v>111</v>
      </c>
      <c r="C129" s="140"/>
      <c r="D129" s="140"/>
      <c r="E129" s="140"/>
      <c r="F129" s="140"/>
      <c r="G129" s="131"/>
      <c r="H129" s="131"/>
      <c r="I129" s="131"/>
      <c r="J129" s="131"/>
      <c r="K129" s="132"/>
      <c r="L129" s="133"/>
      <c r="M129" s="134"/>
      <c r="N129" s="2366"/>
      <c r="O129" s="2366"/>
      <c r="P129" s="334"/>
      <c r="Q129" s="846"/>
    </row>
    <row r="130" spans="1:17" ht="15.75" thickBot="1">
      <c r="A130" s="876"/>
      <c r="B130" s="885"/>
      <c r="C130" s="912"/>
      <c r="D130" s="912"/>
      <c r="E130" s="912"/>
      <c r="F130" s="912"/>
      <c r="G130" s="878"/>
      <c r="H130" s="878"/>
      <c r="I130" s="878"/>
      <c r="J130" s="878"/>
      <c r="K130" s="878"/>
      <c r="L130" s="878"/>
      <c r="M130" s="879"/>
      <c r="N130" s="2367"/>
      <c r="O130" s="2367"/>
      <c r="P130" s="334"/>
      <c r="Q130" s="846"/>
    </row>
    <row r="131" spans="1:17" s="813" customFormat="1" ht="15" thickTop="1">
      <c r="A131" s="935"/>
      <c r="B131" s="880">
        <f>B45</f>
        <v>111</v>
      </c>
      <c r="C131" s="140"/>
      <c r="D131" s="140"/>
      <c r="E131" s="140"/>
      <c r="F131" s="140"/>
      <c r="G131" s="1058"/>
      <c r="H131" s="1058"/>
      <c r="I131" s="1058"/>
      <c r="J131" s="1058"/>
      <c r="K131" s="1058"/>
      <c r="L131" s="1059"/>
      <c r="M131" s="1060"/>
      <c r="N131" s="2368"/>
      <c r="O131" s="2368"/>
      <c r="P131" s="900"/>
      <c r="Q131" s="901"/>
    </row>
    <row r="132" spans="1:17" s="813" customFormat="1" ht="15.75" thickBot="1">
      <c r="A132" s="910"/>
      <c r="B132" s="1108"/>
      <c r="C132" s="912"/>
      <c r="D132" s="912"/>
      <c r="E132" s="912"/>
      <c r="F132" s="912"/>
      <c r="G132" s="933"/>
      <c r="H132" s="933"/>
      <c r="I132" s="933"/>
      <c r="J132" s="933"/>
      <c r="K132" s="933"/>
      <c r="L132" s="933"/>
      <c r="M132" s="934"/>
      <c r="N132" s="2368"/>
      <c r="O132" s="2368"/>
      <c r="P132" s="900"/>
      <c r="Q132" s="901"/>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59" priority="14" stopIfTrue="1" operator="containsText" text="超过">
      <formula>NOT(ISERROR(SEARCH("超过",F51)))</formula>
    </cfRule>
  </conditionalFormatting>
  <conditionalFormatting sqref="J53">
    <cfRule type="containsText" dxfId="58" priority="13" stopIfTrue="1" operator="containsText" text="超过">
      <formula>NOT(ISERROR(SEARCH("超过",J53)))</formula>
    </cfRule>
  </conditionalFormatting>
  <conditionalFormatting sqref="H53">
    <cfRule type="containsText" dxfId="57" priority="12" stopIfTrue="1" operator="containsText" text="超过">
      <formula>NOT(ISERROR(SEARCH("超过",H53)))</formula>
    </cfRule>
  </conditionalFormatting>
  <conditionalFormatting sqref="F53">
    <cfRule type="containsText" dxfId="56" priority="11" stopIfTrue="1" operator="containsText" text="超过">
      <formula>NOT(ISERROR(SEARCH("超过",F53)))</formula>
    </cfRule>
  </conditionalFormatting>
  <conditionalFormatting sqref="F52 H52 J52">
    <cfRule type="containsText" dxfId="55" priority="10" stopIfTrue="1" operator="containsText" text="超过">
      <formula>NOT(ISERROR(SEARCH("超过",F52)))</formula>
    </cfRule>
  </conditionalFormatting>
  <conditionalFormatting sqref="E51">
    <cfRule type="expression" dxfId="54" priority="9" stopIfTrue="1">
      <formula>$F$51="超过30%"</formula>
    </cfRule>
  </conditionalFormatting>
  <conditionalFormatting sqref="G53">
    <cfRule type="expression" dxfId="53" priority="8" stopIfTrue="1">
      <formula>$H$53="超过30%"</formula>
    </cfRule>
  </conditionalFormatting>
  <conditionalFormatting sqref="E52">
    <cfRule type="expression" dxfId="52" priority="7" stopIfTrue="1">
      <formula>$F$52="超过20%"</formula>
    </cfRule>
  </conditionalFormatting>
  <conditionalFormatting sqref="E53">
    <cfRule type="expression" dxfId="51" priority="6" stopIfTrue="1">
      <formula>$F$53="超过30%"</formula>
    </cfRule>
  </conditionalFormatting>
  <conditionalFormatting sqref="G51">
    <cfRule type="expression" dxfId="50" priority="5" stopIfTrue="1">
      <formula>$H$53+$H$51="超过30%"</formula>
    </cfRule>
  </conditionalFormatting>
  <conditionalFormatting sqref="G52">
    <cfRule type="expression" dxfId="49" priority="4" stopIfTrue="1">
      <formula>$H$52="超过20%"</formula>
    </cfRule>
  </conditionalFormatting>
  <conditionalFormatting sqref="I51">
    <cfRule type="expression" dxfId="48" priority="3" stopIfTrue="1">
      <formula>$J$51="超过30%"</formula>
    </cfRule>
  </conditionalFormatting>
  <conditionalFormatting sqref="I52">
    <cfRule type="expression" dxfId="47" priority="2" stopIfTrue="1">
      <formula>$J$52="超过20%"</formula>
    </cfRule>
  </conditionalFormatting>
  <conditionalFormatting sqref="I53">
    <cfRule type="expression" dxfId="46"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7" customWidth="1"/>
    <col min="12" max="12" width="12.25" style="838"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481</v>
      </c>
      <c r="B1" s="738"/>
      <c r="C1" s="739" t="s">
        <v>517</v>
      </c>
      <c r="D1" s="1302"/>
      <c r="E1" s="1302"/>
      <c r="F1" s="1301" t="s">
        <v>389</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row>
    <row r="2" spans="1:29" s="741" customFormat="1" ht="28.5" customHeight="1">
      <c r="A2" s="577" t="s">
        <v>345</v>
      </c>
      <c r="B2" s="1079" t="e">
        <f>F61</f>
        <v>#DIV/0!</v>
      </c>
      <c r="C2" s="2339"/>
      <c r="D2" s="2339"/>
      <c r="E2" s="2339"/>
      <c r="F2" s="2340"/>
      <c r="G2" s="2339"/>
      <c r="H2" s="2339"/>
      <c r="I2" s="2339"/>
      <c r="J2" s="2339"/>
      <c r="K2" s="2341"/>
      <c r="L2" s="2342"/>
      <c r="M2" s="2343"/>
      <c r="N2" s="2343"/>
      <c r="O2" s="2343"/>
      <c r="P2" s="1315"/>
      <c r="Q2" s="1315"/>
      <c r="R2" s="1315"/>
      <c r="S2" s="1315"/>
      <c r="T2" s="1315"/>
      <c r="U2" s="1315"/>
      <c r="V2" s="1315"/>
      <c r="W2" s="1315"/>
      <c r="X2" s="1315"/>
      <c r="Y2" s="1315"/>
      <c r="Z2" s="1315"/>
      <c r="AA2" s="1315"/>
      <c r="AB2" s="1315"/>
      <c r="AC2" s="1316"/>
    </row>
    <row r="3" spans="1:29" s="741" customFormat="1" ht="28.5" customHeight="1" thickBot="1">
      <c r="A3" s="579" t="s">
        <v>346</v>
      </c>
      <c r="B3" s="951" t="e">
        <f>ROUND(IF(D3="",B2*10000/'数据-汇总表'!E3,B2*10000/D3),0)</f>
        <v>#DIV/0!</v>
      </c>
      <c r="C3" s="579" t="s">
        <v>2890</v>
      </c>
      <c r="D3" s="3049"/>
      <c r="E3" s="2339"/>
      <c r="F3" s="2340"/>
      <c r="G3" s="2339"/>
      <c r="H3" s="2339"/>
      <c r="I3" s="2339"/>
      <c r="J3" s="2339"/>
      <c r="K3" s="2341"/>
      <c r="L3" s="2342"/>
      <c r="M3" s="2343"/>
      <c r="N3" s="2343"/>
      <c r="O3" s="2343"/>
      <c r="P3" s="1315"/>
      <c r="Q3" s="1315"/>
      <c r="R3" s="1315"/>
      <c r="S3" s="1315"/>
      <c r="T3" s="1315"/>
      <c r="U3" s="1315"/>
      <c r="V3" s="1315"/>
      <c r="W3" s="1315"/>
      <c r="X3" s="1315"/>
      <c r="Y3" s="1315"/>
      <c r="Z3" s="1315"/>
      <c r="AA3" s="1315"/>
      <c r="AB3" s="1408"/>
      <c r="AC3" s="1398"/>
    </row>
    <row r="4" spans="1:29" ht="15">
      <c r="A4" s="744" t="s">
        <v>390</v>
      </c>
      <c r="B4" s="745"/>
      <c r="C4" s="3745" t="s">
        <v>391</v>
      </c>
      <c r="D4" s="3746"/>
      <c r="E4" s="3747" t="s">
        <v>392</v>
      </c>
      <c r="F4" s="3748"/>
      <c r="G4" s="3745" t="s">
        <v>393</v>
      </c>
      <c r="H4" s="3746"/>
      <c r="I4" s="3745" t="s">
        <v>394</v>
      </c>
      <c r="J4" s="3746"/>
      <c r="K4" s="952" t="s">
        <v>395</v>
      </c>
      <c r="L4" s="2344"/>
      <c r="M4" s="2345"/>
      <c r="N4" s="2345"/>
      <c r="O4" s="2345"/>
      <c r="P4" s="3749" t="s">
        <v>396</v>
      </c>
      <c r="Q4" s="3750"/>
      <c r="R4" s="3735" t="s">
        <v>392</v>
      </c>
      <c r="S4" s="3736"/>
      <c r="T4" s="3735" t="s">
        <v>393</v>
      </c>
      <c r="U4" s="3736"/>
      <c r="V4" s="3757" t="s">
        <v>394</v>
      </c>
      <c r="W4" s="3757"/>
      <c r="X4" s="1317"/>
      <c r="Y4" s="3735" t="s">
        <v>396</v>
      </c>
      <c r="Z4" s="3736"/>
      <c r="AA4" s="3730" t="s">
        <v>392</v>
      </c>
      <c r="AB4" s="3731" t="s">
        <v>393</v>
      </c>
      <c r="AC4" s="3730" t="s">
        <v>394</v>
      </c>
    </row>
    <row r="5" spans="1:29" ht="15">
      <c r="A5" s="747"/>
      <c r="B5" s="748"/>
      <c r="C5" s="3651" t="s">
        <v>1132</v>
      </c>
      <c r="D5" s="3652"/>
      <c r="E5" s="3649" t="s">
        <v>1133</v>
      </c>
      <c r="F5" s="3650"/>
      <c r="G5" s="3651" t="s">
        <v>1136</v>
      </c>
      <c r="H5" s="3652"/>
      <c r="I5" s="3651" t="s">
        <v>1134</v>
      </c>
      <c r="J5" s="3652"/>
      <c r="K5" s="952"/>
      <c r="L5" s="2344"/>
      <c r="M5" s="2345"/>
      <c r="N5" s="2345"/>
      <c r="O5" s="2345"/>
      <c r="P5" s="3751"/>
      <c r="Q5" s="3752"/>
      <c r="R5" s="3737"/>
      <c r="S5" s="3738"/>
      <c r="T5" s="3737"/>
      <c r="U5" s="3738"/>
      <c r="V5" s="3757"/>
      <c r="W5" s="3757"/>
      <c r="X5" s="1317"/>
      <c r="Y5" s="3737"/>
      <c r="Z5" s="3738"/>
      <c r="AA5" s="3731"/>
      <c r="AB5" s="3731"/>
      <c r="AC5" s="3731"/>
    </row>
    <row r="6" spans="1:29" ht="15.75" thickBot="1">
      <c r="A6" s="749"/>
      <c r="B6" s="750"/>
      <c r="C6" s="3774" t="s">
        <v>1135</v>
      </c>
      <c r="D6" s="3775"/>
      <c r="E6" s="3776" t="s">
        <v>1135</v>
      </c>
      <c r="F6" s="3777"/>
      <c r="G6" s="3774" t="s">
        <v>1135</v>
      </c>
      <c r="H6" s="3775"/>
      <c r="I6" s="3774" t="s">
        <v>1135</v>
      </c>
      <c r="J6" s="3775"/>
      <c r="K6" s="952" t="s">
        <v>397</v>
      </c>
      <c r="L6" s="2344"/>
      <c r="M6" s="2345"/>
      <c r="N6" s="2345"/>
      <c r="O6" s="2345"/>
      <c r="P6" s="3753"/>
      <c r="Q6" s="3754"/>
      <c r="R6" s="3737"/>
      <c r="S6" s="3738"/>
      <c r="T6" s="3755"/>
      <c r="U6" s="3756"/>
      <c r="V6" s="3757"/>
      <c r="W6" s="3757"/>
      <c r="X6" s="1317"/>
      <c r="Y6" s="3755"/>
      <c r="Z6" s="3756"/>
      <c r="AA6" s="3732"/>
      <c r="AB6" s="3732"/>
      <c r="AC6" s="3732"/>
    </row>
    <row r="7" spans="1:29" s="407" customFormat="1" ht="15.75" thickBot="1">
      <c r="A7" s="751" t="s">
        <v>398</v>
      </c>
      <c r="B7" s="752"/>
      <c r="C7" s="753">
        <f>'数据-取费表'!B2</f>
        <v>42958</v>
      </c>
      <c r="D7" s="754">
        <v>100</v>
      </c>
      <c r="E7" s="1016"/>
      <c r="F7" s="756">
        <f>SUMIF(65:65,YEAR(E7)&amp;"-"&amp;INT((MONTH(E7)+2)/3),66:66)</f>
        <v>0</v>
      </c>
      <c r="G7" s="1017"/>
      <c r="H7" s="754">
        <f>SUMIF(65:65,YEAR(G7)&amp;"-"&amp;INT((MONTH(G7)+2)/3),66:66)</f>
        <v>0</v>
      </c>
      <c r="I7" s="1017"/>
      <c r="J7" s="754">
        <f>SUMIF(65:65,YEAR(I7)&amp;"-"&amp;INT((MONTH(I7)+2)/3),66:66)</f>
        <v>0</v>
      </c>
      <c r="K7" s="953"/>
      <c r="L7" s="2346"/>
      <c r="M7" s="2347"/>
      <c r="N7" s="2347"/>
      <c r="O7" s="2347"/>
      <c r="P7" s="3733" t="s">
        <v>399</v>
      </c>
      <c r="Q7" s="3758"/>
      <c r="R7" s="1318" t="s">
        <v>65</v>
      </c>
      <c r="S7" s="1319">
        <f t="shared" ref="S7:S15" si="0">F7</f>
        <v>0</v>
      </c>
      <c r="T7" s="1318" t="s">
        <v>65</v>
      </c>
      <c r="U7" s="1319">
        <f t="shared" ref="U7:U15" si="1">H7</f>
        <v>0</v>
      </c>
      <c r="V7" s="1318" t="s">
        <v>65</v>
      </c>
      <c r="W7" s="1319">
        <f t="shared" ref="W7:W15" si="2">J7</f>
        <v>0</v>
      </c>
      <c r="X7" s="1320"/>
      <c r="Y7" s="3733" t="s">
        <v>399</v>
      </c>
      <c r="Z7" s="3734"/>
      <c r="AA7" s="1321" t="e">
        <f>D7/F7</f>
        <v>#DIV/0!</v>
      </c>
      <c r="AB7" s="1321" t="e">
        <f>D7/H7</f>
        <v>#DIV/0!</v>
      </c>
      <c r="AC7" s="1321" t="e">
        <f>D7/J7</f>
        <v>#DIV/0!</v>
      </c>
    </row>
    <row r="8" spans="1:29" s="407" customFormat="1" ht="15.75" thickBot="1">
      <c r="A8" s="751" t="s">
        <v>400</v>
      </c>
      <c r="B8" s="752"/>
      <c r="C8" s="1019" t="s">
        <v>155</v>
      </c>
      <c r="D8" s="754">
        <v>100</v>
      </c>
      <c r="E8" s="1019"/>
      <c r="F8" s="756">
        <f>SUMIF(68:68,E8,69:69)-SUMIF(68:68,C8,69:69)+100</f>
        <v>0</v>
      </c>
      <c r="G8" s="1019"/>
      <c r="H8" s="754">
        <f>SUMIF(68:68,G8,69:69)-SUMIF(68:68,C8,69:69)+100</f>
        <v>0</v>
      </c>
      <c r="I8" s="1019"/>
      <c r="J8" s="754">
        <f>SUMIF(68:68,I8,69:69)-SUMIF(68:68,C8,69:69)+100</f>
        <v>0</v>
      </c>
      <c r="K8" s="953"/>
      <c r="L8" s="2346"/>
      <c r="M8" s="2347"/>
      <c r="N8" s="2347"/>
      <c r="O8" s="2347"/>
      <c r="P8" s="3733" t="s">
        <v>435</v>
      </c>
      <c r="Q8" s="3734"/>
      <c r="R8" s="1318" t="s">
        <v>65</v>
      </c>
      <c r="S8" s="1319">
        <f t="shared" si="0"/>
        <v>0</v>
      </c>
      <c r="T8" s="1318" t="s">
        <v>65</v>
      </c>
      <c r="U8" s="1319">
        <f t="shared" si="1"/>
        <v>0</v>
      </c>
      <c r="V8" s="1318" t="s">
        <v>65</v>
      </c>
      <c r="W8" s="1319">
        <f t="shared" si="2"/>
        <v>0</v>
      </c>
      <c r="X8" s="1320"/>
      <c r="Y8" s="3733" t="s">
        <v>435</v>
      </c>
      <c r="Z8" s="3734"/>
      <c r="AA8" s="1321" t="e">
        <f t="shared" ref="AA8:AA40" si="3">D8/F8</f>
        <v>#DIV/0!</v>
      </c>
      <c r="AB8" s="1321" t="e">
        <f t="shared" ref="AB8:AB40" si="4">D8/H8</f>
        <v>#DIV/0!</v>
      </c>
      <c r="AC8" s="1321" t="e">
        <f t="shared" ref="AC8:AC40" si="5">D8/J8</f>
        <v>#DIV/0!</v>
      </c>
    </row>
    <row r="9" spans="1:29" s="407" customFormat="1">
      <c r="A9" s="758" t="s">
        <v>401</v>
      </c>
      <c r="B9" s="361" t="s">
        <v>419</v>
      </c>
      <c r="C9" s="1021"/>
      <c r="D9" s="425">
        <v>100</v>
      </c>
      <c r="E9" s="1021"/>
      <c r="F9" s="425">
        <f>SUMIF(70:70,E9,71:71)-SUMIF(70:70,C9,71:71)+100</f>
        <v>100</v>
      </c>
      <c r="G9" s="1021"/>
      <c r="H9" s="425">
        <f>SUMIF(70:70,G9,71:71)-SUMIF(70:70,C9,71:71)+100</f>
        <v>100</v>
      </c>
      <c r="I9" s="1021"/>
      <c r="J9" s="425">
        <f>SUMIF(70:70,I9,71:71)-SUMIF(70:70,C9,71:71)+100</f>
        <v>100</v>
      </c>
      <c r="K9" s="953"/>
      <c r="L9" s="2346"/>
      <c r="M9" s="2347"/>
      <c r="N9" s="2347"/>
      <c r="O9" s="2348"/>
      <c r="P9" s="3744" t="s">
        <v>402</v>
      </c>
      <c r="Q9" s="296" t="str">
        <f t="shared" ref="Q9:Q15" si="6">B9</f>
        <v>用途</v>
      </c>
      <c r="R9" s="1318" t="s">
        <v>65</v>
      </c>
      <c r="S9" s="1319">
        <f t="shared" si="0"/>
        <v>100</v>
      </c>
      <c r="T9" s="1318" t="s">
        <v>65</v>
      </c>
      <c r="U9" s="1319">
        <f t="shared" si="1"/>
        <v>100</v>
      </c>
      <c r="V9" s="1318" t="s">
        <v>65</v>
      </c>
      <c r="W9" s="1319">
        <f t="shared" si="2"/>
        <v>100</v>
      </c>
      <c r="X9" s="1320"/>
      <c r="Y9" s="3609" t="s">
        <v>403</v>
      </c>
      <c r="Z9" s="344" t="str">
        <f t="shared" ref="Z9:Z15" si="7">Q9</f>
        <v>用途</v>
      </c>
      <c r="AA9" s="1321">
        <f t="shared" si="3"/>
        <v>1</v>
      </c>
      <c r="AB9" s="1321">
        <f t="shared" si="4"/>
        <v>1</v>
      </c>
      <c r="AC9" s="1321">
        <f t="shared" si="5"/>
        <v>1</v>
      </c>
    </row>
    <row r="10" spans="1:29" s="769" customFormat="1" ht="27">
      <c r="A10" s="763"/>
      <c r="B10" s="764" t="s">
        <v>404</v>
      </c>
      <c r="C10" s="1023"/>
      <c r="D10" s="426">
        <v>100</v>
      </c>
      <c r="E10" s="1023"/>
      <c r="F10" s="426" t="e">
        <f>ROUND(100/'数据-取费表'!G16,0)</f>
        <v>#DIV/0!</v>
      </c>
      <c r="G10" s="1023"/>
      <c r="H10" s="426" t="e">
        <f>ROUND(100/'数据-取费表'!G16,0)</f>
        <v>#DIV/0!</v>
      </c>
      <c r="I10" s="1023"/>
      <c r="J10" s="426" t="e">
        <f>ROUND(100/'数据-取费表'!G16,0)</f>
        <v>#DIV/0!</v>
      </c>
      <c r="K10" s="1080"/>
      <c r="L10" s="2349"/>
      <c r="M10" s="2350"/>
      <c r="N10" s="2350"/>
      <c r="O10" s="2351"/>
      <c r="P10" s="3744"/>
      <c r="Q10" s="296" t="str">
        <f t="shared" si="6"/>
        <v>土地使用年限（年）</v>
      </c>
      <c r="R10" s="1318" t="s">
        <v>65</v>
      </c>
      <c r="S10" s="1319" t="e">
        <f t="shared" si="0"/>
        <v>#DIV/0!</v>
      </c>
      <c r="T10" s="1318" t="s">
        <v>65</v>
      </c>
      <c r="U10" s="1319" t="e">
        <f t="shared" si="1"/>
        <v>#DIV/0!</v>
      </c>
      <c r="V10" s="1318" t="s">
        <v>65</v>
      </c>
      <c r="W10" s="1319" t="e">
        <f t="shared" si="2"/>
        <v>#DIV/0!</v>
      </c>
      <c r="X10" s="1320"/>
      <c r="Y10" s="3609"/>
      <c r="Z10" s="344" t="str">
        <f t="shared" si="7"/>
        <v>土地使用年限（年）</v>
      </c>
      <c r="AA10" s="1321" t="e">
        <f t="shared" si="3"/>
        <v>#DIV/0!</v>
      </c>
      <c r="AB10" s="1321" t="e">
        <f t="shared" si="4"/>
        <v>#DIV/0!</v>
      </c>
      <c r="AC10" s="1321" t="e">
        <f t="shared" si="5"/>
        <v>#DIV/0!</v>
      </c>
    </row>
    <row r="11" spans="1:29" ht="15">
      <c r="A11" s="770"/>
      <c r="B11" s="764" t="s">
        <v>405</v>
      </c>
      <c r="C11" s="771"/>
      <c r="D11" s="426">
        <v>100</v>
      </c>
      <c r="E11" s="771"/>
      <c r="F11" s="426" t="e">
        <f>LOOKUP(E11,75:75,76:76)-LOOKUP(C11,75:75,76:76)+100</f>
        <v>#N/A</v>
      </c>
      <c r="G11" s="772"/>
      <c r="H11" s="426" t="e">
        <f>LOOKUP(G11,75:75,76:76)-LOOKUP(C11,75:75,76:76)+100</f>
        <v>#N/A</v>
      </c>
      <c r="I11" s="771"/>
      <c r="J11" s="426" t="e">
        <f>LOOKUP(I11,75:75,76:76)-LOOKUP(C11,75:75,76:76)+100</f>
        <v>#N/A</v>
      </c>
      <c r="K11" s="1081"/>
      <c r="L11" s="2352"/>
      <c r="M11" s="2345"/>
      <c r="N11" s="2345"/>
      <c r="O11" s="2353"/>
      <c r="P11" s="3744"/>
      <c r="Q11" s="296" t="str">
        <f t="shared" si="6"/>
        <v>容积率</v>
      </c>
      <c r="R11" s="1318" t="s">
        <v>65</v>
      </c>
      <c r="S11" s="1319" t="e">
        <f t="shared" si="0"/>
        <v>#N/A</v>
      </c>
      <c r="T11" s="1318" t="s">
        <v>65</v>
      </c>
      <c r="U11" s="1319" t="e">
        <f t="shared" si="1"/>
        <v>#N/A</v>
      </c>
      <c r="V11" s="1318" t="s">
        <v>65</v>
      </c>
      <c r="W11" s="1319" t="e">
        <f t="shared" si="2"/>
        <v>#N/A</v>
      </c>
      <c r="X11" s="1320"/>
      <c r="Y11" s="3609"/>
      <c r="Z11" s="344" t="str">
        <f t="shared" si="7"/>
        <v>容积率</v>
      </c>
      <c r="AA11" s="1321" t="e">
        <f t="shared" si="3"/>
        <v>#N/A</v>
      </c>
      <c r="AB11" s="1321" t="e">
        <f t="shared" si="4"/>
        <v>#N/A</v>
      </c>
      <c r="AC11" s="1321" t="e">
        <f t="shared" si="5"/>
        <v>#N/A</v>
      </c>
    </row>
    <row r="12" spans="1:29" s="407" customFormat="1" ht="15">
      <c r="A12" s="773"/>
      <c r="B12" s="1030">
        <v>111</v>
      </c>
      <c r="C12" s="1023"/>
      <c r="D12" s="775">
        <v>100</v>
      </c>
      <c r="E12" s="126"/>
      <c r="F12" s="426">
        <f>SUMIF(77:77,E12,78:78)-SUMIF(77:77,C12,78:78)+100</f>
        <v>100</v>
      </c>
      <c r="G12" s="203"/>
      <c r="H12" s="426">
        <f>SUMIF(77:77,G12,78:78)-SUMIF(77:77,C12,78:78)+100</f>
        <v>100</v>
      </c>
      <c r="I12" s="126"/>
      <c r="J12" s="426">
        <f>SUMIF(77:77,I12,78:78)-SUMIF(77:77,C12,78:78)+100</f>
        <v>100</v>
      </c>
      <c r="K12" s="1080"/>
      <c r="L12" s="2346"/>
      <c r="M12" s="2347"/>
      <c r="N12" s="2347"/>
      <c r="O12" s="2348"/>
      <c r="P12" s="3744"/>
      <c r="Q12" s="296">
        <f t="shared" si="6"/>
        <v>111</v>
      </c>
      <c r="R12" s="1318" t="s">
        <v>65</v>
      </c>
      <c r="S12" s="1319">
        <f t="shared" si="0"/>
        <v>100</v>
      </c>
      <c r="T12" s="1318" t="s">
        <v>65</v>
      </c>
      <c r="U12" s="1319">
        <f t="shared" si="1"/>
        <v>100</v>
      </c>
      <c r="V12" s="1318" t="s">
        <v>65</v>
      </c>
      <c r="W12" s="1319">
        <f t="shared" si="2"/>
        <v>100</v>
      </c>
      <c r="X12" s="1320"/>
      <c r="Y12" s="3609"/>
      <c r="Z12" s="344">
        <f t="shared" si="7"/>
        <v>111</v>
      </c>
      <c r="AA12" s="1321">
        <f>D12/F12</f>
        <v>1</v>
      </c>
      <c r="AB12" s="1321">
        <f>D12/H12</f>
        <v>1</v>
      </c>
      <c r="AC12" s="1321">
        <f>D12/J12</f>
        <v>1</v>
      </c>
    </row>
    <row r="13" spans="1:29" ht="15">
      <c r="A13" s="770"/>
      <c r="B13" s="1030">
        <v>111</v>
      </c>
      <c r="C13" s="93"/>
      <c r="D13" s="777">
        <v>100</v>
      </c>
      <c r="E13" s="126"/>
      <c r="F13" s="426">
        <f>SUMIF(79:79,E13,80:80)-SUMIF(79:79,C13,80:80)+100</f>
        <v>100</v>
      </c>
      <c r="G13" s="203"/>
      <c r="H13" s="777">
        <f>SUMIF(79:79,G13,80:80)-SUMIF(79:79,C13,80:80)+100</f>
        <v>100</v>
      </c>
      <c r="I13" s="126"/>
      <c r="J13" s="777">
        <f>SUMIF(79:79,I13,80:80)-SUMIF(79:79,C13,80:80)+100</f>
        <v>100</v>
      </c>
      <c r="K13" s="1080"/>
      <c r="L13" s="2354"/>
      <c r="M13" s="2345"/>
      <c r="N13" s="2345"/>
      <c r="O13" s="2353"/>
      <c r="P13" s="3744"/>
      <c r="Q13" s="296">
        <f t="shared" si="6"/>
        <v>111</v>
      </c>
      <c r="R13" s="1318" t="s">
        <v>65</v>
      </c>
      <c r="S13" s="1319">
        <f t="shared" si="0"/>
        <v>100</v>
      </c>
      <c r="T13" s="1318" t="s">
        <v>65</v>
      </c>
      <c r="U13" s="1319">
        <f t="shared" si="1"/>
        <v>100</v>
      </c>
      <c r="V13" s="1318" t="s">
        <v>65</v>
      </c>
      <c r="W13" s="1319">
        <f t="shared" si="2"/>
        <v>100</v>
      </c>
      <c r="X13" s="1320"/>
      <c r="Y13" s="3609"/>
      <c r="Z13" s="344">
        <f t="shared" si="7"/>
        <v>111</v>
      </c>
      <c r="AA13" s="1321">
        <f t="shared" si="3"/>
        <v>1</v>
      </c>
      <c r="AB13" s="1321">
        <f t="shared" si="4"/>
        <v>1</v>
      </c>
      <c r="AC13" s="1321">
        <f t="shared" si="5"/>
        <v>1</v>
      </c>
    </row>
    <row r="14" spans="1:29" ht="15.75" thickBot="1">
      <c r="A14" s="778"/>
      <c r="B14" s="1031">
        <v>111</v>
      </c>
      <c r="C14" s="94"/>
      <c r="D14" s="780">
        <v>100</v>
      </c>
      <c r="E14" s="126"/>
      <c r="F14" s="780">
        <f>SUMIF(81:81,E14,82:82)-SUMIF(81:81,C14,82:82)+100</f>
        <v>100</v>
      </c>
      <c r="G14" s="203"/>
      <c r="H14" s="780">
        <f>SUMIF(81:81,G14,82:82)-SUMIF(81:81,C14,82:82)+100</f>
        <v>100</v>
      </c>
      <c r="I14" s="126"/>
      <c r="J14" s="780">
        <f>SUMIF(81:81,I14,82:82)-SUMIF(81:81,C14,82:82)+100</f>
        <v>100</v>
      </c>
      <c r="K14" s="1080"/>
      <c r="L14" s="2354"/>
      <c r="M14" s="2345"/>
      <c r="N14" s="2345"/>
      <c r="O14" s="2353"/>
      <c r="P14" s="3744"/>
      <c r="Q14" s="296">
        <f t="shared" si="6"/>
        <v>111</v>
      </c>
      <c r="R14" s="1318" t="s">
        <v>65</v>
      </c>
      <c r="S14" s="1319">
        <f t="shared" si="0"/>
        <v>100</v>
      </c>
      <c r="T14" s="1318" t="s">
        <v>65</v>
      </c>
      <c r="U14" s="1319">
        <f t="shared" si="1"/>
        <v>100</v>
      </c>
      <c r="V14" s="1318" t="s">
        <v>65</v>
      </c>
      <c r="W14" s="1319">
        <f t="shared" si="2"/>
        <v>100</v>
      </c>
      <c r="X14" s="1320"/>
      <c r="Y14" s="3609"/>
      <c r="Z14" s="344">
        <f t="shared" si="7"/>
        <v>111</v>
      </c>
      <c r="AA14" s="1321">
        <f t="shared" si="3"/>
        <v>1</v>
      </c>
      <c r="AB14" s="1321">
        <f t="shared" si="4"/>
        <v>1</v>
      </c>
      <c r="AC14" s="1321">
        <f t="shared" si="5"/>
        <v>1</v>
      </c>
    </row>
    <row r="15" spans="1:29" ht="67.5">
      <c r="A15" s="782" t="s">
        <v>406</v>
      </c>
      <c r="B15" s="971" t="s">
        <v>518</v>
      </c>
      <c r="C15" s="212" t="str">
        <f>估价对象房地状况!G15</f>
        <v>估价对象位于XX开发区，园区建设成熟度XX，产业集聚程度XX</v>
      </c>
      <c r="D15" s="783">
        <v>100</v>
      </c>
      <c r="E15" s="95"/>
      <c r="F15" s="783">
        <f>SUMIF(83:83,E16,84:84)-SUMIF(83:83,C16,84:84)+100</f>
        <v>100</v>
      </c>
      <c r="G15" s="95"/>
      <c r="H15" s="783">
        <f>SUMIF(83:83,G16,84:84)-SUMIF(83:83,C16,84:84)+100</f>
        <v>100</v>
      </c>
      <c r="I15" s="96"/>
      <c r="J15" s="783">
        <f>SUMIF(83:83,I16,84:84)-SUMIF(83:83,C16,84:84)+100</f>
        <v>100</v>
      </c>
      <c r="K15" s="1081"/>
      <c r="L15" s="2354"/>
      <c r="M15" s="2345"/>
      <c r="N15" s="2345"/>
      <c r="O15" s="2353"/>
      <c r="P15" s="3759" t="s">
        <v>407</v>
      </c>
      <c r="Q15" s="1322" t="str">
        <f t="shared" si="6"/>
        <v>产业集聚程度</v>
      </c>
      <c r="R15" s="1323" t="s">
        <v>65</v>
      </c>
      <c r="S15" s="1324">
        <f t="shared" si="0"/>
        <v>100</v>
      </c>
      <c r="T15" s="1323" t="s">
        <v>65</v>
      </c>
      <c r="U15" s="1324">
        <f t="shared" si="1"/>
        <v>100</v>
      </c>
      <c r="V15" s="1323" t="s">
        <v>65</v>
      </c>
      <c r="W15" s="1324">
        <f t="shared" si="2"/>
        <v>100</v>
      </c>
      <c r="X15" s="1317"/>
      <c r="Y15" s="3759" t="s">
        <v>407</v>
      </c>
      <c r="Z15" s="1325" t="str">
        <f t="shared" si="7"/>
        <v>产业集聚程度</v>
      </c>
      <c r="AA15" s="1326">
        <f t="shared" si="3"/>
        <v>1</v>
      </c>
      <c r="AB15" s="1326">
        <f t="shared" si="4"/>
        <v>1</v>
      </c>
      <c r="AC15" s="1326">
        <f t="shared" si="5"/>
        <v>1</v>
      </c>
    </row>
    <row r="16" spans="1:29" ht="15">
      <c r="A16" s="770"/>
      <c r="B16" s="972"/>
      <c r="C16" s="97"/>
      <c r="D16" s="790"/>
      <c r="E16" s="192"/>
      <c r="F16" s="790"/>
      <c r="G16" s="192"/>
      <c r="H16" s="792"/>
      <c r="I16" s="192"/>
      <c r="J16" s="790"/>
      <c r="K16" s="1080"/>
      <c r="L16" s="2354"/>
      <c r="M16" s="2345"/>
      <c r="N16" s="2345"/>
      <c r="O16" s="2353"/>
      <c r="P16" s="3760"/>
      <c r="Q16" s="1322"/>
      <c r="R16" s="1323"/>
      <c r="S16" s="1324"/>
      <c r="T16" s="1323"/>
      <c r="U16" s="1324"/>
      <c r="V16" s="1323"/>
      <c r="W16" s="1324"/>
      <c r="X16" s="1317"/>
      <c r="Y16" s="3760"/>
      <c r="Z16" s="1325"/>
      <c r="AA16" s="1326">
        <v>1</v>
      </c>
      <c r="AB16" s="1326">
        <v>1</v>
      </c>
      <c r="AC16" s="1326">
        <v>1</v>
      </c>
    </row>
    <row r="17" spans="1:29" ht="94.5">
      <c r="A17" s="770"/>
      <c r="B17" s="973" t="s">
        <v>456</v>
      </c>
      <c r="C17" s="158" t="str">
        <f>估价对象房地状况!G16</f>
        <v>估价对象周边道路状况、公共交通通达情况、停车便捷程度，综合评价交通便捷度较好</v>
      </c>
      <c r="D17" s="792">
        <v>100</v>
      </c>
      <c r="E17" s="100"/>
      <c r="F17" s="797">
        <f>SUMIF(85:85,E18,86:86)-SUMIF(85:85,C18,86:86)+100</f>
        <v>100</v>
      </c>
      <c r="G17" s="100"/>
      <c r="H17" s="797">
        <f>SUMIF(85:85,G18,86:86)-SUMIF(85:85,C18,86:86)+100</f>
        <v>100</v>
      </c>
      <c r="I17" s="101"/>
      <c r="J17" s="792">
        <f>SUMIF(85:85,I18,86:86)-SUMIF(85:85,C18,86:86)+100</f>
        <v>100</v>
      </c>
      <c r="K17" s="1081"/>
      <c r="L17" s="2354"/>
      <c r="M17" s="2345"/>
      <c r="N17" s="2345"/>
      <c r="O17" s="2353"/>
      <c r="P17" s="3760"/>
      <c r="Q17" s="1322" t="str">
        <f>B17</f>
        <v>交通便捷度</v>
      </c>
      <c r="R17" s="1323" t="s">
        <v>65</v>
      </c>
      <c r="S17" s="1324">
        <f>F17</f>
        <v>100</v>
      </c>
      <c r="T17" s="1323" t="s">
        <v>65</v>
      </c>
      <c r="U17" s="1324">
        <f>H17</f>
        <v>100</v>
      </c>
      <c r="V17" s="1323" t="s">
        <v>65</v>
      </c>
      <c r="W17" s="1324">
        <f>J17</f>
        <v>100</v>
      </c>
      <c r="X17" s="1317"/>
      <c r="Y17" s="3760"/>
      <c r="Z17" s="1325" t="str">
        <f>Q17</f>
        <v>交通便捷度</v>
      </c>
      <c r="AA17" s="1326">
        <f t="shared" si="3"/>
        <v>1</v>
      </c>
      <c r="AB17" s="1326">
        <f t="shared" si="4"/>
        <v>1</v>
      </c>
      <c r="AC17" s="1326">
        <f t="shared" si="5"/>
        <v>1</v>
      </c>
    </row>
    <row r="18" spans="1:29" ht="15">
      <c r="A18" s="770"/>
      <c r="B18" s="974"/>
      <c r="C18" s="97"/>
      <c r="D18" s="790"/>
      <c r="E18" s="98"/>
      <c r="F18" s="790"/>
      <c r="G18" s="98"/>
      <c r="H18" s="790"/>
      <c r="I18" s="99"/>
      <c r="J18" s="790"/>
      <c r="K18" s="1080"/>
      <c r="L18" s="2354"/>
      <c r="M18" s="2345"/>
      <c r="N18" s="2345"/>
      <c r="O18" s="2353"/>
      <c r="P18" s="3760"/>
      <c r="Q18" s="1322"/>
      <c r="R18" s="1323"/>
      <c r="S18" s="1324"/>
      <c r="T18" s="1323"/>
      <c r="U18" s="1324"/>
      <c r="V18" s="1323"/>
      <c r="W18" s="1324"/>
      <c r="X18" s="1317"/>
      <c r="Y18" s="3760"/>
      <c r="Z18" s="1325"/>
      <c r="AA18" s="1326">
        <v>1</v>
      </c>
      <c r="AB18" s="1326">
        <v>1</v>
      </c>
      <c r="AC18" s="1326">
        <v>1</v>
      </c>
    </row>
    <row r="19" spans="1:29" ht="27">
      <c r="A19" s="770"/>
      <c r="B19" s="973" t="s">
        <v>1854</v>
      </c>
      <c r="C19" s="158">
        <f>估价对象房地状况!G17</f>
        <v>0</v>
      </c>
      <c r="D19" s="792">
        <v>100</v>
      </c>
      <c r="E19" s="100"/>
      <c r="F19" s="797">
        <f>SUMIF(87:87,E20,88:88)-SUMIF(87:87,C20,88:88)+100</f>
        <v>100</v>
      </c>
      <c r="G19" s="100"/>
      <c r="H19" s="797">
        <f>SUMIF(87:87,G20,88:88)-SUMIF(87:87,C20,88:88)+100</f>
        <v>100</v>
      </c>
      <c r="I19" s="100"/>
      <c r="J19" s="797">
        <f>SUMIF(87:87,I20,88:88)-SUMIF(87:87,C20,88:88)+100</f>
        <v>100</v>
      </c>
      <c r="K19" s="1081"/>
      <c r="L19" s="2354"/>
      <c r="M19" s="2345"/>
      <c r="N19" s="2345"/>
      <c r="O19" s="2353"/>
      <c r="P19" s="3760"/>
      <c r="Q19" s="1322" t="str">
        <f t="shared" ref="Q19:Q33" si="8">B19</f>
        <v>区域土地利用方向</v>
      </c>
      <c r="R19" s="1323" t="s">
        <v>65</v>
      </c>
      <c r="S19" s="1324">
        <f>F19</f>
        <v>100</v>
      </c>
      <c r="T19" s="1323" t="s">
        <v>65</v>
      </c>
      <c r="U19" s="1324">
        <f>H19</f>
        <v>100</v>
      </c>
      <c r="V19" s="1323" t="s">
        <v>65</v>
      </c>
      <c r="W19" s="1324">
        <f>J19</f>
        <v>100</v>
      </c>
      <c r="X19" s="1317"/>
      <c r="Y19" s="3760"/>
      <c r="Z19" s="1325" t="str">
        <f>Q19</f>
        <v>区域土地利用方向</v>
      </c>
      <c r="AA19" s="1326">
        <f t="shared" si="3"/>
        <v>1</v>
      </c>
      <c r="AB19" s="1326">
        <f t="shared" si="4"/>
        <v>1</v>
      </c>
      <c r="AC19" s="1326">
        <f t="shared" si="5"/>
        <v>1</v>
      </c>
    </row>
    <row r="20" spans="1:29" ht="15">
      <c r="A20" s="747"/>
      <c r="B20" s="974"/>
      <c r="C20" s="97"/>
      <c r="D20" s="790"/>
      <c r="E20" s="98"/>
      <c r="F20" s="790"/>
      <c r="G20" s="98"/>
      <c r="H20" s="790"/>
      <c r="I20" s="98"/>
      <c r="J20" s="790"/>
      <c r="K20" s="1482"/>
      <c r="L20" s="2354"/>
      <c r="M20" s="2345"/>
      <c r="N20" s="2345"/>
      <c r="O20" s="2353"/>
      <c r="P20" s="3760"/>
      <c r="Q20" s="1469"/>
      <c r="R20" s="1323"/>
      <c r="S20" s="1324"/>
      <c r="T20" s="1323"/>
      <c r="U20" s="1324"/>
      <c r="V20" s="1323"/>
      <c r="W20" s="1324"/>
      <c r="X20" s="1468"/>
      <c r="Y20" s="3760"/>
      <c r="Z20" s="1470"/>
      <c r="AA20" s="1326"/>
      <c r="AB20" s="1326"/>
      <c r="AC20" s="1326"/>
    </row>
    <row r="21" spans="1:29" ht="81">
      <c r="A21" s="747"/>
      <c r="B21" s="973" t="s">
        <v>519</v>
      </c>
      <c r="C21" s="158" t="str">
        <f>估价对象房地状况!G18</f>
        <v>该园区内是否有污染型企业，绿化情况，卫生条件，整体环境状况判断</v>
      </c>
      <c r="D21" s="792">
        <v>100</v>
      </c>
      <c r="E21" s="100"/>
      <c r="F21" s="792">
        <f>SUMIF(89:89,E22,90:90)-SUMIF(89:89,C22,90:90)+100</f>
        <v>100</v>
      </c>
      <c r="G21" s="100"/>
      <c r="H21" s="792">
        <f>SUMIF(89:89,G22,90:90)-SUMIF(89:89,C22,90:90)+100</f>
        <v>100</v>
      </c>
      <c r="I21" s="101"/>
      <c r="J21" s="792">
        <f>SUMIF(89:89,I22,90:90)-SUMIF(89:89,C22,90:90)+100</f>
        <v>100</v>
      </c>
      <c r="K21" s="1081"/>
      <c r="L21" s="2354"/>
      <c r="M21" s="2345"/>
      <c r="N21" s="2345"/>
      <c r="O21" s="2353"/>
      <c r="P21" s="3760"/>
      <c r="Q21" s="1322" t="str">
        <f t="shared" si="8"/>
        <v>环境状况</v>
      </c>
      <c r="R21" s="1323" t="s">
        <v>65</v>
      </c>
      <c r="S21" s="1324">
        <f>F21</f>
        <v>100</v>
      </c>
      <c r="T21" s="1323" t="s">
        <v>65</v>
      </c>
      <c r="U21" s="1324">
        <f>H21</f>
        <v>100</v>
      </c>
      <c r="V21" s="1323" t="s">
        <v>65</v>
      </c>
      <c r="W21" s="1324">
        <f>J21</f>
        <v>100</v>
      </c>
      <c r="X21" s="1317"/>
      <c r="Y21" s="3760"/>
      <c r="Z21" s="1325" t="str">
        <f>Q21</f>
        <v>环境状况</v>
      </c>
      <c r="AA21" s="1326">
        <f t="shared" si="3"/>
        <v>1</v>
      </c>
      <c r="AB21" s="1326">
        <f t="shared" si="4"/>
        <v>1</v>
      </c>
      <c r="AC21" s="1326">
        <f t="shared" si="5"/>
        <v>1</v>
      </c>
    </row>
    <row r="22" spans="1:29" ht="15">
      <c r="A22" s="747"/>
      <c r="B22" s="974"/>
      <c r="C22" s="97"/>
      <c r="D22" s="790"/>
      <c r="E22" s="192"/>
      <c r="F22" s="790"/>
      <c r="G22" s="192"/>
      <c r="H22" s="790"/>
      <c r="I22" s="97"/>
      <c r="J22" s="790"/>
      <c r="K22" s="1080"/>
      <c r="L22" s="2354"/>
      <c r="M22" s="2345"/>
      <c r="N22" s="2345"/>
      <c r="O22" s="2353"/>
      <c r="P22" s="3760"/>
      <c r="Q22" s="1322"/>
      <c r="R22" s="1323"/>
      <c r="S22" s="1324"/>
      <c r="T22" s="1323"/>
      <c r="U22" s="1324"/>
      <c r="V22" s="1323"/>
      <c r="W22" s="1324"/>
      <c r="X22" s="1317"/>
      <c r="Y22" s="3760"/>
      <c r="Z22" s="1325"/>
      <c r="AA22" s="1326">
        <v>1</v>
      </c>
      <c r="AB22" s="1326">
        <v>1</v>
      </c>
      <c r="AC22" s="1326">
        <v>1</v>
      </c>
    </row>
    <row r="23" spans="1:29" s="407" customFormat="1" ht="40.5">
      <c r="A23" s="991"/>
      <c r="B23" s="1035" t="s">
        <v>2673</v>
      </c>
      <c r="C23" s="158" t="str">
        <f>估价对象房地状况!G19</f>
        <v>估价对象所在区域公共配套设施齐备情况</v>
      </c>
      <c r="D23" s="792">
        <v>100</v>
      </c>
      <c r="E23" s="100"/>
      <c r="F23" s="792">
        <f>SUMIF(91:91,E24,92:92)-SUMIF(91:91,C24,92:92)+100</f>
        <v>100</v>
      </c>
      <c r="G23" s="100"/>
      <c r="H23" s="792">
        <f>SUMIF(91:91,G24,92:92)-SUMIF(91:91,C24,92:92)+100</f>
        <v>100</v>
      </c>
      <c r="I23" s="101"/>
      <c r="J23" s="792">
        <f>SUMIF(91:91,I24,92:92)-SUMIF(91:91,C24,92:92)+100</f>
        <v>100</v>
      </c>
      <c r="K23" s="1081"/>
      <c r="L23" s="2346"/>
      <c r="M23" s="2347"/>
      <c r="N23" s="2347"/>
      <c r="O23" s="2348"/>
      <c r="P23" s="3760"/>
      <c r="Q23" s="296" t="str">
        <f t="shared" si="8"/>
        <v>公共配套设施</v>
      </c>
      <c r="R23" s="1318" t="s">
        <v>65</v>
      </c>
      <c r="S23" s="1319">
        <f>F23</f>
        <v>100</v>
      </c>
      <c r="T23" s="1318" t="s">
        <v>65</v>
      </c>
      <c r="U23" s="1319">
        <f>H23</f>
        <v>100</v>
      </c>
      <c r="V23" s="1318" t="s">
        <v>65</v>
      </c>
      <c r="W23" s="1319">
        <f>J23</f>
        <v>100</v>
      </c>
      <c r="X23" s="1320"/>
      <c r="Y23" s="3760"/>
      <c r="Z23" s="344" t="str">
        <f>Q23</f>
        <v>公共配套设施</v>
      </c>
      <c r="AA23" s="1326">
        <f>D23/F23</f>
        <v>1</v>
      </c>
      <c r="AB23" s="1326">
        <f>D23/H23</f>
        <v>1</v>
      </c>
      <c r="AC23" s="1326">
        <f>D23/J23</f>
        <v>1</v>
      </c>
    </row>
    <row r="24" spans="1:29" s="407" customFormat="1" ht="15">
      <c r="A24" s="991"/>
      <c r="B24" s="974"/>
      <c r="C24" s="2771"/>
      <c r="D24" s="790"/>
      <c r="E24" s="192"/>
      <c r="F24" s="790"/>
      <c r="G24" s="192"/>
      <c r="H24" s="790"/>
      <c r="I24" s="97"/>
      <c r="J24" s="790"/>
      <c r="K24" s="1080"/>
      <c r="L24" s="2346"/>
      <c r="M24" s="2347"/>
      <c r="N24" s="2347"/>
      <c r="O24" s="2348"/>
      <c r="P24" s="3760"/>
      <c r="Q24" s="296"/>
      <c r="R24" s="1318"/>
      <c r="S24" s="1319"/>
      <c r="T24" s="1318"/>
      <c r="U24" s="1319"/>
      <c r="V24" s="1318"/>
      <c r="W24" s="1319"/>
      <c r="X24" s="1320"/>
      <c r="Y24" s="3760"/>
      <c r="Z24" s="344"/>
      <c r="AA24" s="1321">
        <v>1</v>
      </c>
      <c r="AB24" s="1321">
        <v>1</v>
      </c>
      <c r="AC24" s="1321">
        <v>1</v>
      </c>
    </row>
    <row r="25" spans="1:29" s="407" customFormat="1" ht="40.5">
      <c r="A25" s="991"/>
      <c r="B25" s="1035" t="s">
        <v>2674</v>
      </c>
      <c r="C25" s="158" t="str">
        <f>估价对象房地状况!G20</f>
        <v>估价对象所在区域基础设施水平</v>
      </c>
      <c r="D25" s="792">
        <v>100</v>
      </c>
      <c r="E25" s="100"/>
      <c r="F25" s="792">
        <f>SUMIF(93:93,E26,94:94)-SUMIF(93:93,C26,94:94)+100</f>
        <v>100</v>
      </c>
      <c r="G25" s="100"/>
      <c r="H25" s="792">
        <f>SUMIF(93:93,G26,94:94)-SUMIF(93:93,C26,94:94)+100</f>
        <v>100</v>
      </c>
      <c r="I25" s="101"/>
      <c r="J25" s="792">
        <f>SUMIF(93:93,I26,94:94)-SUMIF(93:93,C26,94:94)+100</f>
        <v>100</v>
      </c>
      <c r="K25" s="1081"/>
      <c r="L25" s="2346"/>
      <c r="M25" s="2347"/>
      <c r="N25" s="2347"/>
      <c r="O25" s="2348"/>
      <c r="P25" s="3760"/>
      <c r="Q25" s="2740" t="str">
        <f>B25</f>
        <v>基础设施水平</v>
      </c>
      <c r="R25" s="1318" t="s">
        <v>65</v>
      </c>
      <c r="S25" s="1319">
        <f>F25</f>
        <v>100</v>
      </c>
      <c r="T25" s="1318" t="s">
        <v>65</v>
      </c>
      <c r="U25" s="1319">
        <f>H25</f>
        <v>100</v>
      </c>
      <c r="V25" s="1318" t="s">
        <v>65</v>
      </c>
      <c r="W25" s="1319">
        <f>J25</f>
        <v>100</v>
      </c>
      <c r="X25" s="1320"/>
      <c r="Y25" s="3760"/>
      <c r="Z25" s="344" t="str">
        <f>Q25</f>
        <v>基础设施水平</v>
      </c>
      <c r="AA25" s="1326">
        <f>D25/F25</f>
        <v>1</v>
      </c>
      <c r="AB25" s="1326">
        <f>D25/H25</f>
        <v>1</v>
      </c>
      <c r="AC25" s="1326">
        <f>D25/J25</f>
        <v>1</v>
      </c>
    </row>
    <row r="26" spans="1:29" s="407" customFormat="1" ht="15">
      <c r="A26" s="991"/>
      <c r="B26" s="974"/>
      <c r="C26" s="2771"/>
      <c r="D26" s="790"/>
      <c r="E26" s="1036"/>
      <c r="F26" s="790"/>
      <c r="G26" s="1036"/>
      <c r="H26" s="790"/>
      <c r="I26" s="1036"/>
      <c r="J26" s="790"/>
      <c r="K26" s="1080"/>
      <c r="L26" s="2346"/>
      <c r="M26" s="2347"/>
      <c r="N26" s="2347"/>
      <c r="O26" s="2348"/>
      <c r="P26" s="3760"/>
      <c r="Q26" s="2740"/>
      <c r="R26" s="1318"/>
      <c r="S26" s="1319"/>
      <c r="T26" s="1318"/>
      <c r="U26" s="1319"/>
      <c r="V26" s="1318"/>
      <c r="W26" s="1319"/>
      <c r="X26" s="1320"/>
      <c r="Y26" s="3760"/>
      <c r="Z26" s="344"/>
      <c r="AA26" s="1321">
        <v>1</v>
      </c>
      <c r="AB26" s="1321">
        <v>1</v>
      </c>
      <c r="AC26" s="1321">
        <v>1</v>
      </c>
    </row>
    <row r="27" spans="1:29" ht="15">
      <c r="A27" s="770"/>
      <c r="B27" s="974" t="s">
        <v>437</v>
      </c>
      <c r="C27" s="182"/>
      <c r="D27" s="777">
        <v>100</v>
      </c>
      <c r="E27" s="195"/>
      <c r="F27" s="777">
        <f>SUMIF(95:95,E27,96:96)-SUMIF(95:95,C27,96:96)+100</f>
        <v>100</v>
      </c>
      <c r="G27" s="195"/>
      <c r="H27" s="777">
        <f>SUMIF(95:95,G27,96:96)-SUMIF(95:95,C27,96:96)+100</f>
        <v>100</v>
      </c>
      <c r="I27" s="195"/>
      <c r="J27" s="777">
        <f>SUMIF(95:95,I27,96:96)-SUMIF(95:95,C27,96:96)+100</f>
        <v>100</v>
      </c>
      <c r="K27" s="1081"/>
      <c r="L27" s="2354"/>
      <c r="M27" s="2345"/>
      <c r="N27" s="2345"/>
      <c r="O27" s="2353"/>
      <c r="P27" s="3760"/>
      <c r="Q27" s="1322" t="str">
        <f t="shared" si="8"/>
        <v>临街状况</v>
      </c>
      <c r="R27" s="1323" t="s">
        <v>65</v>
      </c>
      <c r="S27" s="1324">
        <f t="shared" ref="S27:S40" si="9">F27</f>
        <v>100</v>
      </c>
      <c r="T27" s="1323" t="s">
        <v>65</v>
      </c>
      <c r="U27" s="1324">
        <f t="shared" ref="U27:U40" si="10">H27</f>
        <v>100</v>
      </c>
      <c r="V27" s="1323" t="s">
        <v>65</v>
      </c>
      <c r="W27" s="1324">
        <f t="shared" ref="W27:W40" si="11">J27</f>
        <v>100</v>
      </c>
      <c r="X27" s="1317"/>
      <c r="Y27" s="3760"/>
      <c r="Z27" s="1325" t="str">
        <f t="shared" ref="Z27:Z40" si="12">Q27</f>
        <v>临街状况</v>
      </c>
      <c r="AA27" s="1326">
        <f t="shared" si="3"/>
        <v>1</v>
      </c>
      <c r="AB27" s="1326">
        <f t="shared" si="4"/>
        <v>1</v>
      </c>
      <c r="AC27" s="1326">
        <f t="shared" si="5"/>
        <v>1</v>
      </c>
    </row>
    <row r="28" spans="1:29" ht="27">
      <c r="A28" s="770"/>
      <c r="B28" s="975" t="s">
        <v>442</v>
      </c>
      <c r="C28" s="2772">
        <f>估价对象房地状况!G22</f>
        <v>0</v>
      </c>
      <c r="D28" s="792">
        <v>100</v>
      </c>
      <c r="E28" s="100"/>
      <c r="F28" s="792">
        <f>SUMIF(97:97,E29,98:98)-SUMIF(97:97,C29,98:98)+100</f>
        <v>100</v>
      </c>
      <c r="G28" s="100"/>
      <c r="H28" s="792">
        <f>SUMIF(97:97,G29,98:98)-SUMIF(97:97,C29,98:98)+100</f>
        <v>100</v>
      </c>
      <c r="I28" s="101"/>
      <c r="J28" s="792">
        <f>SUMIF(97:97,I29,98:98)-SUMIF(97:97,C29,98:98)+100</f>
        <v>100</v>
      </c>
      <c r="K28" s="1081"/>
      <c r="L28" s="2354"/>
      <c r="M28" s="2345"/>
      <c r="N28" s="2345"/>
      <c r="O28" s="2353"/>
      <c r="P28" s="3760"/>
      <c r="Q28" s="1322" t="str">
        <f t="shared" si="8"/>
        <v>毗邻道路的类型与等级</v>
      </c>
      <c r="R28" s="1323" t="s">
        <v>65</v>
      </c>
      <c r="S28" s="1324">
        <f t="shared" si="9"/>
        <v>100</v>
      </c>
      <c r="T28" s="1323" t="s">
        <v>65</v>
      </c>
      <c r="U28" s="1324">
        <f t="shared" si="10"/>
        <v>100</v>
      </c>
      <c r="V28" s="1323" t="s">
        <v>65</v>
      </c>
      <c r="W28" s="1324">
        <f t="shared" si="11"/>
        <v>100</v>
      </c>
      <c r="X28" s="1317"/>
      <c r="Y28" s="3760"/>
      <c r="Z28" s="1325" t="str">
        <f t="shared" si="12"/>
        <v>毗邻道路的类型与等级</v>
      </c>
      <c r="AA28" s="1326">
        <f t="shared" si="3"/>
        <v>1</v>
      </c>
      <c r="AB28" s="1326">
        <f t="shared" si="4"/>
        <v>1</v>
      </c>
      <c r="AC28" s="1326">
        <f t="shared" si="5"/>
        <v>1</v>
      </c>
    </row>
    <row r="29" spans="1:29" ht="15">
      <c r="A29" s="770"/>
      <c r="B29" s="974"/>
      <c r="C29" s="97"/>
      <c r="D29" s="790"/>
      <c r="E29" s="192"/>
      <c r="F29" s="790"/>
      <c r="G29" s="192"/>
      <c r="H29" s="790"/>
      <c r="I29" s="192"/>
      <c r="J29" s="790"/>
      <c r="K29" s="955"/>
      <c r="L29" s="2354"/>
      <c r="M29" s="2345"/>
      <c r="N29" s="2345"/>
      <c r="O29" s="2353"/>
      <c r="P29" s="3760"/>
      <c r="Q29" s="1322"/>
      <c r="R29" s="1323"/>
      <c r="S29" s="1324"/>
      <c r="T29" s="1323"/>
      <c r="U29" s="1324"/>
      <c r="V29" s="1323"/>
      <c r="W29" s="1324"/>
      <c r="X29" s="1317"/>
      <c r="Y29" s="3760"/>
      <c r="Z29" s="1325"/>
      <c r="AA29" s="1326">
        <v>1</v>
      </c>
      <c r="AB29" s="1326">
        <v>1</v>
      </c>
      <c r="AC29" s="1326">
        <v>1</v>
      </c>
    </row>
    <row r="30" spans="1:29" ht="15">
      <c r="A30" s="770"/>
      <c r="B30" s="996" t="s">
        <v>485</v>
      </c>
      <c r="C30" s="2773">
        <f>估价对象房地状况!G23</f>
        <v>0</v>
      </c>
      <c r="D30" s="777">
        <v>100</v>
      </c>
      <c r="E30" s="976"/>
      <c r="F30" s="777">
        <f>SUMIF(99:99,E30,100:100)-SUMIF(99:99,C30,100:100)+100</f>
        <v>100</v>
      </c>
      <c r="G30" s="976"/>
      <c r="H30" s="777">
        <f>SUMIF(99:99,G30,100:100)-SUMIF(99:99,C30,100:100)+100</f>
        <v>100</v>
      </c>
      <c r="I30" s="976"/>
      <c r="J30" s="777">
        <f>SUMIF(99:99,I30,100:100)-SUMIF(99:99,C30,100:100)+100</f>
        <v>100</v>
      </c>
      <c r="K30" s="954"/>
      <c r="L30" s="2354"/>
      <c r="M30" s="2345"/>
      <c r="N30" s="2345"/>
      <c r="O30" s="2353"/>
      <c r="P30" s="3760"/>
      <c r="Q30" s="1322" t="str">
        <f t="shared" si="8"/>
        <v>土地级别</v>
      </c>
      <c r="R30" s="1323" t="s">
        <v>65</v>
      </c>
      <c r="S30" s="1324">
        <f t="shared" si="9"/>
        <v>100</v>
      </c>
      <c r="T30" s="1323" t="s">
        <v>65</v>
      </c>
      <c r="U30" s="1324">
        <f t="shared" si="10"/>
        <v>100</v>
      </c>
      <c r="V30" s="1323" t="s">
        <v>65</v>
      </c>
      <c r="W30" s="1324">
        <f t="shared" si="11"/>
        <v>100</v>
      </c>
      <c r="X30" s="1317"/>
      <c r="Y30" s="3760"/>
      <c r="Z30" s="1325" t="str">
        <f t="shared" si="12"/>
        <v>土地级别</v>
      </c>
      <c r="AA30" s="1326">
        <f t="shared" si="3"/>
        <v>1</v>
      </c>
      <c r="AB30" s="1326">
        <f t="shared" si="4"/>
        <v>1</v>
      </c>
      <c r="AC30" s="1326">
        <f t="shared" si="5"/>
        <v>1</v>
      </c>
    </row>
    <row r="31" spans="1:29" ht="15">
      <c r="A31" s="747"/>
      <c r="B31" s="1037">
        <v>111</v>
      </c>
      <c r="C31" s="203"/>
      <c r="D31" s="777">
        <v>100</v>
      </c>
      <c r="E31" s="114"/>
      <c r="F31" s="777">
        <f>SUMIF(101:101,E31,102:102)-SUMIF(101:101,C31,102:102)+100</f>
        <v>100</v>
      </c>
      <c r="G31" s="114"/>
      <c r="H31" s="777">
        <f>SUMIF(101:101,G31,102:102)-SUMIF(101:101,C31,102:102)+100</f>
        <v>100</v>
      </c>
      <c r="I31" s="126"/>
      <c r="J31" s="777">
        <f>SUMIF(101:101,I31,102:102)-SUMIF(101:101,C31,102:102)+100</f>
        <v>100</v>
      </c>
      <c r="K31" s="955"/>
      <c r="L31" s="2354"/>
      <c r="M31" s="2345"/>
      <c r="N31" s="2345"/>
      <c r="O31" s="2353"/>
      <c r="P31" s="3760"/>
      <c r="Q31" s="1322">
        <f t="shared" si="8"/>
        <v>111</v>
      </c>
      <c r="R31" s="1323" t="s">
        <v>65</v>
      </c>
      <c r="S31" s="1324">
        <f t="shared" si="9"/>
        <v>100</v>
      </c>
      <c r="T31" s="1323" t="s">
        <v>65</v>
      </c>
      <c r="U31" s="1324">
        <f t="shared" si="10"/>
        <v>100</v>
      </c>
      <c r="V31" s="1323" t="s">
        <v>65</v>
      </c>
      <c r="W31" s="1324">
        <f t="shared" si="11"/>
        <v>100</v>
      </c>
      <c r="X31" s="1317"/>
      <c r="Y31" s="3760"/>
      <c r="Z31" s="1325">
        <f t="shared" si="12"/>
        <v>111</v>
      </c>
      <c r="AA31" s="1326">
        <f t="shared" si="3"/>
        <v>1</v>
      </c>
      <c r="AB31" s="1326">
        <f t="shared" si="4"/>
        <v>1</v>
      </c>
      <c r="AC31" s="1326">
        <f t="shared" si="5"/>
        <v>1</v>
      </c>
    </row>
    <row r="32" spans="1:29" ht="15">
      <c r="A32" s="1083"/>
      <c r="B32" s="204">
        <v>111</v>
      </c>
      <c r="C32" s="203"/>
      <c r="D32" s="777">
        <v>100</v>
      </c>
      <c r="E32" s="114"/>
      <c r="F32" s="777">
        <f>SUMIF(103:103,E33,104:104)-SUMIF(103:103,C33,104:104)+100</f>
        <v>100</v>
      </c>
      <c r="G32" s="114"/>
      <c r="H32" s="777">
        <f>SUMIF(103:103,G32,104:104)-SUMIF(103:103,C32,104:104)+100</f>
        <v>100</v>
      </c>
      <c r="I32" s="203"/>
      <c r="J32" s="777">
        <f>SUMIF(103:103,I32,104:104)-SUMIF(103:103,C32,104:104)+100</f>
        <v>100</v>
      </c>
      <c r="K32" s="955"/>
      <c r="L32" s="2354"/>
      <c r="M32" s="2345"/>
      <c r="N32" s="2345"/>
      <c r="O32" s="2353"/>
      <c r="P32" s="3761" t="s">
        <v>409</v>
      </c>
      <c r="Q32" s="1322">
        <f t="shared" si="8"/>
        <v>111</v>
      </c>
      <c r="R32" s="1323" t="s">
        <v>65</v>
      </c>
      <c r="S32" s="1324">
        <f t="shared" si="9"/>
        <v>100</v>
      </c>
      <c r="T32" s="1323" t="s">
        <v>65</v>
      </c>
      <c r="U32" s="1324">
        <f t="shared" si="10"/>
        <v>100</v>
      </c>
      <c r="V32" s="1323" t="s">
        <v>65</v>
      </c>
      <c r="W32" s="1324">
        <f t="shared" si="11"/>
        <v>100</v>
      </c>
      <c r="X32" s="1317"/>
      <c r="Y32" s="3762" t="s">
        <v>409</v>
      </c>
      <c r="Z32" s="1325">
        <f t="shared" si="12"/>
        <v>111</v>
      </c>
      <c r="AA32" s="1326">
        <f t="shared" si="3"/>
        <v>1</v>
      </c>
      <c r="AB32" s="1326">
        <f t="shared" si="4"/>
        <v>1</v>
      </c>
      <c r="AC32" s="1326">
        <f t="shared" si="5"/>
        <v>1</v>
      </c>
    </row>
    <row r="33" spans="1:29" s="813" customFormat="1" ht="15.75" thickBot="1">
      <c r="A33" s="1084"/>
      <c r="B33" s="3295">
        <v>111</v>
      </c>
      <c r="C33" s="205"/>
      <c r="D33" s="427">
        <v>100</v>
      </c>
      <c r="E33" s="285"/>
      <c r="F33" s="780">
        <f>SUMIF(105:105,E33,106:106)-SUMIF(105:105,C33,106:106)+100</f>
        <v>100</v>
      </c>
      <c r="G33" s="285"/>
      <c r="H33" s="780">
        <f>SUMIF(105:105,G33,106:106)-SUMIF(105:105,C33,106:106)+100</f>
        <v>100</v>
      </c>
      <c r="I33" s="205"/>
      <c r="J33" s="780">
        <f>SUMIF(105:105,I33,106:106)-SUMIF(105:105,C33,106:106)+100</f>
        <v>100</v>
      </c>
      <c r="K33" s="955"/>
      <c r="L33" s="2352"/>
      <c r="M33" s="2355"/>
      <c r="N33" s="2355"/>
      <c r="O33" s="2356"/>
      <c r="P33" s="3762"/>
      <c r="Q33" s="1322">
        <f t="shared" si="8"/>
        <v>111</v>
      </c>
      <c r="R33" s="1328" t="s">
        <v>65</v>
      </c>
      <c r="S33" s="1329">
        <f t="shared" si="9"/>
        <v>100</v>
      </c>
      <c r="T33" s="1328" t="s">
        <v>65</v>
      </c>
      <c r="U33" s="1329">
        <f t="shared" si="10"/>
        <v>100</v>
      </c>
      <c r="V33" s="1328" t="s">
        <v>65</v>
      </c>
      <c r="W33" s="1329">
        <f t="shared" si="11"/>
        <v>100</v>
      </c>
      <c r="X33" s="1330"/>
      <c r="Y33" s="3762"/>
      <c r="Z33" s="1331">
        <f t="shared" si="12"/>
        <v>111</v>
      </c>
      <c r="AA33" s="1326">
        <f t="shared" si="3"/>
        <v>1</v>
      </c>
      <c r="AB33" s="1326">
        <f t="shared" si="4"/>
        <v>1</v>
      </c>
      <c r="AC33" s="1326">
        <f t="shared" si="5"/>
        <v>1</v>
      </c>
    </row>
    <row r="34" spans="1:29" ht="15">
      <c r="A34" s="782" t="s">
        <v>2798</v>
      </c>
      <c r="B34" s="798" t="s">
        <v>486</v>
      </c>
      <c r="C34" s="1087"/>
      <c r="D34" s="809">
        <v>100</v>
      </c>
      <c r="E34" s="1087"/>
      <c r="F34" s="809" t="e">
        <f>LOOKUP(E34,108:108,109:109)-LOOKUP(C34,108:108,109:109)+100</f>
        <v>#N/A</v>
      </c>
      <c r="G34" s="1087"/>
      <c r="H34" s="809" t="e">
        <f>LOOKUP(G34,108:108,109:109)-LOOKUP(C34,108:108,109:109)+100</f>
        <v>#N/A</v>
      </c>
      <c r="I34" s="872"/>
      <c r="J34" s="809" t="e">
        <f>LOOKUP(I34,108:108,109:109)-LOOKUP(C34,108:108,109:109)+100</f>
        <v>#N/A</v>
      </c>
      <c r="K34" s="955"/>
      <c r="L34" s="2354"/>
      <c r="M34" s="2345"/>
      <c r="N34" s="2345"/>
      <c r="O34" s="2353"/>
      <c r="P34" s="3762"/>
      <c r="Q34" s="1322" t="str">
        <f>B34</f>
        <v>宗地面积</v>
      </c>
      <c r="R34" s="1323" t="s">
        <v>65</v>
      </c>
      <c r="S34" s="1324" t="e">
        <f t="shared" si="9"/>
        <v>#N/A</v>
      </c>
      <c r="T34" s="1323" t="s">
        <v>65</v>
      </c>
      <c r="U34" s="1324" t="e">
        <f t="shared" si="10"/>
        <v>#N/A</v>
      </c>
      <c r="V34" s="1323" t="s">
        <v>65</v>
      </c>
      <c r="W34" s="1324" t="e">
        <f t="shared" si="11"/>
        <v>#N/A</v>
      </c>
      <c r="X34" s="1317"/>
      <c r="Y34" s="3762"/>
      <c r="Z34" s="1325" t="str">
        <f t="shared" si="12"/>
        <v>宗地面积</v>
      </c>
      <c r="AA34" s="1326" t="e">
        <f t="shared" si="3"/>
        <v>#N/A</v>
      </c>
      <c r="AB34" s="1326" t="e">
        <f t="shared" si="4"/>
        <v>#N/A</v>
      </c>
      <c r="AC34" s="1326" t="e">
        <f t="shared" si="5"/>
        <v>#N/A</v>
      </c>
    </row>
    <row r="35" spans="1:29" ht="15">
      <c r="A35" s="814"/>
      <c r="B35" s="764" t="s">
        <v>487</v>
      </c>
      <c r="C35" s="109"/>
      <c r="D35" s="777">
        <v>100</v>
      </c>
      <c r="E35" s="109"/>
      <c r="F35" s="777">
        <f>SUMIF(110:110,E35,111:111)-SUMIF(110:110,C35,111:111)+100</f>
        <v>100</v>
      </c>
      <c r="G35" s="109"/>
      <c r="H35" s="777">
        <f>SUMIF(110:110,G35,111:111)-SUMIF(110:110,C35,111:111)+100</f>
        <v>100</v>
      </c>
      <c r="I35" s="109"/>
      <c r="J35" s="777">
        <f>SUMIF(110:110,I35,111:111)-SUMIF(110:110,C35,111:111)+100</f>
        <v>100</v>
      </c>
      <c r="K35" s="954"/>
      <c r="L35" s="2354"/>
      <c r="M35" s="2345"/>
      <c r="N35" s="2345"/>
      <c r="O35" s="2353"/>
      <c r="P35" s="3762"/>
      <c r="Q35" s="1322" t="str">
        <f t="shared" ref="Q35:Q40" si="13">B35</f>
        <v>宗地形状</v>
      </c>
      <c r="R35" s="1323" t="s">
        <v>65</v>
      </c>
      <c r="S35" s="1324">
        <f t="shared" si="9"/>
        <v>100</v>
      </c>
      <c r="T35" s="1323" t="s">
        <v>65</v>
      </c>
      <c r="U35" s="1324">
        <f t="shared" si="10"/>
        <v>100</v>
      </c>
      <c r="V35" s="1323" t="s">
        <v>65</v>
      </c>
      <c r="W35" s="1324">
        <f t="shared" si="11"/>
        <v>100</v>
      </c>
      <c r="X35" s="1317"/>
      <c r="Y35" s="3762"/>
      <c r="Z35" s="1325" t="str">
        <f t="shared" si="12"/>
        <v>宗地形状</v>
      </c>
      <c r="AA35" s="1326">
        <f t="shared" si="3"/>
        <v>1</v>
      </c>
      <c r="AB35" s="1326">
        <f t="shared" si="4"/>
        <v>1</v>
      </c>
      <c r="AC35" s="1326">
        <f t="shared" si="5"/>
        <v>1</v>
      </c>
    </row>
    <row r="36" spans="1:29" s="407" customFormat="1" ht="15">
      <c r="A36" s="815"/>
      <c r="B36" s="2606" t="s">
        <v>2507</v>
      </c>
      <c r="C36" s="1041"/>
      <c r="D36" s="426">
        <v>100</v>
      </c>
      <c r="E36" s="1041"/>
      <c r="F36" s="777">
        <f>SUMIF(112:112,E36,113:113)-SUMIF(112:112,C36,113:113)+100</f>
        <v>100</v>
      </c>
      <c r="G36" s="1041"/>
      <c r="H36" s="777">
        <f>SUMIF(112:112,G36,113:113)-SUMIF(112:112,C36,113:113)+100</f>
        <v>100</v>
      </c>
      <c r="I36" s="1041"/>
      <c r="J36" s="777">
        <f>SUMIF(112:112,I36,113:113)-SUMIF(112:112,C36,113:113)+100</f>
        <v>100</v>
      </c>
      <c r="K36" s="954"/>
      <c r="L36" s="2346"/>
      <c r="M36" s="2347"/>
      <c r="N36" s="2347"/>
      <c r="O36" s="2348"/>
      <c r="P36" s="3762"/>
      <c r="Q36" s="1322" t="str">
        <f t="shared" si="13"/>
        <v>宗地开发程度</v>
      </c>
      <c r="R36" s="1318" t="s">
        <v>65</v>
      </c>
      <c r="S36" s="1319">
        <f t="shared" si="9"/>
        <v>100</v>
      </c>
      <c r="T36" s="1318" t="s">
        <v>65</v>
      </c>
      <c r="U36" s="1319">
        <f t="shared" si="10"/>
        <v>100</v>
      </c>
      <c r="V36" s="1318" t="s">
        <v>65</v>
      </c>
      <c r="W36" s="1319">
        <f t="shared" si="11"/>
        <v>100</v>
      </c>
      <c r="X36" s="1320"/>
      <c r="Y36" s="3762"/>
      <c r="Z36" s="344" t="str">
        <f t="shared" si="12"/>
        <v>宗地开发程度</v>
      </c>
      <c r="AA36" s="1321">
        <f t="shared" si="3"/>
        <v>1</v>
      </c>
      <c r="AB36" s="1321">
        <f t="shared" si="4"/>
        <v>1</v>
      </c>
      <c r="AC36" s="1321">
        <f t="shared" si="5"/>
        <v>1</v>
      </c>
    </row>
    <row r="37" spans="1:29" ht="15">
      <c r="A37" s="814"/>
      <c r="B37" s="764" t="s">
        <v>489</v>
      </c>
      <c r="C37" s="109"/>
      <c r="D37" s="777">
        <v>100</v>
      </c>
      <c r="E37" s="109"/>
      <c r="F37" s="777">
        <f>SUMIF(114:114,E37,115:115)-SUMIF(114:114,C37,115:115)+100</f>
        <v>100</v>
      </c>
      <c r="G37" s="109"/>
      <c r="H37" s="777">
        <f>SUMIF(114:114,G37,115:115)-SUMIF(114:114,C37,115:115)+100</f>
        <v>100</v>
      </c>
      <c r="I37" s="109"/>
      <c r="J37" s="777">
        <f>SUMIF(114:114,I37,115:115)-SUMIF(114:114,C37,115:115)+100</f>
        <v>100</v>
      </c>
      <c r="K37" s="954"/>
      <c r="L37" s="2354"/>
      <c r="M37" s="2345"/>
      <c r="N37" s="2345"/>
      <c r="O37" s="2353"/>
      <c r="P37" s="3762" t="s">
        <v>520</v>
      </c>
      <c r="Q37" s="1322" t="str">
        <f t="shared" si="13"/>
        <v>工程地质条件</v>
      </c>
      <c r="R37" s="1323" t="s">
        <v>65</v>
      </c>
      <c r="S37" s="1324">
        <f t="shared" si="9"/>
        <v>100</v>
      </c>
      <c r="T37" s="1323" t="s">
        <v>65</v>
      </c>
      <c r="U37" s="1324">
        <f t="shared" si="10"/>
        <v>100</v>
      </c>
      <c r="V37" s="1323" t="s">
        <v>65</v>
      </c>
      <c r="W37" s="1324">
        <f t="shared" si="11"/>
        <v>100</v>
      </c>
      <c r="X37" s="1317"/>
      <c r="Y37" s="3762" t="s">
        <v>520</v>
      </c>
      <c r="Z37" s="1325" t="str">
        <f t="shared" si="12"/>
        <v>工程地质条件</v>
      </c>
      <c r="AA37" s="1326">
        <f t="shared" si="3"/>
        <v>1</v>
      </c>
      <c r="AB37" s="1326">
        <f t="shared" si="4"/>
        <v>1</v>
      </c>
      <c r="AC37" s="1326">
        <f t="shared" si="5"/>
        <v>1</v>
      </c>
    </row>
    <row r="38" spans="1:29" ht="15">
      <c r="A38" s="814"/>
      <c r="B38" s="206">
        <v>111</v>
      </c>
      <c r="C38" s="203"/>
      <c r="D38" s="777">
        <v>100</v>
      </c>
      <c r="E38" s="203"/>
      <c r="F38" s="777">
        <f>SUMIF(116:116,E38,117:117)-SUMIF(116:116,C38,117:117)+100</f>
        <v>100</v>
      </c>
      <c r="G38" s="203"/>
      <c r="H38" s="777">
        <f>SUMIF(116:116,G38,117:117)-SUMIF(116:116,C38,117:117)+100</f>
        <v>100</v>
      </c>
      <c r="I38" s="126"/>
      <c r="J38" s="777">
        <f>SUMIF(116:116,I38,117:117)-SUMIF(116:116,C38,117:117)+100</f>
        <v>100</v>
      </c>
      <c r="K38" s="955"/>
      <c r="L38" s="2354"/>
      <c r="M38" s="2345"/>
      <c r="N38" s="2345"/>
      <c r="O38" s="2353"/>
      <c r="P38" s="3762"/>
      <c r="Q38" s="1322">
        <f t="shared" si="13"/>
        <v>111</v>
      </c>
      <c r="R38" s="1323" t="s">
        <v>65</v>
      </c>
      <c r="S38" s="1324">
        <f t="shared" si="9"/>
        <v>100</v>
      </c>
      <c r="T38" s="1323" t="s">
        <v>65</v>
      </c>
      <c r="U38" s="1324">
        <f t="shared" si="10"/>
        <v>100</v>
      </c>
      <c r="V38" s="1323" t="s">
        <v>65</v>
      </c>
      <c r="W38" s="1324">
        <f t="shared" si="11"/>
        <v>100</v>
      </c>
      <c r="X38" s="1317"/>
      <c r="Y38" s="3762"/>
      <c r="Z38" s="1325">
        <f t="shared" si="12"/>
        <v>111</v>
      </c>
      <c r="AA38" s="1326">
        <f t="shared" si="3"/>
        <v>1</v>
      </c>
      <c r="AB38" s="1326">
        <f t="shared" si="4"/>
        <v>1</v>
      </c>
      <c r="AC38" s="1326">
        <f t="shared" si="5"/>
        <v>1</v>
      </c>
    </row>
    <row r="39" spans="1:29" ht="15">
      <c r="A39" s="814"/>
      <c r="B39" s="206">
        <v>111</v>
      </c>
      <c r="C39" s="203"/>
      <c r="D39" s="777">
        <v>100</v>
      </c>
      <c r="E39" s="203"/>
      <c r="F39" s="777">
        <f>SUMIF(118:118,E39,119:119)-SUMIF(118:118,C39,119:119)+100</f>
        <v>100</v>
      </c>
      <c r="G39" s="203"/>
      <c r="H39" s="777">
        <f>SUMIF(118:118,G39,119:119)-SUMIF(118:118,C39,119:119)+100</f>
        <v>100</v>
      </c>
      <c r="I39" s="126"/>
      <c r="J39" s="777">
        <f>SUMIF(118:118,I39,119:119)-SUMIF(118:118,C39,119:119)+100</f>
        <v>100</v>
      </c>
      <c r="K39" s="955"/>
      <c r="L39" s="2354"/>
      <c r="M39" s="2345"/>
      <c r="N39" s="2345"/>
      <c r="O39" s="2353"/>
      <c r="P39" s="3762"/>
      <c r="Q39" s="1322">
        <f t="shared" si="13"/>
        <v>111</v>
      </c>
      <c r="R39" s="1323" t="s">
        <v>65</v>
      </c>
      <c r="S39" s="1324">
        <f t="shared" si="9"/>
        <v>100</v>
      </c>
      <c r="T39" s="1323" t="s">
        <v>65</v>
      </c>
      <c r="U39" s="1324">
        <f t="shared" si="10"/>
        <v>100</v>
      </c>
      <c r="V39" s="1323" t="s">
        <v>65</v>
      </c>
      <c r="W39" s="1324">
        <f t="shared" si="11"/>
        <v>100</v>
      </c>
      <c r="X39" s="1317"/>
      <c r="Y39" s="3762"/>
      <c r="Z39" s="1325">
        <f t="shared" si="12"/>
        <v>111</v>
      </c>
      <c r="AA39" s="1326">
        <f t="shared" si="3"/>
        <v>1</v>
      </c>
      <c r="AB39" s="1326">
        <f t="shared" si="4"/>
        <v>1</v>
      </c>
      <c r="AC39" s="1326">
        <f t="shared" si="5"/>
        <v>1</v>
      </c>
    </row>
    <row r="40" spans="1:29" s="813" customFormat="1" ht="15.75" thickBot="1">
      <c r="A40" s="810"/>
      <c r="B40" s="206">
        <v>111</v>
      </c>
      <c r="C40" s="1043"/>
      <c r="D40" s="427">
        <v>100</v>
      </c>
      <c r="E40" s="203"/>
      <c r="F40" s="780">
        <f>SUMIF(120:120,E40,121:121)-SUMIF(120:120,C40,121:121)+100</f>
        <v>100</v>
      </c>
      <c r="G40" s="203"/>
      <c r="H40" s="780">
        <f>SUMIF(120:120,G40,121:121)-SUMIF(120:120,C40,121:121)+100</f>
        <v>100</v>
      </c>
      <c r="I40" s="126"/>
      <c r="J40" s="780">
        <f>SUMIF(120:120,I40,121:121)-SUMIF(120:120,C40,121:121)+100</f>
        <v>100</v>
      </c>
      <c r="K40" s="1089"/>
      <c r="L40" s="2352"/>
      <c r="M40" s="2355"/>
      <c r="N40" s="2355"/>
      <c r="O40" s="2356"/>
      <c r="P40" s="3762"/>
      <c r="Q40" s="1322">
        <f t="shared" si="13"/>
        <v>111</v>
      </c>
      <c r="R40" s="1328" t="s">
        <v>65</v>
      </c>
      <c r="S40" s="1329">
        <f t="shared" si="9"/>
        <v>100</v>
      </c>
      <c r="T40" s="1328" t="s">
        <v>65</v>
      </c>
      <c r="U40" s="1329">
        <f t="shared" si="10"/>
        <v>100</v>
      </c>
      <c r="V40" s="1328" t="s">
        <v>65</v>
      </c>
      <c r="W40" s="1329">
        <f t="shared" si="11"/>
        <v>100</v>
      </c>
      <c r="X40" s="1330"/>
      <c r="Y40" s="3762"/>
      <c r="Z40" s="1331">
        <f t="shared" si="12"/>
        <v>111</v>
      </c>
      <c r="AA40" s="1326">
        <f t="shared" si="3"/>
        <v>1</v>
      </c>
      <c r="AB40" s="1326">
        <f t="shared" si="4"/>
        <v>1</v>
      </c>
      <c r="AC40" s="1326">
        <f t="shared" si="5"/>
        <v>1</v>
      </c>
    </row>
    <row r="41" spans="1:29" ht="15">
      <c r="A41" s="821" t="s">
        <v>490</v>
      </c>
      <c r="B41" s="207" t="s">
        <v>3021</v>
      </c>
      <c r="C41" s="1090" t="s">
        <v>23</v>
      </c>
      <c r="D41" s="823"/>
      <c r="E41" s="824"/>
      <c r="F41" s="825"/>
      <c r="G41" s="826"/>
      <c r="H41" s="827"/>
      <c r="I41" s="824"/>
      <c r="J41" s="827"/>
      <c r="K41" s="1399"/>
      <c r="L41" s="2357"/>
      <c r="M41" s="2345"/>
      <c r="N41" s="2345"/>
      <c r="O41" s="2358"/>
      <c r="P41" s="3744" t="str">
        <f>A41</f>
        <v>成交单价</v>
      </c>
      <c r="Q41" s="3744"/>
      <c r="R41" s="3757">
        <f>E41</f>
        <v>0</v>
      </c>
      <c r="S41" s="3757"/>
      <c r="T41" s="3757">
        <f>G41</f>
        <v>0</v>
      </c>
      <c r="U41" s="3757"/>
      <c r="V41" s="3757">
        <f>I41</f>
        <v>0</v>
      </c>
      <c r="W41" s="3757"/>
      <c r="X41" s="1306"/>
      <c r="Y41" s="1332"/>
      <c r="Z41" s="1306"/>
      <c r="AA41" s="1306"/>
      <c r="AB41" s="1306"/>
      <c r="AC41" s="1306"/>
    </row>
    <row r="42" spans="1:29" ht="15.75" thickBot="1">
      <c r="A42" s="828" t="s">
        <v>411</v>
      </c>
      <c r="B42" s="1091"/>
      <c r="C42" s="832" t="e">
        <f>R43</f>
        <v>#DIV/0!</v>
      </c>
      <c r="D42" s="831"/>
      <c r="E42" s="832" t="e">
        <f>R42</f>
        <v>#DIV/0!</v>
      </c>
      <c r="F42" s="833"/>
      <c r="G42" s="830" t="e">
        <f>T42</f>
        <v>#DIV/0!</v>
      </c>
      <c r="H42" s="831"/>
      <c r="I42" s="832" t="e">
        <f>V42</f>
        <v>#DIV/0!</v>
      </c>
      <c r="J42" s="831"/>
      <c r="K42" s="1400"/>
      <c r="L42" s="2357"/>
      <c r="M42" s="2345"/>
      <c r="N42" s="2345"/>
      <c r="O42" s="2358"/>
      <c r="P42" s="3744" t="str">
        <f>A42</f>
        <v>比较价值（元/平方米）</v>
      </c>
      <c r="Q42" s="3744"/>
      <c r="R42" s="3767" t="e">
        <f>ROUND(PRODUCT(R41,AA7:AA40),0)</f>
        <v>#DIV/0!</v>
      </c>
      <c r="S42" s="3767"/>
      <c r="T42" s="3767" t="e">
        <f>ROUND(PRODUCT(T41,AB7:AB40),0)</f>
        <v>#DIV/0!</v>
      </c>
      <c r="U42" s="3767"/>
      <c r="V42" s="3767" t="e">
        <f>ROUND(PRODUCT(V41,AC7:AC40),0)</f>
        <v>#DIV/0!</v>
      </c>
      <c r="W42" s="3767"/>
      <c r="X42" s="1306"/>
      <c r="Y42" s="1306"/>
      <c r="Z42" s="1306"/>
      <c r="AA42" s="1306"/>
      <c r="AB42" s="1306"/>
      <c r="AC42" s="1306"/>
    </row>
    <row r="43" spans="1:29" ht="15.75" thickBot="1">
      <c r="A43" s="115" t="s">
        <v>3019</v>
      </c>
      <c r="B43" s="835"/>
      <c r="C43" s="836" t="e">
        <f>R43</f>
        <v>#DIV/0!</v>
      </c>
      <c r="D43" s="836"/>
      <c r="E43" s="836"/>
      <c r="F43" s="836"/>
      <c r="G43" s="836"/>
      <c r="H43" s="836"/>
      <c r="I43" s="836"/>
      <c r="J43" s="836"/>
      <c r="K43" s="1401"/>
      <c r="L43" s="2357"/>
      <c r="M43" s="2345"/>
      <c r="N43" s="2345"/>
      <c r="O43" s="2358"/>
      <c r="P43" s="3764" t="str">
        <f>A43</f>
        <v>估价对象XX用房的比较价值（楼面单价，元/平方米）</v>
      </c>
      <c r="Q43" s="3765"/>
      <c r="R43" s="3768" t="e">
        <f>ROUND(AVERAGE(R42:V42),0)</f>
        <v>#DIV/0!</v>
      </c>
      <c r="S43" s="3768"/>
      <c r="T43" s="3768"/>
      <c r="U43" s="3768"/>
      <c r="V43" s="3768"/>
      <c r="W43" s="3768"/>
      <c r="X43" s="1306"/>
      <c r="Y43" s="1306"/>
      <c r="Z43" s="1306"/>
      <c r="AA43" s="1306"/>
      <c r="AB43" s="1306"/>
      <c r="AC43" s="1306"/>
    </row>
    <row r="44" spans="1:29">
      <c r="A44" s="2358"/>
      <c r="B44" s="2358"/>
      <c r="C44" s="2358"/>
      <c r="D44" s="2358"/>
      <c r="E44" s="2358"/>
      <c r="F44" s="2358"/>
      <c r="G44" s="2361"/>
      <c r="H44" s="2358"/>
      <c r="I44" s="2358"/>
      <c r="J44" s="2358"/>
      <c r="K44" s="2184"/>
      <c r="L44" s="2185"/>
      <c r="M44" s="2345"/>
      <c r="N44" s="2345"/>
      <c r="O44" s="2358"/>
    </row>
    <row r="45" spans="1:29">
      <c r="A45" s="2358"/>
      <c r="B45" s="2358"/>
      <c r="C45" s="2358"/>
      <c r="D45" s="2358"/>
      <c r="E45" s="2358"/>
      <c r="F45" s="2358"/>
      <c r="G45" s="2358"/>
      <c r="H45" s="2358"/>
      <c r="I45" s="2358"/>
      <c r="J45" s="2358"/>
      <c r="K45" s="2184"/>
      <c r="L45" s="2185"/>
      <c r="M45" s="2345"/>
      <c r="N45" s="2345"/>
      <c r="O45" s="2358"/>
    </row>
    <row r="46" spans="1:29" ht="13.5" customHeight="1">
      <c r="A46" s="2358"/>
      <c r="B46" s="2358"/>
      <c r="C46" s="839" t="s">
        <v>412</v>
      </c>
      <c r="D46" s="840"/>
      <c r="E46" s="841" t="e">
        <f>IF(E41&lt;E42,E42/E41-1,E41/E42-1)</f>
        <v>#DIV/0!</v>
      </c>
      <c r="F46" s="842" t="e">
        <f>IF(OR(E46&gt;=0.3,E46&lt;=-0.3),"超过30%","")</f>
        <v>#DIV/0!</v>
      </c>
      <c r="G46" s="841" t="e">
        <f>IF(G41&lt;G42,G42/G41-1,G41/G42-1)</f>
        <v>#DIV/0!</v>
      </c>
      <c r="H46" s="842" t="e">
        <f>IF(OR(G46&gt;=0.3,G46&lt;=-0.3),"超过30%","")</f>
        <v>#DIV/0!</v>
      </c>
      <c r="I46" s="841" t="e">
        <f>IF(I41&lt;I42,I42/I41-1,I41/I42-1)</f>
        <v>#DIV/0!</v>
      </c>
      <c r="J46" s="842" t="e">
        <f>IF(OR(I46&gt;=0.3,I46&lt;=-0.3),"超过30%","")</f>
        <v>#DIV/0!</v>
      </c>
      <c r="K46" s="2184"/>
      <c r="L46" s="2185"/>
      <c r="M46" s="2345"/>
      <c r="N46" s="2345"/>
      <c r="O46" s="2358"/>
    </row>
    <row r="47" spans="1:29" ht="13.5" customHeight="1">
      <c r="A47" s="2358"/>
      <c r="B47" s="2358"/>
      <c r="C47" s="839" t="s">
        <v>413</v>
      </c>
      <c r="D47" s="843"/>
      <c r="E47" s="841" t="e">
        <f>IF(E42&lt;G42,G42/E42-1,E42/G42-1)</f>
        <v>#DIV/0!</v>
      </c>
      <c r="F47" s="842" t="e">
        <f>IF(OR(E47&gt;=0.2,E47&lt;=-0.2),"超过20%","")</f>
        <v>#DIV/0!</v>
      </c>
      <c r="G47" s="841" t="e">
        <f>IF(G42&lt;I42,I42/G42-1,G42/I42-1)</f>
        <v>#DIV/0!</v>
      </c>
      <c r="H47" s="842" t="e">
        <f>IF(OR(G47&gt;=0.2,G47&lt;=-0.2),"超过20%","")</f>
        <v>#DIV/0!</v>
      </c>
      <c r="I47" s="841" t="e">
        <f>IF(I42&lt;E42,E42/I42-1,I42/E42-1)</f>
        <v>#DIV/0!</v>
      </c>
      <c r="J47" s="842" t="e">
        <f>IF(OR(I47&gt;=0.2,I47&lt;=-0.2),"超过20%","")</f>
        <v>#DIV/0!</v>
      </c>
      <c r="K47" s="2184"/>
      <c r="L47" s="2185"/>
      <c r="M47" s="2358"/>
      <c r="N47" s="2358"/>
      <c r="O47" s="2358"/>
    </row>
    <row r="48" spans="1:29" s="844" customFormat="1" ht="13.5" customHeight="1">
      <c r="A48" s="2359"/>
      <c r="B48" s="2359"/>
      <c r="C48" s="839" t="s">
        <v>414</v>
      </c>
      <c r="D48" s="843"/>
      <c r="E48" s="841" t="e">
        <f>IF(E41&lt;G41,G41/E41-1,E41/G41-1)</f>
        <v>#DIV/0!</v>
      </c>
      <c r="F48" s="842" t="e">
        <f>IF(OR(E48&gt;=0.3,E48&lt;=-0.3),"超过30%","")</f>
        <v>#DIV/0!</v>
      </c>
      <c r="G48" s="841" t="e">
        <f>IF(G41&lt;I41,I41/G41-1,G41/I41-1)</f>
        <v>#DIV/0!</v>
      </c>
      <c r="H48" s="842" t="e">
        <f>IF(OR(G48&gt;=0.3,G48&lt;=-0.3),"超过30%","")</f>
        <v>#DIV/0!</v>
      </c>
      <c r="I48" s="841" t="e">
        <f>IF(I41&lt;E41,E41/I41-1,I41/E41-1)</f>
        <v>#DIV/0!</v>
      </c>
      <c r="J48" s="842" t="e">
        <f>IF(OR(I48&gt;=0.3,I48&lt;=-0.3),"超过30%","")</f>
        <v>#DIV/0!</v>
      </c>
      <c r="K48" s="2362"/>
      <c r="L48" s="2363"/>
      <c r="M48" s="2359"/>
      <c r="N48" s="2359"/>
      <c r="O48" s="2359"/>
    </row>
    <row r="49" spans="1:17" s="844" customFormat="1" ht="15" thickBot="1">
      <c r="A49" s="2359"/>
      <c r="B49" s="2360"/>
      <c r="C49" s="1309"/>
      <c r="D49" s="1307"/>
      <c r="E49" s="1307"/>
      <c r="F49" s="1307"/>
      <c r="G49" s="1307"/>
      <c r="H49" s="1307"/>
      <c r="I49" s="1307"/>
      <c r="J49" s="1307"/>
      <c r="K49" s="2362"/>
      <c r="L49" s="2363"/>
      <c r="M49" s="2359"/>
      <c r="N49" s="2359"/>
      <c r="O49" s="2359"/>
    </row>
    <row r="50" spans="1:17" ht="27">
      <c r="A50" s="1092" t="s">
        <v>491</v>
      </c>
      <c r="B50" s="1093" t="s">
        <v>492</v>
      </c>
      <c r="C50" s="1773" t="s">
        <v>1893</v>
      </c>
      <c r="D50" s="2389" t="s">
        <v>2330</v>
      </c>
      <c r="E50" s="1094" t="s">
        <v>493</v>
      </c>
      <c r="F50" s="1095" t="s">
        <v>494</v>
      </c>
      <c r="G50" s="3769" t="s">
        <v>2323</v>
      </c>
      <c r="H50" s="3770"/>
      <c r="I50" s="2179" t="s">
        <v>1892</v>
      </c>
      <c r="J50" s="1763" t="str">
        <f>项目基本情况!F35</f>
        <v>西安市</v>
      </c>
      <c r="K50" s="2372" t="s">
        <v>1894</v>
      </c>
      <c r="L50" s="2185"/>
      <c r="M50" s="2358"/>
      <c r="N50" s="2358"/>
      <c r="O50" s="2358"/>
    </row>
    <row r="51" spans="1:17" s="1100" customFormat="1">
      <c r="A51" s="1096" t="s">
        <v>495</v>
      </c>
      <c r="B51" s="1097" t="e">
        <f>C43</f>
        <v>#DIV/0!</v>
      </c>
      <c r="C51" s="1098">
        <v>1</v>
      </c>
      <c r="D51" s="2390">
        <v>1</v>
      </c>
      <c r="E51" s="1098">
        <f>'数据-汇总表'!E8+'数据-汇总表'!E9</f>
        <v>1653.4</v>
      </c>
      <c r="F51" s="1099" t="e">
        <f t="shared" ref="F51:F60" si="14">ROUND(B51*E51/10000,0)</f>
        <v>#DIV/0!</v>
      </c>
      <c r="G51" s="3771"/>
      <c r="H51" s="3772"/>
      <c r="I51" s="1771">
        <v>1</v>
      </c>
      <c r="J51" s="1771">
        <v>1</v>
      </c>
      <c r="K51" s="2359"/>
      <c r="L51" s="1770"/>
      <c r="M51" s="1770"/>
      <c r="N51" s="1770"/>
      <c r="O51" s="1770"/>
    </row>
    <row r="52" spans="1:17" s="1100" customFormat="1">
      <c r="A52" s="1101" t="s">
        <v>496</v>
      </c>
      <c r="B52" s="594" t="e">
        <f>ROUND($C$43*C52*D52,0)</f>
        <v>#DIV/0!</v>
      </c>
      <c r="C52" s="532">
        <f t="shared" ref="C52:C60" si="15">IF($C$50="北京市系数",I52,J52)</f>
        <v>0</v>
      </c>
      <c r="D52" s="2391">
        <v>0.25</v>
      </c>
      <c r="E52" s="1102"/>
      <c r="F52" s="1099" t="e">
        <f t="shared" si="14"/>
        <v>#DIV/0!</v>
      </c>
      <c r="G52" s="3773" t="s">
        <v>2324</v>
      </c>
      <c r="H52" s="2183">
        <f>项目基本情况!B37</f>
        <v>0</v>
      </c>
      <c r="I52" s="1771">
        <f>SUMIF(修正!A45:A56,H52,修正!B45:B56)</f>
        <v>0</v>
      </c>
      <c r="J52" s="1772"/>
      <c r="K52" s="2358"/>
      <c r="L52" s="1770"/>
      <c r="M52" s="1770"/>
      <c r="N52" s="1770"/>
      <c r="O52" s="1770"/>
    </row>
    <row r="53" spans="1:17" s="1100" customFormat="1">
      <c r="A53" s="1101" t="s">
        <v>497</v>
      </c>
      <c r="B53" s="594" t="e">
        <f t="shared" ref="B53:B60" si="16">ROUND($C$43*C53*D53,0)</f>
        <v>#DIV/0!</v>
      </c>
      <c r="C53" s="532">
        <f t="shared" si="15"/>
        <v>0</v>
      </c>
      <c r="D53" s="2391">
        <v>0.25</v>
      </c>
      <c r="E53" s="1102"/>
      <c r="F53" s="1099" t="e">
        <f t="shared" si="14"/>
        <v>#DIV/0!</v>
      </c>
      <c r="G53" s="3773"/>
      <c r="H53" s="2183">
        <f>项目基本情况!B37</f>
        <v>0</v>
      </c>
      <c r="I53" s="1771">
        <f>SUMIF(修正!A45:A56,H53,修正!C45:C56)</f>
        <v>0</v>
      </c>
      <c r="J53" s="1772"/>
      <c r="K53" s="2359"/>
      <c r="L53" s="1770"/>
      <c r="M53" s="1770"/>
      <c r="N53" s="1770"/>
      <c r="O53" s="1770"/>
    </row>
    <row r="54" spans="1:17" s="1100" customFormat="1">
      <c r="A54" s="1101" t="s">
        <v>498</v>
      </c>
      <c r="B54" s="594" t="e">
        <f t="shared" si="16"/>
        <v>#DIV/0!</v>
      </c>
      <c r="C54" s="532">
        <f t="shared" si="15"/>
        <v>0</v>
      </c>
      <c r="D54" s="2391">
        <v>0.25</v>
      </c>
      <c r="E54" s="1102"/>
      <c r="F54" s="1099" t="e">
        <f t="shared" si="14"/>
        <v>#DIV/0!</v>
      </c>
      <c r="G54" s="3773"/>
      <c r="H54" s="2183">
        <f>项目基本情况!B37</f>
        <v>0</v>
      </c>
      <c r="I54" s="1771">
        <f>SUMIF(修正!A45:A56,H54,修正!D45:D56)</f>
        <v>0</v>
      </c>
      <c r="J54" s="1772"/>
      <c r="K54" s="2358"/>
      <c r="L54" s="1770"/>
      <c r="M54" s="1770"/>
      <c r="N54" s="1770"/>
      <c r="O54" s="1770"/>
    </row>
    <row r="55" spans="1:17" s="1100" customFormat="1">
      <c r="A55" s="1101" t="s">
        <v>499</v>
      </c>
      <c r="B55" s="594" t="e">
        <f t="shared" si="16"/>
        <v>#DIV/0!</v>
      </c>
      <c r="C55" s="532">
        <f t="shared" si="15"/>
        <v>0</v>
      </c>
      <c r="D55" s="2391">
        <v>0.25</v>
      </c>
      <c r="E55" s="1102"/>
      <c r="F55" s="1099" t="e">
        <f t="shared" si="14"/>
        <v>#DIV/0!</v>
      </c>
      <c r="G55" s="3773"/>
      <c r="H55" s="2183">
        <f>项目基本情况!B37</f>
        <v>0</v>
      </c>
      <c r="I55" s="1771">
        <f>SUMIF(修正!A45:A56,H55,修正!E45:E56)</f>
        <v>0</v>
      </c>
      <c r="J55" s="1772"/>
      <c r="K55" s="2359"/>
      <c r="L55" s="1770"/>
      <c r="M55" s="1770"/>
      <c r="N55" s="1770"/>
      <c r="O55" s="1770"/>
    </row>
    <row r="56" spans="1:17" s="1100" customFormat="1">
      <c r="A56" s="2511" t="s">
        <v>2406</v>
      </c>
      <c r="B56" s="594" t="e">
        <f t="shared" si="16"/>
        <v>#DIV/0!</v>
      </c>
      <c r="C56" s="532">
        <f t="shared" si="15"/>
        <v>0</v>
      </c>
      <c r="D56" s="2391">
        <v>0.25</v>
      </c>
      <c r="E56" s="593">
        <f>'数据-汇总表'!E11</f>
        <v>0</v>
      </c>
      <c r="F56" s="1099" t="e">
        <f t="shared" si="14"/>
        <v>#DIV/0!</v>
      </c>
      <c r="G56" s="2195" t="s">
        <v>2325</v>
      </c>
      <c r="H56" s="2183">
        <f>项目基本情况!C37</f>
        <v>0</v>
      </c>
      <c r="I56" s="1771">
        <f>SUMIF(修正!A45:A56,H56,修正!F45:F56)</f>
        <v>0</v>
      </c>
      <c r="J56" s="1772"/>
      <c r="K56" s="2358"/>
      <c r="L56" s="1770"/>
      <c r="M56" s="1770"/>
      <c r="N56" s="1770"/>
      <c r="O56" s="1770"/>
    </row>
    <row r="57" spans="1:17" s="1100" customFormat="1">
      <c r="A57" s="1101" t="s">
        <v>500</v>
      </c>
      <c r="B57" s="594" t="e">
        <f t="shared" si="16"/>
        <v>#DIV/0!</v>
      </c>
      <c r="C57" s="532">
        <f t="shared" si="15"/>
        <v>0</v>
      </c>
      <c r="D57" s="2391">
        <v>0.25</v>
      </c>
      <c r="E57" s="593">
        <f>'数据-汇总表'!E12</f>
        <v>0</v>
      </c>
      <c r="F57" s="1099" t="e">
        <f t="shared" si="14"/>
        <v>#DIV/0!</v>
      </c>
      <c r="G57" s="2189" t="s">
        <v>141</v>
      </c>
      <c r="H57" s="2183">
        <f>IF(G57="商业",项目基本情况!B37,IF(G57="办公",项目基本情况!C37,IF(G57="住宅",项目基本情况!D37,项目基本情况!E37)))</f>
        <v>0</v>
      </c>
      <c r="I57" s="1771">
        <f>SUMIF(修正!A45:A56,H57,修正!G45:G56)</f>
        <v>0</v>
      </c>
      <c r="J57" s="1772"/>
      <c r="K57" s="2359"/>
      <c r="L57" s="1770"/>
      <c r="M57" s="1770"/>
      <c r="N57" s="1770"/>
      <c r="O57" s="1770"/>
    </row>
    <row r="58" spans="1:17" s="1100" customFormat="1">
      <c r="A58" s="1101" t="s">
        <v>501</v>
      </c>
      <c r="B58" s="594" t="e">
        <f t="shared" si="16"/>
        <v>#DIV/0!</v>
      </c>
      <c r="C58" s="532">
        <f t="shared" si="15"/>
        <v>0</v>
      </c>
      <c r="D58" s="2391">
        <v>0.25</v>
      </c>
      <c r="E58" s="593">
        <f>'数据-汇总表'!E13</f>
        <v>2390.3000000000002</v>
      </c>
      <c r="F58" s="1099" t="e">
        <f t="shared" si="14"/>
        <v>#DIV/0!</v>
      </c>
      <c r="G58" s="2189" t="s">
        <v>40</v>
      </c>
      <c r="H58" s="2183">
        <f>IF(G58="商业",项目基本情况!B37,IF(G58="办公",项目基本情况!C37,IF(G58="住宅",项目基本情况!D37,项目基本情况!E37)))</f>
        <v>0</v>
      </c>
      <c r="I58" s="1771">
        <f>SUMIF(修正!A45:A56,H58,修正!H45:H56)</f>
        <v>0</v>
      </c>
      <c r="J58" s="1772"/>
      <c r="K58" s="2358"/>
      <c r="L58" s="1770"/>
      <c r="M58" s="1770"/>
      <c r="N58" s="1770"/>
      <c r="O58" s="1770"/>
    </row>
    <row r="59" spans="1:17" s="1100" customFormat="1">
      <c r="A59" s="1101" t="s">
        <v>502</v>
      </c>
      <c r="B59" s="594" t="e">
        <f t="shared" si="16"/>
        <v>#DIV/0!</v>
      </c>
      <c r="C59" s="532">
        <f t="shared" si="15"/>
        <v>0</v>
      </c>
      <c r="D59" s="2391">
        <v>0.25</v>
      </c>
      <c r="E59" s="593">
        <f>'数据-汇总表'!E14</f>
        <v>0</v>
      </c>
      <c r="F59" s="1099" t="e">
        <f t="shared" si="14"/>
        <v>#DIV/0!</v>
      </c>
      <c r="G59" s="2195" t="s">
        <v>2326</v>
      </c>
      <c r="H59" s="2183">
        <f>项目基本情况!B37</f>
        <v>0</v>
      </c>
      <c r="I59" s="1771">
        <f>SUMIF(修正!A45:A56,H59,修正!H45:H56)</f>
        <v>0</v>
      </c>
      <c r="J59" s="1772"/>
      <c r="K59" s="2359"/>
      <c r="L59" s="1770"/>
      <c r="M59" s="1770"/>
      <c r="N59" s="1770"/>
      <c r="O59" s="1770"/>
    </row>
    <row r="60" spans="1:17" s="1100" customFormat="1" ht="15" thickBot="1">
      <c r="A60" s="1101" t="s">
        <v>503</v>
      </c>
      <c r="B60" s="594" t="e">
        <f t="shared" si="16"/>
        <v>#DIV/0!</v>
      </c>
      <c r="C60" s="532">
        <f t="shared" si="15"/>
        <v>0</v>
      </c>
      <c r="D60" s="2391">
        <v>0.25</v>
      </c>
      <c r="E60" s="593">
        <f>'数据-汇总表'!E15</f>
        <v>0</v>
      </c>
      <c r="F60" s="1099" t="e">
        <f t="shared" si="14"/>
        <v>#DIV/0!</v>
      </c>
      <c r="G60" s="2196" t="s">
        <v>2325</v>
      </c>
      <c r="H60" s="2197">
        <f>项目基本情况!C37</f>
        <v>0</v>
      </c>
      <c r="I60" s="1771">
        <f>SUMIF(修正!A45:A56,H60,修正!H45:H56)</f>
        <v>0</v>
      </c>
      <c r="J60" s="1772"/>
      <c r="K60" s="2358"/>
      <c r="L60" s="1770"/>
      <c r="M60" s="1770"/>
      <c r="N60" s="1770"/>
      <c r="O60" s="1770"/>
    </row>
    <row r="61" spans="1:17" s="1100" customFormat="1" ht="15" thickBot="1">
      <c r="A61" s="1103" t="s">
        <v>504</v>
      </c>
      <c r="B61" s="1104" t="s">
        <v>156</v>
      </c>
      <c r="C61" s="1104" t="s">
        <v>157</v>
      </c>
      <c r="D61" s="1104" t="s">
        <v>2331</v>
      </c>
      <c r="E61" s="1104">
        <f>IF(B41="楼面地价",SUM(E51:E60),'数据-汇总表'!D3)</f>
        <v>1218.83</v>
      </c>
      <c r="F61" s="1105" t="e">
        <f>IF(B41="楼面地价",SUM(F51:F60),ROUND(C43*E61/10000,0))</f>
        <v>#DIV/0!</v>
      </c>
      <c r="G61" s="2373"/>
      <c r="H61" s="2373"/>
      <c r="I61" s="2373"/>
      <c r="J61" s="2373"/>
      <c r="K61" s="2184"/>
      <c r="L61" s="1770"/>
      <c r="M61" s="1770"/>
      <c r="N61" s="1770"/>
      <c r="O61" s="1770"/>
    </row>
    <row r="62" spans="1:17">
      <c r="A62" s="2358"/>
      <c r="B62" s="2360"/>
      <c r="C62" s="2364"/>
      <c r="D62" s="2358"/>
      <c r="E62" s="2358"/>
      <c r="F62" s="2358"/>
      <c r="G62" s="2358"/>
      <c r="H62" s="2358"/>
      <c r="I62" s="2358"/>
      <c r="J62" s="2358"/>
      <c r="K62" s="2184"/>
      <c r="L62" s="2185"/>
      <c r="M62" s="2358"/>
      <c r="N62" s="2358"/>
      <c r="O62" s="2358"/>
    </row>
    <row r="63" spans="1:17">
      <c r="A63" s="2358"/>
      <c r="B63" s="2360"/>
      <c r="C63" s="1308" t="str">
        <f>YEAR(C7)&amp;"-"&amp;MONTH(C7)&amp;"-1"</f>
        <v>2017-8-1</v>
      </c>
      <c r="D63" s="1308">
        <f>EDATE(C63,-3)</f>
        <v>42856</v>
      </c>
      <c r="E63" s="1308">
        <f>EDATE(D63,-3)</f>
        <v>42767</v>
      </c>
      <c r="F63" s="1308">
        <f t="shared" ref="F63:O63" si="17">EDATE(E63,-3)</f>
        <v>42675</v>
      </c>
      <c r="G63" s="1308">
        <f t="shared" si="17"/>
        <v>42583</v>
      </c>
      <c r="H63" s="1308">
        <f t="shared" si="17"/>
        <v>42491</v>
      </c>
      <c r="I63" s="1308">
        <f t="shared" si="17"/>
        <v>42401</v>
      </c>
      <c r="J63" s="1308">
        <f t="shared" si="17"/>
        <v>42309</v>
      </c>
      <c r="K63" s="1308">
        <f t="shared" si="17"/>
        <v>42217</v>
      </c>
      <c r="L63" s="1308">
        <f t="shared" si="17"/>
        <v>42125</v>
      </c>
      <c r="M63" s="1308">
        <f t="shared" si="17"/>
        <v>42036</v>
      </c>
      <c r="N63" s="1308">
        <f t="shared" si="17"/>
        <v>41944</v>
      </c>
      <c r="O63" s="1308">
        <f t="shared" si="17"/>
        <v>41852</v>
      </c>
    </row>
    <row r="64" spans="1:17" ht="21.75" thickBot="1">
      <c r="A64" s="1310" t="s">
        <v>415</v>
      </c>
      <c r="B64" s="1306"/>
      <c r="C64" s="1311"/>
      <c r="D64" s="1311"/>
      <c r="E64" s="1311"/>
      <c r="F64" s="1312"/>
      <c r="G64" s="1312"/>
      <c r="H64" s="1311"/>
      <c r="I64" s="1311"/>
      <c r="J64" s="1311"/>
      <c r="K64" s="1313"/>
      <c r="L64" s="1314"/>
      <c r="M64" s="1311"/>
      <c r="N64" s="1311"/>
      <c r="O64" s="2374"/>
      <c r="P64" s="845"/>
      <c r="Q64" s="846"/>
    </row>
    <row r="65" spans="1:17" s="850" customFormat="1" ht="15">
      <c r="A65" s="2702" t="s">
        <v>2795</v>
      </c>
      <c r="B65" s="2703"/>
      <c r="C65" s="3033" t="str">
        <f>YEAR(C63)&amp;"-"&amp;ROUNDUP(MONTH(C63)/3,0)</f>
        <v>2017-3</v>
      </c>
      <c r="D65" s="3033" t="str">
        <f t="shared" ref="D65:O65" si="18">YEAR(D63)&amp;"-"&amp;ROUNDUP(MONTH(D63)/3,0)</f>
        <v>2017-2</v>
      </c>
      <c r="E65" s="3033" t="str">
        <f t="shared" si="18"/>
        <v>2017-1</v>
      </c>
      <c r="F65" s="3033" t="str">
        <f t="shared" si="18"/>
        <v>2016-4</v>
      </c>
      <c r="G65" s="3033" t="str">
        <f t="shared" si="18"/>
        <v>2016-3</v>
      </c>
      <c r="H65" s="3033" t="str">
        <f t="shared" si="18"/>
        <v>2016-2</v>
      </c>
      <c r="I65" s="3033" t="str">
        <f t="shared" si="18"/>
        <v>2016-1</v>
      </c>
      <c r="J65" s="3033" t="str">
        <f t="shared" si="18"/>
        <v>2015-4</v>
      </c>
      <c r="K65" s="3033" t="str">
        <f t="shared" si="18"/>
        <v>2015-3</v>
      </c>
      <c r="L65" s="3033" t="str">
        <f t="shared" si="18"/>
        <v>2015-2</v>
      </c>
      <c r="M65" s="3033" t="str">
        <f t="shared" si="18"/>
        <v>2015-1</v>
      </c>
      <c r="N65" s="3033" t="str">
        <f t="shared" si="18"/>
        <v>2014-4</v>
      </c>
      <c r="O65" s="3033" t="str">
        <f t="shared" si="18"/>
        <v>2014-3</v>
      </c>
      <c r="P65" s="849"/>
    </row>
    <row r="66" spans="1:17" s="407" customFormat="1" ht="30.75" customHeight="1">
      <c r="A66" s="3029" t="s">
        <v>2794</v>
      </c>
      <c r="B66" s="664" t="str">
        <f>"北京市平均增长率"&amp;TEXT(基准地价修正!P24,"0.00%")</f>
        <v>北京市平均增长率1.37%</v>
      </c>
      <c r="C66" s="945">
        <v>100</v>
      </c>
      <c r="D66" s="937"/>
      <c r="E66" s="937"/>
      <c r="F66" s="937"/>
      <c r="G66" s="937"/>
      <c r="H66" s="937"/>
      <c r="I66" s="937"/>
      <c r="J66" s="937"/>
      <c r="K66" s="937"/>
      <c r="L66" s="937"/>
      <c r="M66" s="3027"/>
      <c r="N66" s="3027"/>
      <c r="O66" s="3030"/>
      <c r="P66" s="846"/>
    </row>
    <row r="67" spans="1:17" s="407" customFormat="1" ht="15.75" thickBot="1">
      <c r="A67" s="857" t="s">
        <v>416</v>
      </c>
      <c r="B67" s="858"/>
      <c r="C67" s="859"/>
      <c r="D67" s="860"/>
      <c r="E67" s="860"/>
      <c r="F67" s="860"/>
      <c r="G67" s="860"/>
      <c r="H67" s="860"/>
      <c r="I67" s="860"/>
      <c r="J67" s="860"/>
      <c r="K67" s="860"/>
      <c r="L67" s="860"/>
      <c r="M67" s="861"/>
      <c r="N67" s="861"/>
      <c r="O67" s="862"/>
      <c r="P67" s="846"/>
      <c r="Q67" s="846"/>
    </row>
    <row r="68" spans="1:17" s="407" customFormat="1" ht="15">
      <c r="A68" s="863" t="s">
        <v>400</v>
      </c>
      <c r="B68" s="852"/>
      <c r="C68" s="864" t="s">
        <v>417</v>
      </c>
      <c r="D68" s="140"/>
      <c r="E68" s="140"/>
      <c r="F68" s="140"/>
      <c r="G68" s="140"/>
      <c r="H68" s="140"/>
      <c r="I68" s="140"/>
      <c r="J68" s="140"/>
      <c r="K68" s="140"/>
      <c r="L68" s="141"/>
      <c r="M68" s="1050"/>
      <c r="N68" s="2365"/>
      <c r="O68" s="2365"/>
      <c r="P68" s="868"/>
      <c r="Q68" s="846"/>
    </row>
    <row r="69" spans="1:17" s="407" customFormat="1" ht="15.75" thickBot="1">
      <c r="A69" s="863"/>
      <c r="B69" s="852"/>
      <c r="C69" s="981">
        <v>100</v>
      </c>
      <c r="D69" s="854"/>
      <c r="E69" s="854"/>
      <c r="F69" s="854"/>
      <c r="G69" s="854"/>
      <c r="H69" s="854"/>
      <c r="I69" s="854"/>
      <c r="J69" s="854"/>
      <c r="K69" s="854"/>
      <c r="L69" s="854"/>
      <c r="M69" s="856"/>
      <c r="N69" s="2365"/>
      <c r="O69" s="2365"/>
      <c r="P69" s="846"/>
      <c r="Q69" s="846"/>
    </row>
    <row r="70" spans="1:17">
      <c r="A70" s="869" t="s">
        <v>418</v>
      </c>
      <c r="B70" s="870" t="s">
        <v>419</v>
      </c>
      <c r="C70" s="122"/>
      <c r="D70" s="122"/>
      <c r="E70" s="122"/>
      <c r="F70" s="122"/>
      <c r="G70" s="122"/>
      <c r="H70" s="122"/>
      <c r="I70" s="122"/>
      <c r="J70" s="122"/>
      <c r="K70" s="123"/>
      <c r="L70" s="124"/>
      <c r="M70" s="125"/>
      <c r="N70" s="2366"/>
      <c r="O70" s="2366"/>
      <c r="P70" s="334"/>
      <c r="Q70" s="846"/>
    </row>
    <row r="71" spans="1:17" ht="15.75" thickBot="1">
      <c r="A71" s="876"/>
      <c r="B71" s="877"/>
      <c r="C71" s="878"/>
      <c r="D71" s="878"/>
      <c r="E71" s="878"/>
      <c r="F71" s="878"/>
      <c r="G71" s="878"/>
      <c r="H71" s="878"/>
      <c r="I71" s="878"/>
      <c r="J71" s="878"/>
      <c r="K71" s="878"/>
      <c r="L71" s="878"/>
      <c r="M71" s="879"/>
      <c r="N71" s="2367"/>
      <c r="O71" s="2367"/>
      <c r="P71" s="334"/>
      <c r="Q71" s="846"/>
    </row>
    <row r="72" spans="1:17" ht="27.75" thickTop="1">
      <c r="A72" s="876"/>
      <c r="B72" s="880" t="s">
        <v>404</v>
      </c>
      <c r="C72" s="881"/>
      <c r="D72" s="881"/>
      <c r="E72" s="881"/>
      <c r="F72" s="881"/>
      <c r="G72" s="881"/>
      <c r="H72" s="881"/>
      <c r="I72" s="881"/>
      <c r="J72" s="881"/>
      <c r="K72" s="882"/>
      <c r="L72" s="883"/>
      <c r="M72" s="884"/>
      <c r="N72" s="2366"/>
      <c r="O72" s="2366"/>
      <c r="P72" s="334"/>
      <c r="Q72" s="846"/>
    </row>
    <row r="73" spans="1:17" ht="15.75" thickBot="1">
      <c r="A73" s="876"/>
      <c r="B73" s="885"/>
      <c r="C73" s="886"/>
      <c r="D73" s="886"/>
      <c r="E73" s="886"/>
      <c r="F73" s="886"/>
      <c r="G73" s="886"/>
      <c r="H73" s="886"/>
      <c r="I73" s="886"/>
      <c r="J73" s="886"/>
      <c r="K73" s="886"/>
      <c r="L73" s="886"/>
      <c r="M73" s="887"/>
      <c r="N73" s="2367"/>
      <c r="O73" s="2367"/>
      <c r="P73" s="334"/>
      <c r="Q73" s="846"/>
    </row>
    <row r="74" spans="1:17" ht="15.75" thickTop="1">
      <c r="A74" s="876"/>
      <c r="B74" s="1055" t="s">
        <v>93</v>
      </c>
      <c r="C74" s="889" t="str">
        <f>C75&amp;"（含）"&amp;"-"&amp;D75</f>
        <v>（含）-</v>
      </c>
      <c r="D74" s="889" t="str">
        <f t="shared" ref="D74:L74" si="19">D75&amp;"（含）"&amp;"-"&amp;E75</f>
        <v>（含）-</v>
      </c>
      <c r="E74" s="889" t="str">
        <f t="shared" si="19"/>
        <v>（含）-</v>
      </c>
      <c r="F74" s="889" t="str">
        <f t="shared" si="19"/>
        <v>（含）-</v>
      </c>
      <c r="G74" s="889" t="str">
        <f t="shared" si="19"/>
        <v>（含）-</v>
      </c>
      <c r="H74" s="889" t="str">
        <f t="shared" si="19"/>
        <v>（含）-</v>
      </c>
      <c r="I74" s="889" t="str">
        <f t="shared" si="19"/>
        <v>（含）-</v>
      </c>
      <c r="J74" s="889" t="str">
        <f t="shared" si="19"/>
        <v>（含）-</v>
      </c>
      <c r="K74" s="889" t="str">
        <f t="shared" si="19"/>
        <v>（含）-</v>
      </c>
      <c r="L74" s="889" t="str">
        <f t="shared" si="19"/>
        <v>（含）-</v>
      </c>
      <c r="M74" s="790" t="str">
        <f>M75&amp;"（含）"&amp;"-"&amp;P75</f>
        <v>（含）-</v>
      </c>
      <c r="N74" s="2367"/>
      <c r="O74" s="2367"/>
      <c r="P74" s="334"/>
      <c r="Q74" s="846"/>
    </row>
    <row r="75" spans="1:17" ht="15">
      <c r="A75" s="876"/>
      <c r="B75" s="1056"/>
      <c r="C75" s="891"/>
      <c r="D75" s="891"/>
      <c r="E75" s="891"/>
      <c r="F75" s="891"/>
      <c r="G75" s="891"/>
      <c r="H75" s="891"/>
      <c r="I75" s="891"/>
      <c r="J75" s="891"/>
      <c r="K75" s="892"/>
      <c r="L75" s="893"/>
      <c r="M75" s="894"/>
      <c r="N75" s="2366"/>
      <c r="O75" s="2366"/>
      <c r="P75" s="334"/>
      <c r="Q75" s="846"/>
    </row>
    <row r="76" spans="1:17" ht="15.75" thickBot="1">
      <c r="A76" s="876"/>
      <c r="B76" s="1052"/>
      <c r="C76" s="886">
        <v>100</v>
      </c>
      <c r="D76" s="886">
        <f>IF($B$41="单位面积地价",C76+$K11,C76-$K11)</f>
        <v>100</v>
      </c>
      <c r="E76" s="886">
        <f t="shared" ref="E76:M76" si="20">IF($B$41="单位面积地价",D76+$K11,D76-$K11)</f>
        <v>100</v>
      </c>
      <c r="F76" s="886">
        <f t="shared" si="20"/>
        <v>100</v>
      </c>
      <c r="G76" s="886">
        <f t="shared" si="20"/>
        <v>100</v>
      </c>
      <c r="H76" s="886">
        <f t="shared" si="20"/>
        <v>100</v>
      </c>
      <c r="I76" s="886">
        <f t="shared" si="20"/>
        <v>100</v>
      </c>
      <c r="J76" s="886">
        <f t="shared" si="20"/>
        <v>100</v>
      </c>
      <c r="K76" s="886">
        <f t="shared" si="20"/>
        <v>100</v>
      </c>
      <c r="L76" s="886">
        <f t="shared" si="20"/>
        <v>100</v>
      </c>
      <c r="M76" s="886">
        <f t="shared" si="20"/>
        <v>100</v>
      </c>
      <c r="N76" s="2367"/>
      <c r="O76" s="2367"/>
      <c r="P76" s="334"/>
      <c r="Q76" s="846"/>
    </row>
    <row r="77" spans="1:17" s="813" customFormat="1" ht="15.75" thickTop="1">
      <c r="A77" s="895"/>
      <c r="B77" s="1053">
        <f>B12</f>
        <v>111</v>
      </c>
      <c r="C77" s="139"/>
      <c r="D77" s="139"/>
      <c r="E77" s="139"/>
      <c r="F77" s="139"/>
      <c r="G77" s="139"/>
      <c r="H77" s="1058"/>
      <c r="I77" s="1058"/>
      <c r="J77" s="1058"/>
      <c r="K77" s="1058"/>
      <c r="L77" s="1059"/>
      <c r="M77" s="1060"/>
      <c r="N77" s="2368"/>
      <c r="O77" s="2368"/>
      <c r="P77" s="900"/>
      <c r="Q77" s="901"/>
    </row>
    <row r="78" spans="1:17" s="813" customFormat="1" ht="15.75" thickBot="1">
      <c r="A78" s="895"/>
      <c r="B78" s="1054"/>
      <c r="C78" s="902"/>
      <c r="D78" s="878"/>
      <c r="E78" s="878"/>
      <c r="F78" s="878"/>
      <c r="G78" s="878"/>
      <c r="H78" s="878"/>
      <c r="I78" s="878"/>
      <c r="J78" s="878"/>
      <c r="K78" s="878"/>
      <c r="L78" s="878"/>
      <c r="M78" s="879"/>
      <c r="N78" s="2367"/>
      <c r="O78" s="2367"/>
      <c r="P78" s="900"/>
      <c r="Q78" s="901"/>
    </row>
    <row r="79" spans="1:17" s="813" customFormat="1" ht="15.75" thickTop="1">
      <c r="A79" s="895"/>
      <c r="B79" s="1053">
        <f>B13</f>
        <v>111</v>
      </c>
      <c r="C79" s="139"/>
      <c r="D79" s="139"/>
      <c r="E79" s="139"/>
      <c r="F79" s="139"/>
      <c r="G79" s="139"/>
      <c r="H79" s="1058"/>
      <c r="I79" s="1058"/>
      <c r="J79" s="1058"/>
      <c r="K79" s="1058"/>
      <c r="L79" s="1059"/>
      <c r="M79" s="1060"/>
      <c r="N79" s="2368"/>
      <c r="O79" s="2368"/>
      <c r="P79" s="812"/>
      <c r="Q79" s="903"/>
    </row>
    <row r="80" spans="1:17" s="813" customFormat="1" ht="15.75" thickBot="1">
      <c r="A80" s="895"/>
      <c r="B80" s="1054"/>
      <c r="C80" s="902"/>
      <c r="D80" s="902"/>
      <c r="E80" s="902"/>
      <c r="F80" s="902"/>
      <c r="G80" s="902"/>
      <c r="H80" s="904"/>
      <c r="I80" s="904"/>
      <c r="J80" s="904"/>
      <c r="K80" s="904"/>
      <c r="L80" s="904"/>
      <c r="M80" s="905"/>
      <c r="N80" s="2368"/>
      <c r="O80" s="2368"/>
      <c r="P80" s="900"/>
      <c r="Q80" s="901"/>
    </row>
    <row r="81" spans="1:17" s="813" customFormat="1" ht="15.75" thickTop="1">
      <c r="A81" s="895"/>
      <c r="B81" s="1055">
        <f>B14</f>
        <v>111</v>
      </c>
      <c r="C81" s="140"/>
      <c r="D81" s="140"/>
      <c r="E81" s="140"/>
      <c r="F81" s="140"/>
      <c r="G81" s="140"/>
      <c r="H81" s="1065"/>
      <c r="I81" s="1065"/>
      <c r="J81" s="1065"/>
      <c r="K81" s="1065"/>
      <c r="L81" s="1066"/>
      <c r="M81" s="1067"/>
      <c r="N81" s="2368"/>
      <c r="O81" s="2368"/>
      <c r="P81" s="909"/>
      <c r="Q81" s="901"/>
    </row>
    <row r="82" spans="1:17" s="813" customFormat="1" ht="15.75" thickBot="1">
      <c r="A82" s="910"/>
      <c r="B82" s="1070"/>
      <c r="C82" s="912"/>
      <c r="D82" s="912"/>
      <c r="E82" s="912"/>
      <c r="F82" s="912"/>
      <c r="G82" s="912"/>
      <c r="H82" s="913"/>
      <c r="I82" s="913"/>
      <c r="J82" s="913"/>
      <c r="K82" s="913"/>
      <c r="L82" s="913"/>
      <c r="M82" s="914"/>
      <c r="N82" s="2368"/>
      <c r="O82" s="2368"/>
      <c r="P82" s="900"/>
      <c r="Q82" s="901"/>
    </row>
    <row r="83" spans="1:17">
      <c r="A83" s="869" t="s">
        <v>406</v>
      </c>
      <c r="B83" s="286" t="s">
        <v>159</v>
      </c>
      <c r="C83" s="915" t="s">
        <v>425</v>
      </c>
      <c r="D83" s="915" t="s">
        <v>426</v>
      </c>
      <c r="E83" s="915" t="s">
        <v>427</v>
      </c>
      <c r="F83" s="915" t="s">
        <v>428</v>
      </c>
      <c r="G83" s="915" t="s">
        <v>429</v>
      </c>
      <c r="H83" s="871"/>
      <c r="I83" s="871"/>
      <c r="J83" s="871"/>
      <c r="K83" s="916"/>
      <c r="L83" s="917"/>
      <c r="M83" s="918"/>
      <c r="N83" s="2366"/>
      <c r="O83" s="2366"/>
      <c r="P83" s="919"/>
      <c r="Q83" s="846"/>
    </row>
    <row r="84" spans="1:17" ht="15.75" thickBot="1">
      <c r="A84" s="876"/>
      <c r="B84" s="1054"/>
      <c r="C84" s="886">
        <v>100</v>
      </c>
      <c r="D84" s="886">
        <f>C84-$K15</f>
        <v>100</v>
      </c>
      <c r="E84" s="886">
        <f>D84-$K15</f>
        <v>100</v>
      </c>
      <c r="F84" s="886">
        <f>E84-$K15</f>
        <v>100</v>
      </c>
      <c r="G84" s="886">
        <f>F84-$K15</f>
        <v>100</v>
      </c>
      <c r="H84" s="886"/>
      <c r="I84" s="886"/>
      <c r="J84" s="886"/>
      <c r="K84" s="886"/>
      <c r="L84" s="886"/>
      <c r="M84" s="887"/>
      <c r="N84" s="2367"/>
      <c r="O84" s="2367"/>
      <c r="P84" s="334"/>
      <c r="Q84" s="846"/>
    </row>
    <row r="85" spans="1:17" ht="15.75" thickTop="1">
      <c r="A85" s="876"/>
      <c r="B85" s="1053" t="s">
        <v>92</v>
      </c>
      <c r="C85" s="920" t="s">
        <v>425</v>
      </c>
      <c r="D85" s="920" t="s">
        <v>426</v>
      </c>
      <c r="E85" s="920" t="s">
        <v>427</v>
      </c>
      <c r="F85" s="920" t="s">
        <v>428</v>
      </c>
      <c r="G85" s="920" t="s">
        <v>429</v>
      </c>
      <c r="H85" s="881"/>
      <c r="I85" s="881"/>
      <c r="J85" s="881"/>
      <c r="K85" s="882"/>
      <c r="L85" s="883"/>
      <c r="M85" s="884"/>
      <c r="N85" s="2366"/>
      <c r="O85" s="2366"/>
      <c r="P85" s="334"/>
      <c r="Q85" s="846"/>
    </row>
    <row r="86" spans="1:17" ht="15.75" thickBot="1">
      <c r="A86" s="876"/>
      <c r="B86" s="1054"/>
      <c r="C86" s="886">
        <v>100</v>
      </c>
      <c r="D86" s="886">
        <f>C86-$K17</f>
        <v>100</v>
      </c>
      <c r="E86" s="886">
        <f>D86-$K17</f>
        <v>100</v>
      </c>
      <c r="F86" s="886">
        <f>E86-$K17</f>
        <v>100</v>
      </c>
      <c r="G86" s="886">
        <f>F86-$K17</f>
        <v>100</v>
      </c>
      <c r="H86" s="886"/>
      <c r="I86" s="886"/>
      <c r="J86" s="886"/>
      <c r="K86" s="886"/>
      <c r="L86" s="886"/>
      <c r="M86" s="887"/>
      <c r="N86" s="2367"/>
      <c r="O86" s="2367"/>
      <c r="P86" s="334"/>
      <c r="Q86" s="846"/>
    </row>
    <row r="87" spans="1:17" s="407" customFormat="1" ht="27.75" thickTop="1">
      <c r="A87" s="921"/>
      <c r="B87" s="1053" t="s">
        <v>109</v>
      </c>
      <c r="C87" s="915" t="s">
        <v>425</v>
      </c>
      <c r="D87" s="915" t="s">
        <v>426</v>
      </c>
      <c r="E87" s="915" t="s">
        <v>427</v>
      </c>
      <c r="F87" s="915" t="s">
        <v>428</v>
      </c>
      <c r="G87" s="915" t="s">
        <v>429</v>
      </c>
      <c r="H87" s="920"/>
      <c r="I87" s="920"/>
      <c r="J87" s="920"/>
      <c r="K87" s="920"/>
      <c r="L87" s="1106"/>
      <c r="M87" s="964"/>
      <c r="N87" s="2365"/>
      <c r="O87" s="2365"/>
      <c r="P87" s="334"/>
      <c r="Q87" s="846"/>
    </row>
    <row r="88" spans="1:17" s="407" customFormat="1" ht="15.75" thickBot="1">
      <c r="A88" s="921"/>
      <c r="B88" s="1054"/>
      <c r="C88" s="924">
        <v>100</v>
      </c>
      <c r="D88" s="886">
        <f>C88-$K19</f>
        <v>100</v>
      </c>
      <c r="E88" s="886">
        <f>D88-$K19</f>
        <v>100</v>
      </c>
      <c r="F88" s="886">
        <f>E88-$K19</f>
        <v>100</v>
      </c>
      <c r="G88" s="886">
        <f>F88-$K19</f>
        <v>100</v>
      </c>
      <c r="H88" s="886"/>
      <c r="I88" s="886"/>
      <c r="J88" s="886"/>
      <c r="K88" s="886"/>
      <c r="L88" s="886"/>
      <c r="M88" s="887"/>
      <c r="N88" s="2367"/>
      <c r="O88" s="2367"/>
      <c r="P88" s="334"/>
      <c r="Q88" s="846"/>
    </row>
    <row r="89" spans="1:17" s="407" customFormat="1" ht="27.75" thickTop="1">
      <c r="A89" s="921"/>
      <c r="B89" s="1053" t="s">
        <v>154</v>
      </c>
      <c r="C89" s="915" t="s">
        <v>425</v>
      </c>
      <c r="D89" s="915" t="s">
        <v>426</v>
      </c>
      <c r="E89" s="915" t="s">
        <v>427</v>
      </c>
      <c r="F89" s="915" t="s">
        <v>428</v>
      </c>
      <c r="G89" s="915" t="s">
        <v>429</v>
      </c>
      <c r="H89" s="920"/>
      <c r="I89" s="920"/>
      <c r="J89" s="920"/>
      <c r="K89" s="920"/>
      <c r="L89" s="920"/>
      <c r="M89" s="964"/>
      <c r="N89" s="2365"/>
      <c r="O89" s="2365"/>
      <c r="P89" s="334"/>
      <c r="Q89" s="846"/>
    </row>
    <row r="90" spans="1:17" s="407" customFormat="1" ht="15.75" thickBot="1">
      <c r="A90" s="921"/>
      <c r="B90" s="1054"/>
      <c r="C90" s="886">
        <v>100</v>
      </c>
      <c r="D90" s="886">
        <f>C90-$K21</f>
        <v>100</v>
      </c>
      <c r="E90" s="886">
        <f>D90-$K21</f>
        <v>100</v>
      </c>
      <c r="F90" s="886">
        <f>E90-$K21</f>
        <v>100</v>
      </c>
      <c r="G90" s="886">
        <f>F90-$K21</f>
        <v>100</v>
      </c>
      <c r="H90" s="886"/>
      <c r="I90" s="886"/>
      <c r="J90" s="886"/>
      <c r="K90" s="886"/>
      <c r="L90" s="886"/>
      <c r="M90" s="887"/>
      <c r="N90" s="2367"/>
      <c r="O90" s="2367"/>
      <c r="P90" s="334"/>
      <c r="Q90" s="846"/>
    </row>
    <row r="91" spans="1:17" s="813" customFormat="1" ht="15.75" thickTop="1">
      <c r="A91" s="895"/>
      <c r="B91" s="1053" t="s">
        <v>2673</v>
      </c>
      <c r="C91" s="915" t="s">
        <v>425</v>
      </c>
      <c r="D91" s="915" t="s">
        <v>426</v>
      </c>
      <c r="E91" s="915" t="s">
        <v>427</v>
      </c>
      <c r="F91" s="915" t="s">
        <v>428</v>
      </c>
      <c r="G91" s="915" t="s">
        <v>429</v>
      </c>
      <c r="H91" s="942"/>
      <c r="I91" s="942"/>
      <c r="J91" s="942"/>
      <c r="K91" s="942"/>
      <c r="L91" s="943"/>
      <c r="M91" s="944"/>
      <c r="N91" s="2368"/>
      <c r="O91" s="2368"/>
      <c r="P91" s="900"/>
      <c r="Q91" s="901"/>
    </row>
    <row r="92" spans="1:17" s="813" customFormat="1" ht="15.75" thickBot="1">
      <c r="A92" s="895"/>
      <c r="B92" s="1054"/>
      <c r="C92" s="886">
        <v>100</v>
      </c>
      <c r="D92" s="886">
        <f>C92-$K23</f>
        <v>100</v>
      </c>
      <c r="E92" s="886">
        <f>D92-$K23</f>
        <v>100</v>
      </c>
      <c r="F92" s="886">
        <f>E92-$K23</f>
        <v>100</v>
      </c>
      <c r="G92" s="886">
        <f>F92-$K23</f>
        <v>100</v>
      </c>
      <c r="H92" s="949"/>
      <c r="I92" s="949"/>
      <c r="J92" s="949"/>
      <c r="K92" s="949"/>
      <c r="L92" s="949"/>
      <c r="M92" s="950"/>
      <c r="N92" s="2368"/>
      <c r="O92" s="2368"/>
      <c r="P92" s="900"/>
      <c r="Q92" s="901"/>
    </row>
    <row r="93" spans="1:17" s="813" customFormat="1" ht="15.75" thickTop="1">
      <c r="A93" s="895"/>
      <c r="B93" s="1055" t="s">
        <v>2675</v>
      </c>
      <c r="C93" s="213" t="s">
        <v>2661</v>
      </c>
      <c r="D93" s="213" t="s">
        <v>2662</v>
      </c>
      <c r="E93" s="213" t="s">
        <v>2663</v>
      </c>
      <c r="F93" s="213" t="s">
        <v>2664</v>
      </c>
      <c r="G93" s="213" t="s">
        <v>2665</v>
      </c>
      <c r="H93" s="942"/>
      <c r="I93" s="942"/>
      <c r="J93" s="942"/>
      <c r="K93" s="942"/>
      <c r="L93" s="942"/>
      <c r="M93" s="944"/>
      <c r="N93" s="2368"/>
      <c r="O93" s="2368"/>
      <c r="P93" s="900"/>
      <c r="Q93" s="901"/>
    </row>
    <row r="94" spans="1:17" s="813" customFormat="1" ht="15.75" thickBot="1">
      <c r="A94" s="895"/>
      <c r="B94" s="1055"/>
      <c r="C94" s="886">
        <v>100</v>
      </c>
      <c r="D94" s="886">
        <f>C94-$K25</f>
        <v>100</v>
      </c>
      <c r="E94" s="886">
        <f>D94-$K25</f>
        <v>100</v>
      </c>
      <c r="F94" s="886">
        <f>E94-$K25</f>
        <v>100</v>
      </c>
      <c r="G94" s="886">
        <f>F94-$K25</f>
        <v>100</v>
      </c>
      <c r="H94" s="890"/>
      <c r="I94" s="890"/>
      <c r="J94" s="890"/>
      <c r="K94" s="890"/>
      <c r="L94" s="890"/>
      <c r="M94" s="2766"/>
      <c r="N94" s="2368"/>
      <c r="O94" s="2368"/>
      <c r="P94" s="900"/>
      <c r="Q94" s="901"/>
    </row>
    <row r="95" spans="1:17" ht="15.75" thickTop="1">
      <c r="A95" s="876"/>
      <c r="B95" s="1053" t="str">
        <f>B27</f>
        <v>临街状况</v>
      </c>
      <c r="C95" s="881" t="s">
        <v>508</v>
      </c>
      <c r="D95" s="881" t="s">
        <v>509</v>
      </c>
      <c r="E95" s="881" t="s">
        <v>510</v>
      </c>
      <c r="F95" s="881" t="s">
        <v>511</v>
      </c>
      <c r="G95" s="881"/>
      <c r="H95" s="881"/>
      <c r="I95" s="881"/>
      <c r="J95" s="881"/>
      <c r="K95" s="882"/>
      <c r="L95" s="883"/>
      <c r="M95" s="884"/>
      <c r="N95" s="2366"/>
      <c r="O95" s="2366"/>
      <c r="P95" s="334"/>
      <c r="Q95" s="846"/>
    </row>
    <row r="96" spans="1:17" ht="15.75" thickBot="1">
      <c r="A96" s="876"/>
      <c r="B96" s="1054"/>
      <c r="C96" s="886">
        <v>100</v>
      </c>
      <c r="D96" s="886">
        <f t="shared" ref="D96:M96" si="21">C96-$K27</f>
        <v>100</v>
      </c>
      <c r="E96" s="886">
        <f t="shared" si="21"/>
        <v>100</v>
      </c>
      <c r="F96" s="886">
        <f t="shared" si="21"/>
        <v>100</v>
      </c>
      <c r="G96" s="886">
        <f t="shared" si="21"/>
        <v>100</v>
      </c>
      <c r="H96" s="886">
        <f t="shared" si="21"/>
        <v>100</v>
      </c>
      <c r="I96" s="886">
        <f t="shared" si="21"/>
        <v>100</v>
      </c>
      <c r="J96" s="886">
        <f t="shared" si="21"/>
        <v>100</v>
      </c>
      <c r="K96" s="886">
        <f t="shared" si="21"/>
        <v>100</v>
      </c>
      <c r="L96" s="886">
        <f t="shared" si="21"/>
        <v>100</v>
      </c>
      <c r="M96" s="886">
        <f t="shared" si="21"/>
        <v>100</v>
      </c>
      <c r="N96" s="2367"/>
      <c r="O96" s="2367"/>
      <c r="P96" s="334"/>
      <c r="Q96" s="846"/>
    </row>
    <row r="97" spans="1:17" ht="27.75" thickTop="1">
      <c r="A97" s="876"/>
      <c r="B97" s="1053" t="s">
        <v>144</v>
      </c>
      <c r="C97" s="139"/>
      <c r="D97" s="139"/>
      <c r="E97" s="139"/>
      <c r="F97" s="139"/>
      <c r="G97" s="139"/>
      <c r="H97" s="131"/>
      <c r="I97" s="131"/>
      <c r="J97" s="131"/>
      <c r="K97" s="132"/>
      <c r="L97" s="133"/>
      <c r="M97" s="134"/>
      <c r="N97" s="2366"/>
      <c r="O97" s="2366"/>
      <c r="P97" s="334"/>
      <c r="Q97" s="846"/>
    </row>
    <row r="98" spans="1:17" ht="15.75" thickBot="1">
      <c r="A98" s="876"/>
      <c r="B98" s="1054"/>
      <c r="C98" s="886">
        <v>100</v>
      </c>
      <c r="D98" s="886">
        <f t="shared" ref="D98:M98" si="22">C98-$K28</f>
        <v>100</v>
      </c>
      <c r="E98" s="886">
        <f t="shared" si="22"/>
        <v>100</v>
      </c>
      <c r="F98" s="886">
        <f t="shared" si="22"/>
        <v>100</v>
      </c>
      <c r="G98" s="886">
        <f t="shared" si="22"/>
        <v>100</v>
      </c>
      <c r="H98" s="886">
        <f t="shared" si="22"/>
        <v>100</v>
      </c>
      <c r="I98" s="886">
        <f t="shared" si="22"/>
        <v>100</v>
      </c>
      <c r="J98" s="886">
        <f t="shared" si="22"/>
        <v>100</v>
      </c>
      <c r="K98" s="886">
        <f t="shared" si="22"/>
        <v>100</v>
      </c>
      <c r="L98" s="886">
        <f t="shared" si="22"/>
        <v>100</v>
      </c>
      <c r="M98" s="886">
        <f t="shared" si="22"/>
        <v>100</v>
      </c>
      <c r="N98" s="2367"/>
      <c r="O98" s="2367"/>
      <c r="P98" s="334"/>
      <c r="Q98" s="846"/>
    </row>
    <row r="99" spans="1:17" ht="15.75" thickTop="1">
      <c r="A99" s="876"/>
      <c r="B99" s="1053" t="s">
        <v>153</v>
      </c>
      <c r="C99" s="925"/>
      <c r="D99" s="925"/>
      <c r="E99" s="925"/>
      <c r="F99" s="925"/>
      <c r="G99" s="925"/>
      <c r="H99" s="925"/>
      <c r="I99" s="925"/>
      <c r="J99" s="925"/>
      <c r="K99" s="926"/>
      <c r="L99" s="927"/>
      <c r="M99" s="928"/>
      <c r="N99" s="2366"/>
      <c r="O99" s="2366"/>
      <c r="P99" s="334"/>
      <c r="Q99" s="846"/>
    </row>
    <row r="100" spans="1:17" ht="15.75" thickBot="1">
      <c r="A100" s="876"/>
      <c r="B100" s="1054"/>
      <c r="C100" s="886">
        <v>100</v>
      </c>
      <c r="D100" s="886">
        <f t="shared" ref="D100:M100" si="23">C100-$K30</f>
        <v>100</v>
      </c>
      <c r="E100" s="886">
        <f t="shared" si="23"/>
        <v>100</v>
      </c>
      <c r="F100" s="886">
        <f t="shared" si="23"/>
        <v>100</v>
      </c>
      <c r="G100" s="886">
        <f t="shared" si="23"/>
        <v>100</v>
      </c>
      <c r="H100" s="886">
        <f t="shared" si="23"/>
        <v>100</v>
      </c>
      <c r="I100" s="886">
        <f t="shared" si="23"/>
        <v>100</v>
      </c>
      <c r="J100" s="886">
        <f t="shared" si="23"/>
        <v>100</v>
      </c>
      <c r="K100" s="886">
        <f t="shared" si="23"/>
        <v>100</v>
      </c>
      <c r="L100" s="886">
        <f t="shared" si="23"/>
        <v>100</v>
      </c>
      <c r="M100" s="886">
        <f t="shared" si="23"/>
        <v>100</v>
      </c>
      <c r="N100" s="2367"/>
      <c r="O100" s="2367"/>
      <c r="P100" s="334"/>
      <c r="Q100" s="846"/>
    </row>
    <row r="101" spans="1:17" ht="15.75" thickTop="1">
      <c r="A101" s="876"/>
      <c r="B101" s="1055">
        <f>B31</f>
        <v>111</v>
      </c>
      <c r="C101" s="139"/>
      <c r="D101" s="139"/>
      <c r="E101" s="139"/>
      <c r="F101" s="139"/>
      <c r="G101" s="135"/>
      <c r="H101" s="135"/>
      <c r="I101" s="135"/>
      <c r="J101" s="135"/>
      <c r="K101" s="136"/>
      <c r="L101" s="137"/>
      <c r="M101" s="138"/>
      <c r="N101" s="2366"/>
      <c r="O101" s="2366"/>
      <c r="P101" s="334"/>
      <c r="Q101" s="846"/>
    </row>
    <row r="102" spans="1:17" ht="15.75" thickBot="1">
      <c r="A102" s="876"/>
      <c r="B102" s="1070"/>
      <c r="C102" s="902"/>
      <c r="D102" s="878"/>
      <c r="E102" s="878"/>
      <c r="F102" s="878"/>
      <c r="G102" s="933"/>
      <c r="H102" s="933"/>
      <c r="I102" s="933"/>
      <c r="J102" s="933"/>
      <c r="K102" s="933"/>
      <c r="L102" s="933"/>
      <c r="M102" s="934"/>
      <c r="N102" s="2367"/>
      <c r="O102" s="2367"/>
      <c r="P102" s="334"/>
      <c r="Q102" s="846"/>
    </row>
    <row r="103" spans="1:17" ht="15" thickTop="1">
      <c r="A103" s="1083"/>
      <c r="B103" s="1053">
        <f>B32</f>
        <v>111</v>
      </c>
      <c r="C103" s="139"/>
      <c r="D103" s="139"/>
      <c r="E103" s="139"/>
      <c r="F103" s="139"/>
      <c r="G103" s="131"/>
      <c r="H103" s="131"/>
      <c r="I103" s="131"/>
      <c r="J103" s="131"/>
      <c r="K103" s="132"/>
      <c r="L103" s="133"/>
      <c r="M103" s="134"/>
      <c r="N103" s="2366"/>
      <c r="O103" s="2366"/>
      <c r="P103" s="334"/>
      <c r="Q103" s="846"/>
    </row>
    <row r="104" spans="1:17" ht="15.75" thickBot="1">
      <c r="A104" s="876"/>
      <c r="B104" s="1054"/>
      <c r="C104" s="902"/>
      <c r="D104" s="902"/>
      <c r="E104" s="902"/>
      <c r="F104" s="902"/>
      <c r="G104" s="878"/>
      <c r="H104" s="878"/>
      <c r="I104" s="878"/>
      <c r="J104" s="878"/>
      <c r="K104" s="878"/>
      <c r="L104" s="878"/>
      <c r="M104" s="879"/>
      <c r="N104" s="2367"/>
      <c r="O104" s="2367"/>
      <c r="P104" s="334"/>
      <c r="Q104" s="846"/>
    </row>
    <row r="105" spans="1:17" s="813" customFormat="1" ht="15" thickTop="1">
      <c r="A105" s="935"/>
      <c r="B105" s="1073">
        <f>B33</f>
        <v>111</v>
      </c>
      <c r="C105" s="140"/>
      <c r="D105" s="140"/>
      <c r="E105" s="140"/>
      <c r="F105" s="140"/>
      <c r="G105" s="1074"/>
      <c r="H105" s="1074"/>
      <c r="I105" s="1074"/>
      <c r="J105" s="1075"/>
      <c r="K105" s="1075"/>
      <c r="L105" s="1076"/>
      <c r="M105" s="1077"/>
      <c r="N105" s="2368"/>
      <c r="O105" s="2368"/>
      <c r="P105" s="900"/>
      <c r="Q105" s="901"/>
    </row>
    <row r="106" spans="1:17" s="813" customFormat="1" ht="15.75" thickBot="1">
      <c r="A106" s="895"/>
      <c r="B106" s="1055"/>
      <c r="C106" s="912"/>
      <c r="D106" s="912"/>
      <c r="E106" s="912"/>
      <c r="F106" s="912"/>
      <c r="G106" s="1085"/>
      <c r="H106" s="1085"/>
      <c r="I106" s="1085"/>
      <c r="J106" s="1085"/>
      <c r="K106" s="1085"/>
      <c r="L106" s="1085"/>
      <c r="M106" s="1107"/>
      <c r="N106" s="2367"/>
      <c r="O106" s="2367"/>
      <c r="P106" s="900"/>
      <c r="Q106" s="901"/>
    </row>
    <row r="107" spans="1:17">
      <c r="A107" s="869" t="s">
        <v>408</v>
      </c>
      <c r="B107" s="286" t="s">
        <v>87</v>
      </c>
      <c r="C107" s="871" t="str">
        <f t="shared" ref="C107:L107" si="24">C108&amp;"(含)"&amp;"-"&amp;D108</f>
        <v>(含)-</v>
      </c>
      <c r="D107" s="871" t="str">
        <f t="shared" si="24"/>
        <v>(含)-</v>
      </c>
      <c r="E107" s="871" t="str">
        <f t="shared" si="24"/>
        <v>(含)-</v>
      </c>
      <c r="F107" s="871" t="str">
        <f t="shared" si="24"/>
        <v>(含)-</v>
      </c>
      <c r="G107" s="871" t="str">
        <f t="shared" si="24"/>
        <v>(含)-</v>
      </c>
      <c r="H107" s="871" t="str">
        <f t="shared" si="24"/>
        <v>(含)-</v>
      </c>
      <c r="I107" s="871" t="str">
        <f t="shared" si="24"/>
        <v>(含)-</v>
      </c>
      <c r="J107" s="871" t="str">
        <f t="shared" si="24"/>
        <v>(含)-</v>
      </c>
      <c r="K107" s="3296" t="str">
        <f t="shared" si="24"/>
        <v>(含)-</v>
      </c>
      <c r="L107" s="3296" t="str">
        <f t="shared" si="24"/>
        <v>(含)-</v>
      </c>
      <c r="M107" s="3297" t="str">
        <f>M108&amp;"(含)"&amp;"-"&amp;P108</f>
        <v>(含)-</v>
      </c>
      <c r="N107" s="2366"/>
      <c r="O107" s="2366"/>
      <c r="P107" s="334"/>
      <c r="Q107" s="846"/>
    </row>
    <row r="108" spans="1:17" ht="15">
      <c r="A108" s="876"/>
      <c r="B108" s="1055"/>
      <c r="C108" s="937"/>
      <c r="D108" s="937"/>
      <c r="E108" s="937"/>
      <c r="F108" s="937"/>
      <c r="G108" s="937"/>
      <c r="H108" s="937"/>
      <c r="I108" s="937"/>
      <c r="J108" s="938"/>
      <c r="K108" s="938"/>
      <c r="L108" s="939"/>
      <c r="M108" s="940"/>
      <c r="N108" s="2366"/>
      <c r="O108" s="2366"/>
      <c r="P108" s="334"/>
      <c r="Q108" s="846"/>
    </row>
    <row r="109" spans="1:17" ht="15.75" thickBot="1">
      <c r="A109" s="876"/>
      <c r="B109" s="1054"/>
      <c r="C109" s="912"/>
      <c r="D109" s="933"/>
      <c r="E109" s="933"/>
      <c r="F109" s="933"/>
      <c r="G109" s="933"/>
      <c r="H109" s="933"/>
      <c r="I109" s="933"/>
      <c r="J109" s="933"/>
      <c r="K109" s="933"/>
      <c r="L109" s="933"/>
      <c r="M109" s="934"/>
      <c r="N109" s="2367"/>
      <c r="O109" s="2367"/>
      <c r="P109" s="334"/>
      <c r="Q109" s="846"/>
    </row>
    <row r="110" spans="1:17" ht="15" thickTop="1">
      <c r="A110" s="941"/>
      <c r="B110" s="1053" t="s">
        <v>86</v>
      </c>
      <c r="C110" s="131"/>
      <c r="D110" s="131"/>
      <c r="E110" s="131"/>
      <c r="F110" s="131"/>
      <c r="G110" s="131"/>
      <c r="H110" s="131"/>
      <c r="I110" s="131"/>
      <c r="J110" s="131"/>
      <c r="K110" s="132"/>
      <c r="L110" s="133"/>
      <c r="M110" s="134"/>
      <c r="N110" s="2366"/>
      <c r="O110" s="2366"/>
      <c r="P110" s="334"/>
      <c r="Q110" s="846"/>
    </row>
    <row r="111" spans="1:17" ht="15.75" thickBot="1">
      <c r="A111" s="876"/>
      <c r="B111" s="1054"/>
      <c r="C111" s="886">
        <v>100</v>
      </c>
      <c r="D111" s="886">
        <f t="shared" ref="D111:M111" si="25">C111-$K35</f>
        <v>100</v>
      </c>
      <c r="E111" s="886">
        <f t="shared" si="25"/>
        <v>100</v>
      </c>
      <c r="F111" s="886">
        <f t="shared" si="25"/>
        <v>100</v>
      </c>
      <c r="G111" s="886">
        <f t="shared" si="25"/>
        <v>100</v>
      </c>
      <c r="H111" s="886">
        <f t="shared" si="25"/>
        <v>100</v>
      </c>
      <c r="I111" s="886">
        <f t="shared" si="25"/>
        <v>100</v>
      </c>
      <c r="J111" s="886">
        <f t="shared" si="25"/>
        <v>100</v>
      </c>
      <c r="K111" s="886">
        <f t="shared" si="25"/>
        <v>100</v>
      </c>
      <c r="L111" s="886">
        <f t="shared" si="25"/>
        <v>100</v>
      </c>
      <c r="M111" s="887">
        <f t="shared" si="25"/>
        <v>100</v>
      </c>
      <c r="N111" s="2367"/>
      <c r="O111" s="2367"/>
      <c r="P111" s="334"/>
      <c r="Q111" s="846"/>
    </row>
    <row r="112" spans="1:17" s="813" customFormat="1" ht="15" thickTop="1">
      <c r="A112" s="935"/>
      <c r="B112" s="1053" t="s">
        <v>2508</v>
      </c>
      <c r="C112" s="139"/>
      <c r="D112" s="139"/>
      <c r="E112" s="139"/>
      <c r="F112" s="139"/>
      <c r="G112" s="139"/>
      <c r="H112" s="131"/>
      <c r="I112" s="131"/>
      <c r="J112" s="131"/>
      <c r="K112" s="132"/>
      <c r="L112" s="133"/>
      <c r="M112" s="134"/>
      <c r="N112" s="2368"/>
      <c r="O112" s="2368"/>
      <c r="P112" s="900"/>
      <c r="Q112" s="901"/>
    </row>
    <row r="113" spans="1:17" s="813" customFormat="1" ht="15.75" thickBot="1">
      <c r="A113" s="895"/>
      <c r="B113" s="1054"/>
      <c r="C113" s="886">
        <v>100</v>
      </c>
      <c r="D113" s="886">
        <f t="shared" ref="D113:M113" si="26">C113-$K36</f>
        <v>100</v>
      </c>
      <c r="E113" s="886">
        <f t="shared" si="26"/>
        <v>100</v>
      </c>
      <c r="F113" s="886">
        <f t="shared" si="26"/>
        <v>100</v>
      </c>
      <c r="G113" s="886">
        <f t="shared" si="26"/>
        <v>100</v>
      </c>
      <c r="H113" s="886">
        <f t="shared" si="26"/>
        <v>100</v>
      </c>
      <c r="I113" s="886">
        <f t="shared" si="26"/>
        <v>100</v>
      </c>
      <c r="J113" s="886">
        <f t="shared" si="26"/>
        <v>100</v>
      </c>
      <c r="K113" s="886">
        <f t="shared" si="26"/>
        <v>100</v>
      </c>
      <c r="L113" s="886">
        <f t="shared" si="26"/>
        <v>100</v>
      </c>
      <c r="M113" s="887">
        <f t="shared" si="26"/>
        <v>100</v>
      </c>
      <c r="N113" s="2368"/>
      <c r="O113" s="2368"/>
      <c r="P113" s="900"/>
      <c r="Q113" s="901"/>
    </row>
    <row r="114" spans="1:17" ht="15" thickTop="1">
      <c r="A114" s="941"/>
      <c r="B114" s="1053" t="s">
        <v>85</v>
      </c>
      <c r="C114" s="139"/>
      <c r="D114" s="139"/>
      <c r="E114" s="131"/>
      <c r="F114" s="131"/>
      <c r="G114" s="131"/>
      <c r="H114" s="131"/>
      <c r="I114" s="131"/>
      <c r="J114" s="131"/>
      <c r="K114" s="132"/>
      <c r="L114" s="133"/>
      <c r="M114" s="134"/>
      <c r="N114" s="2366"/>
      <c r="O114" s="2366"/>
      <c r="P114" s="334"/>
      <c r="Q114" s="846"/>
    </row>
    <row r="115" spans="1:17" ht="15.75" thickBot="1">
      <c r="A115" s="876"/>
      <c r="B115" s="1054"/>
      <c r="C115" s="886">
        <v>100</v>
      </c>
      <c r="D115" s="886">
        <f t="shared" ref="D115:M115" si="27">C115-$K37</f>
        <v>100</v>
      </c>
      <c r="E115" s="886">
        <f t="shared" si="27"/>
        <v>100</v>
      </c>
      <c r="F115" s="886">
        <f t="shared" si="27"/>
        <v>100</v>
      </c>
      <c r="G115" s="886">
        <f t="shared" si="27"/>
        <v>100</v>
      </c>
      <c r="H115" s="886">
        <f t="shared" si="27"/>
        <v>100</v>
      </c>
      <c r="I115" s="886">
        <f t="shared" si="27"/>
        <v>100</v>
      </c>
      <c r="J115" s="886">
        <f t="shared" si="27"/>
        <v>100</v>
      </c>
      <c r="K115" s="886">
        <f t="shared" si="27"/>
        <v>100</v>
      </c>
      <c r="L115" s="886">
        <f t="shared" si="27"/>
        <v>100</v>
      </c>
      <c r="M115" s="887">
        <f t="shared" si="27"/>
        <v>100</v>
      </c>
      <c r="N115" s="2367"/>
      <c r="O115" s="2367"/>
      <c r="P115" s="334"/>
      <c r="Q115" s="846"/>
    </row>
    <row r="116" spans="1:17" ht="15" thickTop="1">
      <c r="A116" s="941"/>
      <c r="B116" s="1053">
        <f>B38</f>
        <v>111</v>
      </c>
      <c r="C116" s="139"/>
      <c r="D116" s="139"/>
      <c r="E116" s="139"/>
      <c r="F116" s="139"/>
      <c r="G116" s="139"/>
      <c r="H116" s="131"/>
      <c r="I116" s="131"/>
      <c r="J116" s="131"/>
      <c r="K116" s="132"/>
      <c r="L116" s="133"/>
      <c r="M116" s="134"/>
      <c r="N116" s="2366"/>
      <c r="O116" s="2366"/>
      <c r="P116" s="334"/>
      <c r="Q116" s="846"/>
    </row>
    <row r="117" spans="1:17" ht="15.75" thickBot="1">
      <c r="A117" s="876"/>
      <c r="B117" s="1054"/>
      <c r="C117" s="902"/>
      <c r="D117" s="878"/>
      <c r="E117" s="878"/>
      <c r="F117" s="878"/>
      <c r="G117" s="878"/>
      <c r="H117" s="878"/>
      <c r="I117" s="878"/>
      <c r="J117" s="878"/>
      <c r="K117" s="878"/>
      <c r="L117" s="878"/>
      <c r="M117" s="879"/>
      <c r="N117" s="2367"/>
      <c r="O117" s="2367"/>
      <c r="P117" s="334"/>
      <c r="Q117" s="846"/>
    </row>
    <row r="118" spans="1:17" ht="15" thickTop="1">
      <c r="A118" s="941"/>
      <c r="B118" s="1053">
        <f>B39</f>
        <v>111</v>
      </c>
      <c r="C118" s="139"/>
      <c r="D118" s="139"/>
      <c r="E118" s="139"/>
      <c r="F118" s="139"/>
      <c r="G118" s="131"/>
      <c r="H118" s="131"/>
      <c r="I118" s="131"/>
      <c r="J118" s="131"/>
      <c r="K118" s="132"/>
      <c r="L118" s="133"/>
      <c r="M118" s="134"/>
      <c r="N118" s="2366"/>
      <c r="O118" s="2366"/>
      <c r="P118" s="334"/>
      <c r="Q118" s="846"/>
    </row>
    <row r="119" spans="1:17" ht="15.75" thickBot="1">
      <c r="A119" s="876"/>
      <c r="B119" s="1054"/>
      <c r="C119" s="902"/>
      <c r="D119" s="902"/>
      <c r="E119" s="902"/>
      <c r="F119" s="902"/>
      <c r="G119" s="878"/>
      <c r="H119" s="878"/>
      <c r="I119" s="878"/>
      <c r="J119" s="878"/>
      <c r="K119" s="878"/>
      <c r="L119" s="878"/>
      <c r="M119" s="879"/>
      <c r="N119" s="2367"/>
      <c r="O119" s="2367"/>
      <c r="P119" s="334"/>
      <c r="Q119" s="846"/>
    </row>
    <row r="120" spans="1:17" s="813" customFormat="1" ht="15" thickTop="1">
      <c r="A120" s="935"/>
      <c r="B120" s="1053">
        <f>B40</f>
        <v>111</v>
      </c>
      <c r="C120" s="140"/>
      <c r="D120" s="140"/>
      <c r="E120" s="140"/>
      <c r="F120" s="140"/>
      <c r="G120" s="1058"/>
      <c r="H120" s="1058"/>
      <c r="I120" s="1058"/>
      <c r="J120" s="1058"/>
      <c r="K120" s="1058"/>
      <c r="L120" s="1059"/>
      <c r="M120" s="1060"/>
      <c r="N120" s="2368"/>
      <c r="O120" s="2368"/>
      <c r="P120" s="900"/>
      <c r="Q120" s="901"/>
    </row>
    <row r="121" spans="1:17" s="813" customFormat="1" ht="15.75" thickBot="1">
      <c r="A121" s="910"/>
      <c r="B121" s="1078"/>
      <c r="C121" s="912"/>
      <c r="D121" s="912"/>
      <c r="E121" s="912"/>
      <c r="F121" s="912"/>
      <c r="G121" s="933"/>
      <c r="H121" s="933"/>
      <c r="I121" s="933"/>
      <c r="J121" s="933"/>
      <c r="K121" s="933"/>
      <c r="L121" s="933"/>
      <c r="M121" s="934"/>
      <c r="N121" s="2368"/>
      <c r="O121" s="2368"/>
      <c r="P121" s="900"/>
      <c r="Q121" s="901"/>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45" priority="14" stopIfTrue="1" operator="containsText" text="超过">
      <formula>NOT(ISERROR(SEARCH("超过",F46)))</formula>
    </cfRule>
  </conditionalFormatting>
  <conditionalFormatting sqref="J48">
    <cfRule type="containsText" dxfId="44" priority="13" stopIfTrue="1" operator="containsText" text="超过">
      <formula>NOT(ISERROR(SEARCH("超过",J48)))</formula>
    </cfRule>
  </conditionalFormatting>
  <conditionalFormatting sqref="H48">
    <cfRule type="containsText" dxfId="43" priority="12" stopIfTrue="1" operator="containsText" text="超过">
      <formula>NOT(ISERROR(SEARCH("超过",H48)))</formula>
    </cfRule>
  </conditionalFormatting>
  <conditionalFormatting sqref="F48">
    <cfRule type="containsText" dxfId="42" priority="11" stopIfTrue="1" operator="containsText" text="超过">
      <formula>NOT(ISERROR(SEARCH("超过",F48)))</formula>
    </cfRule>
  </conditionalFormatting>
  <conditionalFormatting sqref="F47 H47 J47">
    <cfRule type="containsText" dxfId="41" priority="10" stopIfTrue="1" operator="containsText" text="超过">
      <formula>NOT(ISERROR(SEARCH("超过",F47)))</formula>
    </cfRule>
  </conditionalFormatting>
  <conditionalFormatting sqref="E46">
    <cfRule type="expression" dxfId="40" priority="9" stopIfTrue="1">
      <formula>$F$46="超过30%"</formula>
    </cfRule>
  </conditionalFormatting>
  <conditionalFormatting sqref="G48">
    <cfRule type="expression" dxfId="39" priority="8" stopIfTrue="1">
      <formula>$H$48="超过30%"</formula>
    </cfRule>
  </conditionalFormatting>
  <conditionalFormatting sqref="E48">
    <cfRule type="expression" dxfId="38" priority="6" stopIfTrue="1">
      <formula>$F$48="超过30%"</formula>
    </cfRule>
  </conditionalFormatting>
  <conditionalFormatting sqref="G46">
    <cfRule type="expression" dxfId="37" priority="5" stopIfTrue="1">
      <formula>$H$46="超过30%"</formula>
    </cfRule>
  </conditionalFormatting>
  <conditionalFormatting sqref="G47">
    <cfRule type="expression" dxfId="36" priority="4" stopIfTrue="1">
      <formula>$H$47="超过20%"</formula>
    </cfRule>
  </conditionalFormatting>
  <conditionalFormatting sqref="I46">
    <cfRule type="expression" dxfId="35" priority="3" stopIfTrue="1">
      <formula>$J$46="超过30%"</formula>
    </cfRule>
  </conditionalFormatting>
  <conditionalFormatting sqref="I47">
    <cfRule type="expression" dxfId="34" priority="2" stopIfTrue="1">
      <formula>$J$47="超过20%"</formula>
    </cfRule>
  </conditionalFormatting>
  <conditionalFormatting sqref="I48">
    <cfRule type="expression" dxfId="33" priority="1" stopIfTrue="1">
      <formula>$J$48="超过30%"</formula>
    </cfRule>
  </conditionalFormatting>
  <conditionalFormatting sqref="E47">
    <cfRule type="expression" dxfId="32"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sheetPr>
    <tabColor rgb="FF92D050"/>
  </sheetPr>
  <dimension ref="A1:AK118"/>
  <sheetViews>
    <sheetView topLeftCell="A7" zoomScale="80" zoomScaleNormal="80" zoomScaleSheetLayoutView="96" workbookViewId="0">
      <selection activeCell="C33" sqref="C33"/>
    </sheetView>
  </sheetViews>
  <sheetFormatPr defaultColWidth="12" defaultRowHeight="12"/>
  <cols>
    <col min="1" max="1" width="9.75" style="1623" customWidth="1"/>
    <col min="2" max="2" width="19.25" style="1743" customWidth="1"/>
    <col min="3" max="4" width="12" style="1624"/>
    <col min="5" max="5" width="14.625" style="1624" customWidth="1"/>
    <col min="6" max="8" width="12" style="1624"/>
    <col min="9" max="9" width="12.25" style="1624" bestFit="1" customWidth="1"/>
    <col min="10" max="10" width="12" style="1624"/>
    <col min="11" max="11" width="8.125" style="1621" customWidth="1"/>
    <col min="12" max="12" width="12" style="1624"/>
    <col min="13" max="13" width="8.5" style="1624" customWidth="1"/>
    <col min="14" max="14" width="9.75" style="1624" customWidth="1"/>
    <col min="15" max="25" width="12" style="1624"/>
    <col min="26" max="26" width="9.375" style="1623" customWidth="1"/>
    <col min="27" max="32" width="9.375" style="1622" customWidth="1"/>
    <col min="33" max="36" width="9.375" style="1623" customWidth="1"/>
    <col min="37" max="38" width="9.375" style="1624" customWidth="1"/>
    <col min="39" max="16384" width="12" style="1624"/>
  </cols>
  <sheetData>
    <row r="1" spans="1:36" ht="28.5">
      <c r="A1" s="1472" t="s">
        <v>1799</v>
      </c>
      <c r="B1" s="1473"/>
      <c r="C1" s="86" t="s">
        <v>2509</v>
      </c>
      <c r="D1" s="1735">
        <f>SUM(D29:D30,D33:D39)</f>
        <v>0</v>
      </c>
      <c r="E1" s="1620"/>
      <c r="F1" s="1620"/>
      <c r="G1" s="1620"/>
      <c r="H1" s="1620"/>
      <c r="I1" s="1620"/>
      <c r="J1" s="1620"/>
      <c r="K1" s="2378"/>
      <c r="L1" s="1881" t="s">
        <v>1231</v>
      </c>
      <c r="M1" s="2133">
        <f>SUMPRODUCT((区片价!B5:B9=I2)*(区片价!C3:F3=E2)*(区片价!C5:F9))</f>
        <v>0</v>
      </c>
      <c r="N1" s="2136">
        <f>SUMPRODUCT((因素修正幅度!B5:B9=I2)*(因素修正幅度!C3:F3=E2)*(因素修正幅度!C5:F9))</f>
        <v>0</v>
      </c>
      <c r="O1" s="2382"/>
      <c r="P1" s="2382"/>
      <c r="Q1" s="2378"/>
      <c r="R1" s="3068" t="s">
        <v>2894</v>
      </c>
      <c r="S1" s="3068" t="s">
        <v>2895</v>
      </c>
      <c r="T1" s="3068" t="s">
        <v>2896</v>
      </c>
      <c r="U1" s="3068" t="s">
        <v>2897</v>
      </c>
      <c r="V1" s="3068" t="s">
        <v>2898</v>
      </c>
      <c r="W1" s="3069"/>
      <c r="X1" s="3069"/>
      <c r="Y1" s="3069"/>
      <c r="Z1" s="3069"/>
      <c r="AA1" s="3069"/>
      <c r="AB1" s="3069"/>
      <c r="AC1" s="3070"/>
      <c r="AD1" s="3071"/>
      <c r="AE1" s="3071"/>
      <c r="AF1" s="3071"/>
      <c r="AG1" s="3071"/>
      <c r="AH1" s="3071"/>
      <c r="AI1" s="3071"/>
      <c r="AJ1" s="3072"/>
    </row>
    <row r="2" spans="1:36" ht="15.75">
      <c r="A2" s="86" t="s">
        <v>1800</v>
      </c>
      <c r="B2" s="580" t="e">
        <f>C26</f>
        <v>#DIV/0!</v>
      </c>
      <c r="C2" s="1471" t="s">
        <v>1141</v>
      </c>
      <c r="D2" s="1625" t="s">
        <v>1801</v>
      </c>
      <c r="E2" s="1779"/>
      <c r="F2" s="1625" t="s">
        <v>1802</v>
      </c>
      <c r="G2" s="1602">
        <f>IF(E2="商业",项目基本情况!B37,IF(E2="办公",项目基本情况!C37,IF(E2="住宅",项目基本情况!D37,项目基本情况!E37)))</f>
        <v>0</v>
      </c>
      <c r="H2" s="1625" t="s">
        <v>1803</v>
      </c>
      <c r="I2" s="1602">
        <f>IF(E2="商业",项目基本情况!B38,IF(E2="办公",项目基本情况!C38,IF(E2="住宅",项目基本情况!D38,项目基本情况!E38)))</f>
        <v>0</v>
      </c>
      <c r="J2" s="1626"/>
      <c r="K2" s="2378"/>
      <c r="L2" s="1882" t="s">
        <v>1288</v>
      </c>
      <c r="M2" s="2134">
        <f>SUMPRODUCT((区片价!B10:B28=I2)*(区片价!C3:F3=E2)*(区片价!C10:F28))</f>
        <v>0</v>
      </c>
      <c r="N2" s="2136">
        <f>SUMPRODUCT((因素修正幅度!B10:B28=I2)*(因素修正幅度!C3:F3=E2)*(因素修正幅度!C10:F28))</f>
        <v>0</v>
      </c>
      <c r="O2" s="2378"/>
      <c r="P2" s="2378"/>
      <c r="Q2" s="2378"/>
      <c r="R2" s="3073">
        <v>1</v>
      </c>
      <c r="S2" s="3073">
        <f>ROUND(IF(G3&gt;1,IF(R2&lt;7,SUMPRODUCT((B93:B98=R2)*(C92:N92=G2)*(C93:N98)),SUMIF(C92:N92,G2,C100:N100)),IF(R2&lt;7,SUMPRODUCT((B102:B107=R2)*(C92:N92=G2)*(C102:N107)),SUMIF(C92:N92,G2,C109:N109))),4)</f>
        <v>0</v>
      </c>
      <c r="T2" s="3073" t="e">
        <f>ROUND($C$5*$C$18*$C$19*$C$20*S2*$C$24,0)</f>
        <v>#DIV/0!</v>
      </c>
      <c r="U2" s="3074"/>
      <c r="V2" s="3073" t="e">
        <f>ROUND(T2*U2/10000,0)</f>
        <v>#DIV/0!</v>
      </c>
      <c r="W2" s="3069"/>
      <c r="X2" s="3069"/>
      <c r="Y2" s="3069"/>
      <c r="Z2" s="3069"/>
      <c r="AA2" s="3069"/>
      <c r="AB2" s="3069"/>
      <c r="AC2" s="3070"/>
      <c r="AD2" s="3071"/>
      <c r="AE2" s="3071"/>
      <c r="AF2" s="3071"/>
      <c r="AG2" s="3071"/>
      <c r="AH2" s="3071"/>
      <c r="AI2" s="3071"/>
      <c r="AJ2" s="3072"/>
    </row>
    <row r="3" spans="1:36" ht="15.75">
      <c r="A3" s="87" t="s">
        <v>1804</v>
      </c>
      <c r="B3" s="580" t="e">
        <f>ROUND(B2*10000/D1,0)</f>
        <v>#DIV/0!</v>
      </c>
      <c r="C3" s="1471" t="s">
        <v>1805</v>
      </c>
      <c r="D3" s="1625" t="s">
        <v>1144</v>
      </c>
      <c r="E3" s="1780"/>
      <c r="F3" s="1781" t="s">
        <v>3022</v>
      </c>
      <c r="G3" s="1627">
        <f>IF(F3="宗地容积率",'数据-汇总表'!I4,IF(F3="估价对象容积率",'数据-汇总表'!I6,'数据-汇总表'!I7))</f>
        <v>1.36</v>
      </c>
      <c r="H3" s="1628" t="s">
        <v>1145</v>
      </c>
      <c r="I3" s="1782"/>
      <c r="J3" s="1626" t="s">
        <v>1146</v>
      </c>
      <c r="K3" s="2378"/>
      <c r="L3" s="1882" t="s">
        <v>1461</v>
      </c>
      <c r="M3" s="2134">
        <f>SUMPRODUCT((区片价!B29:B48=I2)*(区片价!C3:F3=E2)*(区片价!C29:F48))</f>
        <v>0</v>
      </c>
      <c r="N3" s="2136">
        <f>SUMPRODUCT((因素修正幅度!B29:B48=I2)*(因素修正幅度!C3:F3=E2)*(因素修正幅度!C29:F48))</f>
        <v>0</v>
      </c>
      <c r="O3" s="2378"/>
      <c r="P3" s="2378"/>
      <c r="Q3" s="2378"/>
      <c r="R3" s="3073">
        <v>2</v>
      </c>
      <c r="S3" s="3073">
        <f>ROUND(IF(G3&gt;1,IF(R3&lt;7,SUMPRODUCT((B93:B98=R3)*(C92:N92=G2)*(C93:N98)),SUMIF(C92:N92,G2,C100:N100)),IF(R3&lt;7,SUMPRODUCT((B102:B107=R3)*(C92:N92=G2)*(C102:N107)),SUMIF(C92:N92,G2,C109:N109))),4)</f>
        <v>0</v>
      </c>
      <c r="T3" s="3073" t="e">
        <f t="shared" ref="T3:T16" si="0">ROUND($C$5*$C$18*$C$19*$C$20*S3*$C$24,0)</f>
        <v>#DIV/0!</v>
      </c>
      <c r="U3" s="3074"/>
      <c r="V3" s="3073" t="e">
        <f t="shared" ref="V3:V16" si="1">ROUND(T3*U3/10000,0)</f>
        <v>#DIV/0!</v>
      </c>
      <c r="W3" s="3069"/>
      <c r="X3" s="3069"/>
      <c r="Y3" s="3069"/>
      <c r="Z3" s="3069"/>
      <c r="AA3" s="3069"/>
      <c r="AB3" s="3069"/>
      <c r="AC3" s="3070"/>
      <c r="AD3" s="3071"/>
      <c r="AE3" s="3071"/>
      <c r="AF3" s="3071"/>
      <c r="AG3" s="3071"/>
      <c r="AH3" s="3071"/>
      <c r="AI3" s="3071"/>
      <c r="AJ3" s="3072"/>
    </row>
    <row r="4" spans="1:36" ht="15">
      <c r="A4" s="3794"/>
      <c r="B4" s="3795"/>
      <c r="C4" s="3795"/>
      <c r="D4" s="3796"/>
      <c r="E4" s="3796"/>
      <c r="F4" s="3796"/>
      <c r="G4" s="3796"/>
      <c r="H4" s="3796"/>
      <c r="I4" s="3796"/>
      <c r="J4" s="3797"/>
      <c r="K4" s="2378"/>
      <c r="L4" s="1882" t="s">
        <v>1142</v>
      </c>
      <c r="M4" s="2134">
        <f>SUMPRODUCT((区片价!B49:B75=I2)*(区片价!C3:F3=E2)*(区片价!C49:F75))</f>
        <v>0</v>
      </c>
      <c r="N4" s="2136">
        <f>SUMPRODUCT((因素修正幅度!B49:B75=I2)*(因素修正幅度!C3:F3=E2)*(因素修正幅度!C49:F75))</f>
        <v>0</v>
      </c>
      <c r="O4" s="2378"/>
      <c r="P4" s="2378"/>
      <c r="Q4" s="2378"/>
      <c r="R4" s="3073">
        <v>3</v>
      </c>
      <c r="S4" s="3073">
        <f>ROUND(IF(G3&gt;1,IF(R4&lt;7,SUMPRODUCT((B93:B98=R4)*(C92:N92=G2)*(C93:N98)),SUMIF(C92:N92,G2,C100:N100)),IF(R4&lt;7,SUMPRODUCT((B102:B107=R4)*(C92:N92=G2)*(C102:N107)),SUMIF(C92:N92,G2,C109:N109))),4)</f>
        <v>0</v>
      </c>
      <c r="T4" s="3073" t="e">
        <f t="shared" si="0"/>
        <v>#DIV/0!</v>
      </c>
      <c r="U4" s="3074"/>
      <c r="V4" s="3073" t="e">
        <f t="shared" si="1"/>
        <v>#DIV/0!</v>
      </c>
      <c r="W4" s="3069"/>
      <c r="X4" s="3069"/>
      <c r="Y4" s="3069"/>
      <c r="Z4" s="3069"/>
      <c r="AA4" s="3069"/>
      <c r="AB4" s="3069"/>
      <c r="AC4" s="3070"/>
      <c r="AD4" s="3071"/>
      <c r="AE4" s="3071"/>
      <c r="AF4" s="3071"/>
      <c r="AG4" s="3071"/>
      <c r="AH4" s="3071"/>
      <c r="AI4" s="3071"/>
      <c r="AJ4" s="3072"/>
    </row>
    <row r="5" spans="1:36" s="1635" customFormat="1" ht="15.75" thickBot="1">
      <c r="A5" s="1875" t="s">
        <v>1942</v>
      </c>
      <c r="B5" s="1629" t="s">
        <v>1806</v>
      </c>
      <c r="C5" s="1630" t="e">
        <f>ROUND(IF(E2="商业",IF(F16="增加",C6*C7+C16,C6*C7-C16),IF(E2="住宅",IF(F16="增加",C6*C12+C16,C6*C12-C16),IF(F16="增加",C6+C16,C6-C16))),0)</f>
        <v>#DIV/0!</v>
      </c>
      <c r="D5" s="3343">
        <f>ROUND(IF(E2="商业",IF(F16="增加",C6+C16,C6-C16)),0)</f>
        <v>0</v>
      </c>
      <c r="E5" s="1631"/>
      <c r="F5" s="1631"/>
      <c r="G5" s="1632"/>
      <c r="H5" s="1632"/>
      <c r="I5" s="1632"/>
      <c r="J5" s="1633"/>
      <c r="K5" s="2383"/>
      <c r="L5" s="1882" t="s">
        <v>1542</v>
      </c>
      <c r="M5" s="2134">
        <f>SUMPRODUCT((区片价!B76:B109=I2)*(区片价!C3:F3=E2)*(区片价!C76:F109))</f>
        <v>0</v>
      </c>
      <c r="N5" s="2136">
        <f>SUMPRODUCT((因素修正幅度!B76:B109=I2)*(因素修正幅度!C3:F3=E2)*(因素修正幅度!C76:F109))</f>
        <v>0</v>
      </c>
      <c r="O5" s="2378"/>
      <c r="P5" s="2378"/>
      <c r="Q5" s="2378"/>
      <c r="R5" s="3073">
        <v>4</v>
      </c>
      <c r="S5" s="3073">
        <f>ROUND(IF(G3&gt;1,IF(R5&lt;7,SUMPRODUCT((B93:B98=R5)*(C92:N92=G2)*(C93:N98)),SUMIF(C92:N92,G2,C100:N100)),IF(R5&lt;7,SUMPRODUCT((B102:B107=R5)*(C92:N92=G2)*(C102:N107)),SUMIF(C92:N92,G2,C109:N109))),4)</f>
        <v>0</v>
      </c>
      <c r="T5" s="3073" t="e">
        <f t="shared" si="0"/>
        <v>#DIV/0!</v>
      </c>
      <c r="U5" s="3074"/>
      <c r="V5" s="3073" t="e">
        <f t="shared" si="1"/>
        <v>#DIV/0!</v>
      </c>
      <c r="W5" s="3069"/>
      <c r="X5" s="3069"/>
      <c r="Y5" s="3069"/>
      <c r="Z5" s="3069"/>
      <c r="AA5" s="3069"/>
      <c r="AB5" s="3069"/>
      <c r="AC5" s="3075"/>
      <c r="AD5" s="3076"/>
      <c r="AE5" s="3076"/>
      <c r="AF5" s="3076"/>
      <c r="AG5" s="3076"/>
      <c r="AH5" s="3076"/>
      <c r="AI5" s="3076"/>
      <c r="AJ5" s="3077"/>
    </row>
    <row r="6" spans="1:36" ht="15.75" thickBot="1">
      <c r="A6" s="1879" t="s">
        <v>1949</v>
      </c>
      <c r="B6" s="1636" t="s">
        <v>1806</v>
      </c>
      <c r="C6" s="1637">
        <f>SUMIF(L1:L12,G2,M1:M12)</f>
        <v>0</v>
      </c>
      <c r="D6" s="1638" t="s">
        <v>1807</v>
      </c>
      <c r="E6" s="1639"/>
      <c r="F6" s="1639"/>
      <c r="G6" s="1640"/>
      <c r="H6" s="1640"/>
      <c r="I6" s="1640"/>
      <c r="J6" s="1641"/>
      <c r="K6" s="2384"/>
      <c r="L6" s="1882" t="s">
        <v>203</v>
      </c>
      <c r="M6" s="2134">
        <f>SUMPRODUCT((区片价!B110:B157=I2)*(区片价!C3:F3=E2)*(区片价!C110:F157))</f>
        <v>0</v>
      </c>
      <c r="N6" s="2136">
        <f>SUMPRODUCT((因素修正幅度!B110:B157=I2)*(因素修正幅度!C3:F3=E2)*(因素修正幅度!C110:F157))</f>
        <v>0</v>
      </c>
      <c r="O6" s="2378"/>
      <c r="P6" s="2378"/>
      <c r="Q6" s="2378"/>
      <c r="R6" s="3073">
        <v>5</v>
      </c>
      <c r="S6" s="3073">
        <f>ROUND(IF(G3&gt;1,IF(R6&lt;7,SUMPRODUCT((B93:B98=R6)*(C92:N92=G2)*(C93:N98)),SUMIF(C92:N92,G2,C100:N100)),IF(R6&lt;7,SUMPRODUCT((B102:B107=R6)*(C92:N92=G2)*(C102:N107)),SUMIF(C92:N92,G2,C109:N109))),4)</f>
        <v>0</v>
      </c>
      <c r="T6" s="3073" t="e">
        <f t="shared" si="0"/>
        <v>#DIV/0!</v>
      </c>
      <c r="U6" s="3074"/>
      <c r="V6" s="3073" t="e">
        <f t="shared" si="1"/>
        <v>#DIV/0!</v>
      </c>
      <c r="W6" s="3069"/>
      <c r="X6" s="3069"/>
      <c r="Y6" s="3069"/>
      <c r="Z6" s="3069"/>
      <c r="AA6" s="3069"/>
      <c r="AB6" s="3069"/>
      <c r="AC6" s="3075"/>
      <c r="AD6" s="3076"/>
      <c r="AE6" s="3076"/>
      <c r="AF6" s="3076"/>
      <c r="AG6" s="3076"/>
      <c r="AH6" s="3076"/>
      <c r="AI6" s="3076"/>
      <c r="AJ6" s="3077"/>
    </row>
    <row r="7" spans="1:36" ht="24">
      <c r="A7" s="3778" t="str">
        <f>IF(E2="商业",IF(C8="不临58条商业街","",2),"")</f>
        <v/>
      </c>
      <c r="B7" s="1642" t="s">
        <v>1808</v>
      </c>
      <c r="C7" s="1643" t="e">
        <f>IF(C8="不临58条商业街",1,ROUND(1+(1.6*E8+1.2*E9+0.8*E10+0.4*E11)*C9,4))</f>
        <v>#DIV/0!</v>
      </c>
      <c r="D7" s="1644" t="s">
        <v>1809</v>
      </c>
      <c r="E7" s="1783"/>
      <c r="F7" s="1645"/>
      <c r="G7" s="1646"/>
      <c r="H7" s="1646"/>
      <c r="I7" s="1646"/>
      <c r="J7" s="1647"/>
      <c r="K7" s="2384"/>
      <c r="L7" s="1882" t="s">
        <v>1545</v>
      </c>
      <c r="M7" s="2134">
        <f>SUMPRODUCT((区片价!B158:B205=I2)*(区片价!C3:F3=E2)*(区片价!C158:F205))</f>
        <v>0</v>
      </c>
      <c r="N7" s="2136">
        <f>SUMPRODUCT((因素修正幅度!B158:B205=I2)*(因素修正幅度!C3:F3=E2)*(因素修正幅度!C158:F205))</f>
        <v>0</v>
      </c>
      <c r="O7" s="2378"/>
      <c r="P7" s="2378"/>
      <c r="Q7" s="2378"/>
      <c r="R7" s="3073">
        <v>6</v>
      </c>
      <c r="S7" s="3073">
        <f>ROUND(IF(G3&gt;1,IF(R7&lt;7,SUMPRODUCT((B93:B98=R7)*(C92:N92=G2)*(C93:N98)),SUMIF(C92:N92,G2,C100:N100)),IF(R7&lt;7,SUMPRODUCT((B102:B107=R7)*(C92:N92=G2)*(C102:N107)),SUMIF(C92:N92,G2,C109:N109))),4)</f>
        <v>0</v>
      </c>
      <c r="T7" s="3073" t="e">
        <f t="shared" si="0"/>
        <v>#DIV/0!</v>
      </c>
      <c r="U7" s="3074"/>
      <c r="V7" s="3073" t="e">
        <f t="shared" si="1"/>
        <v>#DIV/0!</v>
      </c>
      <c r="W7" s="3078" t="s">
        <v>2899</v>
      </c>
      <c r="X7" s="3079">
        <f>G2</f>
        <v>0</v>
      </c>
      <c r="Y7" s="3079" t="s">
        <v>2900</v>
      </c>
      <c r="Z7" s="3080">
        <f>G3</f>
        <v>1.36</v>
      </c>
      <c r="AA7" s="3081"/>
      <c r="AB7" s="3081"/>
      <c r="AC7" s="3082"/>
      <c r="AD7" s="3083"/>
      <c r="AE7" s="3083"/>
      <c r="AF7" s="3083"/>
      <c r="AG7" s="3083"/>
      <c r="AH7" s="3083"/>
      <c r="AI7" s="3083"/>
      <c r="AJ7" s="3084"/>
    </row>
    <row r="8" spans="1:36" ht="15">
      <c r="A8" s="3779"/>
      <c r="B8" s="1628" t="s">
        <v>1810</v>
      </c>
      <c r="C8" s="1784"/>
      <c r="D8" s="1648" t="s">
        <v>1147</v>
      </c>
      <c r="E8" s="1649" t="e">
        <f>ROUND(C11/E7,4)</f>
        <v>#DIV/0!</v>
      </c>
      <c r="F8" s="1650" t="s">
        <v>1811</v>
      </c>
      <c r="G8" s="1651"/>
      <c r="H8" s="1651"/>
      <c r="I8" s="1651"/>
      <c r="J8" s="1652"/>
      <c r="K8" s="2378"/>
      <c r="L8" s="1882" t="s">
        <v>1547</v>
      </c>
      <c r="M8" s="2134">
        <f>SUMPRODUCT((区片价!B206:B244=I2)*(区片价!C3:F3=E2)*(区片价!C206:F244))</f>
        <v>0</v>
      </c>
      <c r="N8" s="2136">
        <f>SUMPRODUCT((因素修正幅度!B206:B244=I2)*(因素修正幅度!C3:F3=E2)*(因素修正幅度!C206:F244))</f>
        <v>0</v>
      </c>
      <c r="O8" s="2378"/>
      <c r="P8" s="2378"/>
      <c r="Q8" s="2378"/>
      <c r="R8" s="3073">
        <v>7</v>
      </c>
      <c r="S8" s="3074"/>
      <c r="T8" s="3073" t="e">
        <f t="shared" si="0"/>
        <v>#DIV/0!</v>
      </c>
      <c r="U8" s="3074"/>
      <c r="V8" s="3073" t="e">
        <f t="shared" si="1"/>
        <v>#DIV/0!</v>
      </c>
      <c r="W8" s="3791" t="s">
        <v>2901</v>
      </c>
      <c r="X8" s="3792"/>
      <c r="Y8" s="3085" t="s">
        <v>165</v>
      </c>
      <c r="Z8" s="3085" t="s">
        <v>166</v>
      </c>
      <c r="AA8" s="3085" t="s">
        <v>161</v>
      </c>
      <c r="AB8" s="3085" t="s">
        <v>162</v>
      </c>
      <c r="AC8" s="3085" t="s">
        <v>163</v>
      </c>
      <c r="AD8" s="3085" t="s">
        <v>164</v>
      </c>
      <c r="AE8" s="3085" t="s">
        <v>1182</v>
      </c>
      <c r="AF8" s="3085" t="s">
        <v>1183</v>
      </c>
      <c r="AG8" s="3085" t="s">
        <v>1184</v>
      </c>
      <c r="AH8" s="3085" t="s">
        <v>1185</v>
      </c>
      <c r="AI8" s="3085" t="s">
        <v>1186</v>
      </c>
      <c r="AJ8" s="3085" t="s">
        <v>1187</v>
      </c>
    </row>
    <row r="9" spans="1:36" ht="15">
      <c r="A9" s="3779"/>
      <c r="B9" s="1628" t="s">
        <v>1812</v>
      </c>
      <c r="C9" s="1653">
        <f>SUMIF(修正!C59:C119,C8,修正!E59:E119)</f>
        <v>0</v>
      </c>
      <c r="D9" s="532" t="s">
        <v>1148</v>
      </c>
      <c r="E9" s="532" t="e">
        <f>ROUND(C11/E7,4)</f>
        <v>#DIV/0!</v>
      </c>
      <c r="F9" s="1650" t="s">
        <v>1813</v>
      </c>
      <c r="G9" s="1651"/>
      <c r="H9" s="1651"/>
      <c r="I9" s="1651"/>
      <c r="J9" s="1652"/>
      <c r="K9" s="2378"/>
      <c r="L9" s="1882" t="s">
        <v>1549</v>
      </c>
      <c r="M9" s="2134">
        <f>SUMPRODUCT((区片价!B245:B289=I2)*(区片价!C3:F3=E2)*(区片价!C245:F289))</f>
        <v>0</v>
      </c>
      <c r="N9" s="2136">
        <f>SUMPRODUCT((因素修正幅度!B245:B289=I2)*(因素修正幅度!C3:F3=E2)*(因素修正幅度!C245:F289))</f>
        <v>0</v>
      </c>
      <c r="O9" s="2378"/>
      <c r="P9" s="2378"/>
      <c r="Q9" s="2378"/>
      <c r="R9" s="3073">
        <v>8</v>
      </c>
      <c r="S9" s="3074"/>
      <c r="T9" s="3073" t="e">
        <f t="shared" si="0"/>
        <v>#DIV/0!</v>
      </c>
      <c r="U9" s="3074"/>
      <c r="V9" s="3073" t="e">
        <f t="shared" si="1"/>
        <v>#DIV/0!</v>
      </c>
      <c r="W9" s="3793" t="s">
        <v>2902</v>
      </c>
      <c r="X9" s="3086" t="s">
        <v>1769</v>
      </c>
      <c r="Y9" s="3310"/>
      <c r="Z9" s="3087">
        <f>$Y$9</f>
        <v>0</v>
      </c>
      <c r="AA9" s="3087">
        <f t="shared" ref="AA9:AJ9" si="2">$Y$9</f>
        <v>0</v>
      </c>
      <c r="AB9" s="3087">
        <f t="shared" si="2"/>
        <v>0</v>
      </c>
      <c r="AC9" s="3087">
        <f t="shared" si="2"/>
        <v>0</v>
      </c>
      <c r="AD9" s="3087">
        <f t="shared" si="2"/>
        <v>0</v>
      </c>
      <c r="AE9" s="3087">
        <f t="shared" si="2"/>
        <v>0</v>
      </c>
      <c r="AF9" s="3087">
        <f t="shared" si="2"/>
        <v>0</v>
      </c>
      <c r="AG9" s="3087">
        <f t="shared" si="2"/>
        <v>0</v>
      </c>
      <c r="AH9" s="3087">
        <f t="shared" si="2"/>
        <v>0</v>
      </c>
      <c r="AI9" s="3087">
        <f t="shared" si="2"/>
        <v>0</v>
      </c>
      <c r="AJ9" s="3087">
        <f t="shared" si="2"/>
        <v>0</v>
      </c>
    </row>
    <row r="10" spans="1:36" ht="15">
      <c r="A10" s="3779"/>
      <c r="B10" s="1628" t="s">
        <v>1814</v>
      </c>
      <c r="C10" s="532">
        <f>SUMIF(修正!C59:C119,C8,修正!F59:F119)</f>
        <v>0</v>
      </c>
      <c r="D10" s="532" t="s">
        <v>1149</v>
      </c>
      <c r="E10" s="532" t="e">
        <f>ROUND(C11/E7,4)</f>
        <v>#DIV/0!</v>
      </c>
      <c r="F10" s="1650" t="s">
        <v>1815</v>
      </c>
      <c r="G10" s="1651"/>
      <c r="H10" s="1651"/>
      <c r="I10" s="1651"/>
      <c r="J10" s="1652"/>
      <c r="K10" s="2378"/>
      <c r="L10" s="1882" t="s">
        <v>1553</v>
      </c>
      <c r="M10" s="2134">
        <f>SUMPRODUCT((区片价!B290:B316=I2)*(区片价!C3:F3=E2)*(区片价!C290:F316))</f>
        <v>0</v>
      </c>
      <c r="N10" s="2136">
        <f>SUMPRODUCT((因素修正幅度!B290:B316=I2)*(因素修正幅度!C3:F3=E2)*(因素修正幅度!C290:F316))</f>
        <v>0</v>
      </c>
      <c r="O10" s="2378"/>
      <c r="P10" s="2378"/>
      <c r="Q10" s="2378"/>
      <c r="R10" s="3073">
        <v>9</v>
      </c>
      <c r="S10" s="3074"/>
      <c r="T10" s="3073" t="e">
        <f t="shared" si="0"/>
        <v>#DIV/0!</v>
      </c>
      <c r="U10" s="3074"/>
      <c r="V10" s="3073" t="e">
        <f t="shared" si="1"/>
        <v>#DIV/0!</v>
      </c>
      <c r="W10" s="3793"/>
      <c r="X10" s="3086">
        <v>7</v>
      </c>
      <c r="Y10" s="3088">
        <f>(-0.163*(Y9^2)-0.59*Y9+7617)*(10^(-4))</f>
        <v>0.76170000000000004</v>
      </c>
      <c r="Z10" s="3088">
        <f>(-0.163*(Z9^2)-0.59*Z9+7617)*(10^(-4))</f>
        <v>0.76170000000000004</v>
      </c>
      <c r="AA10" s="3088">
        <f>(-0.161*(AA9^2)-7.509*AA9+6533)*(10^(-4))</f>
        <v>0.65329999999999999</v>
      </c>
      <c r="AB10" s="3088">
        <f>(-0.161*(AB9^2)-7.509*AB9+6533)*(10^(-4))</f>
        <v>0.65329999999999999</v>
      </c>
      <c r="AC10" s="3088">
        <f>(-0.161*(AC9^2)-7.509*AC9+6533)*(10^(-4))</f>
        <v>0.65329999999999999</v>
      </c>
      <c r="AD10" s="3088">
        <f>(-0.161*(AD9^2)-7.509*AD9+6533)*(10^(-4))</f>
        <v>0.65329999999999999</v>
      </c>
      <c r="AE10" s="3088">
        <f>(-0.161*(AE9^2)-7.509*AE9+6533)*(10^(-4))</f>
        <v>0.65329999999999999</v>
      </c>
      <c r="AF10" s="3088">
        <f>(-0.214*(AF9^2)-21.991*AF9+4665)*(10^(-4))</f>
        <v>0.46650000000000003</v>
      </c>
      <c r="AG10" s="3088">
        <f>(-0.214*(AG9^2)-21.991*AG9+4665)*(10^(-4))</f>
        <v>0.46650000000000003</v>
      </c>
      <c r="AH10" s="3088">
        <f>(-0.214*(AH9^2)-21.991*AH9+4665)*(10^(-4))</f>
        <v>0.46650000000000003</v>
      </c>
      <c r="AI10" s="3088">
        <f>(-0.214*(AI9^2)-21.991*AI9+4665)*(10^(-4))</f>
        <v>0.46650000000000003</v>
      </c>
      <c r="AJ10" s="3088">
        <f>(-0.214*(AJ9^2)-21.991*AJ9+4665)*(10^(-4))</f>
        <v>0.46650000000000003</v>
      </c>
    </row>
    <row r="11" spans="1:36" ht="15.75" thickBot="1">
      <c r="A11" s="3779"/>
      <c r="B11" s="1654" t="s">
        <v>1816</v>
      </c>
      <c r="C11" s="1655">
        <f>C10/4</f>
        <v>0</v>
      </c>
      <c r="D11" s="1655" t="s">
        <v>1150</v>
      </c>
      <c r="E11" s="1655" t="e">
        <f>ROUND(C11/E7,4)</f>
        <v>#DIV/0!</v>
      </c>
      <c r="F11" s="1656" t="s">
        <v>1817</v>
      </c>
      <c r="G11" s="1657"/>
      <c r="H11" s="1657"/>
      <c r="I11" s="1657"/>
      <c r="J11" s="1658"/>
      <c r="K11" s="2378"/>
      <c r="L11" s="1882" t="s">
        <v>1952</v>
      </c>
      <c r="M11" s="2134">
        <f>SUMPRODUCT((区片价!B317:B337=I2)*(区片价!C3:F3=E2)*(区片价!C317:F337))</f>
        <v>0</v>
      </c>
      <c r="N11" s="2136">
        <f>SUMPRODUCT((因素修正幅度!B317:B337=I2)*(因素修正幅度!C3:F3=E2)*(因素修正幅度!C317:F337))</f>
        <v>0</v>
      </c>
      <c r="O11" s="2378"/>
      <c r="P11" s="2378"/>
      <c r="Q11" s="2378"/>
      <c r="R11" s="3073">
        <v>10</v>
      </c>
      <c r="S11" s="3074"/>
      <c r="T11" s="3073" t="e">
        <f t="shared" si="0"/>
        <v>#DIV/0!</v>
      </c>
      <c r="U11" s="3074"/>
      <c r="V11" s="3073" t="e">
        <f t="shared" si="1"/>
        <v>#DIV/0!</v>
      </c>
      <c r="W11" s="3793" t="s">
        <v>2903</v>
      </c>
      <c r="X11" s="3089" t="s">
        <v>2900</v>
      </c>
      <c r="Y11" s="3090">
        <f>$G$3</f>
        <v>1.36</v>
      </c>
      <c r="Z11" s="3090">
        <f t="shared" ref="Z11:AJ11" si="3">$G$3</f>
        <v>1.36</v>
      </c>
      <c r="AA11" s="3090">
        <f t="shared" si="3"/>
        <v>1.36</v>
      </c>
      <c r="AB11" s="3090">
        <f t="shared" si="3"/>
        <v>1.36</v>
      </c>
      <c r="AC11" s="3090">
        <f t="shared" si="3"/>
        <v>1.36</v>
      </c>
      <c r="AD11" s="3090">
        <f t="shared" si="3"/>
        <v>1.36</v>
      </c>
      <c r="AE11" s="3090">
        <f t="shared" si="3"/>
        <v>1.36</v>
      </c>
      <c r="AF11" s="3090">
        <f t="shared" si="3"/>
        <v>1.36</v>
      </c>
      <c r="AG11" s="3090">
        <f t="shared" si="3"/>
        <v>1.36</v>
      </c>
      <c r="AH11" s="3090">
        <f t="shared" si="3"/>
        <v>1.36</v>
      </c>
      <c r="AI11" s="3090">
        <f t="shared" si="3"/>
        <v>1.36</v>
      </c>
      <c r="AJ11" s="3090">
        <f t="shared" si="3"/>
        <v>1.36</v>
      </c>
    </row>
    <row r="12" spans="1:36" ht="26.25" thickBot="1">
      <c r="A12" s="3778" t="s">
        <v>1950</v>
      </c>
      <c r="B12" s="1659" t="s">
        <v>1818</v>
      </c>
      <c r="C12" s="1643">
        <f>ROUND(C15*D15*E15*F15*G15*H15*I15*J15,4)</f>
        <v>1</v>
      </c>
      <c r="D12" s="1660" t="s">
        <v>1819</v>
      </c>
      <c r="E12" s="1661"/>
      <c r="F12" s="1661"/>
      <c r="G12" s="1662"/>
      <c r="H12" s="1662"/>
      <c r="I12" s="1662"/>
      <c r="J12" s="1663"/>
      <c r="K12" s="2378"/>
      <c r="L12" s="1883" t="s">
        <v>1953</v>
      </c>
      <c r="M12" s="2135">
        <f>SUMPRODUCT((区片价!B338:B344=I2)*(区片价!C3:F3=E2)*(区片价!C338:F344))</f>
        <v>0</v>
      </c>
      <c r="N12" s="2136">
        <f>SUMPRODUCT((因素修正幅度!B338:B344=I2)*(因素修正幅度!C3:F3=E2)*(因素修正幅度!C338:F344))</f>
        <v>0</v>
      </c>
      <c r="O12" s="2378"/>
      <c r="P12" s="2378"/>
      <c r="Q12" s="2378"/>
      <c r="R12" s="3073">
        <v>11</v>
      </c>
      <c r="S12" s="3074"/>
      <c r="T12" s="3073" t="e">
        <f t="shared" si="0"/>
        <v>#DIV/0!</v>
      </c>
      <c r="U12" s="3074"/>
      <c r="V12" s="3073" t="e">
        <f t="shared" si="1"/>
        <v>#DIV/0!</v>
      </c>
      <c r="W12" s="3793"/>
      <c r="X12" s="3091" t="s">
        <v>1772</v>
      </c>
      <c r="Y12" s="3087">
        <f t="shared" ref="Y12:AJ12" si="4">Y9</f>
        <v>0</v>
      </c>
      <c r="Z12" s="3087">
        <f t="shared" si="4"/>
        <v>0</v>
      </c>
      <c r="AA12" s="3087">
        <f t="shared" si="4"/>
        <v>0</v>
      </c>
      <c r="AB12" s="3087">
        <f t="shared" si="4"/>
        <v>0</v>
      </c>
      <c r="AC12" s="3087">
        <f t="shared" si="4"/>
        <v>0</v>
      </c>
      <c r="AD12" s="3087">
        <f t="shared" si="4"/>
        <v>0</v>
      </c>
      <c r="AE12" s="3087">
        <f t="shared" si="4"/>
        <v>0</v>
      </c>
      <c r="AF12" s="3087">
        <f t="shared" si="4"/>
        <v>0</v>
      </c>
      <c r="AG12" s="3087">
        <f t="shared" si="4"/>
        <v>0</v>
      </c>
      <c r="AH12" s="3087">
        <f t="shared" si="4"/>
        <v>0</v>
      </c>
      <c r="AI12" s="3087">
        <f t="shared" si="4"/>
        <v>0</v>
      </c>
      <c r="AJ12" s="3087">
        <f t="shared" si="4"/>
        <v>0</v>
      </c>
    </row>
    <row r="13" spans="1:36" ht="24">
      <c r="A13" s="3798"/>
      <c r="B13" s="1664" t="s">
        <v>1820</v>
      </c>
      <c r="C13" s="1665" t="s">
        <v>1821</v>
      </c>
      <c r="D13" s="1666" t="s">
        <v>1822</v>
      </c>
      <c r="E13" s="1666" t="s">
        <v>1823</v>
      </c>
      <c r="F13" s="81" t="s">
        <v>1151</v>
      </c>
      <c r="G13" s="1785" t="s">
        <v>1874</v>
      </c>
      <c r="H13" s="1785" t="s">
        <v>1874</v>
      </c>
      <c r="I13" s="1785" t="s">
        <v>1874</v>
      </c>
      <c r="J13" s="1786" t="s">
        <v>1874</v>
      </c>
      <c r="K13" s="2378"/>
      <c r="L13" s="2378"/>
      <c r="M13" s="2378"/>
      <c r="N13" s="2378"/>
      <c r="O13" s="2378"/>
      <c r="P13" s="2378"/>
      <c r="Q13" s="2378"/>
      <c r="R13" s="3073">
        <v>12</v>
      </c>
      <c r="S13" s="3074"/>
      <c r="T13" s="3073" t="e">
        <f t="shared" si="0"/>
        <v>#DIV/0!</v>
      </c>
      <c r="U13" s="3074"/>
      <c r="V13" s="3073" t="e">
        <f t="shared" si="1"/>
        <v>#DIV/0!</v>
      </c>
      <c r="W13" s="3793"/>
      <c r="X13" s="3091"/>
      <c r="Y13" s="3088">
        <f>(-0.163*(Y12^2)-0.59*Y12+7617)*(10^(-4))/Y11</f>
        <v>0.56007352941176469</v>
      </c>
      <c r="Z13" s="3088">
        <f t="shared" ref="Z13:AJ13" si="5">(-0.163*(Z12^2)-0.59*Z12+7617)*(10^(-4))/Z11</f>
        <v>0.56007352941176469</v>
      </c>
      <c r="AA13" s="3088">
        <f t="shared" si="5"/>
        <v>0.56007352941176469</v>
      </c>
      <c r="AB13" s="3088">
        <f t="shared" si="5"/>
        <v>0.56007352941176469</v>
      </c>
      <c r="AC13" s="3088">
        <f t="shared" si="5"/>
        <v>0.56007352941176469</v>
      </c>
      <c r="AD13" s="3088">
        <f t="shared" si="5"/>
        <v>0.56007352941176469</v>
      </c>
      <c r="AE13" s="3088">
        <f t="shared" si="5"/>
        <v>0.56007352941176469</v>
      </c>
      <c r="AF13" s="3088">
        <f t="shared" si="5"/>
        <v>0.56007352941176469</v>
      </c>
      <c r="AG13" s="3088">
        <f t="shared" si="5"/>
        <v>0.56007352941176469</v>
      </c>
      <c r="AH13" s="3088">
        <f t="shared" si="5"/>
        <v>0.56007352941176469</v>
      </c>
      <c r="AI13" s="3088">
        <f t="shared" si="5"/>
        <v>0.56007352941176469</v>
      </c>
      <c r="AJ13" s="3088">
        <f t="shared" si="5"/>
        <v>0.56007352941176469</v>
      </c>
    </row>
    <row r="14" spans="1:36" ht="15">
      <c r="A14" s="3798"/>
      <c r="B14" s="1667"/>
      <c r="C14" s="1787"/>
      <c r="D14" s="1484"/>
      <c r="E14" s="1484"/>
      <c r="F14" s="1788"/>
      <c r="G14" s="1668" t="s">
        <v>1851</v>
      </c>
      <c r="H14" s="1669"/>
      <c r="I14" s="1670"/>
      <c r="J14" s="1671"/>
      <c r="K14" s="2378"/>
      <c r="L14" s="2378"/>
      <c r="M14" s="2378"/>
      <c r="N14" s="2378"/>
      <c r="O14" s="2378"/>
      <c r="P14" s="2378"/>
      <c r="Q14" s="2378"/>
      <c r="R14" s="3073">
        <v>13</v>
      </c>
      <c r="S14" s="3074"/>
      <c r="T14" s="3073" t="e">
        <f t="shared" si="0"/>
        <v>#DIV/0!</v>
      </c>
      <c r="U14" s="3074"/>
      <c r="V14" s="3073" t="e">
        <f t="shared" si="1"/>
        <v>#DIV/0!</v>
      </c>
      <c r="W14" s="3069"/>
      <c r="X14" s="3069"/>
      <c r="Y14" s="3069"/>
      <c r="Z14" s="3069"/>
      <c r="AA14" s="3069"/>
      <c r="AB14" s="3069"/>
      <c r="AC14" s="3070"/>
      <c r="AD14" s="3071"/>
      <c r="AE14" s="3071"/>
      <c r="AF14" s="3071"/>
      <c r="AG14" s="3071"/>
      <c r="AH14" s="3071"/>
      <c r="AI14" s="3071"/>
      <c r="AJ14" s="3072"/>
    </row>
    <row r="15" spans="1:36" ht="15.75" thickBot="1">
      <c r="A15" s="3799"/>
      <c r="B15" s="1672" t="s">
        <v>1824</v>
      </c>
      <c r="C15" s="561">
        <f>IF(C14="有",1.1,1)</f>
        <v>1</v>
      </c>
      <c r="D15" s="561">
        <f>IF(D14="有",1.1,1)</f>
        <v>1</v>
      </c>
      <c r="E15" s="561">
        <f>IF(E14="有",1.1,1)</f>
        <v>1</v>
      </c>
      <c r="F15" s="561">
        <f>IF(F14="500米范围内",1.2,IF(F14="500-1000米",1.1,1))</f>
        <v>1</v>
      </c>
      <c r="G15" s="1789">
        <v>1</v>
      </c>
      <c r="H15" s="1789">
        <v>1</v>
      </c>
      <c r="I15" s="1789">
        <v>1</v>
      </c>
      <c r="J15" s="1790">
        <v>1</v>
      </c>
      <c r="K15" s="2378"/>
      <c r="L15" s="1703" t="s">
        <v>1840</v>
      </c>
      <c r="M15" s="1704" t="s">
        <v>1841</v>
      </c>
      <c r="N15" s="1704" t="s">
        <v>1842</v>
      </c>
      <c r="O15" s="1704" t="s">
        <v>982</v>
      </c>
      <c r="P15" s="1705" t="s">
        <v>1843</v>
      </c>
      <c r="Q15" s="2378"/>
      <c r="R15" s="3073">
        <v>14</v>
      </c>
      <c r="S15" s="3074"/>
      <c r="T15" s="3073" t="e">
        <f t="shared" si="0"/>
        <v>#DIV/0!</v>
      </c>
      <c r="U15" s="3074"/>
      <c r="V15" s="3073" t="e">
        <f t="shared" si="1"/>
        <v>#DIV/0!</v>
      </c>
      <c r="W15" s="3069"/>
      <c r="X15" s="3069"/>
      <c r="Y15" s="3069"/>
      <c r="Z15" s="3069"/>
      <c r="AA15" s="3069"/>
      <c r="AB15" s="3069"/>
      <c r="AC15" s="3070"/>
      <c r="AD15" s="3071"/>
      <c r="AE15" s="3071"/>
      <c r="AF15" s="3071"/>
      <c r="AG15" s="3071"/>
      <c r="AH15" s="3071"/>
      <c r="AI15" s="3071"/>
      <c r="AJ15" s="3072"/>
    </row>
    <row r="16" spans="1:36" ht="24">
      <c r="A16" s="3778" t="s">
        <v>1951</v>
      </c>
      <c r="B16" s="1642" t="s">
        <v>1825</v>
      </c>
      <c r="C16" s="1775" t="e">
        <f>ROUND(SUM(G17:J17)/C17,0)</f>
        <v>#DIV/0!</v>
      </c>
      <c r="D16" s="1673" t="s">
        <v>1826</v>
      </c>
      <c r="E16" s="1791"/>
      <c r="F16" s="1792"/>
      <c r="G16" s="1793"/>
      <c r="H16" s="1793"/>
      <c r="I16" s="1793"/>
      <c r="J16" s="1794"/>
      <c r="K16" s="2378"/>
      <c r="L16" s="1709" t="s">
        <v>1845</v>
      </c>
      <c r="M16" s="1653">
        <v>0.25</v>
      </c>
      <c r="N16" s="1653">
        <v>0.2</v>
      </c>
      <c r="O16" s="1653">
        <v>0.15</v>
      </c>
      <c r="P16" s="2728">
        <v>0.1</v>
      </c>
      <c r="Q16" s="2729"/>
      <c r="R16" s="3073">
        <v>15</v>
      </c>
      <c r="S16" s="3074"/>
      <c r="T16" s="3073" t="e">
        <f t="shared" si="0"/>
        <v>#DIV/0!</v>
      </c>
      <c r="U16" s="3074"/>
      <c r="V16" s="3073" t="e">
        <f t="shared" si="1"/>
        <v>#DIV/0!</v>
      </c>
      <c r="W16" s="3081"/>
      <c r="X16" s="3081"/>
      <c r="Y16" s="3081"/>
      <c r="Z16" s="3081"/>
      <c r="AA16" s="3081"/>
      <c r="AB16" s="3081"/>
      <c r="AC16" s="3082"/>
      <c r="AD16" s="3071"/>
      <c r="AE16" s="3071"/>
      <c r="AF16" s="3071"/>
      <c r="AG16" s="3071"/>
      <c r="AH16" s="3071"/>
      <c r="AI16" s="3071"/>
      <c r="AJ16" s="3072"/>
    </row>
    <row r="17" spans="1:37" ht="13.5" thickBot="1">
      <c r="A17" s="3779"/>
      <c r="B17" s="1674" t="s">
        <v>1827</v>
      </c>
      <c r="C17" s="1675">
        <f>SUMPRODUCT((修正!A2:A5=E2)*(修正!B1:M1=G2)*(修正!B2:M5))</f>
        <v>0</v>
      </c>
      <c r="D17" s="1676" t="s">
        <v>1828</v>
      </c>
      <c r="E17" s="1746" t="str">
        <f>IF(OR(G2="八级",G2="九级",G2="十级",G2="十一级",G2="十二级"),"五通一平","七通一平")</f>
        <v>七通一平</v>
      </c>
      <c r="F17" s="1677" t="s">
        <v>1829</v>
      </c>
      <c r="G17" s="1675">
        <f>SUMPRODUCT((七通一平=G16)*(修正!B1:M1=G2)*(修正!B6:M14))</f>
        <v>0</v>
      </c>
      <c r="H17" s="1675">
        <f>SUMPRODUCT((七通一平=H16)*(修正!B1:M1=G2)*(修正!B6:M14))</f>
        <v>0</v>
      </c>
      <c r="I17" s="1675">
        <f>SUMPRODUCT((七通一平=I16)*(修正!B1:M1=G2)*(修正!B6:M14))</f>
        <v>0</v>
      </c>
      <c r="J17" s="1678">
        <f>SUMPRODUCT((七通一平=J16)*(修正!B1:M1=G2)*(修正!B6:M14))</f>
        <v>0</v>
      </c>
      <c r="K17" s="2378"/>
      <c r="L17" s="1716" t="s">
        <v>1834</v>
      </c>
      <c r="M17" s="543">
        <f ca="1">ROUND($E$20*(1+M16),3)</f>
        <v>5.3999999999999999E-2</v>
      </c>
      <c r="N17" s="543">
        <f ca="1">ROUND($E$20*(1+N16),3)</f>
        <v>5.1999999999999998E-2</v>
      </c>
      <c r="O17" s="543">
        <f ca="1">ROUND($E$20*(1+O16),3)</f>
        <v>0.05</v>
      </c>
      <c r="P17" s="2732">
        <f ca="1">ROUND($E$20*(1+P16),3)</f>
        <v>4.8000000000000001E-2</v>
      </c>
      <c r="Q17" s="2729"/>
      <c r="R17" s="2729"/>
      <c r="S17" s="2729"/>
      <c r="T17" s="2729"/>
      <c r="U17" s="2729"/>
      <c r="V17" s="2729"/>
      <c r="W17" s="2729"/>
      <c r="X17" s="2729"/>
      <c r="Y17" s="2729"/>
      <c r="Z17" s="2730"/>
      <c r="AA17" s="2731"/>
      <c r="AB17" s="2731"/>
      <c r="AC17" s="2731"/>
      <c r="AD17" s="2731"/>
      <c r="AE17" s="1621"/>
      <c r="AF17" s="1621"/>
      <c r="AG17" s="1624"/>
      <c r="AH17" s="1624"/>
      <c r="AI17" s="1624"/>
      <c r="AJ17" s="1624"/>
    </row>
    <row r="18" spans="1:37" s="1635" customFormat="1" ht="15.75" thickBot="1">
      <c r="A18" s="1876" t="s">
        <v>1943</v>
      </c>
      <c r="B18" s="1679" t="s">
        <v>1830</v>
      </c>
      <c r="C18" s="1680">
        <f>SUMIF(修正!C18:C39,E3,修正!E18:E39)</f>
        <v>0</v>
      </c>
      <c r="D18" s="1681"/>
      <c r="E18" s="1682"/>
      <c r="F18" s="1683"/>
      <c r="G18" s="1684"/>
      <c r="H18" s="1684"/>
      <c r="I18" s="1684"/>
      <c r="J18" s="1685"/>
      <c r="K18" s="2385"/>
      <c r="O18" s="2734"/>
      <c r="P18" s="2734"/>
      <c r="Q18" s="2735"/>
      <c r="R18" s="2735"/>
      <c r="S18" s="2735"/>
      <c r="T18" s="2730"/>
      <c r="U18" s="2730"/>
      <c r="V18" s="2730"/>
      <c r="W18" s="2729"/>
      <c r="X18" s="2729"/>
      <c r="Y18" s="2729"/>
      <c r="Z18" s="2736"/>
      <c r="AA18" s="2737"/>
      <c r="AB18" s="2737"/>
      <c r="AC18" s="2737"/>
      <c r="AD18" s="2737"/>
      <c r="AE18" s="1622"/>
      <c r="AF18" s="1622"/>
      <c r="AG18" s="1623"/>
      <c r="AH18" s="1623"/>
      <c r="AI18" s="1623"/>
    </row>
    <row r="19" spans="1:37" s="1635" customFormat="1" ht="27.75" thickBot="1">
      <c r="A19" s="1876" t="s">
        <v>1944</v>
      </c>
      <c r="B19" s="1679" t="s">
        <v>1831</v>
      </c>
      <c r="C19" s="1688" t="e">
        <f>ROUND(IF(H19="按公示增长率计算",SUMPRODUCT((地价!A3:A19=YEAR(G19)&amp;"-"&amp;ROUNDUP(MONTH(G19)/3,0))*(地价!X2:AB2=E2)*(地价!X3:AB19)),IF(H19="地价指数",M20/M19,(1+I19)^O19)),4)</f>
        <v>#DIV/0!</v>
      </c>
      <c r="D19" s="1689" t="s">
        <v>1152</v>
      </c>
      <c r="E19" s="1690">
        <v>41640</v>
      </c>
      <c r="F19" s="1689" t="s">
        <v>1153</v>
      </c>
      <c r="G19" s="1691">
        <f>'数据-取费表'!B2</f>
        <v>42958</v>
      </c>
      <c r="H19" s="3015" t="s">
        <v>2962</v>
      </c>
      <c r="I19" s="1692" t="str">
        <f>IF(H19="季度增幅（自定义）",SUMIF(N21:N24,E2,O21:O24),"")</f>
        <v/>
      </c>
      <c r="J19" s="1685"/>
      <c r="K19" s="2385"/>
      <c r="L19" s="3241" t="s">
        <v>2960</v>
      </c>
      <c r="M19" s="3243">
        <f>ROUND(SUMIF(地价!B2:F2,E2,地价!B19:F19),0)</f>
        <v>0</v>
      </c>
      <c r="N19" s="3239" t="s">
        <v>1876</v>
      </c>
      <c r="O19" s="1693">
        <f>ROUNDDOWN(DATEDIF(E19,G19,"M")/3,0)</f>
        <v>14</v>
      </c>
      <c r="P19" s="2733"/>
      <c r="Q19" s="2735"/>
      <c r="R19" s="2735"/>
      <c r="S19" s="2735"/>
      <c r="T19" s="2730"/>
      <c r="U19" s="2730"/>
      <c r="V19" s="2730"/>
      <c r="W19" s="2729"/>
      <c r="X19" s="2729"/>
      <c r="Y19" s="2729"/>
      <c r="Z19" s="2736"/>
      <c r="AA19" s="2737"/>
      <c r="AB19" s="2737"/>
      <c r="AC19" s="2737"/>
      <c r="AD19" s="2737"/>
      <c r="AE19" s="1686"/>
      <c r="AF19" s="1687"/>
      <c r="AG19" s="1694"/>
      <c r="AH19" s="1623"/>
      <c r="AI19" s="1634"/>
      <c r="AJ19" s="1634"/>
      <c r="AK19" s="1634"/>
    </row>
    <row r="20" spans="1:37" s="1635" customFormat="1" ht="27.75" thickBot="1">
      <c r="A20" s="1877" t="s">
        <v>1945</v>
      </c>
      <c r="B20" s="1748" t="s">
        <v>1832</v>
      </c>
      <c r="C20" s="1695" t="e">
        <f>ROUND(POWER(1+G20,J20-I20)*(POWER(1+G20,I20)-1)/(POWER(1+G20,J20)-1),4)</f>
        <v>#DIV/0!</v>
      </c>
      <c r="D20" s="1749" t="s">
        <v>1833</v>
      </c>
      <c r="E20" s="3298">
        <f ca="1">存贷款利率!D4/100</f>
        <v>4.3499999999999997E-2</v>
      </c>
      <c r="F20" s="1749" t="s">
        <v>1834</v>
      </c>
      <c r="G20" s="1750">
        <f>SUMIF(M15:P15,E2,M17:P17)</f>
        <v>0</v>
      </c>
      <c r="H20" s="1749" t="s">
        <v>1835</v>
      </c>
      <c r="I20" s="1751" t="e">
        <f>SUMIF('数据-取费表'!C6:C15,E2,'数据-取费表'!F6:F15)/COUNTIF('数据-取费表'!C6:C15,E2)</f>
        <v>#DIV/0!</v>
      </c>
      <c r="J20" s="1752">
        <f>IF(E2="住宅",70,IF(E2="商业",40,50))</f>
        <v>50</v>
      </c>
      <c r="K20" s="2385"/>
      <c r="L20" s="3242" t="s">
        <v>2961</v>
      </c>
      <c r="M20" s="3244">
        <f>ROUND(SUMPRODUCT((地价!A4:A19=YEAR(G19)&amp;"-"&amp;ROUNDUP(MONTH(G19)/3,0))*(地价!B2:F2=E2)*(地价!B4:F19)),0)</f>
        <v>0</v>
      </c>
      <c r="N20" s="3240" t="s">
        <v>2789</v>
      </c>
      <c r="O20" s="3016" t="s">
        <v>2790</v>
      </c>
      <c r="P20" s="3017" t="s">
        <v>2799</v>
      </c>
      <c r="R20" s="2735"/>
      <c r="S20" s="2735"/>
      <c r="T20" s="2730"/>
      <c r="U20" s="2730"/>
      <c r="V20" s="2730"/>
      <c r="W20" s="2729"/>
      <c r="X20" s="2729"/>
      <c r="Y20" s="2729"/>
      <c r="Z20" s="2736"/>
      <c r="AA20" s="2737"/>
      <c r="AB20" s="2737"/>
      <c r="AC20" s="2737"/>
      <c r="AD20" s="2737"/>
      <c r="AE20" s="1686"/>
      <c r="AF20" s="1686"/>
    </row>
    <row r="21" spans="1:37" s="1635" customFormat="1" ht="14.25">
      <c r="A21" s="1878" t="s">
        <v>1946</v>
      </c>
      <c r="B21" s="1795" t="s">
        <v>2503</v>
      </c>
      <c r="C21" s="1753">
        <f>IF(B21="容积率修正",IF(G3&lt;=10,D22,J22),C23)</f>
        <v>0</v>
      </c>
      <c r="D21" s="1754"/>
      <c r="E21" s="1754"/>
      <c r="F21" s="1754"/>
      <c r="G21" s="1754"/>
      <c r="H21" s="1754"/>
      <c r="I21" s="1754"/>
      <c r="J21" s="1755"/>
      <c r="K21" s="2385"/>
      <c r="N21" s="3018" t="s">
        <v>2791</v>
      </c>
      <c r="O21" s="3019"/>
      <c r="P21" s="3020">
        <f>SUMPRODUCT((地价!A3:A19=YEAR(G19)&amp;"-"&amp;ROUNDUP(MONTH(G19)/3,0))*(地价!AD2:AH2=N21)*(地价!AD3:AH19))</f>
        <v>1.6E-2</v>
      </c>
      <c r="R21" s="2735"/>
      <c r="S21" s="2735"/>
      <c r="T21" s="2730"/>
      <c r="U21" s="2730"/>
      <c r="V21" s="2730"/>
      <c r="W21" s="2729"/>
      <c r="X21" s="2729"/>
      <c r="Y21" s="2729"/>
      <c r="Z21" s="2736"/>
      <c r="AA21" s="2737"/>
      <c r="AB21" s="2737"/>
      <c r="AC21" s="2737"/>
      <c r="AD21" s="2737"/>
      <c r="AE21" s="1686"/>
      <c r="AF21" s="1686"/>
    </row>
    <row r="22" spans="1:37" s="1635" customFormat="1" ht="14.25">
      <c r="A22" s="190" t="s">
        <v>1949</v>
      </c>
      <c r="B22" s="1697" t="s">
        <v>1836</v>
      </c>
      <c r="C22" s="1776" t="s">
        <v>1849</v>
      </c>
      <c r="D22" s="1776">
        <f>IF(E22=G22,F22,IF(G3&lt;=10,ROUND(F22+(H22-F22)*(G3-E22)/(G22-E22),4),"——"))</f>
        <v>0</v>
      </c>
      <c r="E22" s="1627">
        <f>ROUNDDOWN(G3,1)</f>
        <v>1.3</v>
      </c>
      <c r="F22" s="177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7">
        <f>ROUNDUP(G3,1)</f>
        <v>1.4000000000000001</v>
      </c>
      <c r="H22" s="177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6" t="s">
        <v>1166</v>
      </c>
      <c r="J22" s="1756" t="str">
        <f>IF(G3&gt;10,D113,"——")</f>
        <v>——</v>
      </c>
      <c r="K22" s="2385"/>
      <c r="N22" s="3018" t="s">
        <v>2792</v>
      </c>
      <c r="O22" s="3019"/>
      <c r="P22" s="3020">
        <f>SUMPRODUCT((地价!A3:A19=YEAR(G19)&amp;"-"&amp;ROUNDUP(MONTH(G19)/3,0))*(地价!AD2:AH2=N22)*(地价!AD3:AH19))</f>
        <v>1.6E-2</v>
      </c>
      <c r="R22" s="2735"/>
      <c r="S22" s="2735"/>
      <c r="T22" s="2730"/>
      <c r="U22" s="2730"/>
      <c r="V22" s="2730"/>
      <c r="W22" s="2729"/>
      <c r="X22" s="2729"/>
      <c r="Y22" s="2729"/>
      <c r="Z22" s="2736"/>
      <c r="AA22" s="2737"/>
      <c r="AB22" s="2737"/>
      <c r="AC22" s="2737"/>
      <c r="AD22" s="2737"/>
      <c r="AE22" s="1686"/>
      <c r="AF22" s="1686"/>
    </row>
    <row r="23" spans="1:37" ht="27.75" thickBot="1">
      <c r="A23" s="190" t="s">
        <v>1950</v>
      </c>
      <c r="B23" s="1868" t="s">
        <v>1837</v>
      </c>
      <c r="C23" s="1869">
        <f>ROUND(IF(G3&gt;1,IF(I3&lt;7,SUMPRODUCT((B93:B98=I3)*(C92:N92=G2)*(C93:N98)),SUMIF(C92:N92,G2,C100:N100)),IF(I3&lt;7,SUMPRODUCT((B102:B107=I3)*(C92:N92=G2)*(C102:N107)),SUMIF(C92:N92,G2,C109:N109))),4)</f>
        <v>0</v>
      </c>
      <c r="D23" s="1669"/>
      <c r="E23" s="1669"/>
      <c r="F23" s="1698"/>
      <c r="G23" s="1699"/>
      <c r="H23" s="1870"/>
      <c r="I23" s="1871"/>
      <c r="J23" s="1872"/>
      <c r="K23" s="2378"/>
      <c r="N23" s="3018" t="s">
        <v>40</v>
      </c>
      <c r="O23" s="3019"/>
      <c r="P23" s="3020">
        <f>SUMPRODUCT((地价!A3:A19=YEAR(G19)&amp;"-"&amp;ROUNDUP(MONTH(G19)/3,0))*(地价!AD2:AH2=N23)*(地价!AD3:AH19))</f>
        <v>2.75E-2</v>
      </c>
      <c r="R23" s="2735"/>
      <c r="S23" s="2735"/>
      <c r="T23" s="2730"/>
      <c r="U23" s="2730"/>
      <c r="V23" s="2730"/>
      <c r="W23" s="2729"/>
      <c r="X23" s="2729"/>
      <c r="Y23" s="2729"/>
      <c r="Z23" s="2736"/>
      <c r="AA23" s="2737"/>
      <c r="AB23" s="2737"/>
      <c r="AC23" s="2737"/>
      <c r="AD23" s="2737"/>
      <c r="AK23" s="1623"/>
    </row>
    <row r="24" spans="1:37" s="1635" customFormat="1" ht="15.75" thickBot="1">
      <c r="A24" s="1877" t="s">
        <v>1947</v>
      </c>
      <c r="B24" s="1679" t="s">
        <v>1838</v>
      </c>
      <c r="C24" s="1688">
        <f>SUMIF(A45:A88,E2,B45:B88)</f>
        <v>0</v>
      </c>
      <c r="D24" s="1683"/>
      <c r="E24" s="1873"/>
      <c r="F24" s="1873"/>
      <c r="G24" s="1873"/>
      <c r="H24" s="1873"/>
      <c r="I24" s="1873"/>
      <c r="J24" s="1874"/>
      <c r="K24" s="2385"/>
      <c r="N24" s="3021" t="s">
        <v>39</v>
      </c>
      <c r="O24" s="3022"/>
      <c r="P24" s="3023">
        <f>SUMPRODUCT((地价!A3:A19=YEAR(G19)&amp;"-"&amp;ROUNDUP(MONTH(G19)/3,0))*(地价!AD2:AH2=N24)*(地价!AD3:AH19))</f>
        <v>1.37E-2</v>
      </c>
      <c r="R24" s="2735"/>
      <c r="S24" s="2735"/>
      <c r="T24" s="2730"/>
      <c r="U24" s="2730"/>
      <c r="V24" s="2730"/>
      <c r="W24" s="2729"/>
      <c r="X24" s="2729"/>
      <c r="Y24" s="2729"/>
      <c r="Z24" s="2736"/>
      <c r="AA24" s="2737"/>
      <c r="AB24" s="2737"/>
      <c r="AC24" s="2737"/>
      <c r="AD24" s="2737"/>
      <c r="AE24" s="1686"/>
      <c r="AF24" s="1686"/>
    </row>
    <row r="25" spans="1:37" ht="15" thickBot="1">
      <c r="A25" s="1877" t="s">
        <v>1948</v>
      </c>
      <c r="B25" s="1700" t="s">
        <v>1839</v>
      </c>
      <c r="C25" s="1701"/>
      <c r="D25" s="1646"/>
      <c r="E25" s="1646"/>
      <c r="F25" s="1702"/>
      <c r="G25" s="1646"/>
      <c r="H25" s="1646"/>
      <c r="I25" s="1646"/>
      <c r="J25" s="1647"/>
      <c r="K25" s="2378"/>
      <c r="N25" s="3025" t="s">
        <v>2793</v>
      </c>
      <c r="O25" s="3024"/>
      <c r="P25" s="3023">
        <f>SUMPRODUCT((地价!A3:A19=YEAR(G19)&amp;"-"&amp;ROUNDUP(MONTH(G19)/3,0))*(地价!AD2:AH2=N25)*(地价!AD3:AH19))</f>
        <v>2.46E-2</v>
      </c>
      <c r="R25" s="2735"/>
      <c r="S25" s="2735"/>
      <c r="T25" s="2730"/>
      <c r="U25" s="2730"/>
      <c r="V25" s="2730"/>
      <c r="W25" s="2729"/>
      <c r="X25" s="2729"/>
      <c r="Y25" s="2729"/>
      <c r="Z25" s="2736"/>
      <c r="AA25" s="2737"/>
      <c r="AB25" s="2737"/>
      <c r="AC25" s="2737"/>
      <c r="AD25" s="2737"/>
    </row>
    <row r="26" spans="1:37" ht="14.25">
      <c r="A26" s="1880"/>
      <c r="B26" s="1697" t="s">
        <v>1870</v>
      </c>
      <c r="C26" s="538" t="e">
        <f>E29+SUM(E33:E39)</f>
        <v>#DIV/0!</v>
      </c>
      <c r="D26" s="1706"/>
      <c r="E26" s="1669"/>
      <c r="F26" s="1707"/>
      <c r="G26" s="1669"/>
      <c r="H26" s="1669"/>
      <c r="I26" s="1669"/>
      <c r="J26" s="1708"/>
      <c r="K26" s="2378"/>
      <c r="R26" s="2735"/>
      <c r="S26" s="2735"/>
      <c r="T26" s="2730"/>
      <c r="U26" s="2730"/>
      <c r="V26" s="2730"/>
      <c r="W26" s="2729"/>
      <c r="X26" s="2729"/>
      <c r="Y26" s="2729"/>
      <c r="Z26" s="2736"/>
      <c r="AA26" s="2737"/>
      <c r="AB26" s="2737"/>
      <c r="AC26" s="2737"/>
      <c r="AD26" s="2737"/>
    </row>
    <row r="27" spans="1:37" ht="15" thickBot="1">
      <c r="A27" s="1880"/>
      <c r="B27" s="1710" t="s">
        <v>1871</v>
      </c>
      <c r="C27" s="1711" t="e">
        <f>E30+SUM(I33:I39)</f>
        <v>#DIV/0!</v>
      </c>
      <c r="D27" s="1712"/>
      <c r="E27" s="1713"/>
      <c r="F27" s="1714"/>
      <c r="G27" s="1713"/>
      <c r="H27" s="1713"/>
      <c r="I27" s="1713"/>
      <c r="J27" s="1715"/>
      <c r="K27" s="2378"/>
      <c r="L27" s="2378"/>
      <c r="M27" s="2378"/>
      <c r="N27" s="2378"/>
      <c r="O27" s="2734"/>
      <c r="P27" s="2734"/>
      <c r="Q27" s="2735"/>
      <c r="R27" s="2735"/>
      <c r="S27" s="2735"/>
      <c r="T27" s="2730"/>
      <c r="U27" s="2730"/>
      <c r="V27" s="2730"/>
      <c r="W27" s="2729"/>
      <c r="X27" s="2729"/>
      <c r="Y27" s="2729"/>
      <c r="Z27" s="2736"/>
      <c r="AA27" s="2737"/>
      <c r="AB27" s="2737"/>
      <c r="AC27" s="2737"/>
      <c r="AD27" s="2737"/>
    </row>
    <row r="28" spans="1:37" ht="14.25">
      <c r="A28" s="1867"/>
      <c r="B28" s="1717" t="s">
        <v>1869</v>
      </c>
      <c r="C28" s="1718" t="s">
        <v>1844</v>
      </c>
      <c r="D28" s="1718" t="s">
        <v>1860</v>
      </c>
      <c r="E28" s="1719" t="s">
        <v>1861</v>
      </c>
      <c r="F28" s="1720"/>
      <c r="G28" s="1662"/>
      <c r="H28" s="1662"/>
      <c r="I28" s="1662"/>
      <c r="J28" s="1663"/>
      <c r="K28" s="2378"/>
      <c r="L28" s="2378"/>
      <c r="M28" s="2378"/>
      <c r="N28" s="2378"/>
      <c r="O28" s="2734"/>
      <c r="P28" s="2734"/>
      <c r="Q28" s="2735"/>
      <c r="R28" s="2735"/>
      <c r="S28" s="2735"/>
      <c r="T28" s="2730"/>
      <c r="U28" s="2730"/>
      <c r="V28" s="2730"/>
      <c r="W28" s="2729"/>
      <c r="X28" s="2729"/>
      <c r="Y28" s="2729"/>
      <c r="Z28" s="2736"/>
      <c r="AA28" s="2737"/>
      <c r="AB28" s="2737"/>
      <c r="AC28" s="2737"/>
      <c r="AD28" s="2737"/>
    </row>
    <row r="29" spans="1:37" ht="24">
      <c r="A29" s="1777"/>
      <c r="B29" s="1721" t="s">
        <v>1864</v>
      </c>
      <c r="C29" s="538" t="e">
        <f>ROUND(C5*C18*C19*C20*C21*C24,0)</f>
        <v>#DIV/0!</v>
      </c>
      <c r="D29" s="1744"/>
      <c r="E29" s="1778" t="e">
        <f>ROUND(C29*D29/10000,0)</f>
        <v>#DIV/0!</v>
      </c>
      <c r="F29" s="1722" t="s">
        <v>1846</v>
      </c>
      <c r="G29" s="1723"/>
      <c r="H29" s="1723"/>
      <c r="I29" s="1723"/>
      <c r="J29" s="1724"/>
      <c r="K29" s="2378"/>
      <c r="L29" s="2378"/>
      <c r="M29" s="2378"/>
      <c r="N29" s="2378"/>
      <c r="O29" s="2734"/>
      <c r="P29" s="2734"/>
      <c r="Q29" s="2735"/>
      <c r="R29" s="2735"/>
      <c r="S29" s="2735"/>
      <c r="T29" s="2730"/>
      <c r="U29" s="2730"/>
      <c r="V29" s="2730"/>
      <c r="W29" s="2729"/>
      <c r="X29" s="2729"/>
      <c r="Y29" s="2729"/>
      <c r="Z29" s="2736"/>
      <c r="AA29" s="2737"/>
      <c r="AB29" s="2737"/>
      <c r="AC29" s="2737"/>
      <c r="AD29" s="2737"/>
      <c r="AE29" s="1621"/>
      <c r="AF29" s="1621"/>
      <c r="AG29" s="1624"/>
      <c r="AH29" s="1624"/>
      <c r="AI29" s="1624"/>
      <c r="AJ29" s="1624"/>
    </row>
    <row r="30" spans="1:37" ht="24.75" thickBot="1">
      <c r="A30" s="1725"/>
      <c r="B30" s="1726" t="s">
        <v>1865</v>
      </c>
      <c r="C30" s="561" t="e">
        <f>ROUND(IF(E2="工业",C29*M39,C29*M38),0)</f>
        <v>#DIV/0!</v>
      </c>
      <c r="D30" s="1745"/>
      <c r="E30" s="1778" t="e">
        <f>ROUND(C30*D30/10000,0)</f>
        <v>#DIV/0!</v>
      </c>
      <c r="F30" s="1727" t="s">
        <v>1862</v>
      </c>
      <c r="G30" s="1728"/>
      <c r="H30" s="1728"/>
      <c r="I30" s="1728"/>
      <c r="J30" s="1729"/>
      <c r="K30" s="2378"/>
      <c r="L30" s="2378"/>
      <c r="M30" s="2378"/>
      <c r="N30" s="2378"/>
      <c r="O30" s="2734"/>
      <c r="P30" s="2734"/>
      <c r="Q30" s="2735"/>
      <c r="R30" s="2735"/>
      <c r="S30" s="2735"/>
      <c r="T30" s="2730"/>
      <c r="U30" s="2730"/>
      <c r="V30" s="2730"/>
      <c r="W30" s="2729"/>
      <c r="X30" s="2729"/>
      <c r="Y30" s="2729"/>
      <c r="Z30" s="2736"/>
      <c r="AA30" s="2737"/>
      <c r="AB30" s="2737"/>
      <c r="AC30" s="2737"/>
      <c r="AD30" s="2737"/>
      <c r="AE30" s="1621"/>
      <c r="AF30" s="1621"/>
      <c r="AG30" s="1624"/>
      <c r="AH30" s="1624"/>
      <c r="AI30" s="1624"/>
      <c r="AJ30" s="1624"/>
    </row>
    <row r="31" spans="1:37" ht="14.25">
      <c r="A31" s="1730"/>
      <c r="B31" s="1731" t="s">
        <v>1866</v>
      </c>
      <c r="C31" s="1732" t="s">
        <v>1867</v>
      </c>
      <c r="D31" s="1662"/>
      <c r="E31" s="1732"/>
      <c r="F31" s="1732"/>
      <c r="G31" s="1660" t="s">
        <v>1868</v>
      </c>
      <c r="H31" s="1662"/>
      <c r="I31" s="1733"/>
      <c r="J31" s="1663"/>
      <c r="K31" s="2378"/>
      <c r="L31" s="2378"/>
      <c r="M31" s="2378"/>
      <c r="N31" s="2378"/>
      <c r="O31" s="2734"/>
      <c r="P31" s="2734"/>
      <c r="Q31" s="2735"/>
      <c r="R31" s="2735"/>
      <c r="S31" s="2735"/>
      <c r="T31" s="2730"/>
      <c r="U31" s="2730"/>
      <c r="V31" s="2730"/>
      <c r="W31" s="2729"/>
      <c r="X31" s="2729"/>
      <c r="Y31" s="2729"/>
      <c r="Z31" s="2736"/>
      <c r="AA31" s="2737"/>
      <c r="AB31" s="2737"/>
      <c r="AC31" s="2737"/>
      <c r="AD31" s="2737"/>
      <c r="AE31" s="1621"/>
      <c r="AF31" s="1621"/>
      <c r="AG31" s="1624"/>
      <c r="AH31" s="1624"/>
      <c r="AI31" s="1624"/>
      <c r="AJ31" s="1624"/>
    </row>
    <row r="32" spans="1:37" ht="24">
      <c r="A32" s="1777"/>
      <c r="B32" s="1734"/>
      <c r="C32" s="171" t="s">
        <v>1844</v>
      </c>
      <c r="D32" s="168" t="s">
        <v>1860</v>
      </c>
      <c r="E32" s="168" t="s">
        <v>1861</v>
      </c>
      <c r="F32" s="1735" t="s">
        <v>1848</v>
      </c>
      <c r="G32" s="1696" t="s">
        <v>1844</v>
      </c>
      <c r="H32" s="1696" t="s">
        <v>1860</v>
      </c>
      <c r="I32" s="1696" t="s">
        <v>1861</v>
      </c>
      <c r="J32" s="1736"/>
      <c r="K32" s="2378"/>
      <c r="L32" s="2378"/>
      <c r="M32" s="2378"/>
      <c r="N32" s="2378"/>
      <c r="O32" s="2734"/>
      <c r="P32" s="2734"/>
      <c r="Q32" s="2735"/>
      <c r="R32" s="2735"/>
      <c r="S32" s="2735"/>
      <c r="T32" s="2730"/>
      <c r="U32" s="2730"/>
      <c r="V32" s="2730"/>
      <c r="W32" s="2729"/>
      <c r="X32" s="2729"/>
      <c r="Y32" s="2729"/>
      <c r="Z32" s="2736"/>
      <c r="AA32" s="2737"/>
      <c r="AB32" s="2737"/>
      <c r="AC32" s="2737"/>
      <c r="AD32" s="2737"/>
      <c r="AE32" s="1621"/>
      <c r="AF32" s="1621"/>
      <c r="AG32" s="1624"/>
      <c r="AH32" s="1624"/>
      <c r="AI32" s="1624"/>
      <c r="AJ32" s="1624"/>
    </row>
    <row r="33" spans="1:37" ht="36" customHeight="1">
      <c r="A33" s="3788" t="s">
        <v>3062</v>
      </c>
      <c r="B33" s="1738" t="s">
        <v>1168</v>
      </c>
      <c r="C33" s="538" t="e">
        <f>ROUND(D5*C19*C20*C24*F33,0)</f>
        <v>#DIV/0!</v>
      </c>
      <c r="D33" s="1744"/>
      <c r="E33" s="532" t="e">
        <f>ROUND(C33*D33/10000,0)</f>
        <v>#DIV/0!</v>
      </c>
      <c r="F33" s="532">
        <f>SUMIF(修正!A45:A56,G2,修正!B45:B56)</f>
        <v>0</v>
      </c>
      <c r="G33" s="532" t="e">
        <f t="shared" ref="G33:G39" si="6">ROUND(IF(E2="工业",C33*$M$39,C33*$M$38),0)</f>
        <v>#DIV/0!</v>
      </c>
      <c r="H33" s="532">
        <f>D33</f>
        <v>0</v>
      </c>
      <c r="I33" s="532" t="e">
        <f>ROUND(G33*H33/10000,0)</f>
        <v>#DIV/0!</v>
      </c>
      <c r="J33" s="1739"/>
      <c r="K33" s="2378"/>
      <c r="L33" s="2378"/>
      <c r="M33" s="2378"/>
      <c r="N33" s="2378"/>
      <c r="O33" s="2734"/>
      <c r="P33" s="2734"/>
      <c r="Q33" s="2735"/>
      <c r="R33" s="2735"/>
      <c r="S33" s="2735"/>
      <c r="T33" s="2730"/>
      <c r="U33" s="2730"/>
      <c r="V33" s="2730"/>
      <c r="W33" s="2729"/>
      <c r="X33" s="2729"/>
      <c r="Y33" s="2729"/>
      <c r="Z33" s="2736"/>
      <c r="AA33" s="2737"/>
      <c r="AB33" s="2737"/>
      <c r="AC33" s="2737"/>
      <c r="AD33" s="2737"/>
    </row>
    <row r="34" spans="1:37" ht="14.25">
      <c r="A34" s="3789"/>
      <c r="B34" s="1665" t="s">
        <v>1169</v>
      </c>
      <c r="C34" s="538" t="e">
        <f>ROUND(D5*C19*C20*C24*F34,0)</f>
        <v>#DIV/0!</v>
      </c>
      <c r="D34" s="1744"/>
      <c r="E34" s="532" t="e">
        <f t="shared" ref="E34:E39" si="7">ROUND(C34*D34/10000,0)</f>
        <v>#DIV/0!</v>
      </c>
      <c r="F34" s="532">
        <f>SUMIF(修正!A45:A56,G2,修正!C45:C56)</f>
        <v>0</v>
      </c>
      <c r="G34" s="532" t="e">
        <f t="shared" si="6"/>
        <v>#DIV/0!</v>
      </c>
      <c r="H34" s="532">
        <f t="shared" ref="H34:H39" si="8">D34</f>
        <v>0</v>
      </c>
      <c r="I34" s="532" t="e">
        <f t="shared" ref="I34:I39" si="9">ROUND(G34*H34/10000,0)</f>
        <v>#DIV/0!</v>
      </c>
      <c r="J34" s="1739"/>
      <c r="K34" s="2378"/>
      <c r="L34" s="2378"/>
      <c r="M34" s="2378"/>
      <c r="N34" s="2378"/>
      <c r="O34" s="2734"/>
      <c r="P34" s="2734"/>
      <c r="Q34" s="2735"/>
      <c r="R34" s="2735"/>
      <c r="S34" s="2735"/>
      <c r="T34" s="2730"/>
      <c r="U34" s="2730"/>
      <c r="V34" s="2730"/>
      <c r="W34" s="2729"/>
      <c r="X34" s="2729"/>
      <c r="Y34" s="2729"/>
      <c r="Z34" s="2736"/>
      <c r="AA34" s="2737"/>
      <c r="AB34" s="2737"/>
      <c r="AC34" s="2737"/>
      <c r="AD34" s="2737"/>
    </row>
    <row r="35" spans="1:37" ht="12.75">
      <c r="A35" s="3789"/>
      <c r="B35" s="1665" t="s">
        <v>1170</v>
      </c>
      <c r="C35" s="538" t="e">
        <f>ROUND(D5*C19*C20*C24*F35,0)</f>
        <v>#DIV/0!</v>
      </c>
      <c r="D35" s="1744"/>
      <c r="E35" s="532" t="e">
        <f t="shared" si="7"/>
        <v>#DIV/0!</v>
      </c>
      <c r="F35" s="532">
        <f>SUMIF(修正!A45:A56,G2,修正!D45:D56)</f>
        <v>0</v>
      </c>
      <c r="G35" s="532" t="e">
        <f t="shared" si="6"/>
        <v>#DIV/0!</v>
      </c>
      <c r="H35" s="532">
        <f t="shared" si="8"/>
        <v>0</v>
      </c>
      <c r="I35" s="532" t="e">
        <f t="shared" si="9"/>
        <v>#DIV/0!</v>
      </c>
      <c r="J35" s="1739"/>
      <c r="K35" s="2378"/>
      <c r="L35" s="2378"/>
      <c r="M35" s="2378"/>
      <c r="N35" s="2378"/>
      <c r="O35" s="2378"/>
      <c r="P35" s="2378"/>
      <c r="Q35" s="2378"/>
      <c r="R35" s="2378"/>
      <c r="S35" s="2378"/>
      <c r="T35" s="2378"/>
      <c r="U35" s="2378"/>
      <c r="V35" s="2378"/>
      <c r="W35" s="2378"/>
      <c r="X35" s="2378"/>
      <c r="Y35" s="2378"/>
      <c r="Z35" s="2379"/>
    </row>
    <row r="36" spans="1:37" ht="13.5" thickBot="1">
      <c r="A36" s="3790"/>
      <c r="B36" s="1665" t="s">
        <v>1171</v>
      </c>
      <c r="C36" s="538" t="e">
        <f>ROUND(D5*C19*C20*C24*F36,0)</f>
        <v>#DIV/0!</v>
      </c>
      <c r="D36" s="1744"/>
      <c r="E36" s="532" t="e">
        <f t="shared" si="7"/>
        <v>#DIV/0!</v>
      </c>
      <c r="F36" s="532">
        <f>SUMIF(修正!A45:A56,G2,修正!E45:E56)</f>
        <v>0</v>
      </c>
      <c r="G36" s="532" t="e">
        <f t="shared" si="6"/>
        <v>#DIV/0!</v>
      </c>
      <c r="H36" s="532">
        <f t="shared" si="8"/>
        <v>0</v>
      </c>
      <c r="I36" s="532" t="e">
        <f t="shared" si="9"/>
        <v>#DIV/0!</v>
      </c>
      <c r="J36" s="1739"/>
      <c r="K36" s="2378"/>
      <c r="L36" s="2382"/>
      <c r="M36" s="2382"/>
      <c r="N36" s="2378"/>
      <c r="O36" s="2378"/>
      <c r="P36" s="2378"/>
      <c r="Q36" s="2378"/>
      <c r="R36" s="2378"/>
      <c r="S36" s="2378"/>
      <c r="T36" s="2378"/>
      <c r="U36" s="2378"/>
      <c r="V36" s="2378"/>
      <c r="W36" s="2378"/>
      <c r="X36" s="2378"/>
      <c r="Y36" s="2378"/>
      <c r="Z36" s="2379"/>
    </row>
    <row r="37" spans="1:37" ht="12.75">
      <c r="A37" s="1737"/>
      <c r="B37" s="1665" t="s">
        <v>1172</v>
      </c>
      <c r="C37" s="532" t="e">
        <f>ROUND(C5*C19*C20*C24*F37,0)</f>
        <v>#DIV/0!</v>
      </c>
      <c r="D37" s="1744"/>
      <c r="E37" s="532" t="e">
        <f t="shared" si="7"/>
        <v>#DIV/0!</v>
      </c>
      <c r="F37" s="538">
        <f>SUMIF(修正!A45:A56,G2,修正!F45:F56)</f>
        <v>0</v>
      </c>
      <c r="G37" s="532" t="e">
        <f t="shared" si="6"/>
        <v>#DIV/0!</v>
      </c>
      <c r="H37" s="532">
        <f t="shared" si="8"/>
        <v>0</v>
      </c>
      <c r="I37" s="532" t="e">
        <f t="shared" si="9"/>
        <v>#DIV/0!</v>
      </c>
      <c r="J37" s="1739"/>
      <c r="K37" s="2378"/>
      <c r="L37" s="2386" t="s">
        <v>1863</v>
      </c>
      <c r="M37" s="2387"/>
      <c r="N37" s="2378"/>
      <c r="O37" s="2378"/>
      <c r="P37" s="2378"/>
      <c r="Q37" s="2378"/>
      <c r="R37" s="2378"/>
      <c r="S37" s="2378"/>
      <c r="T37" s="2378"/>
      <c r="U37" s="2378"/>
      <c r="V37" s="2378"/>
      <c r="W37" s="2378"/>
      <c r="X37" s="2378"/>
      <c r="Y37" s="2378"/>
      <c r="Z37" s="2379"/>
    </row>
    <row r="38" spans="1:37" ht="12.75">
      <c r="A38" s="1737"/>
      <c r="B38" s="1665" t="s">
        <v>1173</v>
      </c>
      <c r="C38" s="532" t="e">
        <f>ROUND(C5*C19*C20*C24*F38,0)</f>
        <v>#DIV/0!</v>
      </c>
      <c r="D38" s="1744"/>
      <c r="E38" s="532" t="e">
        <f t="shared" si="7"/>
        <v>#DIV/0!</v>
      </c>
      <c r="F38" s="538">
        <f>SUMIF(修正!A45:A56,G2,修正!G45:G56)</f>
        <v>0</v>
      </c>
      <c r="G38" s="532" t="e">
        <f t="shared" si="6"/>
        <v>#DIV/0!</v>
      </c>
      <c r="H38" s="532">
        <f t="shared" si="8"/>
        <v>0</v>
      </c>
      <c r="I38" s="532" t="e">
        <f t="shared" si="9"/>
        <v>#DIV/0!</v>
      </c>
      <c r="J38" s="1739"/>
      <c r="K38" s="2378"/>
      <c r="L38" s="1759" t="s">
        <v>1847</v>
      </c>
      <c r="M38" s="1760">
        <v>0.25</v>
      </c>
      <c r="N38" s="2378"/>
      <c r="O38" s="2378"/>
      <c r="P38" s="2378"/>
      <c r="Q38" s="2378"/>
      <c r="R38" s="2378"/>
      <c r="S38" s="2378"/>
      <c r="T38" s="2378"/>
      <c r="U38" s="2378"/>
      <c r="V38" s="2378"/>
      <c r="W38" s="2378"/>
      <c r="X38" s="2378"/>
      <c r="Y38" s="2378"/>
      <c r="Z38" s="2379"/>
    </row>
    <row r="39" spans="1:37" ht="13.5" thickBot="1">
      <c r="A39" s="1725"/>
      <c r="B39" s="1740" t="s">
        <v>1174</v>
      </c>
      <c r="C39" s="561" t="e">
        <f>ROUND(C5*C19*C20*C24*F39,0)</f>
        <v>#DIV/0!</v>
      </c>
      <c r="D39" s="1745"/>
      <c r="E39" s="561" t="e">
        <f t="shared" si="7"/>
        <v>#DIV/0!</v>
      </c>
      <c r="F39" s="1741">
        <f>SUMIF(修正!A45:A56,G2,修正!H45:H56)</f>
        <v>0</v>
      </c>
      <c r="G39" s="561" t="e">
        <f t="shared" si="6"/>
        <v>#DIV/0!</v>
      </c>
      <c r="H39" s="561">
        <f t="shared" si="8"/>
        <v>0</v>
      </c>
      <c r="I39" s="561" t="e">
        <f t="shared" si="9"/>
        <v>#DIV/0!</v>
      </c>
      <c r="J39" s="1742"/>
      <c r="K39" s="2378"/>
      <c r="L39" s="1761" t="s">
        <v>1843</v>
      </c>
      <c r="M39" s="1762">
        <v>0.15</v>
      </c>
      <c r="N39" s="2378"/>
      <c r="O39" s="2378"/>
      <c r="P39" s="2378"/>
      <c r="Q39" s="2378"/>
      <c r="R39" s="2378"/>
      <c r="S39" s="2378"/>
      <c r="T39" s="2378"/>
      <c r="U39" s="2378"/>
      <c r="V39" s="2378"/>
      <c r="W39" s="2378"/>
      <c r="X39" s="2378"/>
      <c r="Y39" s="2378"/>
      <c r="Z39" s="2379"/>
    </row>
    <row r="40" spans="1:37" s="2378" customFormat="1">
      <c r="Z40" s="2379"/>
      <c r="AA40" s="2379"/>
      <c r="AB40" s="2379"/>
      <c r="AC40" s="2379"/>
      <c r="AD40" s="2379"/>
      <c r="AE40" s="2379"/>
      <c r="AF40" s="2379"/>
      <c r="AG40" s="2379"/>
      <c r="AH40" s="2379"/>
      <c r="AI40" s="2379"/>
      <c r="AJ40" s="2379"/>
    </row>
    <row r="41" spans="1:37" s="2378" customFormat="1">
      <c r="A41" s="2379"/>
      <c r="B41" s="2380"/>
      <c r="Z41" s="2379"/>
      <c r="AA41" s="2379"/>
      <c r="AB41" s="2379"/>
      <c r="AC41" s="2379"/>
      <c r="AD41" s="2379"/>
      <c r="AE41" s="2379"/>
      <c r="AF41" s="2379"/>
      <c r="AG41" s="2379"/>
      <c r="AH41" s="2379"/>
      <c r="AI41" s="2379"/>
      <c r="AJ41" s="2379"/>
    </row>
    <row r="42" spans="1:37" s="2378" customFormat="1">
      <c r="A42" s="2379"/>
      <c r="B42" s="2380"/>
      <c r="Z42" s="2379"/>
      <c r="AA42" s="2379"/>
      <c r="AB42" s="2379"/>
      <c r="AC42" s="2379"/>
      <c r="AD42" s="2379"/>
      <c r="AE42" s="2379"/>
      <c r="AF42" s="2379"/>
      <c r="AG42" s="2379"/>
      <c r="AH42" s="2379"/>
      <c r="AI42" s="2379"/>
      <c r="AJ42" s="2379"/>
    </row>
    <row r="43" spans="1:37" s="2378" customFormat="1">
      <c r="A43" s="2379"/>
      <c r="B43" s="2380"/>
      <c r="Z43" s="2379"/>
      <c r="AA43" s="2379"/>
      <c r="AB43" s="2379"/>
      <c r="AC43" s="2379"/>
      <c r="AD43" s="2379"/>
      <c r="AE43" s="2379"/>
      <c r="AF43" s="2379"/>
      <c r="AG43" s="2379"/>
      <c r="AH43" s="2379"/>
      <c r="AI43" s="2379"/>
      <c r="AJ43" s="2379"/>
    </row>
    <row r="44" spans="1:37" s="2378" customFormat="1">
      <c r="A44" s="2379"/>
      <c r="B44" s="2380"/>
      <c r="Z44" s="2379"/>
      <c r="AA44" s="2379"/>
      <c r="AB44" s="2379"/>
      <c r="AC44" s="2379"/>
      <c r="AD44" s="2379"/>
      <c r="AE44" s="2379"/>
      <c r="AF44" s="2379"/>
      <c r="AG44" s="2379"/>
      <c r="AH44" s="2379"/>
      <c r="AI44" s="2379"/>
      <c r="AJ44" s="2379"/>
    </row>
    <row r="45" spans="1:37" s="2378" customFormat="1" ht="15" thickBot="1">
      <c r="A45" s="1485" t="s">
        <v>1783</v>
      </c>
      <c r="B45" s="1486"/>
      <c r="C45" s="1161"/>
      <c r="D45" s="294"/>
      <c r="E45" s="294"/>
      <c r="F45" s="292"/>
      <c r="G45" s="1542"/>
      <c r="H45" s="292"/>
      <c r="I45" s="1487"/>
      <c r="J45" s="1487"/>
      <c r="K45" s="1487"/>
      <c r="L45" s="1487"/>
      <c r="M45" s="1487"/>
      <c r="N45" s="1621"/>
      <c r="Z45" s="2379"/>
      <c r="AA45" s="2379"/>
      <c r="AB45" s="2379"/>
      <c r="AC45" s="2379"/>
      <c r="AD45" s="2379"/>
      <c r="AE45" s="2379"/>
      <c r="AF45" s="2379"/>
      <c r="AG45" s="2379"/>
      <c r="AH45" s="2379"/>
      <c r="AI45" s="2379"/>
      <c r="AJ45" s="2379"/>
    </row>
    <row r="46" spans="1:37" s="2378" customFormat="1" ht="15">
      <c r="A46" s="1488" t="s">
        <v>1</v>
      </c>
      <c r="B46" s="1489">
        <f>1+E48</f>
        <v>1</v>
      </c>
      <c r="C46" s="1490"/>
      <c r="D46" s="1491"/>
      <c r="E46" s="1492"/>
      <c r="F46" s="2132"/>
      <c r="G46" s="292"/>
      <c r="H46" s="1487"/>
      <c r="I46" s="1487"/>
      <c r="J46" s="1487"/>
      <c r="K46" s="1487"/>
      <c r="L46" s="1487"/>
      <c r="M46" s="1487"/>
      <c r="N46" s="1621"/>
      <c r="Z46" s="2379"/>
      <c r="AA46" s="2379"/>
      <c r="AB46" s="2379"/>
      <c r="AC46" s="2379"/>
      <c r="AD46" s="2379"/>
      <c r="AE46" s="2379"/>
      <c r="AF46" s="2379"/>
      <c r="AG46" s="2379"/>
      <c r="AH46" s="2379"/>
      <c r="AI46" s="2379"/>
      <c r="AJ46" s="2379"/>
    </row>
    <row r="47" spans="1:37" s="2378" customFormat="1" ht="24">
      <c r="A47" s="1494" t="s">
        <v>1784</v>
      </c>
      <c r="B47" s="1495" t="s">
        <v>1785</v>
      </c>
      <c r="C47" s="1496" t="s">
        <v>1786</v>
      </c>
      <c r="D47" s="1497" t="s">
        <v>1857</v>
      </c>
      <c r="E47" s="1498" t="s">
        <v>1859</v>
      </c>
      <c r="F47" s="2600" t="s">
        <v>2501</v>
      </c>
      <c r="G47" s="1497" t="s">
        <v>1855</v>
      </c>
      <c r="H47" s="2601" t="s">
        <v>2502</v>
      </c>
      <c r="I47" s="1497" t="s">
        <v>1858</v>
      </c>
      <c r="J47" s="945" t="s">
        <v>425</v>
      </c>
      <c r="K47" s="945" t="s">
        <v>426</v>
      </c>
      <c r="L47" s="945" t="s">
        <v>427</v>
      </c>
      <c r="M47" s="945" t="s">
        <v>428</v>
      </c>
      <c r="N47" s="945" t="s">
        <v>429</v>
      </c>
      <c r="AA47" s="2379"/>
      <c r="AB47" s="2379"/>
      <c r="AC47" s="2379"/>
      <c r="AD47" s="2379"/>
      <c r="AE47" s="2379"/>
      <c r="AF47" s="2379"/>
      <c r="AG47" s="2379"/>
      <c r="AH47" s="2379"/>
      <c r="AI47" s="2379"/>
      <c r="AJ47" s="2379"/>
      <c r="AK47" s="2379"/>
    </row>
    <row r="48" spans="1:37" s="2378" customFormat="1" ht="36">
      <c r="A48" s="1494" t="s">
        <v>1787</v>
      </c>
      <c r="B48" s="1499" t="str">
        <f>估价对象房地状况!C4</f>
        <v>估价对象位于XX商圈，周边商业氛围成熟，人流量大，商业繁华度好</v>
      </c>
      <c r="C48" s="1484"/>
      <c r="D48" s="2599">
        <f t="shared" ref="D48:D56" si="10">SUMIF($J$47:$N$47,C48,J48:N48)</f>
        <v>0</v>
      </c>
      <c r="E48" s="1501">
        <f>ROUND(SUM(D48:D56),4)</f>
        <v>0</v>
      </c>
      <c r="F48" s="1502" t="str">
        <f>IF(E2="商业",SUMIF(L1:L12,G2,N1:N12),"——")</f>
        <v>——</v>
      </c>
      <c r="G48" s="2597"/>
      <c r="H48" s="2615" t="str">
        <f t="shared" ref="H48:H56" si="11">IFERROR(ROUNDDOWN($F$48*I48/2,4),"——")</f>
        <v>——</v>
      </c>
      <c r="I48" s="1500">
        <v>0.33</v>
      </c>
      <c r="J48" s="2598">
        <f t="shared" ref="J48:J56" si="12">K48+$G48</f>
        <v>0</v>
      </c>
      <c r="K48" s="2598">
        <f t="shared" ref="K48:K56" si="13">$L48+$G48</f>
        <v>0</v>
      </c>
      <c r="L48" s="2598">
        <v>0</v>
      </c>
      <c r="M48" s="2598">
        <f t="shared" ref="M48:N56" si="14">L48-$G48</f>
        <v>0</v>
      </c>
      <c r="N48" s="2598">
        <f t="shared" si="14"/>
        <v>0</v>
      </c>
      <c r="AA48" s="2379"/>
      <c r="AB48" s="2379"/>
      <c r="AC48" s="2379"/>
      <c r="AD48" s="2379"/>
      <c r="AE48" s="2379"/>
      <c r="AF48" s="2379"/>
      <c r="AG48" s="2379"/>
      <c r="AH48" s="2379"/>
      <c r="AI48" s="2379"/>
      <c r="AJ48" s="2379"/>
      <c r="AK48" s="2379"/>
    </row>
    <row r="49" spans="1:37" s="2378" customFormat="1" ht="48">
      <c r="A49" s="1494" t="s">
        <v>92</v>
      </c>
      <c r="B49" s="1503" t="str">
        <f>估价对象房地状况!C18</f>
        <v>估价对象周边道路状况、公共交通通达情况、停车便捷程度，综合评价交通便捷度较好</v>
      </c>
      <c r="C49" s="1484"/>
      <c r="D49" s="2599">
        <f t="shared" si="10"/>
        <v>0</v>
      </c>
      <c r="E49" s="1504"/>
      <c r="F49" s="1502"/>
      <c r="G49" s="2597"/>
      <c r="H49" s="2615" t="str">
        <f t="shared" si="11"/>
        <v>——</v>
      </c>
      <c r="I49" s="1500">
        <v>0.25</v>
      </c>
      <c r="J49" s="2598">
        <f t="shared" si="12"/>
        <v>0</v>
      </c>
      <c r="K49" s="2598">
        <f t="shared" si="13"/>
        <v>0</v>
      </c>
      <c r="L49" s="2598">
        <v>0</v>
      </c>
      <c r="M49" s="2598">
        <f t="shared" si="14"/>
        <v>0</v>
      </c>
      <c r="N49" s="2598">
        <f t="shared" si="14"/>
        <v>0</v>
      </c>
      <c r="AA49" s="2379"/>
      <c r="AB49" s="2379"/>
      <c r="AC49" s="2379"/>
      <c r="AD49" s="2379"/>
      <c r="AE49" s="2379"/>
      <c r="AF49" s="2379"/>
      <c r="AG49" s="2379"/>
      <c r="AH49" s="2379"/>
      <c r="AI49" s="2379"/>
      <c r="AJ49" s="2379"/>
      <c r="AK49" s="2379"/>
    </row>
    <row r="50" spans="1:37" s="2378" customFormat="1" ht="24">
      <c r="A50" s="1494" t="s">
        <v>109</v>
      </c>
      <c r="B50" s="1503">
        <f>估价对象房地状况!C19</f>
        <v>0</v>
      </c>
      <c r="C50" s="1484"/>
      <c r="D50" s="2599">
        <f t="shared" si="10"/>
        <v>0</v>
      </c>
      <c r="E50" s="1504"/>
      <c r="F50" s="1502"/>
      <c r="G50" s="2597"/>
      <c r="H50" s="2615" t="str">
        <f t="shared" si="11"/>
        <v>——</v>
      </c>
      <c r="I50" s="1500">
        <v>0.05</v>
      </c>
      <c r="J50" s="2598">
        <f t="shared" si="12"/>
        <v>0</v>
      </c>
      <c r="K50" s="2598">
        <f t="shared" si="13"/>
        <v>0</v>
      </c>
      <c r="L50" s="2598">
        <v>0</v>
      </c>
      <c r="M50" s="2598">
        <f t="shared" si="14"/>
        <v>0</v>
      </c>
      <c r="N50" s="2598">
        <f t="shared" si="14"/>
        <v>0</v>
      </c>
      <c r="AA50" s="2379"/>
      <c r="AB50" s="2379"/>
      <c r="AC50" s="2379"/>
      <c r="AD50" s="2379"/>
      <c r="AE50" s="2379"/>
      <c r="AF50" s="2379"/>
      <c r="AG50" s="2379"/>
      <c r="AH50" s="2379"/>
      <c r="AI50" s="2379"/>
      <c r="AJ50" s="2379"/>
      <c r="AK50" s="2379"/>
    </row>
    <row r="51" spans="1:37" s="2378" customFormat="1" ht="36">
      <c r="A51" s="1494" t="s">
        <v>1788</v>
      </c>
      <c r="B51" s="3301" t="s">
        <v>3024</v>
      </c>
      <c r="C51" s="1484"/>
      <c r="D51" s="2599">
        <f t="shared" si="10"/>
        <v>0</v>
      </c>
      <c r="E51" s="1504"/>
      <c r="F51" s="1502"/>
      <c r="G51" s="2597"/>
      <c r="H51" s="2615" t="str">
        <f t="shared" si="11"/>
        <v>——</v>
      </c>
      <c r="I51" s="1500">
        <v>0.05</v>
      </c>
      <c r="J51" s="2598">
        <f t="shared" si="12"/>
        <v>0</v>
      </c>
      <c r="K51" s="2598">
        <f t="shared" si="13"/>
        <v>0</v>
      </c>
      <c r="L51" s="2598">
        <v>0</v>
      </c>
      <c r="M51" s="2598">
        <f t="shared" si="14"/>
        <v>0</v>
      </c>
      <c r="N51" s="2598">
        <f t="shared" si="14"/>
        <v>0</v>
      </c>
      <c r="AA51" s="2379"/>
      <c r="AB51" s="2379"/>
      <c r="AC51" s="2379"/>
      <c r="AD51" s="2379"/>
      <c r="AE51" s="2379"/>
      <c r="AF51" s="2379"/>
      <c r="AG51" s="2379"/>
      <c r="AH51" s="2379"/>
      <c r="AI51" s="2379"/>
      <c r="AJ51" s="2379"/>
      <c r="AK51" s="2379"/>
    </row>
    <row r="52" spans="1:37" s="2378" customFormat="1" ht="24">
      <c r="A52" s="1494" t="s">
        <v>1789</v>
      </c>
      <c r="B52" s="1503">
        <f>估价对象房地状况!C24</f>
        <v>0</v>
      </c>
      <c r="C52" s="1484"/>
      <c r="D52" s="2599">
        <f t="shared" si="10"/>
        <v>0</v>
      </c>
      <c r="E52" s="1504"/>
      <c r="F52" s="1502"/>
      <c r="G52" s="2597"/>
      <c r="H52" s="2615" t="str">
        <f t="shared" si="11"/>
        <v>——</v>
      </c>
      <c r="I52" s="1500">
        <v>0.08</v>
      </c>
      <c r="J52" s="2598">
        <f t="shared" si="12"/>
        <v>0</v>
      </c>
      <c r="K52" s="2598">
        <f t="shared" si="13"/>
        <v>0</v>
      </c>
      <c r="L52" s="2598">
        <v>0</v>
      </c>
      <c r="M52" s="2598">
        <f t="shared" si="14"/>
        <v>0</v>
      </c>
      <c r="N52" s="2598">
        <f t="shared" si="14"/>
        <v>0</v>
      </c>
      <c r="AA52" s="2379"/>
      <c r="AB52" s="2379"/>
      <c r="AC52" s="2379"/>
      <c r="AD52" s="2379"/>
      <c r="AE52" s="2379"/>
      <c r="AF52" s="2379"/>
      <c r="AG52" s="2379"/>
      <c r="AH52" s="2379"/>
      <c r="AI52" s="2379"/>
      <c r="AJ52" s="2379"/>
      <c r="AK52" s="2379"/>
    </row>
    <row r="53" spans="1:37" s="2378" customFormat="1" ht="24">
      <c r="A53" s="1494" t="s">
        <v>1790</v>
      </c>
      <c r="B53" s="3300" t="s">
        <v>3023</v>
      </c>
      <c r="C53" s="1484"/>
      <c r="D53" s="2599">
        <f t="shared" si="10"/>
        <v>0</v>
      </c>
      <c r="E53" s="1504"/>
      <c r="F53" s="1502"/>
      <c r="G53" s="2597"/>
      <c r="H53" s="2615" t="str">
        <f t="shared" si="11"/>
        <v>——</v>
      </c>
      <c r="I53" s="1500">
        <v>0.03</v>
      </c>
      <c r="J53" s="2598">
        <f t="shared" si="12"/>
        <v>0</v>
      </c>
      <c r="K53" s="2598">
        <f t="shared" si="13"/>
        <v>0</v>
      </c>
      <c r="L53" s="2598">
        <v>0</v>
      </c>
      <c r="M53" s="2598">
        <f t="shared" si="14"/>
        <v>0</v>
      </c>
      <c r="N53" s="2598">
        <f t="shared" si="14"/>
        <v>0</v>
      </c>
      <c r="AA53" s="2379"/>
      <c r="AB53" s="2379"/>
      <c r="AC53" s="2379"/>
      <c r="AD53" s="2379"/>
      <c r="AE53" s="2379"/>
      <c r="AF53" s="2379"/>
      <c r="AG53" s="2379"/>
      <c r="AH53" s="2379"/>
      <c r="AI53" s="2379"/>
      <c r="AJ53" s="2379"/>
      <c r="AK53" s="2379"/>
    </row>
    <row r="54" spans="1:37" s="2378" customFormat="1" ht="24">
      <c r="A54" s="1505" t="s">
        <v>1791</v>
      </c>
      <c r="B54" s="2595" t="str">
        <f>估价对象房地状况!C21</f>
        <v>估价对象所在区域公共配套设施齐备情况</v>
      </c>
      <c r="C54" s="1484"/>
      <c r="D54" s="2599">
        <f t="shared" si="10"/>
        <v>0</v>
      </c>
      <c r="E54" s="1504"/>
      <c r="F54" s="1502"/>
      <c r="G54" s="2597"/>
      <c r="H54" s="2615" t="str">
        <f t="shared" si="11"/>
        <v>——</v>
      </c>
      <c r="I54" s="1500">
        <v>0.05</v>
      </c>
      <c r="J54" s="2598">
        <f t="shared" si="12"/>
        <v>0</v>
      </c>
      <c r="K54" s="2598">
        <f t="shared" si="13"/>
        <v>0</v>
      </c>
      <c r="L54" s="2598">
        <v>0</v>
      </c>
      <c r="M54" s="2598">
        <f t="shared" si="14"/>
        <v>0</v>
      </c>
      <c r="N54" s="2598">
        <f t="shared" si="14"/>
        <v>0</v>
      </c>
      <c r="AA54" s="2379"/>
      <c r="AB54" s="2379"/>
      <c r="AC54" s="2379"/>
      <c r="AD54" s="2379"/>
      <c r="AE54" s="2379"/>
      <c r="AF54" s="2379"/>
      <c r="AG54" s="2379"/>
      <c r="AH54" s="2379"/>
      <c r="AI54" s="2379"/>
      <c r="AJ54" s="2379"/>
      <c r="AK54" s="2379"/>
    </row>
    <row r="55" spans="1:37" s="2378" customFormat="1" ht="24">
      <c r="A55" s="1505" t="s">
        <v>1792</v>
      </c>
      <c r="B55" s="1503" t="str">
        <f>估价对象房地状况!C22</f>
        <v>估价对象所在区域基础设施水平</v>
      </c>
      <c r="C55" s="1484"/>
      <c r="D55" s="2599">
        <f t="shared" si="10"/>
        <v>0</v>
      </c>
      <c r="E55" s="1504"/>
      <c r="F55" s="1502"/>
      <c r="G55" s="2597"/>
      <c r="H55" s="2615" t="str">
        <f t="shared" si="11"/>
        <v>——</v>
      </c>
      <c r="I55" s="1500">
        <v>0.1</v>
      </c>
      <c r="J55" s="2598">
        <f t="shared" si="12"/>
        <v>0</v>
      </c>
      <c r="K55" s="2598">
        <f t="shared" si="13"/>
        <v>0</v>
      </c>
      <c r="L55" s="2598">
        <v>0</v>
      </c>
      <c r="M55" s="2598">
        <f t="shared" si="14"/>
        <v>0</v>
      </c>
      <c r="N55" s="2598">
        <f t="shared" si="14"/>
        <v>0</v>
      </c>
      <c r="AA55" s="2379"/>
      <c r="AB55" s="2379"/>
      <c r="AC55" s="2379"/>
      <c r="AD55" s="2379"/>
      <c r="AE55" s="2379"/>
      <c r="AF55" s="2379"/>
      <c r="AG55" s="2379"/>
      <c r="AH55" s="2379"/>
      <c r="AI55" s="2379"/>
      <c r="AJ55" s="2379"/>
      <c r="AK55" s="2379"/>
    </row>
    <row r="56" spans="1:37" s="2378" customFormat="1" ht="36.75" thickBot="1">
      <c r="A56" s="1507" t="s">
        <v>1793</v>
      </c>
      <c r="B56" s="1508" t="str">
        <f>估价对象房地状况!C20</f>
        <v>区域自然环境：；人文环境；综合评价环境状况一般</v>
      </c>
      <c r="C56" s="1484"/>
      <c r="D56" s="2599">
        <f t="shared" si="10"/>
        <v>0</v>
      </c>
      <c r="E56" s="1510"/>
      <c r="F56" s="1502"/>
      <c r="G56" s="2597"/>
      <c r="H56" s="2615" t="str">
        <f t="shared" si="11"/>
        <v>——</v>
      </c>
      <c r="I56" s="1509">
        <v>0.06</v>
      </c>
      <c r="J56" s="2598">
        <f t="shared" si="12"/>
        <v>0</v>
      </c>
      <c r="K56" s="2598">
        <f t="shared" si="13"/>
        <v>0</v>
      </c>
      <c r="L56" s="2598">
        <v>0</v>
      </c>
      <c r="M56" s="2598">
        <f t="shared" si="14"/>
        <v>0</v>
      </c>
      <c r="N56" s="2598">
        <f t="shared" si="14"/>
        <v>0</v>
      </c>
      <c r="AA56" s="2379"/>
      <c r="AB56" s="2379"/>
      <c r="AC56" s="2379"/>
      <c r="AD56" s="2379"/>
      <c r="AE56" s="2379"/>
      <c r="AF56" s="2379"/>
      <c r="AG56" s="2379"/>
      <c r="AH56" s="2379"/>
      <c r="AI56" s="2379"/>
      <c r="AJ56" s="2379"/>
      <c r="AK56" s="2379"/>
    </row>
    <row r="57" spans="1:37" s="2378" customFormat="1" ht="15">
      <c r="A57" s="1488" t="s">
        <v>1167</v>
      </c>
      <c r="B57" s="1489">
        <f>1+E59</f>
        <v>1</v>
      </c>
      <c r="C57" s="1511"/>
      <c r="D57" s="1491"/>
      <c r="E57" s="1492"/>
      <c r="F57" s="2132"/>
      <c r="G57" s="292"/>
      <c r="H57" s="292"/>
      <c r="I57" s="292"/>
      <c r="J57" s="1487"/>
      <c r="K57" s="1487"/>
      <c r="L57" s="1487"/>
      <c r="M57" s="1487"/>
      <c r="N57" s="1487"/>
      <c r="AA57" s="2379"/>
      <c r="AB57" s="2379"/>
      <c r="AC57" s="2379"/>
      <c r="AD57" s="2379"/>
      <c r="AE57" s="2379"/>
      <c r="AF57" s="2379"/>
      <c r="AG57" s="2379"/>
      <c r="AH57" s="2379"/>
      <c r="AI57" s="2379"/>
      <c r="AJ57" s="2379"/>
      <c r="AK57" s="2379"/>
    </row>
    <row r="58" spans="1:37" s="2378" customFormat="1" ht="24">
      <c r="A58" s="1494" t="s">
        <v>1784</v>
      </c>
      <c r="B58" s="1495"/>
      <c r="C58" s="1496" t="s">
        <v>1786</v>
      </c>
      <c r="D58" s="1497" t="s">
        <v>1857</v>
      </c>
      <c r="E58" s="1498" t="s">
        <v>1859</v>
      </c>
      <c r="F58" s="2600" t="s">
        <v>2298</v>
      </c>
      <c r="G58" s="1497" t="s">
        <v>1855</v>
      </c>
      <c r="H58" s="2601" t="s">
        <v>2502</v>
      </c>
      <c r="I58" s="1497" t="s">
        <v>1858</v>
      </c>
      <c r="J58" s="945" t="s">
        <v>425</v>
      </c>
      <c r="K58" s="945" t="s">
        <v>426</v>
      </c>
      <c r="L58" s="945" t="s">
        <v>427</v>
      </c>
      <c r="M58" s="945" t="s">
        <v>428</v>
      </c>
      <c r="N58" s="945" t="s">
        <v>429</v>
      </c>
      <c r="AA58" s="2379"/>
      <c r="AB58" s="2379"/>
      <c r="AC58" s="2379"/>
      <c r="AD58" s="2379"/>
      <c r="AE58" s="2379"/>
      <c r="AF58" s="2379"/>
      <c r="AG58" s="2379"/>
      <c r="AH58" s="2379"/>
      <c r="AI58" s="2379"/>
      <c r="AJ58" s="2379"/>
      <c r="AK58" s="2379"/>
    </row>
    <row r="59" spans="1:37" s="2378" customFormat="1" ht="36">
      <c r="A59" s="1494" t="s">
        <v>1098</v>
      </c>
      <c r="B59" s="1499" t="str">
        <f>估价对象房地状况!C17</f>
        <v>估价对象位于XX商圈，周边办公楼项目较多，入驻率高，办公集聚程度较好</v>
      </c>
      <c r="C59" s="1484"/>
      <c r="D59" s="2599">
        <f t="shared" ref="D59:D67" si="15">SUMIF($J$58:$N$58,C59,J59:N59)</f>
        <v>0</v>
      </c>
      <c r="E59" s="1501">
        <f>ROUND(SUM(D59:D67),4)</f>
        <v>0</v>
      </c>
      <c r="F59" s="1502" t="str">
        <f>IF(E2="办公",SUMIF(L1:L12,G2,N1:N12),"——")</f>
        <v>——</v>
      </c>
      <c r="G59" s="2597"/>
      <c r="H59" s="2615" t="str">
        <f t="shared" ref="H59:H67" si="16">IFERROR(ROUNDDOWN($F$59*I59/2,4),"——")</f>
        <v>——</v>
      </c>
      <c r="I59" s="1500">
        <v>0.24</v>
      </c>
      <c r="J59" s="2598">
        <f t="shared" ref="J59:J67" si="17">K59+$G59</f>
        <v>0</v>
      </c>
      <c r="K59" s="2598">
        <f t="shared" ref="K59:K67" si="18">$L59+$G59</f>
        <v>0</v>
      </c>
      <c r="L59" s="2598">
        <v>0</v>
      </c>
      <c r="M59" s="2598">
        <f t="shared" ref="M59:N67" si="19">L59-$G59</f>
        <v>0</v>
      </c>
      <c r="N59" s="2598">
        <f t="shared" si="19"/>
        <v>0</v>
      </c>
      <c r="AA59" s="2379"/>
      <c r="AB59" s="2379"/>
      <c r="AC59" s="2379"/>
      <c r="AD59" s="2379"/>
      <c r="AE59" s="2379"/>
      <c r="AF59" s="2379"/>
      <c r="AG59" s="2379"/>
      <c r="AH59" s="2379"/>
      <c r="AI59" s="2379"/>
      <c r="AJ59" s="2379"/>
      <c r="AK59" s="2379"/>
    </row>
    <row r="60" spans="1:37" s="2378" customFormat="1" ht="48">
      <c r="A60" s="1494" t="s">
        <v>92</v>
      </c>
      <c r="B60" s="1503" t="str">
        <f>估价对象房地状况!C18</f>
        <v>估价对象周边道路状况、公共交通通达情况、停车便捷程度，综合评价交通便捷度较好</v>
      </c>
      <c r="C60" s="1484"/>
      <c r="D60" s="2599">
        <f t="shared" si="15"/>
        <v>0</v>
      </c>
      <c r="E60" s="1504"/>
      <c r="F60" s="1502"/>
      <c r="G60" s="2597"/>
      <c r="H60" s="2615" t="str">
        <f t="shared" si="16"/>
        <v>——</v>
      </c>
      <c r="I60" s="1500">
        <v>0.3</v>
      </c>
      <c r="J60" s="2598">
        <f t="shared" si="17"/>
        <v>0</v>
      </c>
      <c r="K60" s="2598">
        <f t="shared" si="18"/>
        <v>0</v>
      </c>
      <c r="L60" s="2598">
        <v>0</v>
      </c>
      <c r="M60" s="2598">
        <f t="shared" si="19"/>
        <v>0</v>
      </c>
      <c r="N60" s="2598">
        <f t="shared" si="19"/>
        <v>0</v>
      </c>
      <c r="AA60" s="2379"/>
      <c r="AB60" s="2379"/>
      <c r="AC60" s="2379"/>
      <c r="AD60" s="2379"/>
      <c r="AE60" s="2379"/>
      <c r="AF60" s="2379"/>
      <c r="AG60" s="2379"/>
      <c r="AH60" s="2379"/>
      <c r="AI60" s="2379"/>
      <c r="AJ60" s="2379"/>
      <c r="AK60" s="2379"/>
    </row>
    <row r="61" spans="1:37" s="2378" customFormat="1" ht="24">
      <c r="A61" s="1494" t="s">
        <v>109</v>
      </c>
      <c r="B61" s="1503">
        <f>估价对象房地状况!C19</f>
        <v>0</v>
      </c>
      <c r="C61" s="1484"/>
      <c r="D61" s="2599">
        <f t="shared" si="15"/>
        <v>0</v>
      </c>
      <c r="E61" s="1504"/>
      <c r="F61" s="1502"/>
      <c r="G61" s="2597"/>
      <c r="H61" s="2615" t="str">
        <f t="shared" si="16"/>
        <v>——</v>
      </c>
      <c r="I61" s="1500">
        <v>0.08</v>
      </c>
      <c r="J61" s="2598">
        <f t="shared" si="17"/>
        <v>0</v>
      </c>
      <c r="K61" s="2598">
        <f t="shared" si="18"/>
        <v>0</v>
      </c>
      <c r="L61" s="2598">
        <v>0</v>
      </c>
      <c r="M61" s="2598">
        <f t="shared" si="19"/>
        <v>0</v>
      </c>
      <c r="N61" s="2598">
        <f t="shared" si="19"/>
        <v>0</v>
      </c>
      <c r="AA61" s="2379"/>
      <c r="AB61" s="2379"/>
      <c r="AC61" s="2379"/>
      <c r="AD61" s="2379"/>
      <c r="AE61" s="2379"/>
      <c r="AF61" s="2379"/>
      <c r="AG61" s="2379"/>
      <c r="AH61" s="2379"/>
      <c r="AI61" s="2379"/>
      <c r="AJ61" s="2379"/>
      <c r="AK61" s="2379"/>
    </row>
    <row r="62" spans="1:37" s="2378" customFormat="1" ht="36">
      <c r="A62" s="1494" t="s">
        <v>1788</v>
      </c>
      <c r="B62" s="3301" t="s">
        <v>3024</v>
      </c>
      <c r="C62" s="1484"/>
      <c r="D62" s="2599">
        <f t="shared" si="15"/>
        <v>0</v>
      </c>
      <c r="E62" s="1504"/>
      <c r="F62" s="1502"/>
      <c r="G62" s="2597"/>
      <c r="H62" s="2615" t="str">
        <f t="shared" si="16"/>
        <v>——</v>
      </c>
      <c r="I62" s="1500">
        <v>0.04</v>
      </c>
      <c r="J62" s="2598">
        <f t="shared" si="17"/>
        <v>0</v>
      </c>
      <c r="K62" s="2598">
        <f t="shared" si="18"/>
        <v>0</v>
      </c>
      <c r="L62" s="2598">
        <v>0</v>
      </c>
      <c r="M62" s="2598">
        <f t="shared" si="19"/>
        <v>0</v>
      </c>
      <c r="N62" s="2598">
        <f t="shared" si="19"/>
        <v>0</v>
      </c>
      <c r="AA62" s="2379"/>
      <c r="AB62" s="2379"/>
      <c r="AC62" s="2379"/>
      <c r="AD62" s="2379"/>
      <c r="AE62" s="2379"/>
      <c r="AF62" s="2379"/>
      <c r="AG62" s="2379"/>
      <c r="AH62" s="2379"/>
      <c r="AI62" s="2379"/>
      <c r="AJ62" s="2379"/>
      <c r="AK62" s="2379"/>
    </row>
    <row r="63" spans="1:37" s="2378" customFormat="1" ht="24">
      <c r="A63" s="1494" t="s">
        <v>1789</v>
      </c>
      <c r="B63" s="1503">
        <f>估价对象房地状况!C24</f>
        <v>0</v>
      </c>
      <c r="C63" s="1484"/>
      <c r="D63" s="2599">
        <f t="shared" si="15"/>
        <v>0</v>
      </c>
      <c r="E63" s="1504"/>
      <c r="F63" s="1502"/>
      <c r="G63" s="2597"/>
      <c r="H63" s="2615" t="str">
        <f t="shared" si="16"/>
        <v>——</v>
      </c>
      <c r="I63" s="1500">
        <v>0.05</v>
      </c>
      <c r="J63" s="2598">
        <f t="shared" si="17"/>
        <v>0</v>
      </c>
      <c r="K63" s="2598">
        <f t="shared" si="18"/>
        <v>0</v>
      </c>
      <c r="L63" s="2598">
        <v>0</v>
      </c>
      <c r="M63" s="2598">
        <f t="shared" si="19"/>
        <v>0</v>
      </c>
      <c r="N63" s="2598">
        <f t="shared" si="19"/>
        <v>0</v>
      </c>
      <c r="AA63" s="2379"/>
      <c r="AB63" s="2379"/>
      <c r="AC63" s="2379"/>
      <c r="AD63" s="2379"/>
      <c r="AE63" s="2379"/>
      <c r="AF63" s="2379"/>
      <c r="AG63" s="2379"/>
      <c r="AH63" s="2379"/>
      <c r="AI63" s="2379"/>
      <c r="AJ63" s="2379"/>
      <c r="AK63" s="2379"/>
    </row>
    <row r="64" spans="1:37" s="2378" customFormat="1" ht="24">
      <c r="A64" s="1494" t="s">
        <v>1790</v>
      </c>
      <c r="B64" s="3300" t="s">
        <v>3023</v>
      </c>
      <c r="C64" s="1484"/>
      <c r="D64" s="2599">
        <f t="shared" si="15"/>
        <v>0</v>
      </c>
      <c r="E64" s="1504"/>
      <c r="F64" s="1502"/>
      <c r="G64" s="2597"/>
      <c r="H64" s="2615" t="str">
        <f t="shared" si="16"/>
        <v>——</v>
      </c>
      <c r="I64" s="1500">
        <v>0.05</v>
      </c>
      <c r="J64" s="2598">
        <f t="shared" si="17"/>
        <v>0</v>
      </c>
      <c r="K64" s="2598">
        <f t="shared" si="18"/>
        <v>0</v>
      </c>
      <c r="L64" s="2598">
        <v>0</v>
      </c>
      <c r="M64" s="2598">
        <f t="shared" si="19"/>
        <v>0</v>
      </c>
      <c r="N64" s="2598">
        <f t="shared" si="19"/>
        <v>0</v>
      </c>
      <c r="AA64" s="2379"/>
      <c r="AB64" s="2379"/>
      <c r="AC64" s="2379"/>
      <c r="AD64" s="2379"/>
      <c r="AE64" s="2379"/>
      <c r="AF64" s="2379"/>
      <c r="AG64" s="2379"/>
      <c r="AH64" s="2379"/>
      <c r="AI64" s="2379"/>
      <c r="AJ64" s="2379"/>
      <c r="AK64" s="2379"/>
    </row>
    <row r="65" spans="1:37" s="2378" customFormat="1" ht="24">
      <c r="A65" s="1494" t="s">
        <v>1791</v>
      </c>
      <c r="B65" s="2595" t="str">
        <f>估价对象房地状况!C21</f>
        <v>估价对象所在区域公共配套设施齐备情况</v>
      </c>
      <c r="C65" s="1484"/>
      <c r="D65" s="2599">
        <f t="shared" si="15"/>
        <v>0</v>
      </c>
      <c r="E65" s="1504"/>
      <c r="F65" s="1502"/>
      <c r="G65" s="2597"/>
      <c r="H65" s="2615" t="str">
        <f t="shared" si="16"/>
        <v>——</v>
      </c>
      <c r="I65" s="1500">
        <v>0.06</v>
      </c>
      <c r="J65" s="2598">
        <f t="shared" si="17"/>
        <v>0</v>
      </c>
      <c r="K65" s="2598">
        <f t="shared" si="18"/>
        <v>0</v>
      </c>
      <c r="L65" s="2598">
        <v>0</v>
      </c>
      <c r="M65" s="2598">
        <f t="shared" si="19"/>
        <v>0</v>
      </c>
      <c r="N65" s="2598">
        <f t="shared" si="19"/>
        <v>0</v>
      </c>
      <c r="AA65" s="2379"/>
      <c r="AB65" s="2379"/>
      <c r="AC65" s="2379"/>
      <c r="AD65" s="2379"/>
      <c r="AE65" s="2379"/>
      <c r="AF65" s="2379"/>
      <c r="AG65" s="2379"/>
      <c r="AH65" s="2379"/>
      <c r="AI65" s="2379"/>
      <c r="AJ65" s="2379"/>
      <c r="AK65" s="2379"/>
    </row>
    <row r="66" spans="1:37" s="2378" customFormat="1" ht="24">
      <c r="A66" s="1494" t="s">
        <v>1792</v>
      </c>
      <c r="B66" s="2595" t="str">
        <f>估价对象房地状况!C22</f>
        <v>估价对象所在区域基础设施水平</v>
      </c>
      <c r="C66" s="1484"/>
      <c r="D66" s="2599">
        <f t="shared" si="15"/>
        <v>0</v>
      </c>
      <c r="E66" s="1504"/>
      <c r="F66" s="1502"/>
      <c r="G66" s="2597"/>
      <c r="H66" s="2615" t="str">
        <f t="shared" si="16"/>
        <v>——</v>
      </c>
      <c r="I66" s="1500">
        <v>0.12</v>
      </c>
      <c r="J66" s="2598">
        <f t="shared" si="17"/>
        <v>0</v>
      </c>
      <c r="K66" s="2598">
        <f t="shared" si="18"/>
        <v>0</v>
      </c>
      <c r="L66" s="2598">
        <v>0</v>
      </c>
      <c r="M66" s="2598">
        <f t="shared" si="19"/>
        <v>0</v>
      </c>
      <c r="N66" s="2598">
        <f t="shared" si="19"/>
        <v>0</v>
      </c>
      <c r="AA66" s="2379"/>
      <c r="AB66" s="2379"/>
      <c r="AC66" s="2379"/>
      <c r="AD66" s="2379"/>
      <c r="AE66" s="2379"/>
      <c r="AF66" s="2379"/>
      <c r="AG66" s="2379"/>
      <c r="AH66" s="2379"/>
      <c r="AI66" s="2379"/>
      <c r="AJ66" s="2379"/>
      <c r="AK66" s="2379"/>
    </row>
    <row r="67" spans="1:37" s="2378" customFormat="1" ht="36.75" thickBot="1">
      <c r="A67" s="1507" t="s">
        <v>1793</v>
      </c>
      <c r="B67" s="1512" t="str">
        <f>估价对象房地状况!C20</f>
        <v>区域自然环境：；人文环境；综合评价环境状况一般</v>
      </c>
      <c r="C67" s="1484"/>
      <c r="D67" s="2599">
        <f t="shared" si="15"/>
        <v>0</v>
      </c>
      <c r="E67" s="1510"/>
      <c r="F67" s="1502"/>
      <c r="G67" s="2597"/>
      <c r="H67" s="2615" t="str">
        <f t="shared" si="16"/>
        <v>——</v>
      </c>
      <c r="I67" s="1509">
        <v>0.06</v>
      </c>
      <c r="J67" s="2598">
        <f t="shared" si="17"/>
        <v>0</v>
      </c>
      <c r="K67" s="2598">
        <f t="shared" si="18"/>
        <v>0</v>
      </c>
      <c r="L67" s="2598">
        <v>0</v>
      </c>
      <c r="M67" s="2598">
        <f t="shared" si="19"/>
        <v>0</v>
      </c>
      <c r="N67" s="2598">
        <f t="shared" si="19"/>
        <v>0</v>
      </c>
      <c r="AA67" s="2379"/>
      <c r="AB67" s="2379"/>
      <c r="AC67" s="2379"/>
      <c r="AD67" s="2379"/>
      <c r="AE67" s="2379"/>
      <c r="AF67" s="2379"/>
      <c r="AG67" s="2379"/>
      <c r="AH67" s="2379"/>
      <c r="AI67" s="2379"/>
      <c r="AJ67" s="2379"/>
      <c r="AK67" s="2379"/>
    </row>
    <row r="68" spans="1:37" s="2378" customFormat="1" ht="15">
      <c r="A68" s="1488" t="s">
        <v>982</v>
      </c>
      <c r="B68" s="1489">
        <f>1+E70</f>
        <v>1</v>
      </c>
      <c r="C68" s="1511"/>
      <c r="D68" s="1491"/>
      <c r="E68" s="1492"/>
      <c r="F68" s="2132"/>
      <c r="G68" s="292"/>
      <c r="H68" s="292"/>
      <c r="I68" s="292"/>
      <c r="J68" s="1487"/>
      <c r="K68" s="1487"/>
      <c r="L68" s="1487"/>
      <c r="M68" s="1487"/>
      <c r="N68" s="1487"/>
      <c r="AA68" s="2379"/>
      <c r="AB68" s="2379"/>
      <c r="AC68" s="2379"/>
      <c r="AD68" s="2379"/>
      <c r="AE68" s="2379"/>
      <c r="AF68" s="2379"/>
      <c r="AG68" s="2379"/>
      <c r="AH68" s="2379"/>
      <c r="AI68" s="2379"/>
      <c r="AJ68" s="2379"/>
      <c r="AK68" s="2379"/>
    </row>
    <row r="69" spans="1:37" s="2378" customFormat="1" ht="24">
      <c r="A69" s="1494" t="s">
        <v>1784</v>
      </c>
      <c r="B69" s="1495"/>
      <c r="C69" s="1496" t="s">
        <v>1786</v>
      </c>
      <c r="D69" s="1497" t="s">
        <v>1857</v>
      </c>
      <c r="E69" s="1498" t="s">
        <v>1859</v>
      </c>
      <c r="F69" s="2600" t="s">
        <v>2298</v>
      </c>
      <c r="G69" s="1497" t="s">
        <v>1855</v>
      </c>
      <c r="H69" s="2601" t="s">
        <v>2502</v>
      </c>
      <c r="I69" s="1497" t="s">
        <v>1858</v>
      </c>
      <c r="J69" s="945" t="s">
        <v>425</v>
      </c>
      <c r="K69" s="945" t="s">
        <v>426</v>
      </c>
      <c r="L69" s="945" t="s">
        <v>427</v>
      </c>
      <c r="M69" s="945" t="s">
        <v>428</v>
      </c>
      <c r="N69" s="945" t="s">
        <v>429</v>
      </c>
      <c r="AA69" s="2379"/>
      <c r="AB69" s="2379"/>
      <c r="AC69" s="2379"/>
      <c r="AD69" s="2379"/>
      <c r="AE69" s="2379"/>
      <c r="AF69" s="2379"/>
      <c r="AG69" s="2379"/>
      <c r="AH69" s="2379"/>
      <c r="AI69" s="2379"/>
      <c r="AJ69" s="2379"/>
      <c r="AK69" s="2379"/>
    </row>
    <row r="70" spans="1:37" s="2378" customFormat="1" ht="48">
      <c r="A70" s="1494" t="s">
        <v>110</v>
      </c>
      <c r="B70" s="1499" t="str">
        <f>估价对象房地状况!C15</f>
        <v>估价对象周边居住用地比例、居住小区规模和社区发展完善程度，综合评价居住社区成熟度一般</v>
      </c>
      <c r="C70" s="1484"/>
      <c r="D70" s="2599">
        <f t="shared" ref="D70:D78" si="20">SUMIF($J$69:$N$69,C70,J70:N70)</f>
        <v>0</v>
      </c>
      <c r="E70" s="1501">
        <f>ROUND(SUM(D70:D78),4)</f>
        <v>0</v>
      </c>
      <c r="F70" s="1502" t="str">
        <f>IF(E2="住宅",SUMIF(L1:L12,G2,N1:N12),"——")</f>
        <v>——</v>
      </c>
      <c r="G70" s="2597"/>
      <c r="H70" s="2615" t="str">
        <f t="shared" ref="H70:H78" si="21">IFERROR(ROUNDDOWN($F$70*I70/2,4),"——")</f>
        <v>——</v>
      </c>
      <c r="I70" s="1500">
        <v>0.14000000000000001</v>
      </c>
      <c r="J70" s="2598">
        <f t="shared" ref="J70:J78" si="22">K70+$G70</f>
        <v>0</v>
      </c>
      <c r="K70" s="2598">
        <f t="shared" ref="K70:K78" si="23">$L70+$G70</f>
        <v>0</v>
      </c>
      <c r="L70" s="2598">
        <v>0</v>
      </c>
      <c r="M70" s="2598">
        <f t="shared" ref="M70:N78" si="24">L70-$G70</f>
        <v>0</v>
      </c>
      <c r="N70" s="2598">
        <f t="shared" si="24"/>
        <v>0</v>
      </c>
      <c r="AA70" s="2379"/>
      <c r="AB70" s="2379"/>
      <c r="AC70" s="2379"/>
      <c r="AD70" s="2379"/>
      <c r="AE70" s="2379"/>
      <c r="AF70" s="2379"/>
      <c r="AG70" s="2379"/>
      <c r="AH70" s="2379"/>
      <c r="AI70" s="2379"/>
      <c r="AJ70" s="2379"/>
      <c r="AK70" s="2379"/>
    </row>
    <row r="71" spans="1:37" s="2378" customFormat="1" ht="48">
      <c r="A71" s="1494" t="s">
        <v>92</v>
      </c>
      <c r="B71" s="1503" t="str">
        <f>估价对象房地状况!C18</f>
        <v>估价对象周边道路状况、公共交通通达情况、停车便捷程度，综合评价交通便捷度较好</v>
      </c>
      <c r="C71" s="1484"/>
      <c r="D71" s="2599">
        <f t="shared" si="20"/>
        <v>0</v>
      </c>
      <c r="E71" s="1513"/>
      <c r="F71" s="1502"/>
      <c r="G71" s="2597"/>
      <c r="H71" s="2615" t="str">
        <f t="shared" si="21"/>
        <v>——</v>
      </c>
      <c r="I71" s="1500">
        <v>0.3</v>
      </c>
      <c r="J71" s="2598">
        <f t="shared" si="22"/>
        <v>0</v>
      </c>
      <c r="K71" s="2598">
        <f t="shared" si="23"/>
        <v>0</v>
      </c>
      <c r="L71" s="2598">
        <v>0</v>
      </c>
      <c r="M71" s="2598">
        <f t="shared" si="24"/>
        <v>0</v>
      </c>
      <c r="N71" s="2598">
        <f t="shared" si="24"/>
        <v>0</v>
      </c>
      <c r="AA71" s="2379"/>
      <c r="AB71" s="2379"/>
      <c r="AC71" s="2379"/>
      <c r="AD71" s="2379"/>
      <c r="AE71" s="2379"/>
      <c r="AF71" s="2379"/>
      <c r="AG71" s="2379"/>
      <c r="AH71" s="2379"/>
      <c r="AI71" s="2379"/>
      <c r="AJ71" s="2379"/>
      <c r="AK71" s="2379"/>
    </row>
    <row r="72" spans="1:37" s="2378" customFormat="1" ht="24">
      <c r="A72" s="1494" t="s">
        <v>109</v>
      </c>
      <c r="B72" s="1503">
        <f>估价对象房地状况!C19</f>
        <v>0</v>
      </c>
      <c r="C72" s="1484"/>
      <c r="D72" s="2599">
        <f t="shared" si="20"/>
        <v>0</v>
      </c>
      <c r="E72" s="1513"/>
      <c r="F72" s="1502"/>
      <c r="G72" s="2597"/>
      <c r="H72" s="2615" t="str">
        <f t="shared" si="21"/>
        <v>——</v>
      </c>
      <c r="I72" s="1500">
        <v>0.08</v>
      </c>
      <c r="J72" s="2598">
        <f t="shared" si="22"/>
        <v>0</v>
      </c>
      <c r="K72" s="2598">
        <f t="shared" si="23"/>
        <v>0</v>
      </c>
      <c r="L72" s="2598">
        <v>0</v>
      </c>
      <c r="M72" s="2598">
        <f t="shared" si="24"/>
        <v>0</v>
      </c>
      <c r="N72" s="2598">
        <f t="shared" si="24"/>
        <v>0</v>
      </c>
      <c r="AA72" s="2379"/>
      <c r="AB72" s="2379"/>
      <c r="AC72" s="2379"/>
      <c r="AD72" s="2379"/>
      <c r="AE72" s="2379"/>
      <c r="AF72" s="2379"/>
      <c r="AG72" s="2379"/>
      <c r="AH72" s="2379"/>
      <c r="AI72" s="2379"/>
      <c r="AJ72" s="2379"/>
      <c r="AK72" s="2379"/>
    </row>
    <row r="73" spans="1:37" s="2378" customFormat="1" ht="14.25">
      <c r="A73" s="1494" t="s">
        <v>1794</v>
      </c>
      <c r="B73" s="1503">
        <f>估价对象房地状况!C24</f>
        <v>0</v>
      </c>
      <c r="C73" s="1484"/>
      <c r="D73" s="2599">
        <f t="shared" si="20"/>
        <v>0</v>
      </c>
      <c r="E73" s="1513"/>
      <c r="F73" s="1502"/>
      <c r="G73" s="2597"/>
      <c r="H73" s="2615" t="str">
        <f t="shared" si="21"/>
        <v>——</v>
      </c>
      <c r="I73" s="1500">
        <v>0.04</v>
      </c>
      <c r="J73" s="2598">
        <f t="shared" si="22"/>
        <v>0</v>
      </c>
      <c r="K73" s="2598">
        <f t="shared" si="23"/>
        <v>0</v>
      </c>
      <c r="L73" s="2598">
        <v>0</v>
      </c>
      <c r="M73" s="2598">
        <f t="shared" si="24"/>
        <v>0</v>
      </c>
      <c r="N73" s="2598">
        <f t="shared" si="24"/>
        <v>0</v>
      </c>
      <c r="AA73" s="2379"/>
      <c r="AB73" s="2379"/>
      <c r="AC73" s="2379"/>
      <c r="AD73" s="2379"/>
      <c r="AE73" s="2379"/>
      <c r="AF73" s="2379"/>
      <c r="AG73" s="2379"/>
      <c r="AH73" s="2379"/>
      <c r="AI73" s="2379"/>
      <c r="AJ73" s="2379"/>
      <c r="AK73" s="2379"/>
    </row>
    <row r="74" spans="1:37" s="2378" customFormat="1" ht="24">
      <c r="A74" s="1494" t="s">
        <v>1791</v>
      </c>
      <c r="B74" s="2595" t="str">
        <f>估价对象房地状况!C21</f>
        <v>估价对象所在区域公共配套设施齐备情况</v>
      </c>
      <c r="C74" s="1484"/>
      <c r="D74" s="2599">
        <f t="shared" si="20"/>
        <v>0</v>
      </c>
      <c r="E74" s="1513"/>
      <c r="F74" s="1502"/>
      <c r="G74" s="2597"/>
      <c r="H74" s="2615" t="str">
        <f t="shared" si="21"/>
        <v>——</v>
      </c>
      <c r="I74" s="1500">
        <v>0.08</v>
      </c>
      <c r="J74" s="2598">
        <f t="shared" si="22"/>
        <v>0</v>
      </c>
      <c r="K74" s="2598">
        <f t="shared" si="23"/>
        <v>0</v>
      </c>
      <c r="L74" s="2598">
        <v>0</v>
      </c>
      <c r="M74" s="2598">
        <f t="shared" si="24"/>
        <v>0</v>
      </c>
      <c r="N74" s="2598">
        <f t="shared" si="24"/>
        <v>0</v>
      </c>
      <c r="AA74" s="2379"/>
      <c r="AB74" s="2379"/>
      <c r="AC74" s="2379"/>
      <c r="AD74" s="2379"/>
      <c r="AE74" s="2379"/>
      <c r="AF74" s="2379"/>
      <c r="AG74" s="2379"/>
      <c r="AH74" s="2379"/>
      <c r="AI74" s="2379"/>
      <c r="AJ74" s="2379"/>
      <c r="AK74" s="2379"/>
    </row>
    <row r="75" spans="1:37" s="2378" customFormat="1" ht="24">
      <c r="A75" s="1494" t="s">
        <v>1792</v>
      </c>
      <c r="B75" s="2595" t="str">
        <f>估价对象房地状况!C22</f>
        <v>估价对象所在区域基础设施水平</v>
      </c>
      <c r="C75" s="1484"/>
      <c r="D75" s="2599">
        <f t="shared" si="20"/>
        <v>0</v>
      </c>
      <c r="E75" s="1513"/>
      <c r="F75" s="1502"/>
      <c r="G75" s="2597"/>
      <c r="H75" s="2615" t="str">
        <f t="shared" si="21"/>
        <v>——</v>
      </c>
      <c r="I75" s="1500">
        <v>0.12</v>
      </c>
      <c r="J75" s="2598">
        <f t="shared" si="22"/>
        <v>0</v>
      </c>
      <c r="K75" s="2598">
        <f t="shared" si="23"/>
        <v>0</v>
      </c>
      <c r="L75" s="2598">
        <v>0</v>
      </c>
      <c r="M75" s="2598">
        <f t="shared" si="24"/>
        <v>0</v>
      </c>
      <c r="N75" s="2598">
        <f t="shared" si="24"/>
        <v>0</v>
      </c>
      <c r="AA75" s="2379"/>
      <c r="AB75" s="2379"/>
      <c r="AC75" s="2379"/>
      <c r="AD75" s="2379"/>
      <c r="AE75" s="2379"/>
      <c r="AF75" s="2379"/>
      <c r="AG75" s="2379"/>
      <c r="AH75" s="2379"/>
      <c r="AI75" s="2379"/>
      <c r="AJ75" s="2379"/>
      <c r="AK75" s="2379"/>
    </row>
    <row r="76" spans="1:37" s="2382" customFormat="1" ht="24">
      <c r="A76" s="1494" t="s">
        <v>1790</v>
      </c>
      <c r="B76" s="3300" t="s">
        <v>3023</v>
      </c>
      <c r="C76" s="1484"/>
      <c r="D76" s="2599">
        <f t="shared" si="20"/>
        <v>0</v>
      </c>
      <c r="E76" s="1513"/>
      <c r="F76" s="1502"/>
      <c r="G76" s="2597"/>
      <c r="H76" s="2615" t="str">
        <f t="shared" si="21"/>
        <v>——</v>
      </c>
      <c r="I76" s="1500">
        <v>0.05</v>
      </c>
      <c r="J76" s="2598">
        <f t="shared" si="22"/>
        <v>0</v>
      </c>
      <c r="K76" s="2598">
        <f t="shared" si="23"/>
        <v>0</v>
      </c>
      <c r="L76" s="2598">
        <v>0</v>
      </c>
      <c r="M76" s="2598">
        <f t="shared" si="24"/>
        <v>0</v>
      </c>
      <c r="N76" s="2598">
        <f t="shared" si="24"/>
        <v>0</v>
      </c>
      <c r="AA76" s="2381"/>
      <c r="AB76" s="2379"/>
      <c r="AC76" s="2379"/>
      <c r="AD76" s="2379"/>
      <c r="AE76" s="2379"/>
      <c r="AF76" s="2379"/>
      <c r="AG76" s="2379"/>
      <c r="AH76" s="2381"/>
      <c r="AI76" s="2381"/>
      <c r="AJ76" s="2381"/>
      <c r="AK76" s="2381"/>
    </row>
    <row r="77" spans="1:37" ht="36">
      <c r="A77" s="1494" t="s">
        <v>1793</v>
      </c>
      <c r="B77" s="1499" t="str">
        <f>估价对象房地状况!C20</f>
        <v>区域自然环境：；人文环境；综合评价环境状况一般</v>
      </c>
      <c r="C77" s="1484"/>
      <c r="D77" s="2599">
        <f t="shared" si="20"/>
        <v>0</v>
      </c>
      <c r="E77" s="1513"/>
      <c r="F77" s="1502"/>
      <c r="G77" s="2597"/>
      <c r="H77" s="2615" t="str">
        <f t="shared" si="21"/>
        <v>——</v>
      </c>
      <c r="I77" s="1500">
        <v>0.15</v>
      </c>
      <c r="J77" s="2598">
        <f t="shared" si="22"/>
        <v>0</v>
      </c>
      <c r="K77" s="2598">
        <f t="shared" si="23"/>
        <v>0</v>
      </c>
      <c r="L77" s="2598">
        <v>0</v>
      </c>
      <c r="M77" s="2598">
        <f t="shared" si="24"/>
        <v>0</v>
      </c>
      <c r="N77" s="2598">
        <f t="shared" si="24"/>
        <v>0</v>
      </c>
      <c r="Z77" s="1624"/>
      <c r="AA77" s="1623"/>
      <c r="AG77" s="1622"/>
      <c r="AK77" s="1623"/>
    </row>
    <row r="78" spans="1:37" ht="24.75" thickBot="1">
      <c r="A78" s="1507" t="s">
        <v>1795</v>
      </c>
      <c r="B78" s="3299"/>
      <c r="C78" s="1484"/>
      <c r="D78" s="2599">
        <f t="shared" si="20"/>
        <v>0</v>
      </c>
      <c r="E78" s="1514"/>
      <c r="F78" s="1502"/>
      <c r="G78" s="2597"/>
      <c r="H78" s="2615" t="str">
        <f t="shared" si="21"/>
        <v>——</v>
      </c>
      <c r="I78" s="1509">
        <v>0.04</v>
      </c>
      <c r="J78" s="2598">
        <f t="shared" si="22"/>
        <v>0</v>
      </c>
      <c r="K78" s="2598">
        <f t="shared" si="23"/>
        <v>0</v>
      </c>
      <c r="L78" s="2598">
        <v>0</v>
      </c>
      <c r="M78" s="2598">
        <f t="shared" si="24"/>
        <v>0</v>
      </c>
      <c r="N78" s="2598">
        <f t="shared" si="24"/>
        <v>0</v>
      </c>
      <c r="Z78" s="1624"/>
      <c r="AA78" s="1623"/>
      <c r="AG78" s="1622"/>
      <c r="AK78" s="1623"/>
    </row>
    <row r="79" spans="1:37" ht="15">
      <c r="A79" s="1488" t="s">
        <v>1109</v>
      </c>
      <c r="B79" s="1489">
        <f>1+E81</f>
        <v>1</v>
      </c>
      <c r="C79" s="1511"/>
      <c r="D79" s="1491"/>
      <c r="E79" s="1492"/>
      <c r="F79" s="2132"/>
      <c r="G79" s="292"/>
      <c r="H79" s="292"/>
      <c r="I79" s="292"/>
      <c r="J79" s="1487"/>
      <c r="K79" s="1487"/>
      <c r="L79" s="1487"/>
      <c r="M79" s="1487"/>
      <c r="N79" s="1487"/>
      <c r="Z79" s="1624"/>
      <c r="AA79" s="1623"/>
      <c r="AG79" s="1622"/>
      <c r="AK79" s="1623"/>
    </row>
    <row r="80" spans="1:37" ht="24">
      <c r="A80" s="1494" t="s">
        <v>1784</v>
      </c>
      <c r="B80" s="1495"/>
      <c r="C80" s="1496" t="s">
        <v>1786</v>
      </c>
      <c r="D80" s="1497" t="s">
        <v>1857</v>
      </c>
      <c r="E80" s="1498" t="s">
        <v>1859</v>
      </c>
      <c r="F80" s="2600" t="s">
        <v>2298</v>
      </c>
      <c r="G80" s="1497" t="s">
        <v>1855</v>
      </c>
      <c r="H80" s="2601" t="s">
        <v>2502</v>
      </c>
      <c r="I80" s="1497" t="s">
        <v>1858</v>
      </c>
      <c r="J80" s="945" t="s">
        <v>425</v>
      </c>
      <c r="K80" s="945" t="s">
        <v>426</v>
      </c>
      <c r="L80" s="945" t="s">
        <v>427</v>
      </c>
      <c r="M80" s="945" t="s">
        <v>428</v>
      </c>
      <c r="N80" s="945" t="s">
        <v>429</v>
      </c>
      <c r="Z80" s="1624"/>
      <c r="AA80" s="1623"/>
      <c r="AG80" s="1622"/>
      <c r="AK80" s="1623"/>
    </row>
    <row r="81" spans="1:37" ht="36">
      <c r="A81" s="1494" t="s">
        <v>159</v>
      </c>
      <c r="B81" s="1503" t="str">
        <f>估价对象房地状况!G15</f>
        <v>估价对象位于XX开发区，园区建设成熟度XX，产业集聚程度XX</v>
      </c>
      <c r="C81" s="1484"/>
      <c r="D81" s="2599">
        <f t="shared" ref="D81:D88" si="25">SUMIF($J$80:$N$80,C81,J81:N81)</f>
        <v>0</v>
      </c>
      <c r="E81" s="1501">
        <f>ROUND(SUM(D81:D88),4)</f>
        <v>0</v>
      </c>
      <c r="F81" s="1502" t="str">
        <f>IF(E2="工业",SUMIF(L1:L12,G2,N1:N12),"——")</f>
        <v>——</v>
      </c>
      <c r="G81" s="2597"/>
      <c r="H81" s="2615" t="str">
        <f t="shared" ref="H81:H88" si="26">IFERROR(ROUNDDOWN($F$81*I81/2,4),"——")</f>
        <v>——</v>
      </c>
      <c r="I81" s="1500">
        <v>0.26</v>
      </c>
      <c r="J81" s="2598">
        <f t="shared" ref="J81:J88" si="27">K81+$G81</f>
        <v>0</v>
      </c>
      <c r="K81" s="2598">
        <f t="shared" ref="K81:K88" si="28">$L81+$G81</f>
        <v>0</v>
      </c>
      <c r="L81" s="2598">
        <v>0</v>
      </c>
      <c r="M81" s="2598">
        <f t="shared" ref="M81:N88" si="29">L81-$G81</f>
        <v>0</v>
      </c>
      <c r="N81" s="2598">
        <f t="shared" si="29"/>
        <v>0</v>
      </c>
      <c r="Z81" s="1624"/>
      <c r="AA81" s="1623"/>
      <c r="AG81" s="1622"/>
      <c r="AK81" s="1623"/>
    </row>
    <row r="82" spans="1:37" ht="48">
      <c r="A82" s="1494" t="s">
        <v>92</v>
      </c>
      <c r="B82" s="1503" t="str">
        <f>估价对象房地状况!G16</f>
        <v>估价对象周边道路状况、公共交通通达情况、停车便捷程度，综合评价交通便捷度较好</v>
      </c>
      <c r="C82" s="1484"/>
      <c r="D82" s="2599">
        <f t="shared" si="25"/>
        <v>0</v>
      </c>
      <c r="E82" s="1513"/>
      <c r="F82" s="1502"/>
      <c r="G82" s="2597"/>
      <c r="H82" s="2615" t="str">
        <f t="shared" si="26"/>
        <v>——</v>
      </c>
      <c r="I82" s="1500">
        <v>0.33</v>
      </c>
      <c r="J82" s="2598">
        <f t="shared" si="27"/>
        <v>0</v>
      </c>
      <c r="K82" s="2598">
        <f t="shared" si="28"/>
        <v>0</v>
      </c>
      <c r="L82" s="2598">
        <v>0</v>
      </c>
      <c r="M82" s="2598">
        <f t="shared" si="29"/>
        <v>0</v>
      </c>
      <c r="N82" s="2598">
        <f t="shared" si="29"/>
        <v>0</v>
      </c>
      <c r="Z82" s="1624"/>
      <c r="AA82" s="1623"/>
      <c r="AG82" s="1622"/>
      <c r="AK82" s="1623"/>
    </row>
    <row r="83" spans="1:37" ht="24">
      <c r="A83" s="1494" t="s">
        <v>109</v>
      </c>
      <c r="B83" s="1503">
        <f>估价对象房地状况!G17</f>
        <v>0</v>
      </c>
      <c r="C83" s="1484"/>
      <c r="D83" s="2599">
        <f t="shared" si="25"/>
        <v>0</v>
      </c>
      <c r="E83" s="1513"/>
      <c r="F83" s="1502"/>
      <c r="G83" s="2597"/>
      <c r="H83" s="2615" t="str">
        <f t="shared" si="26"/>
        <v>——</v>
      </c>
      <c r="I83" s="1500">
        <v>0.05</v>
      </c>
      <c r="J83" s="2598">
        <f t="shared" si="27"/>
        <v>0</v>
      </c>
      <c r="K83" s="2598">
        <f t="shared" si="28"/>
        <v>0</v>
      </c>
      <c r="L83" s="2598">
        <v>0</v>
      </c>
      <c r="M83" s="2598">
        <f t="shared" si="29"/>
        <v>0</v>
      </c>
      <c r="N83" s="2598">
        <f t="shared" si="29"/>
        <v>0</v>
      </c>
      <c r="Z83" s="1624"/>
      <c r="AA83" s="1623"/>
      <c r="AG83" s="1622"/>
      <c r="AK83" s="1623"/>
    </row>
    <row r="84" spans="1:37" ht="14.25">
      <c r="A84" s="1494" t="s">
        <v>1794</v>
      </c>
      <c r="B84" s="1503">
        <f>估价对象房地状况!G22</f>
        <v>0</v>
      </c>
      <c r="C84" s="1484"/>
      <c r="D84" s="2599">
        <f t="shared" si="25"/>
        <v>0</v>
      </c>
      <c r="E84" s="1513"/>
      <c r="F84" s="1502"/>
      <c r="G84" s="2597"/>
      <c r="H84" s="2615" t="str">
        <f t="shared" si="26"/>
        <v>——</v>
      </c>
      <c r="I84" s="1500">
        <v>0.04</v>
      </c>
      <c r="J84" s="2598">
        <f t="shared" si="27"/>
        <v>0</v>
      </c>
      <c r="K84" s="2598">
        <f t="shared" si="28"/>
        <v>0</v>
      </c>
      <c r="L84" s="2598">
        <v>0</v>
      </c>
      <c r="M84" s="2598">
        <f t="shared" si="29"/>
        <v>0</v>
      </c>
      <c r="N84" s="2598">
        <f t="shared" si="29"/>
        <v>0</v>
      </c>
      <c r="Z84" s="1624"/>
      <c r="AA84" s="1623"/>
      <c r="AG84" s="1622"/>
      <c r="AK84" s="1623"/>
    </row>
    <row r="85" spans="1:37" ht="24">
      <c r="A85" s="1494" t="s">
        <v>1791</v>
      </c>
      <c r="B85" s="2595" t="str">
        <f>估价对象房地状况!G19</f>
        <v>估价对象所在区域公共配套设施齐备情况</v>
      </c>
      <c r="C85" s="1484"/>
      <c r="D85" s="2599">
        <f t="shared" si="25"/>
        <v>0</v>
      </c>
      <c r="E85" s="1513"/>
      <c r="F85" s="1502"/>
      <c r="G85" s="2597"/>
      <c r="H85" s="2615" t="str">
        <f t="shared" si="26"/>
        <v>——</v>
      </c>
      <c r="I85" s="1500">
        <v>0.06</v>
      </c>
      <c r="J85" s="2598">
        <f t="shared" si="27"/>
        <v>0</v>
      </c>
      <c r="K85" s="2598">
        <f t="shared" si="28"/>
        <v>0</v>
      </c>
      <c r="L85" s="2598">
        <v>0</v>
      </c>
      <c r="M85" s="2598">
        <f t="shared" si="29"/>
        <v>0</v>
      </c>
      <c r="N85" s="2598">
        <f t="shared" si="29"/>
        <v>0</v>
      </c>
      <c r="Z85" s="1624"/>
      <c r="AA85" s="1623"/>
      <c r="AG85" s="1622"/>
      <c r="AK85" s="1623"/>
    </row>
    <row r="86" spans="1:37" ht="24">
      <c r="A86" s="1494" t="s">
        <v>1792</v>
      </c>
      <c r="B86" s="2595" t="str">
        <f>估价对象房地状况!G20</f>
        <v>估价对象所在区域基础设施水平</v>
      </c>
      <c r="C86" s="1484"/>
      <c r="D86" s="2599">
        <f t="shared" si="25"/>
        <v>0</v>
      </c>
      <c r="E86" s="1513"/>
      <c r="F86" s="1502"/>
      <c r="G86" s="2597"/>
      <c r="H86" s="2615" t="str">
        <f t="shared" si="26"/>
        <v>——</v>
      </c>
      <c r="I86" s="1500">
        <v>0.15</v>
      </c>
      <c r="J86" s="2598">
        <f t="shared" si="27"/>
        <v>0</v>
      </c>
      <c r="K86" s="2598">
        <f t="shared" si="28"/>
        <v>0</v>
      </c>
      <c r="L86" s="2598">
        <v>0</v>
      </c>
      <c r="M86" s="2598">
        <f t="shared" si="29"/>
        <v>0</v>
      </c>
      <c r="N86" s="2598">
        <f t="shared" si="29"/>
        <v>0</v>
      </c>
      <c r="Z86" s="1624"/>
      <c r="AA86" s="1623"/>
      <c r="AG86" s="1622"/>
      <c r="AK86" s="1623"/>
    </row>
    <row r="87" spans="1:37" ht="24">
      <c r="A87" s="1494" t="s">
        <v>1790</v>
      </c>
      <c r="B87" s="3300" t="s">
        <v>2500</v>
      </c>
      <c r="C87" s="1484"/>
      <c r="D87" s="2599">
        <f t="shared" si="25"/>
        <v>0</v>
      </c>
      <c r="E87" s="1513"/>
      <c r="F87" s="1502"/>
      <c r="G87" s="2597"/>
      <c r="H87" s="2615" t="str">
        <f t="shared" si="26"/>
        <v>——</v>
      </c>
      <c r="I87" s="1500">
        <v>0.05</v>
      </c>
      <c r="J87" s="2598">
        <f t="shared" si="27"/>
        <v>0</v>
      </c>
      <c r="K87" s="2598">
        <f t="shared" si="28"/>
        <v>0</v>
      </c>
      <c r="L87" s="2598">
        <v>0</v>
      </c>
      <c r="M87" s="2598">
        <f t="shared" si="29"/>
        <v>0</v>
      </c>
      <c r="N87" s="2598">
        <f t="shared" si="29"/>
        <v>0</v>
      </c>
      <c r="Z87" s="1624"/>
      <c r="AA87" s="1623"/>
      <c r="AG87" s="1622"/>
      <c r="AK87" s="1623"/>
    </row>
    <row r="88" spans="1:37" ht="36.75" thickBot="1">
      <c r="A88" s="1507" t="s">
        <v>1796</v>
      </c>
      <c r="B88" s="2596" t="str">
        <f>估价对象房地状况!G18</f>
        <v>该园区内是否有污染型企业，绿化情况，卫生条件，整体环境状况判断</v>
      </c>
      <c r="C88" s="1484"/>
      <c r="D88" s="2599">
        <f t="shared" si="25"/>
        <v>0</v>
      </c>
      <c r="E88" s="1514"/>
      <c r="F88" s="1502"/>
      <c r="G88" s="2597"/>
      <c r="H88" s="2615" t="str">
        <f t="shared" si="26"/>
        <v>——</v>
      </c>
      <c r="I88" s="1509">
        <v>0.06</v>
      </c>
      <c r="J88" s="2598">
        <f t="shared" si="27"/>
        <v>0</v>
      </c>
      <c r="K88" s="2598">
        <f t="shared" si="28"/>
        <v>0</v>
      </c>
      <c r="L88" s="2598">
        <v>0</v>
      </c>
      <c r="M88" s="2598">
        <f t="shared" si="29"/>
        <v>0</v>
      </c>
      <c r="N88" s="2598">
        <f t="shared" si="29"/>
        <v>0</v>
      </c>
      <c r="Z88" s="1624"/>
      <c r="AA88" s="1623"/>
      <c r="AG88" s="1622"/>
      <c r="AK88" s="1623"/>
    </row>
    <row r="90" spans="1:37">
      <c r="A90" s="3780" t="s">
        <v>1765</v>
      </c>
      <c r="B90" s="3780"/>
      <c r="C90" s="3780"/>
      <c r="D90" s="3780"/>
      <c r="E90" s="3780"/>
      <c r="F90" s="3780"/>
      <c r="G90" s="3780"/>
      <c r="H90" s="3780"/>
      <c r="I90" s="3780"/>
      <c r="J90" s="3780"/>
      <c r="K90" s="2604"/>
      <c r="L90" s="2604"/>
      <c r="M90" s="2604"/>
      <c r="N90" s="2604"/>
    </row>
    <row r="91" spans="1:37">
      <c r="A91" s="3782" t="s">
        <v>68</v>
      </c>
      <c r="B91" s="3782" t="s">
        <v>1766</v>
      </c>
      <c r="C91" s="1583" t="s">
        <v>1767</v>
      </c>
      <c r="D91" s="1584"/>
      <c r="E91" s="1584"/>
      <c r="F91" s="1584"/>
      <c r="G91" s="1584"/>
      <c r="H91" s="1584"/>
      <c r="I91" s="1584"/>
      <c r="J91" s="1585"/>
      <c r="K91" s="1573"/>
      <c r="L91" s="1573"/>
      <c r="M91" s="1573"/>
      <c r="N91" s="1573"/>
    </row>
    <row r="92" spans="1:37">
      <c r="A92" s="3782"/>
      <c r="B92" s="3782"/>
      <c r="C92" s="2603" t="s">
        <v>165</v>
      </c>
      <c r="D92" s="2603" t="s">
        <v>166</v>
      </c>
      <c r="E92" s="2603" t="s">
        <v>161</v>
      </c>
      <c r="F92" s="2603" t="s">
        <v>162</v>
      </c>
      <c r="G92" s="2603" t="s">
        <v>163</v>
      </c>
      <c r="H92" s="2603" t="s">
        <v>164</v>
      </c>
      <c r="I92" s="2603" t="s">
        <v>1182</v>
      </c>
      <c r="J92" s="2603" t="s">
        <v>1183</v>
      </c>
      <c r="K92" s="2603" t="s">
        <v>1184</v>
      </c>
      <c r="L92" s="2603" t="s">
        <v>1185</v>
      </c>
      <c r="M92" s="2603" t="s">
        <v>1186</v>
      </c>
      <c r="N92" s="2603" t="s">
        <v>1187</v>
      </c>
    </row>
    <row r="93" spans="1:37">
      <c r="A93" s="3783" t="s">
        <v>1768</v>
      </c>
      <c r="B93" s="1586">
        <v>1</v>
      </c>
      <c r="C93" s="1587">
        <v>1.9361999999999999</v>
      </c>
      <c r="D93" s="1587">
        <v>1.9361999999999999</v>
      </c>
      <c r="E93" s="1587">
        <v>1.8629</v>
      </c>
      <c r="F93" s="1587">
        <v>1.8629</v>
      </c>
      <c r="G93" s="1587">
        <v>1.8629</v>
      </c>
      <c r="H93" s="1587">
        <v>1.8629</v>
      </c>
      <c r="I93" s="1587">
        <v>1.8629</v>
      </c>
      <c r="J93" s="1587">
        <v>1.9419999999999999</v>
      </c>
      <c r="K93" s="1587">
        <v>1.9419999999999999</v>
      </c>
      <c r="L93" s="1587">
        <v>1.9419999999999999</v>
      </c>
      <c r="M93" s="1587">
        <v>1.9419999999999999</v>
      </c>
      <c r="N93" s="1587">
        <v>1.9419999999999999</v>
      </c>
    </row>
    <row r="94" spans="1:37">
      <c r="A94" s="3784"/>
      <c r="B94" s="1586">
        <v>2</v>
      </c>
      <c r="C94" s="1587">
        <v>1.4198</v>
      </c>
      <c r="D94" s="1587">
        <v>1.4198</v>
      </c>
      <c r="E94" s="1587">
        <v>1.3371999999999999</v>
      </c>
      <c r="F94" s="1587">
        <v>1.3371999999999999</v>
      </c>
      <c r="G94" s="1587">
        <v>1.3371999999999999</v>
      </c>
      <c r="H94" s="1587">
        <v>1.3371999999999999</v>
      </c>
      <c r="I94" s="1587">
        <v>1.3371999999999999</v>
      </c>
      <c r="J94" s="1587">
        <v>1.2799</v>
      </c>
      <c r="K94" s="1587">
        <v>1.2799</v>
      </c>
      <c r="L94" s="1587">
        <v>1.2799</v>
      </c>
      <c r="M94" s="1587">
        <v>1.2799</v>
      </c>
      <c r="N94" s="1587">
        <v>1.2799</v>
      </c>
    </row>
    <row r="95" spans="1:37">
      <c r="A95" s="3784"/>
      <c r="B95" s="1586">
        <v>3</v>
      </c>
      <c r="C95" s="1587">
        <v>1.1594</v>
      </c>
      <c r="D95" s="1587">
        <v>1.1594</v>
      </c>
      <c r="E95" s="1587">
        <v>1.0788</v>
      </c>
      <c r="F95" s="1587">
        <v>1.0788</v>
      </c>
      <c r="G95" s="1587">
        <v>1.0788</v>
      </c>
      <c r="H95" s="1587">
        <v>1.0788</v>
      </c>
      <c r="I95" s="1587">
        <v>1.0788</v>
      </c>
      <c r="J95" s="1587">
        <v>1.0072000000000001</v>
      </c>
      <c r="K95" s="1587">
        <v>1.0072000000000001</v>
      </c>
      <c r="L95" s="1587">
        <v>1.0072000000000001</v>
      </c>
      <c r="M95" s="1587">
        <v>1.0072000000000001</v>
      </c>
      <c r="N95" s="1587">
        <v>1.0072000000000001</v>
      </c>
    </row>
    <row r="96" spans="1:37">
      <c r="A96" s="3784"/>
      <c r="B96" s="1586">
        <v>4</v>
      </c>
      <c r="C96" s="1587">
        <v>0.96220000000000006</v>
      </c>
      <c r="D96" s="1587">
        <v>0.96220000000000006</v>
      </c>
      <c r="E96" s="1587">
        <v>0.86560000000000004</v>
      </c>
      <c r="F96" s="1587">
        <v>0.86560000000000004</v>
      </c>
      <c r="G96" s="1587">
        <v>0.86560000000000004</v>
      </c>
      <c r="H96" s="1587">
        <v>0.86560000000000004</v>
      </c>
      <c r="I96" s="1587">
        <v>0.86560000000000004</v>
      </c>
      <c r="J96" s="1587">
        <v>0.75249999999999995</v>
      </c>
      <c r="K96" s="1587">
        <v>0.75249999999999995</v>
      </c>
      <c r="L96" s="1587">
        <v>0.75249999999999995</v>
      </c>
      <c r="M96" s="1587">
        <v>0.75249999999999995</v>
      </c>
      <c r="N96" s="1587">
        <v>0.75249999999999995</v>
      </c>
    </row>
    <row r="97" spans="1:14">
      <c r="A97" s="3784"/>
      <c r="B97" s="1586">
        <v>5</v>
      </c>
      <c r="C97" s="1587">
        <v>0.8417</v>
      </c>
      <c r="D97" s="1587">
        <v>0.8417</v>
      </c>
      <c r="E97" s="1587">
        <v>0.73709999999999998</v>
      </c>
      <c r="F97" s="1587">
        <v>0.73709999999999998</v>
      </c>
      <c r="G97" s="1587">
        <v>0.73709999999999998</v>
      </c>
      <c r="H97" s="1587">
        <v>0.73709999999999998</v>
      </c>
      <c r="I97" s="1587">
        <v>0.73709999999999998</v>
      </c>
      <c r="J97" s="1587">
        <v>0.56589999999999996</v>
      </c>
      <c r="K97" s="1587">
        <v>0.56589999999999996</v>
      </c>
      <c r="L97" s="1587">
        <v>0.56589999999999996</v>
      </c>
      <c r="M97" s="1587">
        <v>0.56589999999999996</v>
      </c>
      <c r="N97" s="1587">
        <v>0.56589999999999996</v>
      </c>
    </row>
    <row r="98" spans="1:14">
      <c r="A98" s="3784"/>
      <c r="B98" s="1586">
        <v>6</v>
      </c>
      <c r="C98" s="1587">
        <v>0.76080000000000003</v>
      </c>
      <c r="D98" s="1587">
        <v>0.76080000000000003</v>
      </c>
      <c r="E98" s="1587">
        <v>0.6482</v>
      </c>
      <c r="F98" s="1587">
        <v>0.6482</v>
      </c>
      <c r="G98" s="1587">
        <v>0.6482</v>
      </c>
      <c r="H98" s="1587">
        <v>0.6482</v>
      </c>
      <c r="I98" s="1587">
        <v>0.6482</v>
      </c>
      <c r="J98" s="1587">
        <v>0.45250000000000001</v>
      </c>
      <c r="K98" s="1587">
        <v>0.45250000000000001</v>
      </c>
      <c r="L98" s="1587">
        <v>0.45250000000000001</v>
      </c>
      <c r="M98" s="1587">
        <v>0.45250000000000001</v>
      </c>
      <c r="N98" s="1587">
        <v>0.45250000000000001</v>
      </c>
    </row>
    <row r="99" spans="1:14">
      <c r="A99" s="3784"/>
      <c r="B99" s="1586" t="s">
        <v>1769</v>
      </c>
      <c r="C99" s="1588">
        <f>$I$3</f>
        <v>0</v>
      </c>
      <c r="D99" s="1588">
        <f t="shared" ref="D99:M99" si="30">$I$3</f>
        <v>0</v>
      </c>
      <c r="E99" s="1588">
        <f t="shared" si="30"/>
        <v>0</v>
      </c>
      <c r="F99" s="1588">
        <f t="shared" si="30"/>
        <v>0</v>
      </c>
      <c r="G99" s="1588">
        <f t="shared" si="30"/>
        <v>0</v>
      </c>
      <c r="H99" s="1588">
        <f t="shared" si="30"/>
        <v>0</v>
      </c>
      <c r="I99" s="1588">
        <f t="shared" si="30"/>
        <v>0</v>
      </c>
      <c r="J99" s="1588">
        <f t="shared" si="30"/>
        <v>0</v>
      </c>
      <c r="K99" s="1588">
        <f t="shared" si="30"/>
        <v>0</v>
      </c>
      <c r="L99" s="1588">
        <f t="shared" si="30"/>
        <v>0</v>
      </c>
      <c r="M99" s="1588">
        <f t="shared" si="30"/>
        <v>0</v>
      </c>
      <c r="N99" s="1588">
        <f>$I$3</f>
        <v>0</v>
      </c>
    </row>
    <row r="100" spans="1:14">
      <c r="A100" s="3785"/>
      <c r="B100" s="1586">
        <v>7</v>
      </c>
      <c r="C100" s="1589">
        <f>(-0.163*(C99^2)-0.59*C99+7617)*(10^(-4))</f>
        <v>0.76170000000000004</v>
      </c>
      <c r="D100" s="1589">
        <f>(-0.163*(D99^2)-0.59*D99+7617)*(10^(-4))</f>
        <v>0.76170000000000004</v>
      </c>
      <c r="E100" s="1589">
        <f>(-0.161*(E99^2)-7.509*E99+6533)*(10^(-4))</f>
        <v>0.65329999999999999</v>
      </c>
      <c r="F100" s="1589">
        <f>(-0.161*(F99^2)-7.509*F99+6533)*(10^(-4))</f>
        <v>0.65329999999999999</v>
      </c>
      <c r="G100" s="1589">
        <f>(-0.161*(G99^2)-7.509*G99+6533)*(10^(-4))</f>
        <v>0.65329999999999999</v>
      </c>
      <c r="H100" s="1589">
        <f>(-0.161*(H99^2)-7.509*H99+6533)*(10^(-4))</f>
        <v>0.65329999999999999</v>
      </c>
      <c r="I100" s="1589">
        <f>(-0.161*(I99^2)-7.509*I99+6533)*(10^(-4))</f>
        <v>0.65329999999999999</v>
      </c>
      <c r="J100" s="1589">
        <f>(-0.214*(J99^2)-21.991*J99+4665)*(10^(-4))</f>
        <v>0.46650000000000003</v>
      </c>
      <c r="K100" s="1589">
        <f>(-0.214*(K99^2)-21.991*K99+4665)*(10^(-4))</f>
        <v>0.46650000000000003</v>
      </c>
      <c r="L100" s="1589">
        <f>(-0.214*(L99^2)-21.991*L99+4665)*(10^(-4))</f>
        <v>0.46650000000000003</v>
      </c>
      <c r="M100" s="1589">
        <f>(-0.214*(M99^2)-21.991*M99+4665)*(10^(-4))</f>
        <v>0.46650000000000003</v>
      </c>
      <c r="N100" s="1589">
        <f>(-0.214*(N99^2)-21.991*N99+4665)*(10^(-4))</f>
        <v>0.46650000000000003</v>
      </c>
    </row>
    <row r="101" spans="1:14">
      <c r="A101" s="3783" t="s">
        <v>1770</v>
      </c>
      <c r="B101" s="1590" t="s">
        <v>93</v>
      </c>
      <c r="C101" s="1591">
        <f>$G$3</f>
        <v>1.36</v>
      </c>
      <c r="D101" s="1591">
        <f t="shared" ref="D101:N101" si="31">$G$3</f>
        <v>1.36</v>
      </c>
      <c r="E101" s="1591">
        <f t="shared" si="31"/>
        <v>1.36</v>
      </c>
      <c r="F101" s="1591">
        <f t="shared" si="31"/>
        <v>1.36</v>
      </c>
      <c r="G101" s="1591">
        <f t="shared" si="31"/>
        <v>1.36</v>
      </c>
      <c r="H101" s="1591">
        <f t="shared" si="31"/>
        <v>1.36</v>
      </c>
      <c r="I101" s="1591">
        <f t="shared" si="31"/>
        <v>1.36</v>
      </c>
      <c r="J101" s="1591">
        <f t="shared" si="31"/>
        <v>1.36</v>
      </c>
      <c r="K101" s="1591">
        <f t="shared" si="31"/>
        <v>1.36</v>
      </c>
      <c r="L101" s="1591">
        <f t="shared" si="31"/>
        <v>1.36</v>
      </c>
      <c r="M101" s="1591">
        <f t="shared" si="31"/>
        <v>1.36</v>
      </c>
      <c r="N101" s="1591">
        <f t="shared" si="31"/>
        <v>1.36</v>
      </c>
    </row>
    <row r="102" spans="1:14">
      <c r="A102" s="3784"/>
      <c r="B102" s="1586">
        <v>1</v>
      </c>
      <c r="C102" s="1587">
        <f>1.9362/C101</f>
        <v>1.4236764705882352</v>
      </c>
      <c r="D102" s="1587">
        <f>1.9362/D101</f>
        <v>1.4236764705882352</v>
      </c>
      <c r="E102" s="1587">
        <f>1.8629/E101</f>
        <v>1.3697794117647057</v>
      </c>
      <c r="F102" s="1587">
        <f>1.8629/F101</f>
        <v>1.3697794117647057</v>
      </c>
      <c r="G102" s="1587">
        <f>1.8629/G101</f>
        <v>1.3697794117647057</v>
      </c>
      <c r="H102" s="1587">
        <f>1.8629/H101</f>
        <v>1.3697794117647057</v>
      </c>
      <c r="I102" s="1587">
        <f>1.8629/I101</f>
        <v>1.3697794117647057</v>
      </c>
      <c r="J102" s="1587">
        <f>1.942/J101</f>
        <v>1.427941176470588</v>
      </c>
      <c r="K102" s="1587">
        <f>1.942/K101</f>
        <v>1.427941176470588</v>
      </c>
      <c r="L102" s="1587">
        <f>1.942/L101</f>
        <v>1.427941176470588</v>
      </c>
      <c r="M102" s="1587">
        <f>1.942/M101</f>
        <v>1.427941176470588</v>
      </c>
      <c r="N102" s="1587">
        <f>1.942/N101</f>
        <v>1.427941176470588</v>
      </c>
    </row>
    <row r="103" spans="1:14">
      <c r="A103" s="3784"/>
      <c r="B103" s="1586">
        <v>2</v>
      </c>
      <c r="C103" s="1587">
        <f>1.4198/C101</f>
        <v>1.0439705882352941</v>
      </c>
      <c r="D103" s="1587">
        <f>1.4198/D101</f>
        <v>1.0439705882352941</v>
      </c>
      <c r="E103" s="1587">
        <f>1.3372/E101</f>
        <v>0.98323529411764699</v>
      </c>
      <c r="F103" s="1587">
        <f>1.3372/F101</f>
        <v>0.98323529411764699</v>
      </c>
      <c r="G103" s="1587">
        <f>1.3372/G101</f>
        <v>0.98323529411764699</v>
      </c>
      <c r="H103" s="1587">
        <f>1.3372/H101</f>
        <v>0.98323529411764699</v>
      </c>
      <c r="I103" s="1587">
        <f>1.3372/I101</f>
        <v>0.98323529411764699</v>
      </c>
      <c r="J103" s="1587">
        <f>1.2799/J101</f>
        <v>0.94110294117647053</v>
      </c>
      <c r="K103" s="1587">
        <f>1.2799/K101</f>
        <v>0.94110294117647053</v>
      </c>
      <c r="L103" s="1587">
        <f>1.2799/L101</f>
        <v>0.94110294117647053</v>
      </c>
      <c r="M103" s="1587">
        <f>1.2799/M101</f>
        <v>0.94110294117647053</v>
      </c>
      <c r="N103" s="1587">
        <f>1.2799/N101</f>
        <v>0.94110294117647053</v>
      </c>
    </row>
    <row r="104" spans="1:14">
      <c r="A104" s="3784"/>
      <c r="B104" s="1586">
        <v>3</v>
      </c>
      <c r="C104" s="1587">
        <f>1.1594/C101</f>
        <v>0.85249999999999992</v>
      </c>
      <c r="D104" s="1587">
        <f>1.1594/D101</f>
        <v>0.85249999999999992</v>
      </c>
      <c r="E104" s="1587">
        <f>1.0788/E101</f>
        <v>0.79323529411764704</v>
      </c>
      <c r="F104" s="1587">
        <f>1.0788/F101</f>
        <v>0.79323529411764704</v>
      </c>
      <c r="G104" s="1587">
        <f>1.0788/G101</f>
        <v>0.79323529411764704</v>
      </c>
      <c r="H104" s="1587">
        <f>1.0788/H101</f>
        <v>0.79323529411764704</v>
      </c>
      <c r="I104" s="1587">
        <f>1.0788/I101</f>
        <v>0.79323529411764704</v>
      </c>
      <c r="J104" s="1587">
        <f>1.0072/J101</f>
        <v>0.74058823529411766</v>
      </c>
      <c r="K104" s="1587">
        <f>1.0072/K101</f>
        <v>0.74058823529411766</v>
      </c>
      <c r="L104" s="1587">
        <f>1.0072/L101</f>
        <v>0.74058823529411766</v>
      </c>
      <c r="M104" s="1587">
        <f>1.0072/M101</f>
        <v>0.74058823529411766</v>
      </c>
      <c r="N104" s="1587">
        <f>1.0072/N101</f>
        <v>0.74058823529411766</v>
      </c>
    </row>
    <row r="105" spans="1:14">
      <c r="A105" s="3784"/>
      <c r="B105" s="1586">
        <v>4</v>
      </c>
      <c r="C105" s="1587">
        <f>0.9622/C101</f>
        <v>0.70750000000000002</v>
      </c>
      <c r="D105" s="1587">
        <f>0.9622/D101</f>
        <v>0.70750000000000002</v>
      </c>
      <c r="E105" s="1587">
        <f>0.8656/E101</f>
        <v>0.63647058823529412</v>
      </c>
      <c r="F105" s="1587">
        <f>0.8656/F101</f>
        <v>0.63647058823529412</v>
      </c>
      <c r="G105" s="1587">
        <f>0.8656/G101</f>
        <v>0.63647058823529412</v>
      </c>
      <c r="H105" s="1587">
        <f>0.8656/H101</f>
        <v>0.63647058823529412</v>
      </c>
      <c r="I105" s="1587">
        <f>0.8656/I101</f>
        <v>0.63647058823529412</v>
      </c>
      <c r="J105" s="1587">
        <f>0.7525/J101</f>
        <v>0.55330882352941169</v>
      </c>
      <c r="K105" s="1587">
        <f>0.7525/K101</f>
        <v>0.55330882352941169</v>
      </c>
      <c r="L105" s="1587">
        <f>0.7525/L101</f>
        <v>0.55330882352941169</v>
      </c>
      <c r="M105" s="1587">
        <f>0.7525/M101</f>
        <v>0.55330882352941169</v>
      </c>
      <c r="N105" s="1587">
        <f>0.7525/N101</f>
        <v>0.55330882352941169</v>
      </c>
    </row>
    <row r="106" spans="1:14">
      <c r="A106" s="3784"/>
      <c r="B106" s="1586">
        <v>5</v>
      </c>
      <c r="C106" s="1587">
        <f>0.8417/C101</f>
        <v>0.61889705882352941</v>
      </c>
      <c r="D106" s="1587">
        <f>0.8417/D101</f>
        <v>0.61889705882352941</v>
      </c>
      <c r="E106" s="1587">
        <f>0.7371/E101</f>
        <v>0.54198529411764695</v>
      </c>
      <c r="F106" s="1587">
        <f>0.7371/F101</f>
        <v>0.54198529411764695</v>
      </c>
      <c r="G106" s="1587">
        <f>0.7371/G101</f>
        <v>0.54198529411764695</v>
      </c>
      <c r="H106" s="1587">
        <f>0.7371/H101</f>
        <v>0.54198529411764695</v>
      </c>
      <c r="I106" s="1587">
        <f>0.7371/I101</f>
        <v>0.54198529411764695</v>
      </c>
      <c r="J106" s="1587">
        <f>0.5659/J101</f>
        <v>0.41610294117647051</v>
      </c>
      <c r="K106" s="1587">
        <f>0.5659/K101</f>
        <v>0.41610294117647051</v>
      </c>
      <c r="L106" s="1587">
        <f>0.5659/L101</f>
        <v>0.41610294117647051</v>
      </c>
      <c r="M106" s="1587">
        <f>0.5659/M101</f>
        <v>0.41610294117647051</v>
      </c>
      <c r="N106" s="1587">
        <f>0.5659/N101</f>
        <v>0.41610294117647051</v>
      </c>
    </row>
    <row r="107" spans="1:14">
      <c r="A107" s="3784"/>
      <c r="B107" s="1586">
        <v>6</v>
      </c>
      <c r="C107" s="1587">
        <f>0.7608/C101</f>
        <v>0.55941176470588239</v>
      </c>
      <c r="D107" s="1587">
        <f>0.7608/D101</f>
        <v>0.55941176470588239</v>
      </c>
      <c r="E107" s="1587">
        <f>0.6482/E101</f>
        <v>0.47661764705882348</v>
      </c>
      <c r="F107" s="1587">
        <f>0.6482/F101</f>
        <v>0.47661764705882348</v>
      </c>
      <c r="G107" s="1587">
        <f>0.6482/G101</f>
        <v>0.47661764705882348</v>
      </c>
      <c r="H107" s="1587">
        <f>0.6482/H101</f>
        <v>0.47661764705882348</v>
      </c>
      <c r="I107" s="1587">
        <f>0.6482/I101</f>
        <v>0.47661764705882348</v>
      </c>
      <c r="J107" s="1587">
        <f>0.4525/J101</f>
        <v>0.3327205882352941</v>
      </c>
      <c r="K107" s="1587">
        <f>0.4525/K101</f>
        <v>0.3327205882352941</v>
      </c>
      <c r="L107" s="1587">
        <f>0.4525/L101</f>
        <v>0.3327205882352941</v>
      </c>
      <c r="M107" s="1587">
        <f>0.4525/M101</f>
        <v>0.3327205882352941</v>
      </c>
      <c r="N107" s="1587">
        <f>0.4525/N101</f>
        <v>0.3327205882352941</v>
      </c>
    </row>
    <row r="108" spans="1:14">
      <c r="A108" s="3784"/>
      <c r="B108" s="3786" t="s">
        <v>1772</v>
      </c>
      <c r="C108" s="1588">
        <f>C99</f>
        <v>0</v>
      </c>
      <c r="D108" s="1588">
        <f t="shared" ref="D108:N108" si="32">D99</f>
        <v>0</v>
      </c>
      <c r="E108" s="1588">
        <f t="shared" si="32"/>
        <v>0</v>
      </c>
      <c r="F108" s="1588">
        <f t="shared" si="32"/>
        <v>0</v>
      </c>
      <c r="G108" s="1588">
        <f t="shared" si="32"/>
        <v>0</v>
      </c>
      <c r="H108" s="1588">
        <f t="shared" si="32"/>
        <v>0</v>
      </c>
      <c r="I108" s="1588">
        <f t="shared" si="32"/>
        <v>0</v>
      </c>
      <c r="J108" s="1588">
        <f t="shared" si="32"/>
        <v>0</v>
      </c>
      <c r="K108" s="1588">
        <f t="shared" si="32"/>
        <v>0</v>
      </c>
      <c r="L108" s="1588">
        <f t="shared" si="32"/>
        <v>0</v>
      </c>
      <c r="M108" s="1588">
        <f t="shared" si="32"/>
        <v>0</v>
      </c>
      <c r="N108" s="1588">
        <f t="shared" si="32"/>
        <v>0</v>
      </c>
    </row>
    <row r="109" spans="1:14">
      <c r="A109" s="3785"/>
      <c r="B109" s="3787"/>
      <c r="C109" s="1589">
        <f>(-0.163*(C108^2)-0.59*C108+7617)*(10^(-4))/C101</f>
        <v>0.56007352941176469</v>
      </c>
      <c r="D109" s="1589">
        <f>(-0.163*(D108^2)-0.59*D108+7617)*(10^(-4))/D101</f>
        <v>0.56007352941176469</v>
      </c>
      <c r="E109" s="1589">
        <f>(-0.161*(E108^2)-7.509*E108+6533)*(10^(-4))/E101</f>
        <v>0.48036764705882351</v>
      </c>
      <c r="F109" s="1589">
        <f>(-0.161*(F108^2)-7.509*F108+6533)*(10^(-4))/F101</f>
        <v>0.48036764705882351</v>
      </c>
      <c r="G109" s="1589">
        <f>(-0.161*(G108^2)-7.509*G108+6533)*(10^(-4))/G101</f>
        <v>0.48036764705882351</v>
      </c>
      <c r="H109" s="1589">
        <f>(-0.161*(H108^2)-7.509*H108+6533)*(10^(-4))/H101</f>
        <v>0.48036764705882351</v>
      </c>
      <c r="I109" s="1589">
        <f>(-0.161*(I108^2)-7.509*I108+6533)*(10^(-4))/I101</f>
        <v>0.48036764705882351</v>
      </c>
      <c r="J109" s="1589">
        <f>(-0.214*(J108^2)-21.991*J108+4665)*(10^(-4))/J101</f>
        <v>0.34301470588235294</v>
      </c>
      <c r="K109" s="1589">
        <f>(-0.214*(K108^2)-21.991*K108+4665)*(10^(-4))/K101</f>
        <v>0.34301470588235294</v>
      </c>
      <c r="L109" s="1589">
        <f>(-0.214*(L108^2)-21.991*L108+4665)*(10^(-4))/L101</f>
        <v>0.34301470588235294</v>
      </c>
      <c r="M109" s="1589">
        <f>(-0.214*(M108^2)-21.991*M108+4665)*(10^(-4))/M101</f>
        <v>0.34301470588235294</v>
      </c>
      <c r="N109" s="1589">
        <f>(-0.214*(N108^2)-21.991*N108+4665)*(10^(-4))/N101</f>
        <v>0.34301470588235294</v>
      </c>
    </row>
    <row r="110" spans="1:14">
      <c r="A110" s="3781" t="s">
        <v>1773</v>
      </c>
      <c r="B110" s="3781"/>
      <c r="C110" s="3781"/>
      <c r="D110" s="3781"/>
      <c r="E110" s="3781"/>
      <c r="F110" s="3781"/>
      <c r="G110" s="3781"/>
      <c r="H110" s="3781"/>
      <c r="I110" s="3781"/>
      <c r="J110" s="3781"/>
      <c r="K110" s="2602"/>
      <c r="L110" s="2602"/>
      <c r="M110" s="2602"/>
      <c r="N110" s="2602"/>
    </row>
    <row r="112" spans="1:14" ht="12.75" thickBot="1"/>
    <row r="113" spans="1:13" ht="25.5" thickBot="1">
      <c r="A113" s="1599" t="s">
        <v>1775</v>
      </c>
      <c r="B113" s="2605">
        <f>G3</f>
        <v>1.36</v>
      </c>
      <c r="C113" s="1600" t="s">
        <v>1776</v>
      </c>
      <c r="D113" s="1601">
        <f>SUMPRODUCT((A115:A118=F113)*(B114:M114=H113)*B115:M118)</f>
        <v>0</v>
      </c>
      <c r="E113" s="1602" t="s">
        <v>68</v>
      </c>
      <c r="F113" s="1603">
        <f>E2</f>
        <v>0</v>
      </c>
      <c r="G113" s="1602" t="s">
        <v>1565</v>
      </c>
      <c r="H113" s="1603">
        <f>G2</f>
        <v>0</v>
      </c>
      <c r="I113" s="1602"/>
      <c r="J113" s="1594"/>
      <c r="K113" s="1594"/>
      <c r="L113" s="1594"/>
      <c r="M113" s="1594"/>
    </row>
    <row r="114" spans="1:13" ht="12.75">
      <c r="A114" s="1606"/>
      <c r="B114" s="1607" t="s">
        <v>165</v>
      </c>
      <c r="C114" s="1607" t="s">
        <v>166</v>
      </c>
      <c r="D114" s="1607" t="s">
        <v>161</v>
      </c>
      <c r="E114" s="1608" t="s">
        <v>162</v>
      </c>
      <c r="F114" s="1608" t="s">
        <v>163</v>
      </c>
      <c r="G114" s="1608" t="s">
        <v>164</v>
      </c>
      <c r="H114" s="1609" t="s">
        <v>1182</v>
      </c>
      <c r="I114" s="1609" t="s">
        <v>1183</v>
      </c>
      <c r="J114" s="1610" t="s">
        <v>1184</v>
      </c>
      <c r="K114" s="1610" t="s">
        <v>1185</v>
      </c>
      <c r="L114" s="1610" t="s">
        <v>1186</v>
      </c>
      <c r="M114" s="1611" t="s">
        <v>1187</v>
      </c>
    </row>
    <row r="115" spans="1:13" ht="12.75">
      <c r="A115" s="1612" t="s">
        <v>1777</v>
      </c>
      <c r="B115" s="1613">
        <f>ROUND(0.9335-0.0094*B113,4)</f>
        <v>0.92069999999999996</v>
      </c>
      <c r="C115" s="1613">
        <f>B115</f>
        <v>0.92069999999999996</v>
      </c>
      <c r="D115" s="1613">
        <f>ROUND(0.8331-0.0109*B113,4)</f>
        <v>0.81830000000000003</v>
      </c>
      <c r="E115" s="1613">
        <f>D115</f>
        <v>0.81830000000000003</v>
      </c>
      <c r="F115" s="1613">
        <f>E115</f>
        <v>0.81830000000000003</v>
      </c>
      <c r="G115" s="1613">
        <f>F115</f>
        <v>0.81830000000000003</v>
      </c>
      <c r="H115" s="1613">
        <f>G115</f>
        <v>0.81830000000000003</v>
      </c>
      <c r="I115" s="1613">
        <f>ROUND(0.689-0.0155*B113,4)</f>
        <v>0.66790000000000005</v>
      </c>
      <c r="J115" s="1613">
        <f t="shared" ref="J115:M118" si="33">I115</f>
        <v>0.66790000000000005</v>
      </c>
      <c r="K115" s="1613">
        <f t="shared" si="33"/>
        <v>0.66790000000000005</v>
      </c>
      <c r="L115" s="1613">
        <f t="shared" si="33"/>
        <v>0.66790000000000005</v>
      </c>
      <c r="M115" s="1614">
        <f t="shared" si="33"/>
        <v>0.66790000000000005</v>
      </c>
    </row>
    <row r="116" spans="1:13" ht="12.75">
      <c r="A116" s="1612" t="s">
        <v>1778</v>
      </c>
      <c r="B116" s="1613">
        <f>ROUND(0.949-0.012*B113,4)</f>
        <v>0.93269999999999997</v>
      </c>
      <c r="C116" s="1613">
        <f>B116</f>
        <v>0.93269999999999997</v>
      </c>
      <c r="D116" s="1613">
        <f>ROUND(0.8567-0.013*B113,4)</f>
        <v>0.83899999999999997</v>
      </c>
      <c r="E116" s="1613">
        <f t="shared" ref="E116:H117" si="34">D116</f>
        <v>0.83899999999999997</v>
      </c>
      <c r="F116" s="1613">
        <f t="shared" si="34"/>
        <v>0.83899999999999997</v>
      </c>
      <c r="G116" s="1613">
        <f t="shared" si="34"/>
        <v>0.83899999999999997</v>
      </c>
      <c r="H116" s="1613">
        <f t="shared" si="34"/>
        <v>0.83899999999999997</v>
      </c>
      <c r="I116" s="1613">
        <f>ROUND(0.7694-0.014*B113,4)</f>
        <v>0.75039999999999996</v>
      </c>
      <c r="J116" s="1613">
        <f t="shared" si="33"/>
        <v>0.75039999999999996</v>
      </c>
      <c r="K116" s="1613">
        <f t="shared" si="33"/>
        <v>0.75039999999999996</v>
      </c>
      <c r="L116" s="1613">
        <f t="shared" si="33"/>
        <v>0.75039999999999996</v>
      </c>
      <c r="M116" s="1614">
        <f t="shared" si="33"/>
        <v>0.75039999999999996</v>
      </c>
    </row>
    <row r="117" spans="1:13" ht="12.75">
      <c r="A117" s="1615" t="s">
        <v>982</v>
      </c>
      <c r="B117" s="1613">
        <f>ROUND(0.8808-0.006*B113,4)</f>
        <v>0.87260000000000004</v>
      </c>
      <c r="C117" s="1613">
        <f>B117</f>
        <v>0.87260000000000004</v>
      </c>
      <c r="D117" s="1613">
        <f>ROUND(0.8748-0.008*B113,4)</f>
        <v>0.8639</v>
      </c>
      <c r="E117" s="1613">
        <f t="shared" si="34"/>
        <v>0.8639</v>
      </c>
      <c r="F117" s="1613">
        <f t="shared" si="34"/>
        <v>0.8639</v>
      </c>
      <c r="G117" s="1613">
        <f t="shared" si="34"/>
        <v>0.8639</v>
      </c>
      <c r="H117" s="1613">
        <f t="shared" si="34"/>
        <v>0.8639</v>
      </c>
      <c r="I117" s="1613">
        <f>ROUND(0.7412-0.0095*B113,4)</f>
        <v>0.72829999999999995</v>
      </c>
      <c r="J117" s="1613">
        <f t="shared" si="33"/>
        <v>0.72829999999999995</v>
      </c>
      <c r="K117" s="1613">
        <f t="shared" si="33"/>
        <v>0.72829999999999995</v>
      </c>
      <c r="L117" s="1613">
        <f t="shared" si="33"/>
        <v>0.72829999999999995</v>
      </c>
      <c r="M117" s="1614">
        <f t="shared" si="33"/>
        <v>0.72829999999999995</v>
      </c>
    </row>
    <row r="118" spans="1:13" ht="13.5" thickBot="1">
      <c r="A118" s="1122" t="s">
        <v>1779</v>
      </c>
      <c r="B118" s="1616">
        <f>ROUND(0.7275-0.01*B113,4)</f>
        <v>0.71389999999999998</v>
      </c>
      <c r="C118" s="1616">
        <f>B118</f>
        <v>0.71389999999999998</v>
      </c>
      <c r="D118" s="1616">
        <f>ROUND(0.7043-0.012*B113,4)</f>
        <v>0.68799999999999994</v>
      </c>
      <c r="E118" s="1616">
        <f>D118</f>
        <v>0.68799999999999994</v>
      </c>
      <c r="F118" s="1616">
        <f>E118</f>
        <v>0.68799999999999994</v>
      </c>
      <c r="G118" s="1616">
        <f>ROUND(0.6299-0.0122*B113,4)</f>
        <v>0.61329999999999996</v>
      </c>
      <c r="H118" s="1616">
        <f>G118</f>
        <v>0.61329999999999996</v>
      </c>
      <c r="I118" s="1616">
        <f>ROUND(0.5667-0.0136*B113,4)</f>
        <v>0.54820000000000002</v>
      </c>
      <c r="J118" s="1616">
        <f t="shared" si="33"/>
        <v>0.54820000000000002</v>
      </c>
      <c r="K118" s="1616">
        <f t="shared" si="33"/>
        <v>0.54820000000000002</v>
      </c>
      <c r="L118" s="1616">
        <f t="shared" si="33"/>
        <v>0.54820000000000002</v>
      </c>
      <c r="M118" s="1617">
        <f t="shared" si="33"/>
        <v>0.54820000000000002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107" type="noConversion"/>
  <conditionalFormatting sqref="F48">
    <cfRule type="cellIs" dxfId="31" priority="5" stopIfTrue="1" operator="notEqual">
      <formula>"——"</formula>
    </cfRule>
  </conditionalFormatting>
  <conditionalFormatting sqref="F59">
    <cfRule type="cellIs" dxfId="30" priority="4" stopIfTrue="1" operator="notEqual">
      <formula>"——"</formula>
    </cfRule>
  </conditionalFormatting>
  <conditionalFormatting sqref="F70">
    <cfRule type="cellIs" dxfId="29" priority="3" stopIfTrue="1" operator="notEqual">
      <formula>"——"</formula>
    </cfRule>
  </conditionalFormatting>
  <conditionalFormatting sqref="F81">
    <cfRule type="cellIs" dxfId="28" priority="2" stopIfTrue="1" operator="notEqual">
      <formula>"——"</formula>
    </cfRule>
  </conditionalFormatting>
  <conditionalFormatting sqref="H48:H56 H59:H67 H70:H78 H81:H88">
    <cfRule type="cellIs" dxfId="27"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dimension ref="A1:M119"/>
  <sheetViews>
    <sheetView topLeftCell="A104" workbookViewId="0">
      <selection activeCell="A121" sqref="A121:XFD141"/>
    </sheetView>
  </sheetViews>
  <sheetFormatPr defaultColWidth="8.25" defaultRowHeight="19.5" customHeight="1"/>
  <cols>
    <col min="1" max="1" width="13.625" style="1493" customWidth="1"/>
    <col min="2" max="9" width="8.25" style="1565" customWidth="1"/>
    <col min="10" max="13" width="8.25" style="1493"/>
    <col min="14" max="14" width="10" style="1493" customWidth="1"/>
    <col min="15" max="16" width="8.25" style="1493"/>
    <col min="17" max="17" width="34.125" style="1493" customWidth="1"/>
    <col min="18" max="18" width="8.25" style="1493" customWidth="1"/>
    <col min="19" max="19" width="8.25" style="1493"/>
    <col min="20" max="20" width="11.625" style="1493" customWidth="1"/>
    <col min="21" max="16384" width="8.25" style="1493"/>
  </cols>
  <sheetData>
    <row r="1" spans="1:13" ht="19.5" customHeight="1" thickBot="1">
      <c r="A1" s="1543" t="s">
        <v>1565</v>
      </c>
      <c r="B1" s="1518" t="s">
        <v>1176</v>
      </c>
      <c r="C1" s="1518" t="s">
        <v>1177</v>
      </c>
      <c r="D1" s="1518" t="s">
        <v>1178</v>
      </c>
      <c r="E1" s="1518" t="s">
        <v>1179</v>
      </c>
      <c r="F1" s="1518" t="s">
        <v>1180</v>
      </c>
      <c r="G1" s="1518" t="s">
        <v>1181</v>
      </c>
      <c r="H1" s="1518" t="s">
        <v>1182</v>
      </c>
      <c r="I1" s="1518" t="s">
        <v>1183</v>
      </c>
      <c r="J1" s="1518" t="s">
        <v>1184</v>
      </c>
      <c r="K1" s="1518" t="s">
        <v>1185</v>
      </c>
      <c r="L1" s="1518" t="s">
        <v>1186</v>
      </c>
      <c r="M1" s="1519" t="s">
        <v>1187</v>
      </c>
    </row>
    <row r="2" spans="1:13" ht="19.5" customHeight="1">
      <c r="A2" s="1544" t="s">
        <v>1202</v>
      </c>
      <c r="B2" s="1545">
        <v>3.5</v>
      </c>
      <c r="C2" s="1545">
        <v>3.5</v>
      </c>
      <c r="D2" s="1546">
        <v>2.5</v>
      </c>
      <c r="E2" s="1546">
        <v>2.5</v>
      </c>
      <c r="F2" s="1546">
        <v>2.5</v>
      </c>
      <c r="G2" s="1546">
        <v>2.5</v>
      </c>
      <c r="H2" s="1546">
        <v>2.5</v>
      </c>
      <c r="I2" s="1545">
        <v>2</v>
      </c>
      <c r="J2" s="1545">
        <v>2</v>
      </c>
      <c r="K2" s="1545">
        <v>2</v>
      </c>
      <c r="L2" s="1545">
        <v>2</v>
      </c>
      <c r="M2" s="1547">
        <v>2</v>
      </c>
    </row>
    <row r="3" spans="1:13" ht="19.5" customHeight="1">
      <c r="A3" s="1548" t="s">
        <v>1203</v>
      </c>
      <c r="B3" s="1549">
        <v>3.5</v>
      </c>
      <c r="C3" s="1549">
        <v>3.5</v>
      </c>
      <c r="D3" s="1550">
        <v>2.5</v>
      </c>
      <c r="E3" s="1550">
        <v>2.5</v>
      </c>
      <c r="F3" s="1550">
        <v>2.5</v>
      </c>
      <c r="G3" s="1550">
        <v>2.5</v>
      </c>
      <c r="H3" s="1550">
        <v>2.5</v>
      </c>
      <c r="I3" s="1549">
        <v>2</v>
      </c>
      <c r="J3" s="1549">
        <v>2</v>
      </c>
      <c r="K3" s="1549">
        <v>2</v>
      </c>
      <c r="L3" s="1549">
        <v>2</v>
      </c>
      <c r="M3" s="1551">
        <v>2</v>
      </c>
    </row>
    <row r="4" spans="1:13" ht="19.5" customHeight="1">
      <c r="A4" s="1548" t="s">
        <v>1852</v>
      </c>
      <c r="B4" s="1550">
        <v>2.5</v>
      </c>
      <c r="C4" s="1550">
        <v>2.5</v>
      </c>
      <c r="D4" s="1550">
        <v>2.5</v>
      </c>
      <c r="E4" s="1550">
        <v>2.5</v>
      </c>
      <c r="F4" s="1550">
        <v>2.5</v>
      </c>
      <c r="G4" s="1550">
        <v>2.5</v>
      </c>
      <c r="H4" s="1550">
        <v>2.5</v>
      </c>
      <c r="I4" s="1549">
        <v>1.5</v>
      </c>
      <c r="J4" s="1549">
        <v>1.5</v>
      </c>
      <c r="K4" s="1549">
        <v>1.5</v>
      </c>
      <c r="L4" s="1549">
        <v>1.5</v>
      </c>
      <c r="M4" s="1551">
        <v>1.5</v>
      </c>
    </row>
    <row r="5" spans="1:13" ht="19.5" customHeight="1" thickBot="1">
      <c r="A5" s="1552" t="s">
        <v>1205</v>
      </c>
      <c r="B5" s="1553">
        <v>1.5</v>
      </c>
      <c r="C5" s="1553">
        <v>1.5</v>
      </c>
      <c r="D5" s="1553">
        <v>1.5</v>
      </c>
      <c r="E5" s="1553">
        <v>1.5</v>
      </c>
      <c r="F5" s="1553">
        <v>1.5</v>
      </c>
      <c r="G5" s="1554">
        <v>1.2</v>
      </c>
      <c r="H5" s="1554">
        <v>1.2</v>
      </c>
      <c r="I5" s="1554">
        <v>1</v>
      </c>
      <c r="J5" s="1554">
        <v>1</v>
      </c>
      <c r="K5" s="1554">
        <v>1</v>
      </c>
      <c r="L5" s="1554">
        <v>1</v>
      </c>
      <c r="M5" s="1555">
        <v>1</v>
      </c>
    </row>
    <row r="6" spans="1:13" ht="19.5" customHeight="1">
      <c r="A6" s="1556" t="s">
        <v>1566</v>
      </c>
      <c r="B6" s="1557">
        <v>80</v>
      </c>
      <c r="C6" s="1557">
        <v>80</v>
      </c>
      <c r="D6" s="1557">
        <v>65</v>
      </c>
      <c r="E6" s="1557">
        <v>65</v>
      </c>
      <c r="F6" s="1557">
        <v>65</v>
      </c>
      <c r="G6" s="1557">
        <v>65</v>
      </c>
      <c r="H6" s="1557">
        <v>65</v>
      </c>
      <c r="I6" s="1557">
        <v>50</v>
      </c>
      <c r="J6" s="1557">
        <v>50</v>
      </c>
      <c r="K6" s="1557">
        <v>50</v>
      </c>
      <c r="L6" s="1557">
        <v>50</v>
      </c>
      <c r="M6" s="1558">
        <v>50</v>
      </c>
    </row>
    <row r="7" spans="1:13" ht="19.5" customHeight="1">
      <c r="A7" s="1494" t="s">
        <v>1567</v>
      </c>
      <c r="B7" s="1495">
        <v>70</v>
      </c>
      <c r="C7" s="1495">
        <v>70</v>
      </c>
      <c r="D7" s="1495">
        <v>55</v>
      </c>
      <c r="E7" s="1495">
        <v>55</v>
      </c>
      <c r="F7" s="1495">
        <v>55</v>
      </c>
      <c r="G7" s="1495">
        <v>55</v>
      </c>
      <c r="H7" s="1495">
        <v>55</v>
      </c>
      <c r="I7" s="1495">
        <v>40</v>
      </c>
      <c r="J7" s="1495">
        <v>40</v>
      </c>
      <c r="K7" s="1495">
        <v>40</v>
      </c>
      <c r="L7" s="1495">
        <v>40</v>
      </c>
      <c r="M7" s="1559">
        <v>40</v>
      </c>
    </row>
    <row r="8" spans="1:13" ht="19.5" customHeight="1">
      <c r="A8" s="1494" t="s">
        <v>1568</v>
      </c>
      <c r="B8" s="1495">
        <v>20</v>
      </c>
      <c r="C8" s="1495">
        <v>20</v>
      </c>
      <c r="D8" s="1495">
        <v>15</v>
      </c>
      <c r="E8" s="1495">
        <v>15</v>
      </c>
      <c r="F8" s="1495">
        <v>15</v>
      </c>
      <c r="G8" s="1495">
        <v>15</v>
      </c>
      <c r="H8" s="1495">
        <v>15</v>
      </c>
      <c r="I8" s="1495">
        <v>10</v>
      </c>
      <c r="J8" s="1495">
        <v>10</v>
      </c>
      <c r="K8" s="1495">
        <v>10</v>
      </c>
      <c r="L8" s="1495">
        <v>10</v>
      </c>
      <c r="M8" s="1559">
        <v>10</v>
      </c>
    </row>
    <row r="9" spans="1:13" ht="19.5" customHeight="1">
      <c r="A9" s="1494" t="s">
        <v>1569</v>
      </c>
      <c r="B9" s="1495">
        <v>30</v>
      </c>
      <c r="C9" s="1495">
        <v>30</v>
      </c>
      <c r="D9" s="1495">
        <v>25</v>
      </c>
      <c r="E9" s="1495">
        <v>25</v>
      </c>
      <c r="F9" s="1495">
        <v>25</v>
      </c>
      <c r="G9" s="1495">
        <v>25</v>
      </c>
      <c r="H9" s="1495">
        <v>25</v>
      </c>
      <c r="I9" s="1495">
        <v>20</v>
      </c>
      <c r="J9" s="1495">
        <v>20</v>
      </c>
      <c r="K9" s="1495">
        <v>20</v>
      </c>
      <c r="L9" s="1495">
        <v>20</v>
      </c>
      <c r="M9" s="1559">
        <v>20</v>
      </c>
    </row>
    <row r="10" spans="1:13" ht="19.5" customHeight="1">
      <c r="A10" s="1494" t="s">
        <v>1570</v>
      </c>
      <c r="B10" s="1495">
        <v>45</v>
      </c>
      <c r="C10" s="1495">
        <v>45</v>
      </c>
      <c r="D10" s="1495">
        <v>35</v>
      </c>
      <c r="E10" s="1495">
        <v>35</v>
      </c>
      <c r="F10" s="1495">
        <v>35</v>
      </c>
      <c r="G10" s="1495">
        <v>35</v>
      </c>
      <c r="H10" s="1495">
        <v>35</v>
      </c>
      <c r="I10" s="1495">
        <v>25</v>
      </c>
      <c r="J10" s="1495">
        <v>25</v>
      </c>
      <c r="K10" s="1495">
        <v>25</v>
      </c>
      <c r="L10" s="1495">
        <v>25</v>
      </c>
      <c r="M10" s="1559">
        <v>25</v>
      </c>
    </row>
    <row r="11" spans="1:13" ht="19.5" customHeight="1">
      <c r="A11" s="1494" t="s">
        <v>1571</v>
      </c>
      <c r="B11" s="1495">
        <v>60</v>
      </c>
      <c r="C11" s="1495">
        <v>60</v>
      </c>
      <c r="D11" s="1495">
        <v>50</v>
      </c>
      <c r="E11" s="1495">
        <v>50</v>
      </c>
      <c r="F11" s="1495">
        <v>50</v>
      </c>
      <c r="G11" s="1495">
        <v>50</v>
      </c>
      <c r="H11" s="1495">
        <v>50</v>
      </c>
      <c r="I11" s="1495">
        <v>40</v>
      </c>
      <c r="J11" s="1495">
        <v>40</v>
      </c>
      <c r="K11" s="1495">
        <v>40</v>
      </c>
      <c r="L11" s="1495">
        <v>40</v>
      </c>
      <c r="M11" s="1559">
        <v>40</v>
      </c>
    </row>
    <row r="12" spans="1:13" ht="19.5" customHeight="1">
      <c r="A12" s="1494" t="s">
        <v>1572</v>
      </c>
      <c r="B12" s="1495">
        <v>50</v>
      </c>
      <c r="C12" s="1495">
        <v>50</v>
      </c>
      <c r="D12" s="1495">
        <v>40</v>
      </c>
      <c r="E12" s="1495">
        <v>40</v>
      </c>
      <c r="F12" s="1495">
        <v>40</v>
      </c>
      <c r="G12" s="1495">
        <v>40</v>
      </c>
      <c r="H12" s="1495">
        <v>40</v>
      </c>
      <c r="I12" s="1495">
        <v>30</v>
      </c>
      <c r="J12" s="1495">
        <v>30</v>
      </c>
      <c r="K12" s="1495">
        <v>30</v>
      </c>
      <c r="L12" s="1495">
        <v>30</v>
      </c>
      <c r="M12" s="1559">
        <v>30</v>
      </c>
    </row>
    <row r="13" spans="1:13" ht="19.5" customHeight="1">
      <c r="A13" s="1560" t="s">
        <v>1573</v>
      </c>
      <c r="B13" s="1506">
        <v>20</v>
      </c>
      <c r="C13" s="1506">
        <v>20</v>
      </c>
      <c r="D13" s="1506">
        <v>15</v>
      </c>
      <c r="E13" s="1506">
        <v>15</v>
      </c>
      <c r="F13" s="1506">
        <v>15</v>
      </c>
      <c r="G13" s="1506">
        <v>15</v>
      </c>
      <c r="H13" s="1506">
        <v>15</v>
      </c>
      <c r="I13" s="1506">
        <v>10</v>
      </c>
      <c r="J13" s="1506">
        <v>10</v>
      </c>
      <c r="K13" s="1506">
        <v>10</v>
      </c>
      <c r="L13" s="1506">
        <v>10</v>
      </c>
      <c r="M13" s="1561">
        <v>10</v>
      </c>
    </row>
    <row r="14" spans="1:13" ht="19.5" customHeight="1">
      <c r="A14" s="1495" t="s">
        <v>1574</v>
      </c>
      <c r="B14" s="1562">
        <v>0</v>
      </c>
      <c r="C14" s="1562">
        <v>0</v>
      </c>
      <c r="D14" s="1562">
        <v>0</v>
      </c>
      <c r="E14" s="1562">
        <v>0</v>
      </c>
      <c r="F14" s="1562">
        <v>0</v>
      </c>
      <c r="G14" s="1562">
        <v>0</v>
      </c>
      <c r="H14" s="1562">
        <v>0</v>
      </c>
      <c r="I14" s="1562">
        <v>0</v>
      </c>
      <c r="J14" s="1562">
        <v>0</v>
      </c>
      <c r="K14" s="1562">
        <v>0</v>
      </c>
      <c r="L14" s="1562">
        <v>0</v>
      </c>
      <c r="M14" s="1562">
        <v>0</v>
      </c>
    </row>
    <row r="16" spans="1:13" ht="19.5" customHeight="1">
      <c r="A16" s="1563" t="s">
        <v>1575</v>
      </c>
      <c r="B16" s="1563"/>
      <c r="C16" s="1564"/>
      <c r="D16" s="1564"/>
      <c r="E16" s="1563"/>
      <c r="F16" s="1564"/>
      <c r="G16" s="1564"/>
    </row>
    <row r="17" spans="1:9" ht="19.5" customHeight="1">
      <c r="A17" s="1495" t="s">
        <v>1576</v>
      </c>
      <c r="B17" s="1566" t="s">
        <v>1577</v>
      </c>
      <c r="C17" s="1747" t="s">
        <v>1875</v>
      </c>
      <c r="D17" s="1567"/>
      <c r="E17" s="1495" t="s">
        <v>1578</v>
      </c>
      <c r="F17" s="1568"/>
      <c r="G17" s="1568"/>
    </row>
    <row r="18" spans="1:9" s="1574" customFormat="1" ht="19.5" customHeight="1">
      <c r="A18" s="3782" t="s">
        <v>1202</v>
      </c>
      <c r="B18" s="1569" t="s">
        <v>1579</v>
      </c>
      <c r="C18" s="1570" t="s">
        <v>1580</v>
      </c>
      <c r="D18" s="1571"/>
      <c r="E18" s="1569">
        <v>1</v>
      </c>
      <c r="F18" s="1572" t="s">
        <v>1581</v>
      </c>
      <c r="G18" s="1573"/>
      <c r="H18" s="1565"/>
      <c r="I18" s="1565"/>
    </row>
    <row r="19" spans="1:9" s="1574" customFormat="1" ht="19.5" customHeight="1">
      <c r="A19" s="3782"/>
      <c r="B19" s="3782" t="s">
        <v>1582</v>
      </c>
      <c r="C19" s="1570" t="s">
        <v>1583</v>
      </c>
      <c r="D19" s="1571"/>
      <c r="E19" s="1569">
        <v>0.9</v>
      </c>
      <c r="F19" s="1572" t="s">
        <v>1584</v>
      </c>
      <c r="G19" s="1573"/>
      <c r="H19" s="1565"/>
      <c r="I19" s="1565"/>
    </row>
    <row r="20" spans="1:9" s="1574" customFormat="1" ht="19.5" customHeight="1">
      <c r="A20" s="3782"/>
      <c r="B20" s="3782"/>
      <c r="C20" s="1570" t="s">
        <v>1585</v>
      </c>
      <c r="D20" s="1571"/>
      <c r="E20" s="1569">
        <v>1.1000000000000001</v>
      </c>
      <c r="F20" s="1572" t="s">
        <v>1586</v>
      </c>
      <c r="G20" s="1573"/>
      <c r="H20" s="1565"/>
      <c r="I20" s="1565"/>
    </row>
    <row r="21" spans="1:9" s="1574" customFormat="1" ht="19.5" customHeight="1">
      <c r="A21" s="3782"/>
      <c r="B21" s="3782"/>
      <c r="C21" s="1570" t="s">
        <v>1587</v>
      </c>
      <c r="D21" s="1571"/>
      <c r="E21" s="1569">
        <v>0.8</v>
      </c>
      <c r="F21" s="1572" t="s">
        <v>1588</v>
      </c>
      <c r="G21" s="1573"/>
      <c r="H21" s="1565"/>
      <c r="I21" s="1565"/>
    </row>
    <row r="22" spans="1:9" s="1574" customFormat="1" ht="19.5" customHeight="1">
      <c r="A22" s="3782"/>
      <c r="B22" s="3782"/>
      <c r="C22" s="1570" t="s">
        <v>1589</v>
      </c>
      <c r="D22" s="1571"/>
      <c r="E22" s="1569">
        <v>0.5</v>
      </c>
      <c r="F22" s="1572"/>
      <c r="G22" s="1573"/>
      <c r="H22" s="1565"/>
      <c r="I22" s="1565"/>
    </row>
    <row r="23" spans="1:9" s="1574" customFormat="1" ht="19.5" customHeight="1">
      <c r="A23" s="3782" t="s">
        <v>1203</v>
      </c>
      <c r="B23" s="1569" t="s">
        <v>1579</v>
      </c>
      <c r="C23" s="1570" t="s">
        <v>1590</v>
      </c>
      <c r="D23" s="1571"/>
      <c r="E23" s="1569">
        <v>1</v>
      </c>
      <c r="F23" s="1572" t="s">
        <v>1591</v>
      </c>
      <c r="G23" s="1573"/>
      <c r="H23" s="1565"/>
      <c r="I23" s="1565"/>
    </row>
    <row r="24" spans="1:9" s="1574" customFormat="1" ht="19.5" customHeight="1">
      <c r="A24" s="3782"/>
      <c r="B24" s="3782" t="s">
        <v>1582</v>
      </c>
      <c r="C24" s="1570" t="s">
        <v>1592</v>
      </c>
      <c r="D24" s="1571"/>
      <c r="E24" s="1569">
        <v>0.5</v>
      </c>
      <c r="F24" s="1572"/>
      <c r="G24" s="1573"/>
      <c r="H24" s="1565"/>
      <c r="I24" s="1565"/>
    </row>
    <row r="25" spans="1:9" s="1574" customFormat="1" ht="19.5" customHeight="1">
      <c r="A25" s="3782"/>
      <c r="B25" s="3782"/>
      <c r="C25" s="1570" t="s">
        <v>1593</v>
      </c>
      <c r="D25" s="1571"/>
      <c r="E25" s="1569">
        <v>1.1000000000000001</v>
      </c>
      <c r="F25" s="1572"/>
      <c r="G25" s="1573"/>
      <c r="H25" s="1565"/>
      <c r="I25" s="1565"/>
    </row>
    <row r="26" spans="1:9" s="1574" customFormat="1" ht="19.5" customHeight="1">
      <c r="A26" s="3782"/>
      <c r="B26" s="3782"/>
      <c r="C26" s="1570" t="s">
        <v>1594</v>
      </c>
      <c r="D26" s="1571"/>
      <c r="E26" s="1569">
        <v>1.1000000000000001</v>
      </c>
      <c r="F26" s="1572"/>
      <c r="G26" s="1573"/>
      <c r="H26" s="1565"/>
      <c r="I26" s="1565"/>
    </row>
    <row r="27" spans="1:9" s="1574" customFormat="1" ht="19.5" customHeight="1">
      <c r="A27" s="3782"/>
      <c r="B27" s="3782"/>
      <c r="C27" s="1570" t="s">
        <v>1595</v>
      </c>
      <c r="D27" s="1571"/>
      <c r="E27" s="1569">
        <v>0.9</v>
      </c>
      <c r="F27" s="1572" t="s">
        <v>1596</v>
      </c>
      <c r="G27" s="1573"/>
      <c r="H27" s="1565"/>
      <c r="I27" s="1565"/>
    </row>
    <row r="28" spans="1:9" s="1574" customFormat="1" ht="19.5" customHeight="1">
      <c r="A28" s="3782"/>
      <c r="B28" s="3782"/>
      <c r="C28" s="1570" t="s">
        <v>1597</v>
      </c>
      <c r="D28" s="1571"/>
      <c r="E28" s="1569">
        <v>0.9</v>
      </c>
      <c r="F28" s="1572" t="s">
        <v>1598</v>
      </c>
      <c r="G28" s="1573"/>
      <c r="H28" s="1565"/>
      <c r="I28" s="1565"/>
    </row>
    <row r="29" spans="1:9" s="1574" customFormat="1" ht="19.5" customHeight="1">
      <c r="A29" s="3782"/>
      <c r="B29" s="3782"/>
      <c r="C29" s="1570" t="s">
        <v>1599</v>
      </c>
      <c r="D29" s="1571"/>
      <c r="E29" s="1569">
        <v>0.9</v>
      </c>
      <c r="F29" s="1572" t="s">
        <v>1600</v>
      </c>
      <c r="G29" s="1573"/>
      <c r="H29" s="1565"/>
      <c r="I29" s="1565"/>
    </row>
    <row r="30" spans="1:9" s="1574" customFormat="1" ht="19.5" customHeight="1">
      <c r="A30" s="3782"/>
      <c r="B30" s="3782"/>
      <c r="C30" s="1570" t="s">
        <v>1601</v>
      </c>
      <c r="D30" s="1571"/>
      <c r="E30" s="1569">
        <v>0.9</v>
      </c>
      <c r="F30" s="1572" t="s">
        <v>1602</v>
      </c>
      <c r="G30" s="1573"/>
      <c r="H30" s="1565"/>
      <c r="I30" s="1565"/>
    </row>
    <row r="31" spans="1:9" s="1574" customFormat="1" ht="19.5" customHeight="1">
      <c r="A31" s="3782"/>
      <c r="B31" s="3782"/>
      <c r="C31" s="1570" t="s">
        <v>1603</v>
      </c>
      <c r="D31" s="1571"/>
      <c r="E31" s="1569">
        <v>0.8</v>
      </c>
      <c r="F31" s="1572" t="s">
        <v>1604</v>
      </c>
      <c r="G31" s="1573"/>
      <c r="H31" s="1565"/>
      <c r="I31" s="1565"/>
    </row>
    <row r="32" spans="1:9" s="1574" customFormat="1" ht="19.5" customHeight="1">
      <c r="A32" s="3782"/>
      <c r="B32" s="3782"/>
      <c r="C32" s="1570" t="s">
        <v>1605</v>
      </c>
      <c r="D32" s="1571"/>
      <c r="E32" s="1569">
        <v>0.8</v>
      </c>
      <c r="F32" s="1572" t="s">
        <v>1606</v>
      </c>
      <c r="G32" s="1573"/>
      <c r="H32" s="1565"/>
      <c r="I32" s="1565"/>
    </row>
    <row r="33" spans="1:9" s="1574" customFormat="1" ht="19.5" customHeight="1">
      <c r="A33" s="3782" t="s">
        <v>1204</v>
      </c>
      <c r="B33" s="1569" t="s">
        <v>1579</v>
      </c>
      <c r="C33" s="1570" t="s">
        <v>1607</v>
      </c>
      <c r="D33" s="1571"/>
      <c r="E33" s="1569">
        <v>1</v>
      </c>
      <c r="F33" s="1572" t="s">
        <v>1608</v>
      </c>
      <c r="G33" s="1573"/>
      <c r="H33" s="1565"/>
      <c r="I33" s="1565"/>
    </row>
    <row r="34" spans="1:9" s="1574" customFormat="1" ht="19.5" customHeight="1">
      <c r="A34" s="3782"/>
      <c r="B34" s="1569" t="s">
        <v>1582</v>
      </c>
      <c r="C34" s="1570" t="s">
        <v>1609</v>
      </c>
      <c r="D34" s="1571"/>
      <c r="E34" s="1569">
        <v>1.5</v>
      </c>
      <c r="F34" s="1572" t="s">
        <v>1610</v>
      </c>
      <c r="G34" s="1573"/>
      <c r="H34" s="1565"/>
      <c r="I34" s="1565"/>
    </row>
    <row r="35" spans="1:9" s="1574" customFormat="1" ht="19.5" customHeight="1">
      <c r="A35" s="3782" t="s">
        <v>1205</v>
      </c>
      <c r="B35" s="1569" t="s">
        <v>1579</v>
      </c>
      <c r="C35" s="1570" t="s">
        <v>1611</v>
      </c>
      <c r="D35" s="1571"/>
      <c r="E35" s="1569">
        <v>1</v>
      </c>
      <c r="F35" s="1572" t="s">
        <v>1612</v>
      </c>
      <c r="G35" s="1573"/>
      <c r="H35" s="1565"/>
      <c r="I35" s="1565"/>
    </row>
    <row r="36" spans="1:9" s="1574" customFormat="1" ht="19.5" customHeight="1">
      <c r="A36" s="3782"/>
      <c r="B36" s="3782" t="s">
        <v>1582</v>
      </c>
      <c r="C36" s="1570" t="s">
        <v>1613</v>
      </c>
      <c r="D36" s="1571"/>
      <c r="E36" s="1569">
        <v>1</v>
      </c>
      <c r="F36" s="1572" t="s">
        <v>1614</v>
      </c>
      <c r="G36" s="1573"/>
      <c r="H36" s="1565"/>
      <c r="I36" s="1565"/>
    </row>
    <row r="37" spans="1:9" s="1574" customFormat="1" ht="19.5" customHeight="1">
      <c r="A37" s="3782"/>
      <c r="B37" s="3782"/>
      <c r="C37" s="1570" t="s">
        <v>1615</v>
      </c>
      <c r="D37" s="1571"/>
      <c r="E37" s="1569">
        <v>1.5</v>
      </c>
      <c r="F37" s="1572" t="s">
        <v>1616</v>
      </c>
      <c r="G37" s="1573"/>
      <c r="H37" s="1565"/>
      <c r="I37" s="1565"/>
    </row>
    <row r="38" spans="1:9" s="1574" customFormat="1" ht="19.5" customHeight="1">
      <c r="A38" s="3782"/>
      <c r="B38" s="3782"/>
      <c r="C38" s="1570" t="s">
        <v>1617</v>
      </c>
      <c r="D38" s="1571"/>
      <c r="E38" s="1569">
        <v>1</v>
      </c>
      <c r="F38" s="1572" t="s">
        <v>1618</v>
      </c>
      <c r="G38" s="1573"/>
      <c r="H38" s="1565"/>
      <c r="I38" s="1565"/>
    </row>
    <row r="39" spans="1:9" s="1574" customFormat="1" ht="19.5" customHeight="1">
      <c r="A39" s="3782"/>
      <c r="B39" s="3782"/>
      <c r="C39" s="1570" t="s">
        <v>1619</v>
      </c>
      <c r="D39" s="1571"/>
      <c r="E39" s="1569">
        <v>1</v>
      </c>
      <c r="F39" s="1572" t="s">
        <v>1620</v>
      </c>
      <c r="G39" s="1573"/>
      <c r="H39" s="1565"/>
      <c r="I39" s="1565"/>
    </row>
    <row r="40" spans="1:9" s="1574" customFormat="1" ht="19.5" customHeight="1">
      <c r="A40" s="1575" t="s">
        <v>1621</v>
      </c>
      <c r="B40" s="1575"/>
      <c r="C40" s="1575"/>
      <c r="D40" s="1575"/>
      <c r="E40" s="1575"/>
      <c r="F40" s="1576"/>
      <c r="G40" s="1576"/>
      <c r="H40" s="1565"/>
      <c r="I40" s="1565"/>
    </row>
    <row r="42" spans="1:9" ht="19.5" customHeight="1">
      <c r="A42" s="1577"/>
      <c r="B42" s="1495" t="s">
        <v>1622</v>
      </c>
      <c r="C42" s="1495" t="s">
        <v>1622</v>
      </c>
      <c r="D42" s="1495" t="s">
        <v>1622</v>
      </c>
      <c r="E42" s="1506" t="s">
        <v>1622</v>
      </c>
      <c r="F42" s="1506" t="s">
        <v>1622</v>
      </c>
      <c r="G42" s="1506" t="s">
        <v>1623</v>
      </c>
      <c r="H42" s="1506" t="s">
        <v>1622</v>
      </c>
    </row>
    <row r="43" spans="1:9" ht="19.5" customHeight="1">
      <c r="A43" s="1578"/>
      <c r="B43" s="1506" t="s">
        <v>1202</v>
      </c>
      <c r="C43" s="1506" t="s">
        <v>1202</v>
      </c>
      <c r="D43" s="1506" t="s">
        <v>1202</v>
      </c>
      <c r="E43" s="1506" t="s">
        <v>1202</v>
      </c>
      <c r="F43" s="1495" t="s">
        <v>1203</v>
      </c>
      <c r="G43" s="1495" t="s">
        <v>1205</v>
      </c>
      <c r="H43" s="1495" t="s">
        <v>1624</v>
      </c>
    </row>
    <row r="44" spans="1:9" ht="19.5" customHeight="1">
      <c r="A44" s="1579"/>
      <c r="B44" s="1495">
        <v>1</v>
      </c>
      <c r="C44" s="1495">
        <v>2</v>
      </c>
      <c r="D44" s="1495">
        <v>3</v>
      </c>
      <c r="E44" s="1506">
        <v>4</v>
      </c>
      <c r="F44" s="1567" t="s">
        <v>1625</v>
      </c>
      <c r="G44" s="1567" t="s">
        <v>1625</v>
      </c>
      <c r="H44" s="1567" t="s">
        <v>1625</v>
      </c>
    </row>
    <row r="45" spans="1:9" ht="19.5" customHeight="1">
      <c r="A45" s="1580" t="s">
        <v>1176</v>
      </c>
      <c r="B45" s="1495">
        <v>0.8</v>
      </c>
      <c r="C45" s="1495">
        <v>0.5</v>
      </c>
      <c r="D45" s="1495">
        <v>0.36</v>
      </c>
      <c r="E45" s="1495">
        <v>0.3</v>
      </c>
      <c r="F45" s="1567">
        <v>0.3</v>
      </c>
      <c r="G45" s="1495">
        <v>0.3</v>
      </c>
      <c r="H45" s="1495">
        <v>0.25</v>
      </c>
    </row>
    <row r="46" spans="1:9" ht="19.5" customHeight="1">
      <c r="A46" s="1580" t="s">
        <v>1177</v>
      </c>
      <c r="B46" s="1495">
        <v>0.8</v>
      </c>
      <c r="C46" s="1495">
        <v>0.5</v>
      </c>
      <c r="D46" s="1495">
        <v>0.36</v>
      </c>
      <c r="E46" s="1495">
        <v>0.3</v>
      </c>
      <c r="F46" s="1495">
        <v>0.3</v>
      </c>
      <c r="G46" s="1495">
        <v>0.3</v>
      </c>
      <c r="H46" s="1495">
        <v>0.25</v>
      </c>
    </row>
    <row r="47" spans="1:9" ht="19.5" customHeight="1">
      <c r="A47" s="1580" t="s">
        <v>1178</v>
      </c>
      <c r="B47" s="1495">
        <v>0.7</v>
      </c>
      <c r="C47" s="1495">
        <v>0.4</v>
      </c>
      <c r="D47" s="1495">
        <v>0.28000000000000003</v>
      </c>
      <c r="E47" s="1495">
        <v>0.25</v>
      </c>
      <c r="F47" s="1495">
        <v>0.25</v>
      </c>
      <c r="G47" s="1495">
        <v>0.25</v>
      </c>
      <c r="H47" s="1495">
        <v>0.2</v>
      </c>
    </row>
    <row r="48" spans="1:9" ht="19.5" customHeight="1">
      <c r="A48" s="1580" t="s">
        <v>1179</v>
      </c>
      <c r="B48" s="1495">
        <v>0.7</v>
      </c>
      <c r="C48" s="1495">
        <v>0.4</v>
      </c>
      <c r="D48" s="1495">
        <v>0.28000000000000003</v>
      </c>
      <c r="E48" s="1495">
        <v>0.25</v>
      </c>
      <c r="F48" s="1495">
        <v>0.25</v>
      </c>
      <c r="G48" s="1495">
        <v>0.25</v>
      </c>
      <c r="H48" s="1495">
        <v>0.2</v>
      </c>
    </row>
    <row r="49" spans="1:8" s="1565" customFormat="1" ht="19.5" customHeight="1">
      <c r="A49" s="1580" t="s">
        <v>1180</v>
      </c>
      <c r="B49" s="1495">
        <v>0.7</v>
      </c>
      <c r="C49" s="1495">
        <v>0.4</v>
      </c>
      <c r="D49" s="1495">
        <v>0.28000000000000003</v>
      </c>
      <c r="E49" s="1495">
        <v>0.25</v>
      </c>
      <c r="F49" s="1495">
        <v>0.25</v>
      </c>
      <c r="G49" s="1495">
        <v>0.25</v>
      </c>
      <c r="H49" s="1495">
        <v>0.2</v>
      </c>
    </row>
    <row r="50" spans="1:8" s="1565" customFormat="1" ht="19.5" customHeight="1">
      <c r="A50" s="1580" t="s">
        <v>1181</v>
      </c>
      <c r="B50" s="1495">
        <v>0.7</v>
      </c>
      <c r="C50" s="1495">
        <v>0.4</v>
      </c>
      <c r="D50" s="1495">
        <v>0.28000000000000003</v>
      </c>
      <c r="E50" s="1495">
        <v>0.25</v>
      </c>
      <c r="F50" s="1495">
        <v>0.25</v>
      </c>
      <c r="G50" s="1495">
        <v>0.25</v>
      </c>
      <c r="H50" s="1495">
        <v>0.2</v>
      </c>
    </row>
    <row r="51" spans="1:8" s="1565" customFormat="1" ht="19.5" customHeight="1">
      <c r="A51" s="1580" t="s">
        <v>1182</v>
      </c>
      <c r="B51" s="1495">
        <v>0.7</v>
      </c>
      <c r="C51" s="1495">
        <v>0.4</v>
      </c>
      <c r="D51" s="1495">
        <v>0.28000000000000003</v>
      </c>
      <c r="E51" s="1495">
        <v>0.25</v>
      </c>
      <c r="F51" s="1495">
        <v>0.25</v>
      </c>
      <c r="G51" s="1495">
        <v>0.25</v>
      </c>
      <c r="H51" s="1495">
        <v>0.2</v>
      </c>
    </row>
    <row r="52" spans="1:8" s="1565" customFormat="1" ht="19.5" customHeight="1">
      <c r="A52" s="1580" t="s">
        <v>1183</v>
      </c>
      <c r="B52" s="1495">
        <v>0.6</v>
      </c>
      <c r="C52" s="1495">
        <v>0.3</v>
      </c>
      <c r="D52" s="1495">
        <v>0.2</v>
      </c>
      <c r="E52" s="1495">
        <v>0.2</v>
      </c>
      <c r="F52" s="1495">
        <v>0.2</v>
      </c>
      <c r="G52" s="1495">
        <v>0.2</v>
      </c>
      <c r="H52" s="1495">
        <v>0.15</v>
      </c>
    </row>
    <row r="53" spans="1:8" s="1565" customFormat="1" ht="19.5" customHeight="1">
      <c r="A53" s="1580" t="s">
        <v>1184</v>
      </c>
      <c r="B53" s="1495">
        <v>0.6</v>
      </c>
      <c r="C53" s="1495">
        <v>0.3</v>
      </c>
      <c r="D53" s="1495">
        <v>0.2</v>
      </c>
      <c r="E53" s="1495">
        <v>0.2</v>
      </c>
      <c r="F53" s="1495">
        <v>0.2</v>
      </c>
      <c r="G53" s="1495">
        <v>0.2</v>
      </c>
      <c r="H53" s="1495">
        <v>0.15</v>
      </c>
    </row>
    <row r="54" spans="1:8" s="1565" customFormat="1" ht="19.5" customHeight="1">
      <c r="A54" s="1580" t="s">
        <v>1185</v>
      </c>
      <c r="B54" s="1495">
        <v>0.6</v>
      </c>
      <c r="C54" s="1495">
        <v>0.3</v>
      </c>
      <c r="D54" s="1495">
        <v>0.2</v>
      </c>
      <c r="E54" s="1495">
        <v>0.2</v>
      </c>
      <c r="F54" s="1495">
        <v>0.2</v>
      </c>
      <c r="G54" s="1495">
        <v>0.2</v>
      </c>
      <c r="H54" s="1495">
        <v>0.15</v>
      </c>
    </row>
    <row r="55" spans="1:8" s="1565" customFormat="1" ht="19.5" customHeight="1">
      <c r="A55" s="1580" t="s">
        <v>1186</v>
      </c>
      <c r="B55" s="1495">
        <v>0.6</v>
      </c>
      <c r="C55" s="1495">
        <v>0.3</v>
      </c>
      <c r="D55" s="1495">
        <v>0.2</v>
      </c>
      <c r="E55" s="1495">
        <v>0.2</v>
      </c>
      <c r="F55" s="1495">
        <v>0.2</v>
      </c>
      <c r="G55" s="1495">
        <v>0.2</v>
      </c>
      <c r="H55" s="1495">
        <v>0.15</v>
      </c>
    </row>
    <row r="56" spans="1:8" s="1565" customFormat="1" ht="19.5" customHeight="1">
      <c r="A56" s="1580" t="s">
        <v>1187</v>
      </c>
      <c r="B56" s="1495">
        <v>0.6</v>
      </c>
      <c r="C56" s="1495">
        <v>0.3</v>
      </c>
      <c r="D56" s="1495">
        <v>0.2</v>
      </c>
      <c r="E56" s="1495">
        <v>0.2</v>
      </c>
      <c r="F56" s="1495">
        <v>0.2</v>
      </c>
      <c r="G56" s="1495">
        <v>0.2</v>
      </c>
      <c r="H56" s="1495">
        <v>0.15</v>
      </c>
    </row>
    <row r="58" spans="1:8" s="1565" customFormat="1" ht="19.5" customHeight="1">
      <c r="A58" s="1581"/>
      <c r="B58" s="1563"/>
      <c r="C58" s="1563"/>
      <c r="D58" s="1563" t="s">
        <v>1626</v>
      </c>
      <c r="E58" s="1563"/>
      <c r="F58" s="1563"/>
    </row>
    <row r="59" spans="1:8" s="1565" customFormat="1" ht="19.5" customHeight="1">
      <c r="A59" s="1569" t="s">
        <v>1627</v>
      </c>
      <c r="B59" s="1569" t="s">
        <v>1628</v>
      </c>
      <c r="C59" s="1569" t="s">
        <v>1629</v>
      </c>
      <c r="D59" s="1569" t="s">
        <v>1630</v>
      </c>
      <c r="E59" s="1569" t="s">
        <v>1631</v>
      </c>
      <c r="F59" s="1569" t="s">
        <v>1632</v>
      </c>
    </row>
    <row r="60" spans="1:8" ht="13.5">
      <c r="A60" s="1764"/>
      <c r="B60" s="1764"/>
      <c r="C60" s="1764" t="s">
        <v>1764</v>
      </c>
      <c r="D60" s="1764"/>
      <c r="E60" s="1582" t="s">
        <v>23</v>
      </c>
      <c r="F60" s="1764" t="s">
        <v>23</v>
      </c>
    </row>
    <row r="61" spans="1:8" s="1565" customFormat="1" ht="24">
      <c r="A61" s="1569">
        <v>1</v>
      </c>
      <c r="B61" s="3782" t="s">
        <v>1633</v>
      </c>
      <c r="C61" s="1495" t="s">
        <v>1634</v>
      </c>
      <c r="D61" s="1495" t="s">
        <v>1635</v>
      </c>
      <c r="E61" s="1582">
        <v>0.5</v>
      </c>
      <c r="F61" s="1569">
        <v>80</v>
      </c>
    </row>
    <row r="62" spans="1:8" s="1565" customFormat="1" ht="24">
      <c r="A62" s="1569">
        <v>2</v>
      </c>
      <c r="B62" s="3782"/>
      <c r="C62" s="1495" t="s">
        <v>1636</v>
      </c>
      <c r="D62" s="1495" t="s">
        <v>1637</v>
      </c>
      <c r="E62" s="1582">
        <v>0.5</v>
      </c>
      <c r="F62" s="1569">
        <v>80</v>
      </c>
    </row>
    <row r="63" spans="1:8" s="1565" customFormat="1" ht="36">
      <c r="A63" s="1569">
        <v>3</v>
      </c>
      <c r="B63" s="3782"/>
      <c r="C63" s="1495" t="s">
        <v>1638</v>
      </c>
      <c r="D63" s="1495" t="s">
        <v>1639</v>
      </c>
      <c r="E63" s="1582">
        <v>0.5</v>
      </c>
      <c r="F63" s="1569">
        <v>80</v>
      </c>
    </row>
    <row r="64" spans="1:8" s="1565" customFormat="1" ht="36">
      <c r="A64" s="1569">
        <v>4</v>
      </c>
      <c r="B64" s="3782"/>
      <c r="C64" s="1495" t="s">
        <v>1640</v>
      </c>
      <c r="D64" s="1495" t="s">
        <v>1641</v>
      </c>
      <c r="E64" s="1582">
        <v>0.4</v>
      </c>
      <c r="F64" s="1569">
        <v>60</v>
      </c>
    </row>
    <row r="65" spans="1:6" s="1565" customFormat="1" ht="36">
      <c r="A65" s="1569">
        <v>5</v>
      </c>
      <c r="B65" s="3782"/>
      <c r="C65" s="1495" t="s">
        <v>1642</v>
      </c>
      <c r="D65" s="1495" t="s">
        <v>1643</v>
      </c>
      <c r="E65" s="1582">
        <v>0.2</v>
      </c>
      <c r="F65" s="1569">
        <v>30</v>
      </c>
    </row>
    <row r="66" spans="1:6" s="1565" customFormat="1" ht="36">
      <c r="A66" s="1569">
        <v>6</v>
      </c>
      <c r="B66" s="3782"/>
      <c r="C66" s="1495" t="s">
        <v>1644</v>
      </c>
      <c r="D66" s="1495" t="s">
        <v>1645</v>
      </c>
      <c r="E66" s="1582">
        <v>0.3</v>
      </c>
      <c r="F66" s="1569">
        <v>50</v>
      </c>
    </row>
    <row r="67" spans="1:6" s="1565" customFormat="1" ht="36">
      <c r="A67" s="1569">
        <v>7</v>
      </c>
      <c r="B67" s="3782"/>
      <c r="C67" s="1495" t="s">
        <v>1646</v>
      </c>
      <c r="D67" s="1495" t="s">
        <v>1647</v>
      </c>
      <c r="E67" s="1582">
        <v>0.2</v>
      </c>
      <c r="F67" s="1569">
        <v>30</v>
      </c>
    </row>
    <row r="68" spans="1:6" s="1565" customFormat="1" ht="36">
      <c r="A68" s="1569">
        <v>8</v>
      </c>
      <c r="B68" s="3782"/>
      <c r="C68" s="1495" t="s">
        <v>1648</v>
      </c>
      <c r="D68" s="1495" t="s">
        <v>1649</v>
      </c>
      <c r="E68" s="1582">
        <v>0.2</v>
      </c>
      <c r="F68" s="1569">
        <v>30</v>
      </c>
    </row>
    <row r="69" spans="1:6" s="1565" customFormat="1" ht="36">
      <c r="A69" s="1569">
        <v>9</v>
      </c>
      <c r="B69" s="3782"/>
      <c r="C69" s="1495" t="s">
        <v>1650</v>
      </c>
      <c r="D69" s="1495" t="s">
        <v>1651</v>
      </c>
      <c r="E69" s="1582">
        <v>0.2</v>
      </c>
      <c r="F69" s="1569">
        <v>30</v>
      </c>
    </row>
    <row r="70" spans="1:6" s="1565" customFormat="1" ht="48">
      <c r="A70" s="1569">
        <v>10</v>
      </c>
      <c r="B70" s="3782"/>
      <c r="C70" s="1495" t="s">
        <v>1652</v>
      </c>
      <c r="D70" s="1495" t="s">
        <v>1653</v>
      </c>
      <c r="E70" s="1582">
        <v>0.2</v>
      </c>
      <c r="F70" s="1569">
        <v>30</v>
      </c>
    </row>
    <row r="71" spans="1:6" s="1565" customFormat="1" ht="48">
      <c r="A71" s="1569">
        <v>11</v>
      </c>
      <c r="B71" s="3782"/>
      <c r="C71" s="1495" t="s">
        <v>1654</v>
      </c>
      <c r="D71" s="1495" t="s">
        <v>1655</v>
      </c>
      <c r="E71" s="1582">
        <v>0.2</v>
      </c>
      <c r="F71" s="1569">
        <v>30</v>
      </c>
    </row>
    <row r="72" spans="1:6" s="1565" customFormat="1" ht="36">
      <c r="A72" s="1569">
        <v>12</v>
      </c>
      <c r="B72" s="3782"/>
      <c r="C72" s="1495" t="s">
        <v>1656</v>
      </c>
      <c r="D72" s="1495" t="s">
        <v>1657</v>
      </c>
      <c r="E72" s="1582">
        <v>0.5</v>
      </c>
      <c r="F72" s="1569">
        <v>80</v>
      </c>
    </row>
    <row r="73" spans="1:6" s="1565" customFormat="1" ht="24">
      <c r="A73" s="1569">
        <v>13</v>
      </c>
      <c r="B73" s="3782"/>
      <c r="C73" s="1495" t="s">
        <v>1658</v>
      </c>
      <c r="D73" s="1495" t="s">
        <v>1659</v>
      </c>
      <c r="E73" s="1582">
        <v>0.4</v>
      </c>
      <c r="F73" s="1569">
        <v>60</v>
      </c>
    </row>
    <row r="74" spans="1:6" s="1565" customFormat="1" ht="24">
      <c r="A74" s="1569">
        <v>14</v>
      </c>
      <c r="B74" s="3782"/>
      <c r="C74" s="1495" t="s">
        <v>1660</v>
      </c>
      <c r="D74" s="1495" t="s">
        <v>1661</v>
      </c>
      <c r="E74" s="1582">
        <v>0.2</v>
      </c>
      <c r="F74" s="1569">
        <v>30</v>
      </c>
    </row>
    <row r="75" spans="1:6" s="1565" customFormat="1" ht="24">
      <c r="A75" s="1569">
        <v>15</v>
      </c>
      <c r="B75" s="3782"/>
      <c r="C75" s="1495" t="s">
        <v>1662</v>
      </c>
      <c r="D75" s="1495" t="s">
        <v>1663</v>
      </c>
      <c r="E75" s="1582">
        <v>0.2</v>
      </c>
      <c r="F75" s="1569">
        <v>30</v>
      </c>
    </row>
    <row r="76" spans="1:6" s="1565" customFormat="1" ht="24">
      <c r="A76" s="1569">
        <v>16</v>
      </c>
      <c r="B76" s="3782" t="s">
        <v>1664</v>
      </c>
      <c r="C76" s="1495" t="s">
        <v>1665</v>
      </c>
      <c r="D76" s="1495" t="s">
        <v>1666</v>
      </c>
      <c r="E76" s="1582">
        <v>0.5</v>
      </c>
      <c r="F76" s="1569">
        <v>80</v>
      </c>
    </row>
    <row r="77" spans="1:6" s="1565" customFormat="1" ht="24">
      <c r="A77" s="1569">
        <v>17</v>
      </c>
      <c r="B77" s="3782"/>
      <c r="C77" s="1495" t="s">
        <v>1667</v>
      </c>
      <c r="D77" s="1495" t="s">
        <v>1668</v>
      </c>
      <c r="E77" s="1582">
        <v>0.5</v>
      </c>
      <c r="F77" s="1569">
        <v>80</v>
      </c>
    </row>
    <row r="78" spans="1:6" s="1565" customFormat="1" ht="24">
      <c r="A78" s="1569">
        <v>18</v>
      </c>
      <c r="B78" s="3782"/>
      <c r="C78" s="1495" t="s">
        <v>1669</v>
      </c>
      <c r="D78" s="1495" t="s">
        <v>1670</v>
      </c>
      <c r="E78" s="1582">
        <v>0.2</v>
      </c>
      <c r="F78" s="1569">
        <v>30</v>
      </c>
    </row>
    <row r="79" spans="1:6" s="1565" customFormat="1" ht="24">
      <c r="A79" s="1569">
        <v>19</v>
      </c>
      <c r="B79" s="3782"/>
      <c r="C79" s="1495" t="s">
        <v>1671</v>
      </c>
      <c r="D79" s="1495" t="s">
        <v>1672</v>
      </c>
      <c r="E79" s="1582">
        <v>0.5</v>
      </c>
      <c r="F79" s="1569">
        <v>80</v>
      </c>
    </row>
    <row r="80" spans="1:6" s="1565" customFormat="1" ht="36">
      <c r="A80" s="1569">
        <v>20</v>
      </c>
      <c r="B80" s="3782"/>
      <c r="C80" s="1495" t="s">
        <v>1673</v>
      </c>
      <c r="D80" s="1495" t="s">
        <v>1674</v>
      </c>
      <c r="E80" s="1582">
        <v>0.2</v>
      </c>
      <c r="F80" s="1569">
        <v>30</v>
      </c>
    </row>
    <row r="81" spans="1:6" s="1565" customFormat="1" ht="36">
      <c r="A81" s="1569">
        <v>21</v>
      </c>
      <c r="B81" s="3782"/>
      <c r="C81" s="1495" t="s">
        <v>1675</v>
      </c>
      <c r="D81" s="1495" t="s">
        <v>1676</v>
      </c>
      <c r="E81" s="1582">
        <v>0.2</v>
      </c>
      <c r="F81" s="1569">
        <v>30</v>
      </c>
    </row>
    <row r="82" spans="1:6" s="1565" customFormat="1" ht="48">
      <c r="A82" s="1569">
        <v>22</v>
      </c>
      <c r="B82" s="3782"/>
      <c r="C82" s="1495" t="s">
        <v>1677</v>
      </c>
      <c r="D82" s="1495" t="s">
        <v>1678</v>
      </c>
      <c r="E82" s="1582">
        <v>0.2</v>
      </c>
      <c r="F82" s="1569">
        <v>30</v>
      </c>
    </row>
    <row r="83" spans="1:6" s="1565" customFormat="1" ht="48">
      <c r="A83" s="1569">
        <v>23</v>
      </c>
      <c r="B83" s="3782"/>
      <c r="C83" s="1495" t="s">
        <v>1679</v>
      </c>
      <c r="D83" s="1495" t="s">
        <v>1680</v>
      </c>
      <c r="E83" s="1582">
        <v>0.2</v>
      </c>
      <c r="F83" s="1569">
        <v>30</v>
      </c>
    </row>
    <row r="84" spans="1:6" s="1565" customFormat="1" ht="36">
      <c r="A84" s="1569">
        <v>24</v>
      </c>
      <c r="B84" s="3782"/>
      <c r="C84" s="1495" t="s">
        <v>1681</v>
      </c>
      <c r="D84" s="1495" t="s">
        <v>1682</v>
      </c>
      <c r="E84" s="1582">
        <v>0.2</v>
      </c>
      <c r="F84" s="1569">
        <v>30</v>
      </c>
    </row>
    <row r="85" spans="1:6" s="1565" customFormat="1" ht="36">
      <c r="A85" s="1569">
        <v>25</v>
      </c>
      <c r="B85" s="3782"/>
      <c r="C85" s="1495" t="s">
        <v>1683</v>
      </c>
      <c r="D85" s="1495" t="s">
        <v>1684</v>
      </c>
      <c r="E85" s="1582">
        <v>0.5</v>
      </c>
      <c r="F85" s="1569">
        <v>80</v>
      </c>
    </row>
    <row r="86" spans="1:6" s="1565" customFormat="1" ht="36">
      <c r="A86" s="1569">
        <v>26</v>
      </c>
      <c r="B86" s="3782"/>
      <c r="C86" s="1495" t="s">
        <v>1685</v>
      </c>
      <c r="D86" s="1495" t="s">
        <v>1686</v>
      </c>
      <c r="E86" s="1582">
        <v>0.2</v>
      </c>
      <c r="F86" s="1569">
        <v>30</v>
      </c>
    </row>
    <row r="87" spans="1:6" s="1565" customFormat="1" ht="36">
      <c r="A87" s="1569">
        <v>27</v>
      </c>
      <c r="B87" s="3782"/>
      <c r="C87" s="1495" t="s">
        <v>1687</v>
      </c>
      <c r="D87" s="1495" t="s">
        <v>1688</v>
      </c>
      <c r="E87" s="1582">
        <v>0.2</v>
      </c>
      <c r="F87" s="1569">
        <v>30</v>
      </c>
    </row>
    <row r="88" spans="1:6" s="1565" customFormat="1" ht="36">
      <c r="A88" s="1569">
        <v>28</v>
      </c>
      <c r="B88" s="3782"/>
      <c r="C88" s="1495" t="s">
        <v>1689</v>
      </c>
      <c r="D88" s="1495" t="s">
        <v>1690</v>
      </c>
      <c r="E88" s="1582">
        <v>0.2</v>
      </c>
      <c r="F88" s="1569">
        <v>30</v>
      </c>
    </row>
    <row r="89" spans="1:6" s="1565" customFormat="1" ht="24">
      <c r="A89" s="1569">
        <v>29</v>
      </c>
      <c r="B89" s="3782"/>
      <c r="C89" s="1495" t="s">
        <v>1691</v>
      </c>
      <c r="D89" s="1495" t="s">
        <v>1692</v>
      </c>
      <c r="E89" s="1582">
        <v>0.2</v>
      </c>
      <c r="F89" s="1569">
        <v>30</v>
      </c>
    </row>
    <row r="90" spans="1:6" s="1565" customFormat="1" ht="24">
      <c r="A90" s="1569">
        <v>30</v>
      </c>
      <c r="B90" s="3782"/>
      <c r="C90" s="1495" t="s">
        <v>1693</v>
      </c>
      <c r="D90" s="1495" t="s">
        <v>1694</v>
      </c>
      <c r="E90" s="1582">
        <v>0.2</v>
      </c>
      <c r="F90" s="1569">
        <v>30</v>
      </c>
    </row>
    <row r="91" spans="1:6" s="1565" customFormat="1" ht="36">
      <c r="A91" s="1569">
        <v>31</v>
      </c>
      <c r="B91" s="3782"/>
      <c r="C91" s="1495" t="s">
        <v>1695</v>
      </c>
      <c r="D91" s="1495" t="s">
        <v>1696</v>
      </c>
      <c r="E91" s="1582">
        <v>0.2</v>
      </c>
      <c r="F91" s="1569">
        <v>30</v>
      </c>
    </row>
    <row r="92" spans="1:6" s="1565" customFormat="1" ht="24">
      <c r="A92" s="1569">
        <v>32</v>
      </c>
      <c r="B92" s="3782" t="s">
        <v>1697</v>
      </c>
      <c r="C92" s="1569" t="s">
        <v>1698</v>
      </c>
      <c r="D92" s="1495" t="s">
        <v>1699</v>
      </c>
      <c r="E92" s="1582">
        <v>0.2</v>
      </c>
      <c r="F92" s="1569">
        <v>30</v>
      </c>
    </row>
    <row r="93" spans="1:6" s="1565" customFormat="1" ht="36">
      <c r="A93" s="1569">
        <v>33</v>
      </c>
      <c r="B93" s="3782"/>
      <c r="C93" s="1569" t="s">
        <v>1700</v>
      </c>
      <c r="D93" s="1495" t="s">
        <v>1701</v>
      </c>
      <c r="E93" s="1582">
        <v>0.2</v>
      </c>
      <c r="F93" s="1569">
        <v>30</v>
      </c>
    </row>
    <row r="94" spans="1:6" s="1565" customFormat="1" ht="48">
      <c r="A94" s="1569">
        <v>34</v>
      </c>
      <c r="B94" s="3782"/>
      <c r="C94" s="1569" t="s">
        <v>1702</v>
      </c>
      <c r="D94" s="1495" t="s">
        <v>1703</v>
      </c>
      <c r="E94" s="1582">
        <v>0.2</v>
      </c>
      <c r="F94" s="1569">
        <v>30</v>
      </c>
    </row>
    <row r="95" spans="1:6" s="1565" customFormat="1" ht="36">
      <c r="A95" s="1569">
        <v>35</v>
      </c>
      <c r="B95" s="3782"/>
      <c r="C95" s="1569" t="s">
        <v>1704</v>
      </c>
      <c r="D95" s="1495" t="s">
        <v>1705</v>
      </c>
      <c r="E95" s="1582">
        <v>0.2</v>
      </c>
      <c r="F95" s="1569">
        <v>30</v>
      </c>
    </row>
    <row r="96" spans="1:6" s="1565" customFormat="1" ht="48">
      <c r="A96" s="1569">
        <v>36</v>
      </c>
      <c r="B96" s="3782"/>
      <c r="C96" s="1495" t="s">
        <v>1706</v>
      </c>
      <c r="D96" s="1495" t="s">
        <v>1707</v>
      </c>
      <c r="E96" s="1582">
        <v>0.2</v>
      </c>
      <c r="F96" s="1569">
        <v>30</v>
      </c>
    </row>
    <row r="97" spans="1:6" s="1565" customFormat="1" ht="36">
      <c r="A97" s="1569">
        <v>37</v>
      </c>
      <c r="B97" s="3782"/>
      <c r="C97" s="1569" t="s">
        <v>1708</v>
      </c>
      <c r="D97" s="1495" t="s">
        <v>1709</v>
      </c>
      <c r="E97" s="1582">
        <v>0.2</v>
      </c>
      <c r="F97" s="1569">
        <v>30</v>
      </c>
    </row>
    <row r="98" spans="1:6" s="1565" customFormat="1" ht="36">
      <c r="A98" s="1569">
        <v>38</v>
      </c>
      <c r="B98" s="3782"/>
      <c r="C98" s="1569" t="s">
        <v>1710</v>
      </c>
      <c r="D98" s="1495" t="s">
        <v>1711</v>
      </c>
      <c r="E98" s="1582">
        <v>0.2</v>
      </c>
      <c r="F98" s="1569">
        <v>30</v>
      </c>
    </row>
    <row r="99" spans="1:6" s="1565" customFormat="1" ht="36">
      <c r="A99" s="1569">
        <v>39</v>
      </c>
      <c r="B99" s="3782" t="s">
        <v>1712</v>
      </c>
      <c r="C99" s="1569" t="s">
        <v>1713</v>
      </c>
      <c r="D99" s="1495" t="s">
        <v>1714</v>
      </c>
      <c r="E99" s="1582">
        <v>0.3</v>
      </c>
      <c r="F99" s="1569">
        <v>50</v>
      </c>
    </row>
    <row r="100" spans="1:6" s="1565" customFormat="1" ht="24">
      <c r="A100" s="1569">
        <v>40</v>
      </c>
      <c r="B100" s="3782"/>
      <c r="C100" s="1569" t="s">
        <v>1715</v>
      </c>
      <c r="D100" s="1495" t="s">
        <v>1716</v>
      </c>
      <c r="E100" s="1582">
        <v>0.2</v>
      </c>
      <c r="F100" s="1569">
        <v>30</v>
      </c>
    </row>
    <row r="101" spans="1:6" s="1565" customFormat="1" ht="36">
      <c r="A101" s="1569">
        <v>41</v>
      </c>
      <c r="B101" s="3782"/>
      <c r="C101" s="1569" t="s">
        <v>1717</v>
      </c>
      <c r="D101" s="1495" t="s">
        <v>1714</v>
      </c>
      <c r="E101" s="1582">
        <v>0.2</v>
      </c>
      <c r="F101" s="1569">
        <v>30</v>
      </c>
    </row>
    <row r="102" spans="1:6" s="1565" customFormat="1" ht="48">
      <c r="A102" s="1569">
        <v>42</v>
      </c>
      <c r="B102" s="1569" t="s">
        <v>1718</v>
      </c>
      <c r="C102" s="1495" t="s">
        <v>1719</v>
      </c>
      <c r="D102" s="1495" t="s">
        <v>1720</v>
      </c>
      <c r="E102" s="1582">
        <v>0.2</v>
      </c>
      <c r="F102" s="1569">
        <v>30</v>
      </c>
    </row>
    <row r="103" spans="1:6" s="1565" customFormat="1" ht="24">
      <c r="A103" s="1569">
        <v>43</v>
      </c>
      <c r="B103" s="1569" t="s">
        <v>1721</v>
      </c>
      <c r="C103" s="1569" t="s">
        <v>1722</v>
      </c>
      <c r="D103" s="1495" t="s">
        <v>1723</v>
      </c>
      <c r="E103" s="1582">
        <v>0.2</v>
      </c>
      <c r="F103" s="1569">
        <v>30</v>
      </c>
    </row>
    <row r="104" spans="1:6" s="1565" customFormat="1" ht="36">
      <c r="A104" s="1569">
        <v>44</v>
      </c>
      <c r="B104" s="1569" t="s">
        <v>1724</v>
      </c>
      <c r="C104" s="1569" t="s">
        <v>1725</v>
      </c>
      <c r="D104" s="1495" t="s">
        <v>1726</v>
      </c>
      <c r="E104" s="1582">
        <v>0.2</v>
      </c>
      <c r="F104" s="1569">
        <v>30</v>
      </c>
    </row>
    <row r="105" spans="1:6" s="1565" customFormat="1" ht="36">
      <c r="A105" s="1569">
        <v>45</v>
      </c>
      <c r="B105" s="3782" t="s">
        <v>1727</v>
      </c>
      <c r="C105" s="1569" t="s">
        <v>1728</v>
      </c>
      <c r="D105" s="1495" t="s">
        <v>1729</v>
      </c>
      <c r="E105" s="1582">
        <v>0.2</v>
      </c>
      <c r="F105" s="1569">
        <v>30</v>
      </c>
    </row>
    <row r="106" spans="1:6" s="1565" customFormat="1" ht="36">
      <c r="A106" s="1569">
        <v>46</v>
      </c>
      <c r="B106" s="3782"/>
      <c r="C106" s="1569" t="s">
        <v>1730</v>
      </c>
      <c r="D106" s="1495" t="s">
        <v>1731</v>
      </c>
      <c r="E106" s="1582">
        <v>0.2</v>
      </c>
      <c r="F106" s="1569">
        <v>30</v>
      </c>
    </row>
    <row r="107" spans="1:6" s="1565" customFormat="1" ht="36">
      <c r="A107" s="1569">
        <v>47</v>
      </c>
      <c r="B107" s="3782" t="s">
        <v>1732</v>
      </c>
      <c r="C107" s="1569" t="s">
        <v>1733</v>
      </c>
      <c r="D107" s="1495" t="s">
        <v>1734</v>
      </c>
      <c r="E107" s="1582">
        <v>0.3</v>
      </c>
      <c r="F107" s="1569">
        <v>50</v>
      </c>
    </row>
    <row r="108" spans="1:6" s="1565" customFormat="1" ht="36">
      <c r="A108" s="1569">
        <v>48</v>
      </c>
      <c r="B108" s="3782"/>
      <c r="C108" s="1569" t="s">
        <v>1735</v>
      </c>
      <c r="D108" s="1495" t="s">
        <v>1736</v>
      </c>
      <c r="E108" s="1582">
        <v>0.2</v>
      </c>
      <c r="F108" s="1569">
        <v>30</v>
      </c>
    </row>
    <row r="109" spans="1:6" s="1565" customFormat="1" ht="36">
      <c r="A109" s="1569">
        <v>49</v>
      </c>
      <c r="B109" s="1569" t="s">
        <v>1737</v>
      </c>
      <c r="C109" s="1569" t="s">
        <v>1738</v>
      </c>
      <c r="D109" s="1495" t="s">
        <v>1739</v>
      </c>
      <c r="E109" s="1582">
        <v>0.2</v>
      </c>
      <c r="F109" s="1569">
        <v>30</v>
      </c>
    </row>
    <row r="110" spans="1:6" s="1565" customFormat="1" ht="36">
      <c r="A110" s="1569">
        <v>50</v>
      </c>
      <c r="B110" s="1569" t="s">
        <v>1740</v>
      </c>
      <c r="C110" s="1569" t="s">
        <v>1741</v>
      </c>
      <c r="D110" s="1495" t="s">
        <v>1742</v>
      </c>
      <c r="E110" s="1582">
        <v>0.2</v>
      </c>
      <c r="F110" s="1569">
        <v>30</v>
      </c>
    </row>
    <row r="111" spans="1:6" s="1565" customFormat="1" ht="36">
      <c r="A111" s="1569">
        <v>51</v>
      </c>
      <c r="B111" s="3782" t="s">
        <v>1743</v>
      </c>
      <c r="C111" s="1569" t="s">
        <v>1744</v>
      </c>
      <c r="D111" s="1495" t="s">
        <v>1745</v>
      </c>
      <c r="E111" s="1582">
        <v>0.2</v>
      </c>
      <c r="F111" s="1569">
        <v>30</v>
      </c>
    </row>
    <row r="112" spans="1:6" s="1565" customFormat="1" ht="24">
      <c r="A112" s="1569">
        <v>52</v>
      </c>
      <c r="B112" s="3782"/>
      <c r="C112" s="1569" t="s">
        <v>1746</v>
      </c>
      <c r="D112" s="1495" t="s">
        <v>1747</v>
      </c>
      <c r="E112" s="1582">
        <v>0.2</v>
      </c>
      <c r="F112" s="1569">
        <v>30</v>
      </c>
    </row>
    <row r="113" spans="1:6" s="1565" customFormat="1" ht="24">
      <c r="A113" s="1569">
        <v>53</v>
      </c>
      <c r="B113" s="3782"/>
      <c r="C113" s="1569" t="s">
        <v>1748</v>
      </c>
      <c r="D113" s="1495" t="s">
        <v>1749</v>
      </c>
      <c r="E113" s="1582">
        <v>0.2</v>
      </c>
      <c r="F113" s="1569">
        <v>30</v>
      </c>
    </row>
    <row r="114" spans="1:6" ht="36">
      <c r="A114" s="1569">
        <v>54</v>
      </c>
      <c r="B114" s="1569" t="s">
        <v>1750</v>
      </c>
      <c r="C114" s="1569" t="s">
        <v>1751</v>
      </c>
      <c r="D114" s="1495" t="s">
        <v>1752</v>
      </c>
      <c r="E114" s="1582">
        <v>0.2</v>
      </c>
      <c r="F114" s="1569">
        <v>30</v>
      </c>
    </row>
    <row r="115" spans="1:6" ht="24">
      <c r="A115" s="1569">
        <v>55</v>
      </c>
      <c r="B115" s="1569" t="s">
        <v>1753</v>
      </c>
      <c r="C115" s="1569" t="s">
        <v>1754</v>
      </c>
      <c r="D115" s="1495" t="s">
        <v>1755</v>
      </c>
      <c r="E115" s="1582">
        <v>0.2</v>
      </c>
      <c r="F115" s="1569">
        <v>30</v>
      </c>
    </row>
    <row r="116" spans="1:6" ht="24">
      <c r="A116" s="1569">
        <v>56</v>
      </c>
      <c r="B116" s="3782" t="s">
        <v>1756</v>
      </c>
      <c r="C116" s="1569" t="s">
        <v>1757</v>
      </c>
      <c r="D116" s="1495" t="s">
        <v>1758</v>
      </c>
      <c r="E116" s="1582">
        <v>0.2</v>
      </c>
      <c r="F116" s="1569">
        <v>30</v>
      </c>
    </row>
    <row r="117" spans="1:6" ht="36">
      <c r="A117" s="1569">
        <v>57</v>
      </c>
      <c r="B117" s="3782"/>
      <c r="C117" s="1569" t="s">
        <v>1759</v>
      </c>
      <c r="D117" s="1495" t="s">
        <v>1760</v>
      </c>
      <c r="E117" s="1582">
        <v>0.2</v>
      </c>
      <c r="F117" s="1569">
        <v>30</v>
      </c>
    </row>
    <row r="118" spans="1:6" ht="36">
      <c r="A118" s="1569">
        <v>58</v>
      </c>
      <c r="B118" s="1569" t="s">
        <v>1761</v>
      </c>
      <c r="C118" s="1569" t="s">
        <v>1762</v>
      </c>
      <c r="D118" s="1495" t="s">
        <v>1763</v>
      </c>
      <c r="E118" s="1582">
        <v>0.2</v>
      </c>
      <c r="F118" s="1569">
        <v>30</v>
      </c>
    </row>
    <row r="119" spans="1:6" ht="13.5">
      <c r="A119" s="1569"/>
      <c r="B119" s="1569"/>
      <c r="C119" s="1569" t="s">
        <v>1764</v>
      </c>
      <c r="D119" s="1569"/>
      <c r="E119" s="1582" t="s">
        <v>1574</v>
      </c>
      <c r="F119" s="1569" t="s">
        <v>1574</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RowHeight="13.5"/>
  <cols>
    <col min="1" max="1" width="9" style="1619"/>
    <col min="2" max="16384" width="9" style="1594"/>
  </cols>
  <sheetData>
    <row r="1" spans="1:14" ht="14.25">
      <c r="A1" s="1592" t="s">
        <v>1774</v>
      </c>
      <c r="B1" s="1593"/>
      <c r="C1" s="1593"/>
      <c r="D1" s="1593"/>
      <c r="E1" s="1593"/>
      <c r="F1" s="1593"/>
      <c r="G1" s="1593"/>
      <c r="H1" s="1593"/>
      <c r="I1" s="1593"/>
      <c r="J1" s="1593"/>
      <c r="K1" s="1593"/>
      <c r="L1" s="1593"/>
      <c r="M1" s="1593"/>
      <c r="N1" s="1593"/>
    </row>
    <row r="2" spans="1:14">
      <c r="A2" s="1595" t="s">
        <v>1771</v>
      </c>
      <c r="B2" s="1596" t="s">
        <v>1176</v>
      </c>
      <c r="C2" s="1596" t="s">
        <v>1177</v>
      </c>
      <c r="D2" s="1596" t="s">
        <v>1178</v>
      </c>
      <c r="E2" s="1596" t="s">
        <v>1179</v>
      </c>
      <c r="F2" s="1596" t="s">
        <v>1180</v>
      </c>
      <c r="G2" s="1596" t="s">
        <v>1181</v>
      </c>
      <c r="H2" s="1597" t="s">
        <v>1182</v>
      </c>
      <c r="I2" s="1597" t="s">
        <v>1183</v>
      </c>
      <c r="J2" s="1598" t="s">
        <v>1184</v>
      </c>
      <c r="K2" s="1598" t="s">
        <v>1185</v>
      </c>
      <c r="L2" s="1598" t="s">
        <v>1186</v>
      </c>
      <c r="M2" s="1598" t="s">
        <v>1187</v>
      </c>
    </row>
    <row r="3" spans="1:14">
      <c r="A3" s="1595">
        <v>0.1</v>
      </c>
      <c r="B3" s="1604">
        <v>15.052</v>
      </c>
      <c r="C3" s="1604">
        <v>15.052</v>
      </c>
      <c r="D3" s="1604">
        <v>14.263</v>
      </c>
      <c r="E3" s="1604">
        <v>14.263</v>
      </c>
      <c r="F3" s="1604">
        <v>14.263</v>
      </c>
      <c r="G3" s="1604">
        <v>14.263</v>
      </c>
      <c r="H3" s="1604">
        <v>14.263</v>
      </c>
      <c r="I3" s="1604">
        <v>14.097</v>
      </c>
      <c r="J3" s="1604">
        <v>14.097</v>
      </c>
      <c r="K3" s="1604">
        <v>14.097</v>
      </c>
      <c r="L3" s="1604">
        <v>14.097</v>
      </c>
      <c r="M3" s="1604">
        <v>14.097</v>
      </c>
      <c r="N3" s="1605"/>
    </row>
    <row r="4" spans="1:14">
      <c r="A4" s="1595">
        <v>0.2</v>
      </c>
      <c r="B4" s="1604">
        <v>7.5259999999999998</v>
      </c>
      <c r="C4" s="1604">
        <v>7.5259999999999998</v>
      </c>
      <c r="D4" s="1604">
        <v>7.1315</v>
      </c>
      <c r="E4" s="1604">
        <v>7.1315</v>
      </c>
      <c r="F4" s="1604">
        <v>7.1315</v>
      </c>
      <c r="G4" s="1604">
        <v>7.1315</v>
      </c>
      <c r="H4" s="1604">
        <v>7.1315</v>
      </c>
      <c r="I4" s="1604">
        <v>7.0484999999999998</v>
      </c>
      <c r="J4" s="1604">
        <v>7.0484999999999998</v>
      </c>
      <c r="K4" s="1604">
        <v>7.0484999999999998</v>
      </c>
      <c r="L4" s="1604">
        <v>7.0484999999999998</v>
      </c>
      <c r="M4" s="1604">
        <v>7.0484999999999998</v>
      </c>
    </row>
    <row r="5" spans="1:14">
      <c r="A5" s="1595">
        <v>0.3</v>
      </c>
      <c r="B5" s="1604">
        <v>5.0172999999999996</v>
      </c>
      <c r="C5" s="1604">
        <v>5.0172999999999996</v>
      </c>
      <c r="D5" s="1604">
        <v>4.7542999999999997</v>
      </c>
      <c r="E5" s="1604">
        <v>4.7542999999999997</v>
      </c>
      <c r="F5" s="1604">
        <v>4.7542999999999997</v>
      </c>
      <c r="G5" s="1604">
        <v>4.7542999999999997</v>
      </c>
      <c r="H5" s="1604">
        <v>4.7542999999999997</v>
      </c>
      <c r="I5" s="1604">
        <v>4.6989999999999998</v>
      </c>
      <c r="J5" s="1604">
        <v>4.6989999999999998</v>
      </c>
      <c r="K5" s="1604">
        <v>4.6989999999999998</v>
      </c>
      <c r="L5" s="1604">
        <v>4.6989999999999998</v>
      </c>
      <c r="M5" s="1604">
        <v>4.6989999999999998</v>
      </c>
    </row>
    <row r="6" spans="1:14">
      <c r="A6" s="1595">
        <v>0.4</v>
      </c>
      <c r="B6" s="1604">
        <v>3.7629999999999999</v>
      </c>
      <c r="C6" s="1604">
        <v>3.7629999999999999</v>
      </c>
      <c r="D6" s="1604">
        <v>3.5657999999999999</v>
      </c>
      <c r="E6" s="1604">
        <v>3.5657999999999999</v>
      </c>
      <c r="F6" s="1604">
        <v>3.5657999999999999</v>
      </c>
      <c r="G6" s="1604">
        <v>3.5657999999999999</v>
      </c>
      <c r="H6" s="1604">
        <v>3.5657999999999999</v>
      </c>
      <c r="I6" s="1604">
        <v>3.5243000000000002</v>
      </c>
      <c r="J6" s="1604">
        <v>3.5243000000000002</v>
      </c>
      <c r="K6" s="1604">
        <v>3.5243000000000002</v>
      </c>
      <c r="L6" s="1604">
        <v>3.5243000000000002</v>
      </c>
      <c r="M6" s="1604">
        <v>3.5243000000000002</v>
      </c>
    </row>
    <row r="7" spans="1:14">
      <c r="A7" s="1595">
        <v>0.5</v>
      </c>
      <c r="B7" s="1604">
        <v>3.0104000000000002</v>
      </c>
      <c r="C7" s="1604">
        <v>3.0104000000000002</v>
      </c>
      <c r="D7" s="1604">
        <v>2.8525999999999998</v>
      </c>
      <c r="E7" s="1604">
        <v>2.8525999999999998</v>
      </c>
      <c r="F7" s="1604">
        <v>2.8525999999999998</v>
      </c>
      <c r="G7" s="1604">
        <v>2.8525999999999998</v>
      </c>
      <c r="H7" s="1604">
        <v>2.8525999999999998</v>
      </c>
      <c r="I7" s="1604">
        <v>2.8193999999999999</v>
      </c>
      <c r="J7" s="1604">
        <v>2.8193999999999999</v>
      </c>
      <c r="K7" s="1604">
        <v>2.8193999999999999</v>
      </c>
      <c r="L7" s="1604">
        <v>2.8193999999999999</v>
      </c>
      <c r="M7" s="1604">
        <v>2.8193999999999999</v>
      </c>
    </row>
    <row r="8" spans="1:14">
      <c r="A8" s="1595">
        <v>0.6</v>
      </c>
      <c r="B8" s="1604">
        <v>2.5087000000000002</v>
      </c>
      <c r="C8" s="1604">
        <v>2.5087000000000002</v>
      </c>
      <c r="D8" s="1604">
        <v>2.3772000000000002</v>
      </c>
      <c r="E8" s="1604">
        <v>2.3772000000000002</v>
      </c>
      <c r="F8" s="1604">
        <v>2.3772000000000002</v>
      </c>
      <c r="G8" s="1604">
        <v>2.3772000000000002</v>
      </c>
      <c r="H8" s="1604">
        <v>2.3772000000000002</v>
      </c>
      <c r="I8" s="1604">
        <v>2.3494999999999999</v>
      </c>
      <c r="J8" s="1604">
        <v>2.3494999999999999</v>
      </c>
      <c r="K8" s="1604">
        <v>2.3494999999999999</v>
      </c>
      <c r="L8" s="1604">
        <v>2.3494999999999999</v>
      </c>
      <c r="M8" s="1604">
        <v>2.3494999999999999</v>
      </c>
    </row>
    <row r="9" spans="1:14">
      <c r="A9" s="1595">
        <v>0.7</v>
      </c>
      <c r="B9" s="1604">
        <v>2.1503000000000001</v>
      </c>
      <c r="C9" s="1604">
        <v>2.1503000000000001</v>
      </c>
      <c r="D9" s="1604">
        <v>2.0375999999999999</v>
      </c>
      <c r="E9" s="1604">
        <v>2.0375999999999999</v>
      </c>
      <c r="F9" s="1604">
        <v>2.0375999999999999</v>
      </c>
      <c r="G9" s="1604">
        <v>2.0375999999999999</v>
      </c>
      <c r="H9" s="1604">
        <v>2.0375999999999999</v>
      </c>
      <c r="I9" s="1604">
        <v>2.0139</v>
      </c>
      <c r="J9" s="1604">
        <v>2.0139</v>
      </c>
      <c r="K9" s="1604">
        <v>2.0139</v>
      </c>
      <c r="L9" s="1604">
        <v>2.0139</v>
      </c>
      <c r="M9" s="1604">
        <v>2.0139</v>
      </c>
    </row>
    <row r="10" spans="1:14">
      <c r="A10" s="1595">
        <v>0.8</v>
      </c>
      <c r="B10" s="1604">
        <v>1.8815</v>
      </c>
      <c r="C10" s="1604">
        <v>1.8815</v>
      </c>
      <c r="D10" s="1604">
        <v>1.7828999999999999</v>
      </c>
      <c r="E10" s="1604">
        <v>1.7828999999999999</v>
      </c>
      <c r="F10" s="1604">
        <v>1.7828999999999999</v>
      </c>
      <c r="G10" s="1604">
        <v>1.7828999999999999</v>
      </c>
      <c r="H10" s="1604">
        <v>1.7828999999999999</v>
      </c>
      <c r="I10" s="1604">
        <v>1.7621</v>
      </c>
      <c r="J10" s="1604">
        <v>1.7621</v>
      </c>
      <c r="K10" s="1604">
        <v>1.7621</v>
      </c>
      <c r="L10" s="1604">
        <v>1.7621</v>
      </c>
      <c r="M10" s="1604">
        <v>1.7621</v>
      </c>
    </row>
    <row r="11" spans="1:14">
      <c r="A11" s="1595">
        <v>0.9</v>
      </c>
      <c r="B11" s="1604">
        <v>1.6724000000000001</v>
      </c>
      <c r="C11" s="1604">
        <v>1.6724000000000001</v>
      </c>
      <c r="D11" s="1604">
        <v>1.5848</v>
      </c>
      <c r="E11" s="1604">
        <v>1.5848</v>
      </c>
      <c r="F11" s="1604">
        <v>1.5848</v>
      </c>
      <c r="G11" s="1604">
        <v>1.5848</v>
      </c>
      <c r="H11" s="1604">
        <v>1.5848</v>
      </c>
      <c r="I11" s="1604">
        <v>1.5663</v>
      </c>
      <c r="J11" s="1604">
        <v>1.5663</v>
      </c>
      <c r="K11" s="1604">
        <v>1.5663</v>
      </c>
      <c r="L11" s="1604">
        <v>1.5663</v>
      </c>
      <c r="M11" s="1604">
        <v>1.5663</v>
      </c>
    </row>
    <row r="12" spans="1:14">
      <c r="A12" s="1595">
        <v>1</v>
      </c>
      <c r="B12" s="1604">
        <v>1.5052000000000001</v>
      </c>
      <c r="C12" s="1604">
        <v>1.5052000000000001</v>
      </c>
      <c r="D12" s="1604">
        <v>1.4262999999999999</v>
      </c>
      <c r="E12" s="1604">
        <v>1.4262999999999999</v>
      </c>
      <c r="F12" s="1604">
        <v>1.4262999999999999</v>
      </c>
      <c r="G12" s="1604">
        <v>1.4262999999999999</v>
      </c>
      <c r="H12" s="1604">
        <v>1.4262999999999999</v>
      </c>
      <c r="I12" s="1604">
        <v>1.4097</v>
      </c>
      <c r="J12" s="1604">
        <v>1.4097</v>
      </c>
      <c r="K12" s="1604">
        <v>1.4097</v>
      </c>
      <c r="L12" s="1604">
        <v>1.4097</v>
      </c>
      <c r="M12" s="1604">
        <v>1.4097</v>
      </c>
    </row>
    <row r="13" spans="1:14">
      <c r="A13" s="1595">
        <v>1.1000000000000001</v>
      </c>
      <c r="B13" s="1604">
        <v>1.4509000000000001</v>
      </c>
      <c r="C13" s="1604">
        <v>1.4509000000000001</v>
      </c>
      <c r="D13" s="1604">
        <v>1.3697999999999999</v>
      </c>
      <c r="E13" s="1604">
        <v>1.3697999999999999</v>
      </c>
      <c r="F13" s="1604">
        <v>1.3697999999999999</v>
      </c>
      <c r="G13" s="1604">
        <v>1.3697999999999999</v>
      </c>
      <c r="H13" s="1604">
        <v>1.3697999999999999</v>
      </c>
      <c r="I13" s="1604">
        <v>1.343</v>
      </c>
      <c r="J13" s="1604">
        <v>1.343</v>
      </c>
      <c r="K13" s="1604">
        <v>1.343</v>
      </c>
      <c r="L13" s="1604">
        <v>1.343</v>
      </c>
      <c r="M13" s="1604">
        <v>1.343</v>
      </c>
    </row>
    <row r="14" spans="1:14">
      <c r="A14" s="1595">
        <v>1.2</v>
      </c>
      <c r="B14" s="1604">
        <v>1.4035</v>
      </c>
      <c r="C14" s="1604">
        <v>1.4035</v>
      </c>
      <c r="D14" s="1604">
        <v>1.3205</v>
      </c>
      <c r="E14" s="1604">
        <v>1.3205</v>
      </c>
      <c r="F14" s="1604">
        <v>1.3205</v>
      </c>
      <c r="G14" s="1604">
        <v>1.3205</v>
      </c>
      <c r="H14" s="1604">
        <v>1.3205</v>
      </c>
      <c r="I14" s="1604">
        <v>1.2845</v>
      </c>
      <c r="J14" s="1604">
        <v>1.2845</v>
      </c>
      <c r="K14" s="1604">
        <v>1.2845</v>
      </c>
      <c r="L14" s="1604">
        <v>1.2845</v>
      </c>
      <c r="M14" s="1604">
        <v>1.2845</v>
      </c>
    </row>
    <row r="15" spans="1:14">
      <c r="A15" s="1595">
        <v>1.3</v>
      </c>
      <c r="B15" s="1604">
        <v>1.3622000000000001</v>
      </c>
      <c r="C15" s="1604">
        <v>1.3622000000000001</v>
      </c>
      <c r="D15" s="1604">
        <v>1.2775000000000001</v>
      </c>
      <c r="E15" s="1604">
        <v>1.2775000000000001</v>
      </c>
      <c r="F15" s="1604">
        <v>1.2775000000000001</v>
      </c>
      <c r="G15" s="1604">
        <v>1.2775000000000001</v>
      </c>
      <c r="H15" s="1604">
        <v>1.2775000000000001</v>
      </c>
      <c r="I15" s="1604">
        <v>1.2332000000000001</v>
      </c>
      <c r="J15" s="1604">
        <v>1.2332000000000001</v>
      </c>
      <c r="K15" s="1604">
        <v>1.2332000000000001</v>
      </c>
      <c r="L15" s="1604">
        <v>1.2332000000000001</v>
      </c>
      <c r="M15" s="1604">
        <v>1.2332000000000001</v>
      </c>
    </row>
    <row r="16" spans="1:14">
      <c r="A16" s="1595">
        <v>1.4</v>
      </c>
      <c r="B16" s="1604">
        <v>1.3262</v>
      </c>
      <c r="C16" s="1604">
        <v>1.3262</v>
      </c>
      <c r="D16" s="1604">
        <v>1.2402</v>
      </c>
      <c r="E16" s="1604">
        <v>1.2402</v>
      </c>
      <c r="F16" s="1604">
        <v>1.2402</v>
      </c>
      <c r="G16" s="1604">
        <v>1.2402</v>
      </c>
      <c r="H16" s="1604">
        <v>1.2402</v>
      </c>
      <c r="I16" s="1604">
        <v>1.1881999999999999</v>
      </c>
      <c r="J16" s="1604">
        <v>1.1881999999999999</v>
      </c>
      <c r="K16" s="1604">
        <v>1.1881999999999999</v>
      </c>
      <c r="L16" s="1604">
        <v>1.1881999999999999</v>
      </c>
      <c r="M16" s="1604">
        <v>1.1881999999999999</v>
      </c>
      <c r="N16" s="1605"/>
    </row>
    <row r="17" spans="1:14">
      <c r="A17" s="1595">
        <v>1.5</v>
      </c>
      <c r="B17" s="1604">
        <v>1.2948</v>
      </c>
      <c r="C17" s="1604">
        <v>1.2948</v>
      </c>
      <c r="D17" s="1604">
        <v>1.2075</v>
      </c>
      <c r="E17" s="1604">
        <v>1.2075</v>
      </c>
      <c r="F17" s="1604">
        <v>1.2075</v>
      </c>
      <c r="G17" s="1604">
        <v>1.2075</v>
      </c>
      <c r="H17" s="1604">
        <v>1.2075</v>
      </c>
      <c r="I17" s="1604">
        <v>1.1486000000000001</v>
      </c>
      <c r="J17" s="1604">
        <v>1.1486000000000001</v>
      </c>
      <c r="K17" s="1604">
        <v>1.1486000000000001</v>
      </c>
      <c r="L17" s="1604">
        <v>1.1486000000000001</v>
      </c>
      <c r="M17" s="1604">
        <v>1.1486000000000001</v>
      </c>
      <c r="N17" s="1605"/>
    </row>
    <row r="18" spans="1:14">
      <c r="A18" s="1595">
        <v>1.6</v>
      </c>
      <c r="B18" s="1604">
        <v>1.2673000000000001</v>
      </c>
      <c r="C18" s="1604">
        <v>1.2673000000000001</v>
      </c>
      <c r="D18" s="1604">
        <v>1.1789000000000001</v>
      </c>
      <c r="E18" s="1604">
        <v>1.1789000000000001</v>
      </c>
      <c r="F18" s="1604">
        <v>1.1789000000000001</v>
      </c>
      <c r="G18" s="1604">
        <v>1.1789000000000001</v>
      </c>
      <c r="H18" s="1604">
        <v>1.1789000000000001</v>
      </c>
      <c r="I18" s="1604">
        <v>1.1134999999999999</v>
      </c>
      <c r="J18" s="1604">
        <v>1.1134999999999999</v>
      </c>
      <c r="K18" s="1604">
        <v>1.1134999999999999</v>
      </c>
      <c r="L18" s="1604">
        <v>1.1134999999999999</v>
      </c>
      <c r="M18" s="1604">
        <v>1.1134999999999999</v>
      </c>
    </row>
    <row r="19" spans="1:14">
      <c r="A19" s="1595">
        <v>1.7</v>
      </c>
      <c r="B19" s="1604">
        <v>1.2428999999999999</v>
      </c>
      <c r="C19" s="1604">
        <v>1.2428999999999999</v>
      </c>
      <c r="D19" s="1604">
        <v>1.1534</v>
      </c>
      <c r="E19" s="1604">
        <v>1.1534</v>
      </c>
      <c r="F19" s="1604">
        <v>1.1534</v>
      </c>
      <c r="G19" s="1604">
        <v>1.1534</v>
      </c>
      <c r="H19" s="1604">
        <v>1.1534</v>
      </c>
      <c r="I19" s="1604">
        <v>1.0820000000000001</v>
      </c>
      <c r="J19" s="1604">
        <v>1.0820000000000001</v>
      </c>
      <c r="K19" s="1604">
        <v>1.0820000000000001</v>
      </c>
      <c r="L19" s="1604">
        <v>1.0820000000000001</v>
      </c>
      <c r="M19" s="1604">
        <v>1.0820000000000001</v>
      </c>
    </row>
    <row r="20" spans="1:14">
      <c r="A20" s="1595">
        <v>1.8</v>
      </c>
      <c r="B20" s="1604">
        <v>1.2206999999999999</v>
      </c>
      <c r="C20" s="1604">
        <v>1.2206999999999999</v>
      </c>
      <c r="D20" s="1604">
        <v>1.1304000000000001</v>
      </c>
      <c r="E20" s="1604">
        <v>1.1304000000000001</v>
      </c>
      <c r="F20" s="1604">
        <v>1.1304000000000001</v>
      </c>
      <c r="G20" s="1604">
        <v>1.1304000000000001</v>
      </c>
      <c r="H20" s="1604">
        <v>1.1304000000000001</v>
      </c>
      <c r="I20" s="1604">
        <v>1.0531999999999999</v>
      </c>
      <c r="J20" s="1604">
        <v>1.0531999999999999</v>
      </c>
      <c r="K20" s="1604">
        <v>1.0531999999999999</v>
      </c>
      <c r="L20" s="1604">
        <v>1.0531999999999999</v>
      </c>
      <c r="M20" s="1604">
        <v>1.0531999999999999</v>
      </c>
    </row>
    <row r="21" spans="1:14">
      <c r="A21" s="1595">
        <v>1.9</v>
      </c>
      <c r="B21" s="1604">
        <v>1.2</v>
      </c>
      <c r="C21" s="1604">
        <v>1.2</v>
      </c>
      <c r="D21" s="1604">
        <v>1.1089</v>
      </c>
      <c r="E21" s="1604">
        <v>1.1089</v>
      </c>
      <c r="F21" s="1604">
        <v>1.1089</v>
      </c>
      <c r="G21" s="1604">
        <v>1.1089</v>
      </c>
      <c r="H21" s="1604">
        <v>1.1089</v>
      </c>
      <c r="I21" s="1604">
        <v>1.0261</v>
      </c>
      <c r="J21" s="1604">
        <v>1.0261</v>
      </c>
      <c r="K21" s="1604">
        <v>1.0261</v>
      </c>
      <c r="L21" s="1604">
        <v>1.0261</v>
      </c>
      <c r="M21" s="1604">
        <v>1.0261</v>
      </c>
    </row>
    <row r="22" spans="1:14">
      <c r="A22" s="1595">
        <v>2</v>
      </c>
      <c r="B22" s="1604">
        <v>1.1800999999999999</v>
      </c>
      <c r="C22" s="1604">
        <v>1.1800999999999999</v>
      </c>
      <c r="D22" s="1604">
        <v>1.0883</v>
      </c>
      <c r="E22" s="1604">
        <v>1.0883</v>
      </c>
      <c r="F22" s="1604">
        <v>1.0883</v>
      </c>
      <c r="G22" s="1604">
        <v>1.0883</v>
      </c>
      <c r="H22" s="1604">
        <v>1.0883</v>
      </c>
      <c r="I22" s="1604">
        <v>1</v>
      </c>
      <c r="J22" s="1604">
        <v>1</v>
      </c>
      <c r="K22" s="1604">
        <v>1</v>
      </c>
      <c r="L22" s="1604">
        <v>1</v>
      </c>
      <c r="M22" s="1604">
        <v>1</v>
      </c>
    </row>
    <row r="23" spans="1:14">
      <c r="A23" s="1618">
        <v>2.1</v>
      </c>
      <c r="B23" s="1604">
        <v>1.1616</v>
      </c>
      <c r="C23" s="1604">
        <v>1.1616</v>
      </c>
      <c r="D23" s="1604">
        <v>1.0685</v>
      </c>
      <c r="E23" s="1604">
        <v>1.0685</v>
      </c>
      <c r="F23" s="1604">
        <v>1.0685</v>
      </c>
      <c r="G23" s="1604">
        <v>1.0685</v>
      </c>
      <c r="H23" s="1604">
        <v>1.0685</v>
      </c>
      <c r="I23" s="1604">
        <v>0.97550000000000003</v>
      </c>
      <c r="J23" s="1604">
        <v>0.97550000000000003</v>
      </c>
      <c r="K23" s="1604">
        <v>0.97550000000000003</v>
      </c>
      <c r="L23" s="1604">
        <v>0.97550000000000003</v>
      </c>
      <c r="M23" s="1604">
        <v>0.97550000000000003</v>
      </c>
    </row>
    <row r="24" spans="1:14">
      <c r="A24" s="1618">
        <v>2.2000000000000002</v>
      </c>
      <c r="B24" s="1604">
        <v>1.1440999999999999</v>
      </c>
      <c r="C24" s="1604">
        <v>1.1440999999999999</v>
      </c>
      <c r="D24" s="1604">
        <v>1.0497000000000001</v>
      </c>
      <c r="E24" s="1604">
        <v>1.0497000000000001</v>
      </c>
      <c r="F24" s="1604">
        <v>1.0497000000000001</v>
      </c>
      <c r="G24" s="1604">
        <v>1.0497000000000001</v>
      </c>
      <c r="H24" s="1604">
        <v>1.0497000000000001</v>
      </c>
      <c r="I24" s="1604">
        <v>0.95230000000000004</v>
      </c>
      <c r="J24" s="1604">
        <v>0.95230000000000004</v>
      </c>
      <c r="K24" s="1604">
        <v>0.95230000000000004</v>
      </c>
      <c r="L24" s="1604">
        <v>0.95230000000000004</v>
      </c>
      <c r="M24" s="1604">
        <v>0.95230000000000004</v>
      </c>
    </row>
    <row r="25" spans="1:14">
      <c r="A25" s="1618">
        <v>2.2999999999999998</v>
      </c>
      <c r="B25" s="1604">
        <v>1.1275999999999999</v>
      </c>
      <c r="C25" s="1604">
        <v>1.1275999999999999</v>
      </c>
      <c r="D25" s="1604">
        <v>1.032</v>
      </c>
      <c r="E25" s="1604">
        <v>1.032</v>
      </c>
      <c r="F25" s="1604">
        <v>1.032</v>
      </c>
      <c r="G25" s="1604">
        <v>1.032</v>
      </c>
      <c r="H25" s="1604">
        <v>1.032</v>
      </c>
      <c r="I25" s="1604">
        <v>0.9304</v>
      </c>
      <c r="J25" s="1604">
        <v>0.9304</v>
      </c>
      <c r="K25" s="1604">
        <v>0.9304</v>
      </c>
      <c r="L25" s="1604">
        <v>0.9304</v>
      </c>
      <c r="M25" s="1604">
        <v>0.9304</v>
      </c>
    </row>
    <row r="26" spans="1:14">
      <c r="A26" s="1618">
        <v>2.4</v>
      </c>
      <c r="B26" s="1604">
        <v>1.1121000000000001</v>
      </c>
      <c r="C26" s="1604">
        <v>1.1121000000000001</v>
      </c>
      <c r="D26" s="1604">
        <v>1.0155000000000001</v>
      </c>
      <c r="E26" s="1604">
        <v>1.0155000000000001</v>
      </c>
      <c r="F26" s="1604">
        <v>1.0155000000000001</v>
      </c>
      <c r="G26" s="1604">
        <v>1.0155000000000001</v>
      </c>
      <c r="H26" s="1604">
        <v>1.0155000000000001</v>
      </c>
      <c r="I26" s="1604">
        <v>0.91</v>
      </c>
      <c r="J26" s="1604">
        <v>0.91</v>
      </c>
      <c r="K26" s="1604">
        <v>0.91</v>
      </c>
      <c r="L26" s="1604">
        <v>0.91</v>
      </c>
      <c r="M26" s="1604">
        <v>0.91</v>
      </c>
    </row>
    <row r="27" spans="1:14">
      <c r="A27" s="1618">
        <v>2.5</v>
      </c>
      <c r="B27" s="1604">
        <v>1.0975999999999999</v>
      </c>
      <c r="C27" s="1604">
        <v>1.0975999999999999</v>
      </c>
      <c r="D27" s="1604">
        <v>1</v>
      </c>
      <c r="E27" s="1604">
        <v>1</v>
      </c>
      <c r="F27" s="1604">
        <v>1</v>
      </c>
      <c r="G27" s="1604">
        <v>1</v>
      </c>
      <c r="H27" s="1604">
        <v>1</v>
      </c>
      <c r="I27" s="1604">
        <v>0.89080000000000004</v>
      </c>
      <c r="J27" s="1604">
        <v>0.89080000000000004</v>
      </c>
      <c r="K27" s="1604">
        <v>0.89080000000000004</v>
      </c>
      <c r="L27" s="1604">
        <v>0.89080000000000004</v>
      </c>
      <c r="M27" s="1604">
        <v>0.89080000000000004</v>
      </c>
    </row>
    <row r="28" spans="1:14">
      <c r="A28" s="1618">
        <v>2.6</v>
      </c>
      <c r="B28" s="1604">
        <v>1.0841000000000001</v>
      </c>
      <c r="C28" s="1604">
        <v>1.0841000000000001</v>
      </c>
      <c r="D28" s="1604">
        <v>0.98619999999999997</v>
      </c>
      <c r="E28" s="1604">
        <v>0.98619999999999997</v>
      </c>
      <c r="F28" s="1604">
        <v>0.98619999999999997</v>
      </c>
      <c r="G28" s="1604">
        <v>0.98619999999999997</v>
      </c>
      <c r="H28" s="1604">
        <v>0.98619999999999997</v>
      </c>
      <c r="I28" s="1604">
        <v>0.873</v>
      </c>
      <c r="J28" s="1604">
        <v>0.873</v>
      </c>
      <c r="K28" s="1604">
        <v>0.873</v>
      </c>
      <c r="L28" s="1604">
        <v>0.873</v>
      </c>
      <c r="M28" s="1604">
        <v>0.873</v>
      </c>
    </row>
    <row r="29" spans="1:14">
      <c r="A29" s="1618">
        <v>2.7</v>
      </c>
      <c r="B29" s="1604">
        <v>1.0716000000000001</v>
      </c>
      <c r="C29" s="1604">
        <v>1.0716000000000001</v>
      </c>
      <c r="D29" s="1604">
        <v>0.97330000000000005</v>
      </c>
      <c r="E29" s="1604">
        <v>0.97330000000000005</v>
      </c>
      <c r="F29" s="1604">
        <v>0.97330000000000005</v>
      </c>
      <c r="G29" s="1604">
        <v>0.97330000000000005</v>
      </c>
      <c r="H29" s="1604">
        <v>0.97330000000000005</v>
      </c>
      <c r="I29" s="1604">
        <v>0.85670000000000002</v>
      </c>
      <c r="J29" s="1604">
        <v>0.85670000000000002</v>
      </c>
      <c r="K29" s="1604">
        <v>0.85670000000000002</v>
      </c>
      <c r="L29" s="1604">
        <v>0.85670000000000002</v>
      </c>
      <c r="M29" s="1604">
        <v>0.85670000000000002</v>
      </c>
    </row>
    <row r="30" spans="1:14">
      <c r="A30" s="1618">
        <v>2.8</v>
      </c>
      <c r="B30" s="1604">
        <v>1.0602</v>
      </c>
      <c r="C30" s="1604">
        <v>1.0602</v>
      </c>
      <c r="D30" s="1604">
        <v>0.96160000000000001</v>
      </c>
      <c r="E30" s="1604">
        <v>0.96160000000000001</v>
      </c>
      <c r="F30" s="1604">
        <v>0.96160000000000001</v>
      </c>
      <c r="G30" s="1604">
        <v>0.96160000000000001</v>
      </c>
      <c r="H30" s="1604">
        <v>0.96160000000000001</v>
      </c>
      <c r="I30" s="1604">
        <v>0.8417</v>
      </c>
      <c r="J30" s="1604">
        <v>0.8417</v>
      </c>
      <c r="K30" s="1604">
        <v>0.8417</v>
      </c>
      <c r="L30" s="1604">
        <v>0.8417</v>
      </c>
      <c r="M30" s="1604">
        <v>0.8417</v>
      </c>
    </row>
    <row r="31" spans="1:14">
      <c r="A31" s="1618">
        <v>2.9</v>
      </c>
      <c r="B31" s="1604">
        <v>1.0497000000000001</v>
      </c>
      <c r="C31" s="1604">
        <v>1.0497000000000001</v>
      </c>
      <c r="D31" s="1604">
        <v>0.95089999999999997</v>
      </c>
      <c r="E31" s="1604">
        <v>0.95089999999999997</v>
      </c>
      <c r="F31" s="1604">
        <v>0.95089999999999997</v>
      </c>
      <c r="G31" s="1604">
        <v>0.95089999999999997</v>
      </c>
      <c r="H31" s="1604">
        <v>0.95089999999999997</v>
      </c>
      <c r="I31" s="1604">
        <v>0.82809999999999995</v>
      </c>
      <c r="J31" s="1604">
        <v>0.82809999999999995</v>
      </c>
      <c r="K31" s="1604">
        <v>0.82809999999999995</v>
      </c>
      <c r="L31" s="1604">
        <v>0.82809999999999995</v>
      </c>
      <c r="M31" s="1604">
        <v>0.82809999999999995</v>
      </c>
    </row>
    <row r="32" spans="1:14">
      <c r="A32" s="1618">
        <v>3</v>
      </c>
      <c r="B32" s="1604">
        <v>1.0401</v>
      </c>
      <c r="C32" s="1604">
        <v>1.0401</v>
      </c>
      <c r="D32" s="1604">
        <v>0.94089999999999996</v>
      </c>
      <c r="E32" s="1604">
        <v>0.94089999999999996</v>
      </c>
      <c r="F32" s="1604">
        <v>0.94089999999999996</v>
      </c>
      <c r="G32" s="1604">
        <v>0.94089999999999996</v>
      </c>
      <c r="H32" s="1604">
        <v>0.94089999999999996</v>
      </c>
      <c r="I32" s="1604">
        <v>0.81579999999999997</v>
      </c>
      <c r="J32" s="1604">
        <v>0.81579999999999997</v>
      </c>
      <c r="K32" s="1604">
        <v>0.81579999999999997</v>
      </c>
      <c r="L32" s="1604">
        <v>0.81579999999999997</v>
      </c>
      <c r="M32" s="1604">
        <v>0.81579999999999997</v>
      </c>
    </row>
    <row r="33" spans="1:13">
      <c r="A33" s="1618">
        <v>3.1</v>
      </c>
      <c r="B33" s="1604">
        <v>1.0314000000000001</v>
      </c>
      <c r="C33" s="1604">
        <v>1.0314000000000001</v>
      </c>
      <c r="D33" s="1604">
        <v>0.93169999999999997</v>
      </c>
      <c r="E33" s="1604">
        <v>0.93169999999999997</v>
      </c>
      <c r="F33" s="1604">
        <v>0.93169999999999997</v>
      </c>
      <c r="G33" s="1604">
        <v>0.93169999999999997</v>
      </c>
      <c r="H33" s="1604">
        <v>0.93169999999999997</v>
      </c>
      <c r="I33" s="1604">
        <v>0.80410000000000004</v>
      </c>
      <c r="J33" s="1604">
        <v>0.80410000000000004</v>
      </c>
      <c r="K33" s="1604">
        <v>0.80410000000000004</v>
      </c>
      <c r="L33" s="1604">
        <v>0.80410000000000004</v>
      </c>
      <c r="M33" s="1604">
        <v>0.80410000000000004</v>
      </c>
    </row>
    <row r="34" spans="1:13">
      <c r="A34" s="1618">
        <v>3.2</v>
      </c>
      <c r="B34" s="1604">
        <v>1.0229999999999999</v>
      </c>
      <c r="C34" s="1604">
        <v>1.0229999999999999</v>
      </c>
      <c r="D34" s="1604">
        <v>0.92279999999999995</v>
      </c>
      <c r="E34" s="1604">
        <v>0.92279999999999995</v>
      </c>
      <c r="F34" s="1604">
        <v>0.92279999999999995</v>
      </c>
      <c r="G34" s="1604">
        <v>0.92279999999999995</v>
      </c>
      <c r="H34" s="1604">
        <v>0.92279999999999995</v>
      </c>
      <c r="I34" s="1604">
        <v>0.79300000000000004</v>
      </c>
      <c r="J34" s="1604">
        <v>0.79300000000000004</v>
      </c>
      <c r="K34" s="1604">
        <v>0.79300000000000004</v>
      </c>
      <c r="L34" s="1604">
        <v>0.79300000000000004</v>
      </c>
      <c r="M34" s="1604">
        <v>0.79300000000000004</v>
      </c>
    </row>
    <row r="35" spans="1:13">
      <c r="A35" s="1618">
        <v>3.3</v>
      </c>
      <c r="B35" s="1604">
        <v>1.0149999999999999</v>
      </c>
      <c r="C35" s="1604">
        <v>1.0149999999999999</v>
      </c>
      <c r="D35" s="1604">
        <v>0.91439999999999999</v>
      </c>
      <c r="E35" s="1604">
        <v>0.91439999999999999</v>
      </c>
      <c r="F35" s="1604">
        <v>0.91439999999999999</v>
      </c>
      <c r="G35" s="1604">
        <v>0.91439999999999999</v>
      </c>
      <c r="H35" s="1604">
        <v>0.91439999999999999</v>
      </c>
      <c r="I35" s="1604">
        <v>0.78220000000000001</v>
      </c>
      <c r="J35" s="1604">
        <v>0.78220000000000001</v>
      </c>
      <c r="K35" s="1604">
        <v>0.78220000000000001</v>
      </c>
      <c r="L35" s="1604">
        <v>0.78220000000000001</v>
      </c>
      <c r="M35" s="1604">
        <v>0.78220000000000001</v>
      </c>
    </row>
    <row r="36" spans="1:13">
      <c r="A36" s="1618">
        <v>3.4</v>
      </c>
      <c r="B36" s="1604">
        <v>1.0073000000000001</v>
      </c>
      <c r="C36" s="1604">
        <v>1.0073000000000001</v>
      </c>
      <c r="D36" s="1604">
        <v>0.90629999999999999</v>
      </c>
      <c r="E36" s="1604">
        <v>0.90629999999999999</v>
      </c>
      <c r="F36" s="1604">
        <v>0.90629999999999999</v>
      </c>
      <c r="G36" s="1604">
        <v>0.90629999999999999</v>
      </c>
      <c r="H36" s="1604">
        <v>0.90629999999999999</v>
      </c>
      <c r="I36" s="1604">
        <v>0.77210000000000001</v>
      </c>
      <c r="J36" s="1604">
        <v>0.77210000000000001</v>
      </c>
      <c r="K36" s="1604">
        <v>0.77210000000000001</v>
      </c>
      <c r="L36" s="1604">
        <v>0.77210000000000001</v>
      </c>
      <c r="M36" s="1604">
        <v>0.77210000000000001</v>
      </c>
    </row>
    <row r="37" spans="1:13">
      <c r="A37" s="1618">
        <v>3.5</v>
      </c>
      <c r="B37" s="1604">
        <v>1</v>
      </c>
      <c r="C37" s="1604">
        <v>1</v>
      </c>
      <c r="D37" s="1604">
        <v>0.89870000000000005</v>
      </c>
      <c r="E37" s="1604">
        <v>0.89870000000000005</v>
      </c>
      <c r="F37" s="1604">
        <v>0.89870000000000005</v>
      </c>
      <c r="G37" s="1604">
        <v>0.89870000000000005</v>
      </c>
      <c r="H37" s="1604">
        <v>0.89870000000000005</v>
      </c>
      <c r="I37" s="1604">
        <v>0.76239999999999997</v>
      </c>
      <c r="J37" s="1604">
        <v>0.76239999999999997</v>
      </c>
      <c r="K37" s="1604">
        <v>0.76239999999999997</v>
      </c>
      <c r="L37" s="1604">
        <v>0.76239999999999997</v>
      </c>
      <c r="M37" s="1604">
        <v>0.76239999999999997</v>
      </c>
    </row>
    <row r="38" spans="1:13">
      <c r="A38" s="1618">
        <v>3.6</v>
      </c>
      <c r="B38" s="1604">
        <v>0.99329999999999996</v>
      </c>
      <c r="C38" s="1604">
        <v>0.99329999999999996</v>
      </c>
      <c r="D38" s="1604">
        <v>0.89139999999999997</v>
      </c>
      <c r="E38" s="1604">
        <v>0.89139999999999997</v>
      </c>
      <c r="F38" s="1604">
        <v>0.89139999999999997</v>
      </c>
      <c r="G38" s="1604">
        <v>0.89139999999999997</v>
      </c>
      <c r="H38" s="1604">
        <v>0.89139999999999997</v>
      </c>
      <c r="I38" s="1604">
        <v>0.75319999999999998</v>
      </c>
      <c r="J38" s="1604">
        <v>0.75319999999999998</v>
      </c>
      <c r="K38" s="1604">
        <v>0.75319999999999998</v>
      </c>
      <c r="L38" s="1604">
        <v>0.75319999999999998</v>
      </c>
      <c r="M38" s="1604">
        <v>0.75319999999999998</v>
      </c>
    </row>
    <row r="39" spans="1:13">
      <c r="A39" s="1618">
        <v>3.7</v>
      </c>
      <c r="B39" s="1604">
        <v>0.9869</v>
      </c>
      <c r="C39" s="1604">
        <v>0.9869</v>
      </c>
      <c r="D39" s="1604">
        <v>0.88449999999999995</v>
      </c>
      <c r="E39" s="1604">
        <v>0.88449999999999995</v>
      </c>
      <c r="F39" s="1604">
        <v>0.88449999999999995</v>
      </c>
      <c r="G39" s="1604">
        <v>0.88449999999999995</v>
      </c>
      <c r="H39" s="1604">
        <v>0.88449999999999995</v>
      </c>
      <c r="I39" s="1604">
        <v>0.74460000000000004</v>
      </c>
      <c r="J39" s="1604">
        <v>0.74460000000000004</v>
      </c>
      <c r="K39" s="1604">
        <v>0.74460000000000004</v>
      </c>
      <c r="L39" s="1604">
        <v>0.74460000000000004</v>
      </c>
      <c r="M39" s="1604">
        <v>0.74460000000000004</v>
      </c>
    </row>
    <row r="40" spans="1:13">
      <c r="A40" s="1618">
        <v>3.8</v>
      </c>
      <c r="B40" s="1604">
        <v>0.98080000000000001</v>
      </c>
      <c r="C40" s="1604">
        <v>0.98080000000000001</v>
      </c>
      <c r="D40" s="1604">
        <v>0.87809999999999999</v>
      </c>
      <c r="E40" s="1604">
        <v>0.87809999999999999</v>
      </c>
      <c r="F40" s="1604">
        <v>0.87809999999999999</v>
      </c>
      <c r="G40" s="1604">
        <v>0.87809999999999999</v>
      </c>
      <c r="H40" s="1604">
        <v>0.87809999999999999</v>
      </c>
      <c r="I40" s="1604">
        <v>0.73640000000000005</v>
      </c>
      <c r="J40" s="1604">
        <v>0.73640000000000005</v>
      </c>
      <c r="K40" s="1604">
        <v>0.73640000000000005</v>
      </c>
      <c r="L40" s="1604">
        <v>0.73640000000000005</v>
      </c>
      <c r="M40" s="1604">
        <v>0.73640000000000005</v>
      </c>
    </row>
    <row r="41" spans="1:13">
      <c r="A41" s="1618">
        <v>3.9</v>
      </c>
      <c r="B41" s="1604">
        <v>0.97509999999999997</v>
      </c>
      <c r="C41" s="1604">
        <v>0.97509999999999997</v>
      </c>
      <c r="D41" s="1604">
        <v>0.87209999999999999</v>
      </c>
      <c r="E41" s="1604">
        <v>0.87209999999999999</v>
      </c>
      <c r="F41" s="1604">
        <v>0.87209999999999999</v>
      </c>
      <c r="G41" s="1604">
        <v>0.87209999999999999</v>
      </c>
      <c r="H41" s="1604">
        <v>0.87209999999999999</v>
      </c>
      <c r="I41" s="1604">
        <v>0.7288</v>
      </c>
      <c r="J41" s="1604">
        <v>0.7288</v>
      </c>
      <c r="K41" s="1604">
        <v>0.7288</v>
      </c>
      <c r="L41" s="1604">
        <v>0.7288</v>
      </c>
      <c r="M41" s="1604">
        <v>0.7288</v>
      </c>
    </row>
    <row r="42" spans="1:13">
      <c r="A42" s="1618">
        <v>4</v>
      </c>
      <c r="B42" s="1604">
        <v>0.96989999999999998</v>
      </c>
      <c r="C42" s="1604">
        <v>0.96989999999999998</v>
      </c>
      <c r="D42" s="1604">
        <v>0.86650000000000005</v>
      </c>
      <c r="E42" s="1604">
        <v>0.86650000000000005</v>
      </c>
      <c r="F42" s="1604">
        <v>0.86650000000000005</v>
      </c>
      <c r="G42" s="1604">
        <v>0.86650000000000005</v>
      </c>
      <c r="H42" s="1604">
        <v>0.86650000000000005</v>
      </c>
      <c r="I42" s="1604">
        <v>0.7218</v>
      </c>
      <c r="J42" s="1604">
        <v>0.7218</v>
      </c>
      <c r="K42" s="1604">
        <v>0.7218</v>
      </c>
      <c r="L42" s="1604">
        <v>0.7218</v>
      </c>
      <c r="M42" s="1604">
        <v>0.7218</v>
      </c>
    </row>
    <row r="43" spans="1:13">
      <c r="A43" s="1618">
        <v>4.0999999999999996</v>
      </c>
      <c r="B43" s="1604">
        <v>0.96479999999999999</v>
      </c>
      <c r="C43" s="1604">
        <v>0.96479999999999999</v>
      </c>
      <c r="D43" s="1604">
        <v>0.86109999999999998</v>
      </c>
      <c r="E43" s="1604">
        <v>0.86109999999999998</v>
      </c>
      <c r="F43" s="1604">
        <v>0.86109999999999998</v>
      </c>
      <c r="G43" s="1604">
        <v>0.86109999999999998</v>
      </c>
      <c r="H43" s="1604">
        <v>0.86109999999999998</v>
      </c>
      <c r="I43" s="1604">
        <v>0.71499999999999997</v>
      </c>
      <c r="J43" s="1604">
        <v>0.71499999999999997</v>
      </c>
      <c r="K43" s="1604">
        <v>0.71499999999999997</v>
      </c>
      <c r="L43" s="1604">
        <v>0.71499999999999997</v>
      </c>
      <c r="M43" s="1604">
        <v>0.71499999999999997</v>
      </c>
    </row>
    <row r="44" spans="1:13">
      <c r="A44" s="1618">
        <v>4.2</v>
      </c>
      <c r="B44" s="1604">
        <v>0.96</v>
      </c>
      <c r="C44" s="1604">
        <v>0.96</v>
      </c>
      <c r="D44" s="1604">
        <v>0.85599999999999998</v>
      </c>
      <c r="E44" s="1604">
        <v>0.85599999999999998</v>
      </c>
      <c r="F44" s="1604">
        <v>0.85599999999999998</v>
      </c>
      <c r="G44" s="1604">
        <v>0.85599999999999998</v>
      </c>
      <c r="H44" s="1604">
        <v>0.85599999999999998</v>
      </c>
      <c r="I44" s="1604">
        <v>0.70840000000000003</v>
      </c>
      <c r="J44" s="1604">
        <v>0.70840000000000003</v>
      </c>
      <c r="K44" s="1604">
        <v>0.70840000000000003</v>
      </c>
      <c r="L44" s="1604">
        <v>0.70840000000000003</v>
      </c>
      <c r="M44" s="1604">
        <v>0.70840000000000003</v>
      </c>
    </row>
    <row r="45" spans="1:13">
      <c r="A45" s="1618">
        <v>4.3</v>
      </c>
      <c r="B45" s="1604">
        <v>0.95530000000000004</v>
      </c>
      <c r="C45" s="1604">
        <v>0.95530000000000004</v>
      </c>
      <c r="D45" s="1604">
        <v>0.85099999999999998</v>
      </c>
      <c r="E45" s="1604">
        <v>0.85099999999999998</v>
      </c>
      <c r="F45" s="1604">
        <v>0.85099999999999998</v>
      </c>
      <c r="G45" s="1604">
        <v>0.85099999999999998</v>
      </c>
      <c r="H45" s="1604">
        <v>0.85099999999999998</v>
      </c>
      <c r="I45" s="1604">
        <v>0.70199999999999996</v>
      </c>
      <c r="J45" s="1604">
        <v>0.70199999999999996</v>
      </c>
      <c r="K45" s="1604">
        <v>0.70199999999999996</v>
      </c>
      <c r="L45" s="1604">
        <v>0.70199999999999996</v>
      </c>
      <c r="M45" s="1604">
        <v>0.70199999999999996</v>
      </c>
    </row>
    <row r="46" spans="1:13">
      <c r="A46" s="1618">
        <v>4.4000000000000004</v>
      </c>
      <c r="B46" s="1604">
        <v>0.95079999999999998</v>
      </c>
      <c r="C46" s="1604">
        <v>0.95079999999999998</v>
      </c>
      <c r="D46" s="1604">
        <v>0.84619999999999995</v>
      </c>
      <c r="E46" s="1604">
        <v>0.84619999999999995</v>
      </c>
      <c r="F46" s="1604">
        <v>0.84619999999999995</v>
      </c>
      <c r="G46" s="1604">
        <v>0.84619999999999995</v>
      </c>
      <c r="H46" s="1604">
        <v>0.84619999999999995</v>
      </c>
      <c r="I46" s="1604">
        <v>0.69579999999999997</v>
      </c>
      <c r="J46" s="1604">
        <v>0.69579999999999997</v>
      </c>
      <c r="K46" s="1604">
        <v>0.69579999999999997</v>
      </c>
      <c r="L46" s="1604">
        <v>0.69579999999999997</v>
      </c>
      <c r="M46" s="1604">
        <v>0.69579999999999997</v>
      </c>
    </row>
    <row r="47" spans="1:13">
      <c r="A47" s="1618">
        <v>4.5</v>
      </c>
      <c r="B47" s="1604">
        <v>0.94640000000000002</v>
      </c>
      <c r="C47" s="1604">
        <v>0.94640000000000002</v>
      </c>
      <c r="D47" s="1604">
        <v>0.84150000000000003</v>
      </c>
      <c r="E47" s="1604">
        <v>0.84150000000000003</v>
      </c>
      <c r="F47" s="1604">
        <v>0.84150000000000003</v>
      </c>
      <c r="G47" s="1604">
        <v>0.84150000000000003</v>
      </c>
      <c r="H47" s="1604">
        <v>0.84150000000000003</v>
      </c>
      <c r="I47" s="1604">
        <v>0.68989999999999996</v>
      </c>
      <c r="J47" s="1604">
        <v>0.68989999999999996</v>
      </c>
      <c r="K47" s="1604">
        <v>0.68989999999999996</v>
      </c>
      <c r="L47" s="1604">
        <v>0.68989999999999996</v>
      </c>
      <c r="M47" s="1604">
        <v>0.68989999999999996</v>
      </c>
    </row>
    <row r="48" spans="1:13">
      <c r="A48" s="1618">
        <v>4.5999999999999996</v>
      </c>
      <c r="B48" s="1604">
        <v>0.94230000000000003</v>
      </c>
      <c r="C48" s="1604">
        <v>0.94230000000000003</v>
      </c>
      <c r="D48" s="1604">
        <v>0.83709999999999996</v>
      </c>
      <c r="E48" s="1604">
        <v>0.83709999999999996</v>
      </c>
      <c r="F48" s="1604">
        <v>0.83709999999999996</v>
      </c>
      <c r="G48" s="1604">
        <v>0.83709999999999996</v>
      </c>
      <c r="H48" s="1604">
        <v>0.83709999999999996</v>
      </c>
      <c r="I48" s="1604">
        <v>0.68430000000000002</v>
      </c>
      <c r="J48" s="1604">
        <v>0.68430000000000002</v>
      </c>
      <c r="K48" s="1604">
        <v>0.68430000000000002</v>
      </c>
      <c r="L48" s="1604">
        <v>0.68430000000000002</v>
      </c>
      <c r="M48" s="1604">
        <v>0.68430000000000002</v>
      </c>
    </row>
    <row r="49" spans="1:13">
      <c r="A49" s="1618">
        <v>4.7</v>
      </c>
      <c r="B49" s="1604">
        <v>0.93830000000000002</v>
      </c>
      <c r="C49" s="1604">
        <v>0.93830000000000002</v>
      </c>
      <c r="D49" s="1604">
        <v>0.83279999999999998</v>
      </c>
      <c r="E49" s="1604">
        <v>0.83279999999999998</v>
      </c>
      <c r="F49" s="1604">
        <v>0.83279999999999998</v>
      </c>
      <c r="G49" s="1604">
        <v>0.83279999999999998</v>
      </c>
      <c r="H49" s="1604">
        <v>0.83279999999999998</v>
      </c>
      <c r="I49" s="1604">
        <v>0.67879999999999996</v>
      </c>
      <c r="J49" s="1604">
        <v>0.67879999999999996</v>
      </c>
      <c r="K49" s="1604">
        <v>0.67879999999999996</v>
      </c>
      <c r="L49" s="1604">
        <v>0.67879999999999996</v>
      </c>
      <c r="M49" s="1604">
        <v>0.67879999999999996</v>
      </c>
    </row>
    <row r="50" spans="1:13">
      <c r="A50" s="1618">
        <v>4.8</v>
      </c>
      <c r="B50" s="1604">
        <v>0.9345</v>
      </c>
      <c r="C50" s="1604">
        <v>0.9345</v>
      </c>
      <c r="D50" s="1604">
        <v>0.82869999999999999</v>
      </c>
      <c r="E50" s="1604">
        <v>0.82869999999999999</v>
      </c>
      <c r="F50" s="1604">
        <v>0.82869999999999999</v>
      </c>
      <c r="G50" s="1604">
        <v>0.82869999999999999</v>
      </c>
      <c r="H50" s="1604">
        <v>0.82869999999999999</v>
      </c>
      <c r="I50" s="1604">
        <v>0.67359999999999998</v>
      </c>
      <c r="J50" s="1604">
        <v>0.67359999999999998</v>
      </c>
      <c r="K50" s="1604">
        <v>0.67359999999999998</v>
      </c>
      <c r="L50" s="1604">
        <v>0.67359999999999998</v>
      </c>
      <c r="M50" s="1604">
        <v>0.67359999999999998</v>
      </c>
    </row>
    <row r="51" spans="1:13">
      <c r="A51" s="1618">
        <v>4.9000000000000004</v>
      </c>
      <c r="B51" s="1604">
        <v>0.93079999999999996</v>
      </c>
      <c r="C51" s="1604">
        <v>0.93079999999999996</v>
      </c>
      <c r="D51" s="1604">
        <v>0.82479999999999998</v>
      </c>
      <c r="E51" s="1604">
        <v>0.82479999999999998</v>
      </c>
      <c r="F51" s="1604">
        <v>0.82479999999999998</v>
      </c>
      <c r="G51" s="1604">
        <v>0.82479999999999998</v>
      </c>
      <c r="H51" s="1604">
        <v>0.82479999999999998</v>
      </c>
      <c r="I51" s="1604">
        <v>0.66849999999999998</v>
      </c>
      <c r="J51" s="1604">
        <v>0.66849999999999998</v>
      </c>
      <c r="K51" s="1604">
        <v>0.66849999999999998</v>
      </c>
      <c r="L51" s="1604">
        <v>0.66849999999999998</v>
      </c>
      <c r="M51" s="1604">
        <v>0.66849999999999998</v>
      </c>
    </row>
    <row r="52" spans="1:13">
      <c r="A52" s="1618">
        <v>5</v>
      </c>
      <c r="B52" s="1604">
        <v>0.9274</v>
      </c>
      <c r="C52" s="1604">
        <v>0.9274</v>
      </c>
      <c r="D52" s="1604">
        <v>0.82110000000000005</v>
      </c>
      <c r="E52" s="1604">
        <v>0.82110000000000005</v>
      </c>
      <c r="F52" s="1604">
        <v>0.82110000000000005</v>
      </c>
      <c r="G52" s="1604">
        <v>0.82110000000000005</v>
      </c>
      <c r="H52" s="1604">
        <v>0.82110000000000005</v>
      </c>
      <c r="I52" s="1604">
        <v>0.66369999999999996</v>
      </c>
      <c r="J52" s="1604">
        <v>0.66369999999999996</v>
      </c>
      <c r="K52" s="1604">
        <v>0.66369999999999996</v>
      </c>
      <c r="L52" s="1604">
        <v>0.66369999999999996</v>
      </c>
      <c r="M52" s="1604">
        <v>0.66369999999999996</v>
      </c>
    </row>
    <row r="53" spans="1:13">
      <c r="A53" s="1595">
        <v>5.0999999999999996</v>
      </c>
      <c r="B53" s="1604">
        <v>0.92410000000000003</v>
      </c>
      <c r="C53" s="1604">
        <v>0.92410000000000003</v>
      </c>
      <c r="D53" s="1604">
        <v>0.8175</v>
      </c>
      <c r="E53" s="1604">
        <v>0.8175</v>
      </c>
      <c r="F53" s="1604">
        <v>0.8175</v>
      </c>
      <c r="G53" s="1604">
        <v>0.8175</v>
      </c>
      <c r="H53" s="1604">
        <v>0.8175</v>
      </c>
      <c r="I53" s="1604">
        <v>0.65900000000000003</v>
      </c>
      <c r="J53" s="1604">
        <v>0.65900000000000003</v>
      </c>
      <c r="K53" s="1604">
        <v>0.65900000000000003</v>
      </c>
      <c r="L53" s="1604">
        <v>0.65900000000000003</v>
      </c>
      <c r="M53" s="1604">
        <v>0.65900000000000003</v>
      </c>
    </row>
    <row r="54" spans="1:13">
      <c r="A54" s="1595">
        <v>5.2</v>
      </c>
      <c r="B54" s="1604">
        <v>0.92090000000000005</v>
      </c>
      <c r="C54" s="1604">
        <v>0.92090000000000005</v>
      </c>
      <c r="D54" s="1604">
        <v>0.81399999999999995</v>
      </c>
      <c r="E54" s="1604">
        <v>0.81399999999999995</v>
      </c>
      <c r="F54" s="1604">
        <v>0.81399999999999995</v>
      </c>
      <c r="G54" s="1604">
        <v>0.81399999999999995</v>
      </c>
      <c r="H54" s="1604">
        <v>0.81399999999999995</v>
      </c>
      <c r="I54" s="1604">
        <v>0.65449999999999997</v>
      </c>
      <c r="J54" s="1604">
        <v>0.65449999999999997</v>
      </c>
      <c r="K54" s="1604">
        <v>0.65449999999999997</v>
      </c>
      <c r="L54" s="1604">
        <v>0.65449999999999997</v>
      </c>
      <c r="M54" s="1604">
        <v>0.65449999999999997</v>
      </c>
    </row>
    <row r="55" spans="1:13">
      <c r="A55" s="1595">
        <v>5.3</v>
      </c>
      <c r="B55" s="1604">
        <v>0.91790000000000005</v>
      </c>
      <c r="C55" s="1604">
        <v>0.91790000000000005</v>
      </c>
      <c r="D55" s="1604">
        <v>0.81059999999999999</v>
      </c>
      <c r="E55" s="1604">
        <v>0.81059999999999999</v>
      </c>
      <c r="F55" s="1604">
        <v>0.81059999999999999</v>
      </c>
      <c r="G55" s="1604">
        <v>0.81059999999999999</v>
      </c>
      <c r="H55" s="1604">
        <v>0.81059999999999999</v>
      </c>
      <c r="I55" s="1604">
        <v>0.6502</v>
      </c>
      <c r="J55" s="1604">
        <v>0.6502</v>
      </c>
      <c r="K55" s="1604">
        <v>0.6502</v>
      </c>
      <c r="L55" s="1604">
        <v>0.6502</v>
      </c>
      <c r="M55" s="1604">
        <v>0.6502</v>
      </c>
    </row>
    <row r="56" spans="1:13">
      <c r="A56" s="1595">
        <v>5.4</v>
      </c>
      <c r="B56" s="1604">
        <v>0.91490000000000005</v>
      </c>
      <c r="C56" s="1604">
        <v>0.91490000000000005</v>
      </c>
      <c r="D56" s="1604">
        <v>0.80740000000000001</v>
      </c>
      <c r="E56" s="1604">
        <v>0.80740000000000001</v>
      </c>
      <c r="F56" s="1604">
        <v>0.80740000000000001</v>
      </c>
      <c r="G56" s="1604">
        <v>0.80740000000000001</v>
      </c>
      <c r="H56" s="1604">
        <v>0.80740000000000001</v>
      </c>
      <c r="I56" s="1604">
        <v>0.64590000000000003</v>
      </c>
      <c r="J56" s="1604">
        <v>0.64590000000000003</v>
      </c>
      <c r="K56" s="1604">
        <v>0.64590000000000003</v>
      </c>
      <c r="L56" s="1604">
        <v>0.64590000000000003</v>
      </c>
      <c r="M56" s="1604">
        <v>0.64590000000000003</v>
      </c>
    </row>
    <row r="57" spans="1:13">
      <c r="A57" s="1595">
        <v>5.5</v>
      </c>
      <c r="B57" s="1604">
        <v>0.91200000000000003</v>
      </c>
      <c r="C57" s="1604">
        <v>0.91200000000000003</v>
      </c>
      <c r="D57" s="1604">
        <v>0.80420000000000003</v>
      </c>
      <c r="E57" s="1604">
        <v>0.80420000000000003</v>
      </c>
      <c r="F57" s="1604">
        <v>0.80420000000000003</v>
      </c>
      <c r="G57" s="1604">
        <v>0.80420000000000003</v>
      </c>
      <c r="H57" s="1604">
        <v>0.80420000000000003</v>
      </c>
      <c r="I57" s="1604">
        <v>0.64180000000000004</v>
      </c>
      <c r="J57" s="1604">
        <v>0.64180000000000004</v>
      </c>
      <c r="K57" s="1604">
        <v>0.64180000000000004</v>
      </c>
      <c r="L57" s="1604">
        <v>0.64180000000000004</v>
      </c>
      <c r="M57" s="1604">
        <v>0.64180000000000004</v>
      </c>
    </row>
    <row r="58" spans="1:13">
      <c r="A58" s="1595">
        <v>5.6</v>
      </c>
      <c r="B58" s="1604">
        <v>0.90910000000000002</v>
      </c>
      <c r="C58" s="1604">
        <v>0.90910000000000002</v>
      </c>
      <c r="D58" s="1604">
        <v>0.80120000000000002</v>
      </c>
      <c r="E58" s="1604">
        <v>0.80120000000000002</v>
      </c>
      <c r="F58" s="1604">
        <v>0.80120000000000002</v>
      </c>
      <c r="G58" s="1604">
        <v>0.80120000000000002</v>
      </c>
      <c r="H58" s="1604">
        <v>0.80120000000000002</v>
      </c>
      <c r="I58" s="1604">
        <v>0.63790000000000002</v>
      </c>
      <c r="J58" s="1604">
        <v>0.63790000000000002</v>
      </c>
      <c r="K58" s="1604">
        <v>0.63790000000000002</v>
      </c>
      <c r="L58" s="1604">
        <v>0.63790000000000002</v>
      </c>
      <c r="M58" s="1604">
        <v>0.63790000000000002</v>
      </c>
    </row>
    <row r="59" spans="1:13">
      <c r="A59" s="1618">
        <v>5.7</v>
      </c>
      <c r="B59" s="1604">
        <v>0.90639999999999998</v>
      </c>
      <c r="C59" s="1604">
        <v>0.90639999999999998</v>
      </c>
      <c r="D59" s="1604">
        <v>0.79820000000000002</v>
      </c>
      <c r="E59" s="1604">
        <v>0.79820000000000002</v>
      </c>
      <c r="F59" s="1604">
        <v>0.79820000000000002</v>
      </c>
      <c r="G59" s="1604">
        <v>0.79820000000000002</v>
      </c>
      <c r="H59" s="1604">
        <v>0.79820000000000002</v>
      </c>
      <c r="I59" s="1604">
        <v>0.6341</v>
      </c>
      <c r="J59" s="1604">
        <v>0.6341</v>
      </c>
      <c r="K59" s="1604">
        <v>0.6341</v>
      </c>
      <c r="L59" s="1604">
        <v>0.6341</v>
      </c>
      <c r="M59" s="1604">
        <v>0.6341</v>
      </c>
    </row>
    <row r="60" spans="1:13">
      <c r="A60" s="1595">
        <v>5.8</v>
      </c>
      <c r="B60" s="1604">
        <v>0.90380000000000005</v>
      </c>
      <c r="C60" s="1604">
        <v>0.90380000000000005</v>
      </c>
      <c r="D60" s="1604">
        <v>0.7954</v>
      </c>
      <c r="E60" s="1604">
        <v>0.7954</v>
      </c>
      <c r="F60" s="1604">
        <v>0.7954</v>
      </c>
      <c r="G60" s="1604">
        <v>0.7954</v>
      </c>
      <c r="H60" s="1604">
        <v>0.7954</v>
      </c>
      <c r="I60" s="1604">
        <v>0.63039999999999996</v>
      </c>
      <c r="J60" s="1604">
        <v>0.63039999999999996</v>
      </c>
      <c r="K60" s="1604">
        <v>0.63039999999999996</v>
      </c>
      <c r="L60" s="1604">
        <v>0.63039999999999996</v>
      </c>
      <c r="M60" s="1604">
        <v>0.63039999999999996</v>
      </c>
    </row>
    <row r="61" spans="1:13">
      <c r="A61" s="1595">
        <v>5.9</v>
      </c>
      <c r="B61" s="1604">
        <v>0.90129999999999999</v>
      </c>
      <c r="C61" s="1604">
        <v>0.90129999999999999</v>
      </c>
      <c r="D61" s="1604">
        <v>0.79269999999999996</v>
      </c>
      <c r="E61" s="1604">
        <v>0.79269999999999996</v>
      </c>
      <c r="F61" s="1604">
        <v>0.79269999999999996</v>
      </c>
      <c r="G61" s="1604">
        <v>0.79269999999999996</v>
      </c>
      <c r="H61" s="1604">
        <v>0.79269999999999996</v>
      </c>
      <c r="I61" s="1604">
        <v>0.62690000000000001</v>
      </c>
      <c r="J61" s="1604">
        <v>0.62690000000000001</v>
      </c>
      <c r="K61" s="1604">
        <v>0.62690000000000001</v>
      </c>
      <c r="L61" s="1604">
        <v>0.62690000000000001</v>
      </c>
      <c r="M61" s="1604">
        <v>0.62690000000000001</v>
      </c>
    </row>
    <row r="62" spans="1:13">
      <c r="A62" s="1595">
        <v>6</v>
      </c>
      <c r="B62" s="1604">
        <v>0.89890000000000003</v>
      </c>
      <c r="C62" s="1604">
        <v>0.89890000000000003</v>
      </c>
      <c r="D62" s="1604">
        <v>0.79020000000000001</v>
      </c>
      <c r="E62" s="1604">
        <v>0.79020000000000001</v>
      </c>
      <c r="F62" s="1604">
        <v>0.79020000000000001</v>
      </c>
      <c r="G62" s="1604">
        <v>0.79020000000000001</v>
      </c>
      <c r="H62" s="1604">
        <v>0.79020000000000001</v>
      </c>
      <c r="I62" s="1604">
        <v>0.62350000000000005</v>
      </c>
      <c r="J62" s="1604">
        <v>0.62350000000000005</v>
      </c>
      <c r="K62" s="1604">
        <v>0.62350000000000005</v>
      </c>
      <c r="L62" s="1604">
        <v>0.62350000000000005</v>
      </c>
      <c r="M62" s="1604">
        <v>0.62350000000000005</v>
      </c>
    </row>
    <row r="63" spans="1:13">
      <c r="A63" s="1595">
        <v>6.1</v>
      </c>
      <c r="B63" s="1604">
        <v>0.89649999999999996</v>
      </c>
      <c r="C63" s="1604">
        <v>0.89649999999999996</v>
      </c>
      <c r="D63" s="1604">
        <v>0.78769999999999996</v>
      </c>
      <c r="E63" s="1604">
        <v>0.78769999999999996</v>
      </c>
      <c r="F63" s="1604">
        <v>0.78769999999999996</v>
      </c>
      <c r="G63" s="1604">
        <v>0.78769999999999996</v>
      </c>
      <c r="H63" s="1604">
        <v>0.78769999999999996</v>
      </c>
      <c r="I63" s="1604">
        <v>0.62029999999999996</v>
      </c>
      <c r="J63" s="1604">
        <v>0.62029999999999996</v>
      </c>
      <c r="K63" s="1604">
        <v>0.62029999999999996</v>
      </c>
      <c r="L63" s="1604">
        <v>0.62029999999999996</v>
      </c>
      <c r="M63" s="1604">
        <v>0.62029999999999996</v>
      </c>
    </row>
    <row r="64" spans="1:13">
      <c r="A64" s="1595">
        <v>6.2</v>
      </c>
      <c r="B64" s="1604">
        <v>0.89429999999999998</v>
      </c>
      <c r="C64" s="1604">
        <v>0.89429999999999998</v>
      </c>
      <c r="D64" s="1604">
        <v>0.78520000000000001</v>
      </c>
      <c r="E64" s="1604">
        <v>0.78520000000000001</v>
      </c>
      <c r="F64" s="1604">
        <v>0.78520000000000001</v>
      </c>
      <c r="G64" s="1604">
        <v>0.78520000000000001</v>
      </c>
      <c r="H64" s="1604">
        <v>0.78520000000000001</v>
      </c>
      <c r="I64" s="1604">
        <v>0.61719999999999997</v>
      </c>
      <c r="J64" s="1604">
        <v>0.61719999999999997</v>
      </c>
      <c r="K64" s="1604">
        <v>0.61719999999999997</v>
      </c>
      <c r="L64" s="1604">
        <v>0.61719999999999997</v>
      </c>
      <c r="M64" s="1604">
        <v>0.61719999999999997</v>
      </c>
    </row>
    <row r="65" spans="1:13">
      <c r="A65" s="1595">
        <v>6.3</v>
      </c>
      <c r="B65" s="1604">
        <v>0.89200000000000002</v>
      </c>
      <c r="C65" s="1604">
        <v>0.89200000000000002</v>
      </c>
      <c r="D65" s="1604">
        <v>0.78280000000000005</v>
      </c>
      <c r="E65" s="1604">
        <v>0.78280000000000005</v>
      </c>
      <c r="F65" s="1604">
        <v>0.78280000000000005</v>
      </c>
      <c r="G65" s="1604">
        <v>0.78280000000000005</v>
      </c>
      <c r="H65" s="1604">
        <v>0.78280000000000005</v>
      </c>
      <c r="I65" s="1604">
        <v>0.61409999999999998</v>
      </c>
      <c r="J65" s="1604">
        <v>0.61409999999999998</v>
      </c>
      <c r="K65" s="1604">
        <v>0.61409999999999998</v>
      </c>
      <c r="L65" s="1604">
        <v>0.61409999999999998</v>
      </c>
      <c r="M65" s="1604">
        <v>0.61409999999999998</v>
      </c>
    </row>
    <row r="66" spans="1:13">
      <c r="A66" s="1595">
        <v>6.4</v>
      </c>
      <c r="B66" s="1604">
        <v>0.88990000000000002</v>
      </c>
      <c r="C66" s="1604">
        <v>0.88990000000000002</v>
      </c>
      <c r="D66" s="1604">
        <v>0.78039999999999998</v>
      </c>
      <c r="E66" s="1604">
        <v>0.78039999999999998</v>
      </c>
      <c r="F66" s="1604">
        <v>0.78039999999999998</v>
      </c>
      <c r="G66" s="1604">
        <v>0.78039999999999998</v>
      </c>
      <c r="H66" s="1604">
        <v>0.78039999999999998</v>
      </c>
      <c r="I66" s="1604">
        <v>0.61099999999999999</v>
      </c>
      <c r="J66" s="1604">
        <v>0.61099999999999999</v>
      </c>
      <c r="K66" s="1604">
        <v>0.61099999999999999</v>
      </c>
      <c r="L66" s="1604">
        <v>0.61099999999999999</v>
      </c>
      <c r="M66" s="1604">
        <v>0.61099999999999999</v>
      </c>
    </row>
    <row r="67" spans="1:13">
      <c r="A67" s="1595">
        <v>6.5</v>
      </c>
      <c r="B67" s="1604">
        <v>0.88780000000000003</v>
      </c>
      <c r="C67" s="1604">
        <v>0.88780000000000003</v>
      </c>
      <c r="D67" s="1604">
        <v>0.77810000000000001</v>
      </c>
      <c r="E67" s="1604">
        <v>0.77810000000000001</v>
      </c>
      <c r="F67" s="1604">
        <v>0.77810000000000001</v>
      </c>
      <c r="G67" s="1604">
        <v>0.77810000000000001</v>
      </c>
      <c r="H67" s="1604">
        <v>0.77810000000000001</v>
      </c>
      <c r="I67" s="1604">
        <v>0.60799999999999998</v>
      </c>
      <c r="J67" s="1604">
        <v>0.60799999999999998</v>
      </c>
      <c r="K67" s="1604">
        <v>0.60799999999999998</v>
      </c>
      <c r="L67" s="1604">
        <v>0.60799999999999998</v>
      </c>
      <c r="M67" s="1604">
        <v>0.60799999999999998</v>
      </c>
    </row>
    <row r="68" spans="1:13">
      <c r="A68" s="1595">
        <v>6.6</v>
      </c>
      <c r="B68" s="1604">
        <v>0.88580000000000003</v>
      </c>
      <c r="C68" s="1604">
        <v>0.88580000000000003</v>
      </c>
      <c r="D68" s="1604">
        <v>0.77580000000000005</v>
      </c>
      <c r="E68" s="1604">
        <v>0.77580000000000005</v>
      </c>
      <c r="F68" s="1604">
        <v>0.77580000000000005</v>
      </c>
      <c r="G68" s="1604">
        <v>0.77580000000000005</v>
      </c>
      <c r="H68" s="1604">
        <v>0.77580000000000005</v>
      </c>
      <c r="I68" s="1604">
        <v>0.60499999999999998</v>
      </c>
      <c r="J68" s="1604">
        <v>0.60499999999999998</v>
      </c>
      <c r="K68" s="1604">
        <v>0.60499999999999998</v>
      </c>
      <c r="L68" s="1604">
        <v>0.60499999999999998</v>
      </c>
      <c r="M68" s="1604">
        <v>0.60499999999999998</v>
      </c>
    </row>
    <row r="69" spans="1:13">
      <c r="A69" s="1595">
        <v>6.7</v>
      </c>
      <c r="B69" s="1604">
        <v>0.88380000000000003</v>
      </c>
      <c r="C69" s="1604">
        <v>0.88380000000000003</v>
      </c>
      <c r="D69" s="1604">
        <v>0.77359999999999995</v>
      </c>
      <c r="E69" s="1604">
        <v>0.77359999999999995</v>
      </c>
      <c r="F69" s="1604">
        <v>0.77359999999999995</v>
      </c>
      <c r="G69" s="1604">
        <v>0.77359999999999995</v>
      </c>
      <c r="H69" s="1604">
        <v>0.77359999999999995</v>
      </c>
      <c r="I69" s="1604">
        <v>0.60209999999999997</v>
      </c>
      <c r="J69" s="1604">
        <v>0.60209999999999997</v>
      </c>
      <c r="K69" s="1604">
        <v>0.60209999999999997</v>
      </c>
      <c r="L69" s="1604">
        <v>0.60209999999999997</v>
      </c>
      <c r="M69" s="1604">
        <v>0.60209999999999997</v>
      </c>
    </row>
    <row r="70" spans="1:13">
      <c r="A70" s="1595">
        <v>6.8</v>
      </c>
      <c r="B70" s="1604">
        <v>0.88190000000000002</v>
      </c>
      <c r="C70" s="1604">
        <v>0.88190000000000002</v>
      </c>
      <c r="D70" s="1604">
        <v>0.77159999999999995</v>
      </c>
      <c r="E70" s="1604">
        <v>0.77159999999999995</v>
      </c>
      <c r="F70" s="1604">
        <v>0.77159999999999995</v>
      </c>
      <c r="G70" s="1604">
        <v>0.77159999999999995</v>
      </c>
      <c r="H70" s="1604">
        <v>0.77159999999999995</v>
      </c>
      <c r="I70" s="1604">
        <v>0.59930000000000005</v>
      </c>
      <c r="J70" s="1604">
        <v>0.59930000000000005</v>
      </c>
      <c r="K70" s="1604">
        <v>0.59930000000000005</v>
      </c>
      <c r="L70" s="1604">
        <v>0.59930000000000005</v>
      </c>
      <c r="M70" s="1604">
        <v>0.59930000000000005</v>
      </c>
    </row>
    <row r="71" spans="1:13">
      <c r="A71" s="1595">
        <v>6.9</v>
      </c>
      <c r="B71" s="1604">
        <v>0.88</v>
      </c>
      <c r="C71" s="1604">
        <v>0.88</v>
      </c>
      <c r="D71" s="1604">
        <v>0.76949999999999996</v>
      </c>
      <c r="E71" s="1604">
        <v>0.76949999999999996</v>
      </c>
      <c r="F71" s="1604">
        <v>0.76949999999999996</v>
      </c>
      <c r="G71" s="1604">
        <v>0.76949999999999996</v>
      </c>
      <c r="H71" s="1604">
        <v>0.76949999999999996</v>
      </c>
      <c r="I71" s="1604">
        <v>0.59640000000000004</v>
      </c>
      <c r="J71" s="1604">
        <v>0.59640000000000004</v>
      </c>
      <c r="K71" s="1604">
        <v>0.59640000000000004</v>
      </c>
      <c r="L71" s="1604">
        <v>0.59640000000000004</v>
      </c>
      <c r="M71" s="1604">
        <v>0.59640000000000004</v>
      </c>
    </row>
    <row r="72" spans="1:13">
      <c r="A72" s="1595">
        <v>7</v>
      </c>
      <c r="B72" s="1604">
        <v>0.87819999999999998</v>
      </c>
      <c r="C72" s="1604">
        <v>0.87819999999999998</v>
      </c>
      <c r="D72" s="1604">
        <v>0.76749999999999996</v>
      </c>
      <c r="E72" s="1604">
        <v>0.76749999999999996</v>
      </c>
      <c r="F72" s="1604">
        <v>0.76749999999999996</v>
      </c>
      <c r="G72" s="1604">
        <v>0.76749999999999996</v>
      </c>
      <c r="H72" s="1604">
        <v>0.76749999999999996</v>
      </c>
      <c r="I72" s="1604">
        <v>0.59360000000000002</v>
      </c>
      <c r="J72" s="1604">
        <v>0.59360000000000002</v>
      </c>
      <c r="K72" s="1604">
        <v>0.59360000000000002</v>
      </c>
      <c r="L72" s="1604">
        <v>0.59360000000000002</v>
      </c>
      <c r="M72" s="1604">
        <v>0.59360000000000002</v>
      </c>
    </row>
    <row r="73" spans="1:13">
      <c r="A73" s="1595">
        <v>7.1</v>
      </c>
      <c r="B73" s="1604">
        <v>0.87660000000000005</v>
      </c>
      <c r="C73" s="1604">
        <v>0.87660000000000005</v>
      </c>
      <c r="D73" s="1604">
        <v>0.76570000000000005</v>
      </c>
      <c r="E73" s="1604">
        <v>0.76570000000000005</v>
      </c>
      <c r="F73" s="1604">
        <v>0.76570000000000005</v>
      </c>
      <c r="G73" s="1604">
        <v>0.76570000000000005</v>
      </c>
      <c r="H73" s="1604">
        <v>0.76570000000000005</v>
      </c>
      <c r="I73" s="1604">
        <v>0.59109999999999996</v>
      </c>
      <c r="J73" s="1604">
        <v>0.59109999999999996</v>
      </c>
      <c r="K73" s="1604">
        <v>0.59109999999999996</v>
      </c>
      <c r="L73" s="1604">
        <v>0.59109999999999996</v>
      </c>
      <c r="M73" s="1604">
        <v>0.59109999999999996</v>
      </c>
    </row>
    <row r="74" spans="1:13">
      <c r="A74" s="1595">
        <v>7.2</v>
      </c>
      <c r="B74" s="1604">
        <v>0.87490000000000001</v>
      </c>
      <c r="C74" s="1604">
        <v>0.87490000000000001</v>
      </c>
      <c r="D74" s="1604">
        <v>0.76380000000000003</v>
      </c>
      <c r="E74" s="1604">
        <v>0.76380000000000003</v>
      </c>
      <c r="F74" s="1604">
        <v>0.76380000000000003</v>
      </c>
      <c r="G74" s="1604">
        <v>0.76380000000000003</v>
      </c>
      <c r="H74" s="1604">
        <v>0.76380000000000003</v>
      </c>
      <c r="I74" s="1604">
        <v>0.58860000000000001</v>
      </c>
      <c r="J74" s="1604">
        <v>0.58860000000000001</v>
      </c>
      <c r="K74" s="1604">
        <v>0.58860000000000001</v>
      </c>
      <c r="L74" s="1604">
        <v>0.58860000000000001</v>
      </c>
      <c r="M74" s="1604">
        <v>0.58860000000000001</v>
      </c>
    </row>
    <row r="75" spans="1:13">
      <c r="A75" s="1595">
        <v>7.3</v>
      </c>
      <c r="B75" s="1604">
        <v>0.87329999999999997</v>
      </c>
      <c r="C75" s="1604">
        <v>0.87329999999999997</v>
      </c>
      <c r="D75" s="1604">
        <v>0.76200000000000001</v>
      </c>
      <c r="E75" s="1604">
        <v>0.76200000000000001</v>
      </c>
      <c r="F75" s="1604">
        <v>0.76200000000000001</v>
      </c>
      <c r="G75" s="1604">
        <v>0.76200000000000001</v>
      </c>
      <c r="H75" s="1604">
        <v>0.76200000000000001</v>
      </c>
      <c r="I75" s="1604">
        <v>0.58620000000000005</v>
      </c>
      <c r="J75" s="1604">
        <v>0.58620000000000005</v>
      </c>
      <c r="K75" s="1604">
        <v>0.58620000000000005</v>
      </c>
      <c r="L75" s="1604">
        <v>0.58620000000000005</v>
      </c>
      <c r="M75" s="1604">
        <v>0.58620000000000005</v>
      </c>
    </row>
    <row r="76" spans="1:13">
      <c r="A76" s="1595">
        <v>7.4</v>
      </c>
      <c r="B76" s="1604">
        <v>0.87160000000000004</v>
      </c>
      <c r="C76" s="1604">
        <v>0.87160000000000004</v>
      </c>
      <c r="D76" s="1604">
        <v>0.76029999999999998</v>
      </c>
      <c r="E76" s="1604">
        <v>0.76029999999999998</v>
      </c>
      <c r="F76" s="1604">
        <v>0.76029999999999998</v>
      </c>
      <c r="G76" s="1604">
        <v>0.76029999999999998</v>
      </c>
      <c r="H76" s="1604">
        <v>0.76029999999999998</v>
      </c>
      <c r="I76" s="1604">
        <v>0.58379999999999999</v>
      </c>
      <c r="J76" s="1604">
        <v>0.58379999999999999</v>
      </c>
      <c r="K76" s="1604">
        <v>0.58379999999999999</v>
      </c>
      <c r="L76" s="1604">
        <v>0.58379999999999999</v>
      </c>
      <c r="M76" s="1604">
        <v>0.58379999999999999</v>
      </c>
    </row>
    <row r="77" spans="1:13">
      <c r="A77" s="1595">
        <v>7.5</v>
      </c>
      <c r="B77" s="1604">
        <v>0.87</v>
      </c>
      <c r="C77" s="1604">
        <v>0.87</v>
      </c>
      <c r="D77" s="1604">
        <v>0.75849999999999995</v>
      </c>
      <c r="E77" s="1604">
        <v>0.75849999999999995</v>
      </c>
      <c r="F77" s="1604">
        <v>0.75849999999999995</v>
      </c>
      <c r="G77" s="1604">
        <v>0.75849999999999995</v>
      </c>
      <c r="H77" s="1604">
        <v>0.75849999999999995</v>
      </c>
      <c r="I77" s="1604">
        <v>0.58140000000000003</v>
      </c>
      <c r="J77" s="1604">
        <v>0.58140000000000003</v>
      </c>
      <c r="K77" s="1604">
        <v>0.58140000000000003</v>
      </c>
      <c r="L77" s="1604">
        <v>0.58140000000000003</v>
      </c>
      <c r="M77" s="1604">
        <v>0.58140000000000003</v>
      </c>
    </row>
    <row r="78" spans="1:13">
      <c r="A78" s="1595">
        <v>7.6</v>
      </c>
      <c r="B78" s="1604">
        <v>0.86839999999999995</v>
      </c>
      <c r="C78" s="1604">
        <v>0.86839999999999995</v>
      </c>
      <c r="D78" s="1604">
        <v>0.75680000000000003</v>
      </c>
      <c r="E78" s="1604">
        <v>0.75680000000000003</v>
      </c>
      <c r="F78" s="1604">
        <v>0.75680000000000003</v>
      </c>
      <c r="G78" s="1604">
        <v>0.75680000000000003</v>
      </c>
      <c r="H78" s="1604">
        <v>0.75680000000000003</v>
      </c>
      <c r="I78" s="1604">
        <v>0.57899999999999996</v>
      </c>
      <c r="J78" s="1604">
        <v>0.57899999999999996</v>
      </c>
      <c r="K78" s="1604">
        <v>0.57899999999999996</v>
      </c>
      <c r="L78" s="1604">
        <v>0.57899999999999996</v>
      </c>
      <c r="M78" s="1604">
        <v>0.57899999999999996</v>
      </c>
    </row>
    <row r="79" spans="1:13">
      <c r="A79" s="1595">
        <v>7.7</v>
      </c>
      <c r="B79" s="1604">
        <v>0.8669</v>
      </c>
      <c r="C79" s="1604">
        <v>0.8669</v>
      </c>
      <c r="D79" s="1604">
        <v>0.755</v>
      </c>
      <c r="E79" s="1604">
        <v>0.755</v>
      </c>
      <c r="F79" s="1604">
        <v>0.755</v>
      </c>
      <c r="G79" s="1604">
        <v>0.755</v>
      </c>
      <c r="H79" s="1604">
        <v>0.755</v>
      </c>
      <c r="I79" s="1604">
        <v>0.57669999999999999</v>
      </c>
      <c r="J79" s="1604">
        <v>0.57669999999999999</v>
      </c>
      <c r="K79" s="1604">
        <v>0.57669999999999999</v>
      </c>
      <c r="L79" s="1604">
        <v>0.57669999999999999</v>
      </c>
      <c r="M79" s="1604">
        <v>0.57669999999999999</v>
      </c>
    </row>
    <row r="80" spans="1:13">
      <c r="A80" s="1595">
        <v>7.8</v>
      </c>
      <c r="B80" s="1604">
        <v>0.86539999999999995</v>
      </c>
      <c r="C80" s="1604">
        <v>0.86539999999999995</v>
      </c>
      <c r="D80" s="1604">
        <v>0.75329999999999997</v>
      </c>
      <c r="E80" s="1604">
        <v>0.75329999999999997</v>
      </c>
      <c r="F80" s="1604">
        <v>0.75329999999999997</v>
      </c>
      <c r="G80" s="1604">
        <v>0.75329999999999997</v>
      </c>
      <c r="H80" s="1604">
        <v>0.75329999999999997</v>
      </c>
      <c r="I80" s="1604">
        <v>0.57450000000000001</v>
      </c>
      <c r="J80" s="1604">
        <v>0.57450000000000001</v>
      </c>
      <c r="K80" s="1604">
        <v>0.57450000000000001</v>
      </c>
      <c r="L80" s="1604">
        <v>0.57450000000000001</v>
      </c>
      <c r="M80" s="1604">
        <v>0.57450000000000001</v>
      </c>
    </row>
    <row r="81" spans="1:13">
      <c r="A81" s="1595">
        <v>7.9</v>
      </c>
      <c r="B81" s="1604">
        <v>0.86380000000000001</v>
      </c>
      <c r="C81" s="1604">
        <v>0.86380000000000001</v>
      </c>
      <c r="D81" s="1604">
        <v>0.75170000000000003</v>
      </c>
      <c r="E81" s="1604">
        <v>0.75170000000000003</v>
      </c>
      <c r="F81" s="1604">
        <v>0.75170000000000003</v>
      </c>
      <c r="G81" s="1604">
        <v>0.75170000000000003</v>
      </c>
      <c r="H81" s="1604">
        <v>0.75170000000000003</v>
      </c>
      <c r="I81" s="1604">
        <v>0.57220000000000004</v>
      </c>
      <c r="J81" s="1604">
        <v>0.57220000000000004</v>
      </c>
      <c r="K81" s="1604">
        <v>0.57220000000000004</v>
      </c>
      <c r="L81" s="1604">
        <v>0.57220000000000004</v>
      </c>
      <c r="M81" s="1604">
        <v>0.57220000000000004</v>
      </c>
    </row>
    <row r="82" spans="1:13">
      <c r="A82" s="1595">
        <v>8</v>
      </c>
      <c r="B82" s="1604">
        <v>0.86240000000000006</v>
      </c>
      <c r="C82" s="1604">
        <v>0.86240000000000006</v>
      </c>
      <c r="D82" s="1604">
        <v>0.75</v>
      </c>
      <c r="E82" s="1604">
        <v>0.75</v>
      </c>
      <c r="F82" s="1604">
        <v>0.75</v>
      </c>
      <c r="G82" s="1604">
        <v>0.75</v>
      </c>
      <c r="H82" s="1604">
        <v>0.75</v>
      </c>
      <c r="I82" s="1604">
        <v>0.56989999999999996</v>
      </c>
      <c r="J82" s="1604">
        <v>0.56989999999999996</v>
      </c>
      <c r="K82" s="1604">
        <v>0.56989999999999996</v>
      </c>
      <c r="L82" s="1604">
        <v>0.56989999999999996</v>
      </c>
      <c r="M82" s="1604">
        <v>0.56989999999999996</v>
      </c>
    </row>
    <row r="83" spans="1:13">
      <c r="A83" s="1595">
        <v>8.1</v>
      </c>
      <c r="B83" s="1604">
        <v>0.86099999999999999</v>
      </c>
      <c r="C83" s="1604">
        <v>0.86099999999999999</v>
      </c>
      <c r="D83" s="1604">
        <v>0.74850000000000005</v>
      </c>
      <c r="E83" s="1604">
        <v>0.74850000000000005</v>
      </c>
      <c r="F83" s="1604">
        <v>0.74850000000000005</v>
      </c>
      <c r="G83" s="1604">
        <v>0.74850000000000005</v>
      </c>
      <c r="H83" s="1604">
        <v>0.74850000000000005</v>
      </c>
      <c r="I83" s="1604">
        <v>0.56779999999999997</v>
      </c>
      <c r="J83" s="1604">
        <v>0.56779999999999997</v>
      </c>
      <c r="K83" s="1604">
        <v>0.56779999999999997</v>
      </c>
      <c r="L83" s="1604">
        <v>0.56779999999999997</v>
      </c>
      <c r="M83" s="1604">
        <v>0.56779999999999997</v>
      </c>
    </row>
    <row r="84" spans="1:13">
      <c r="A84" s="1595">
        <v>8.1999999999999993</v>
      </c>
      <c r="B84" s="1604">
        <v>0.85970000000000002</v>
      </c>
      <c r="C84" s="1604">
        <v>0.85970000000000002</v>
      </c>
      <c r="D84" s="1604">
        <v>0.747</v>
      </c>
      <c r="E84" s="1604">
        <v>0.747</v>
      </c>
      <c r="F84" s="1604">
        <v>0.747</v>
      </c>
      <c r="G84" s="1604">
        <v>0.747</v>
      </c>
      <c r="H84" s="1604">
        <v>0.747</v>
      </c>
      <c r="I84" s="1604">
        <v>0.56589999999999996</v>
      </c>
      <c r="J84" s="1604">
        <v>0.56589999999999996</v>
      </c>
      <c r="K84" s="1604">
        <v>0.56589999999999996</v>
      </c>
      <c r="L84" s="1604">
        <v>0.56589999999999996</v>
      </c>
      <c r="M84" s="1604">
        <v>0.56589999999999996</v>
      </c>
    </row>
    <row r="85" spans="1:13">
      <c r="A85" s="1595">
        <v>8.3000000000000007</v>
      </c>
      <c r="B85" s="1604">
        <v>0.85840000000000005</v>
      </c>
      <c r="C85" s="1604">
        <v>0.85840000000000005</v>
      </c>
      <c r="D85" s="1604">
        <v>0.74560000000000004</v>
      </c>
      <c r="E85" s="1604">
        <v>0.74560000000000004</v>
      </c>
      <c r="F85" s="1604">
        <v>0.74560000000000004</v>
      </c>
      <c r="G85" s="1604">
        <v>0.74560000000000004</v>
      </c>
      <c r="H85" s="1604">
        <v>0.74560000000000004</v>
      </c>
      <c r="I85" s="1604">
        <v>0.56389999999999996</v>
      </c>
      <c r="J85" s="1604">
        <v>0.56389999999999996</v>
      </c>
      <c r="K85" s="1604">
        <v>0.56389999999999996</v>
      </c>
      <c r="L85" s="1604">
        <v>0.56389999999999996</v>
      </c>
      <c r="M85" s="1604">
        <v>0.56389999999999996</v>
      </c>
    </row>
    <row r="86" spans="1:13">
      <c r="A86" s="1595">
        <v>8.4</v>
      </c>
      <c r="B86" s="1604">
        <v>0.85709999999999997</v>
      </c>
      <c r="C86" s="1604">
        <v>0.85709999999999997</v>
      </c>
      <c r="D86" s="1604">
        <v>0.74419999999999997</v>
      </c>
      <c r="E86" s="1604">
        <v>0.74419999999999997</v>
      </c>
      <c r="F86" s="1604">
        <v>0.74419999999999997</v>
      </c>
      <c r="G86" s="1604">
        <v>0.74419999999999997</v>
      </c>
      <c r="H86" s="1604">
        <v>0.74419999999999997</v>
      </c>
      <c r="I86" s="1604">
        <v>0.56189999999999996</v>
      </c>
      <c r="J86" s="1604">
        <v>0.56189999999999996</v>
      </c>
      <c r="K86" s="1604">
        <v>0.56189999999999996</v>
      </c>
      <c r="L86" s="1604">
        <v>0.56189999999999996</v>
      </c>
      <c r="M86" s="1604">
        <v>0.56189999999999996</v>
      </c>
    </row>
    <row r="87" spans="1:13">
      <c r="A87" s="1595">
        <v>8.5</v>
      </c>
      <c r="B87" s="1604">
        <v>0.85580000000000001</v>
      </c>
      <c r="C87" s="1604">
        <v>0.85580000000000001</v>
      </c>
      <c r="D87" s="1604">
        <v>0.74270000000000003</v>
      </c>
      <c r="E87" s="1604">
        <v>0.74270000000000003</v>
      </c>
      <c r="F87" s="1604">
        <v>0.74270000000000003</v>
      </c>
      <c r="G87" s="1604">
        <v>0.74270000000000003</v>
      </c>
      <c r="H87" s="1604">
        <v>0.74270000000000003</v>
      </c>
      <c r="I87" s="1604">
        <v>0.55989999999999995</v>
      </c>
      <c r="J87" s="1604">
        <v>0.55989999999999995</v>
      </c>
      <c r="K87" s="1604">
        <v>0.55989999999999995</v>
      </c>
      <c r="L87" s="1604">
        <v>0.55989999999999995</v>
      </c>
      <c r="M87" s="1604">
        <v>0.55989999999999995</v>
      </c>
    </row>
    <row r="88" spans="1:13">
      <c r="A88" s="1595">
        <v>8.6</v>
      </c>
      <c r="B88" s="1604">
        <v>0.85450000000000004</v>
      </c>
      <c r="C88" s="1604">
        <v>0.85450000000000004</v>
      </c>
      <c r="D88" s="1604">
        <v>0.74129999999999996</v>
      </c>
      <c r="E88" s="1604">
        <v>0.74129999999999996</v>
      </c>
      <c r="F88" s="1604">
        <v>0.74129999999999996</v>
      </c>
      <c r="G88" s="1604">
        <v>0.74129999999999996</v>
      </c>
      <c r="H88" s="1604">
        <v>0.74129999999999996</v>
      </c>
      <c r="I88" s="1604">
        <v>0.55800000000000005</v>
      </c>
      <c r="J88" s="1604">
        <v>0.55800000000000005</v>
      </c>
      <c r="K88" s="1604">
        <v>0.55800000000000005</v>
      </c>
      <c r="L88" s="1604">
        <v>0.55800000000000005</v>
      </c>
      <c r="M88" s="1604">
        <v>0.55800000000000005</v>
      </c>
    </row>
    <row r="89" spans="1:13">
      <c r="A89" s="1595">
        <v>8.6999999999999993</v>
      </c>
      <c r="B89" s="1604">
        <v>0.85329999999999995</v>
      </c>
      <c r="C89" s="1604">
        <v>0.85329999999999995</v>
      </c>
      <c r="D89" s="1604">
        <v>0.7399</v>
      </c>
      <c r="E89" s="1604">
        <v>0.7399</v>
      </c>
      <c r="F89" s="1604">
        <v>0.7399</v>
      </c>
      <c r="G89" s="1604">
        <v>0.7399</v>
      </c>
      <c r="H89" s="1604">
        <v>0.7399</v>
      </c>
      <c r="I89" s="1604">
        <v>0.55600000000000005</v>
      </c>
      <c r="J89" s="1604">
        <v>0.55600000000000005</v>
      </c>
      <c r="K89" s="1604">
        <v>0.55600000000000005</v>
      </c>
      <c r="L89" s="1604">
        <v>0.55600000000000005</v>
      </c>
      <c r="M89" s="1604">
        <v>0.55600000000000005</v>
      </c>
    </row>
    <row r="90" spans="1:13">
      <c r="A90" s="1595">
        <v>8.8000000000000007</v>
      </c>
      <c r="B90" s="1604">
        <v>0.85209999999999997</v>
      </c>
      <c r="C90" s="1604">
        <v>0.85209999999999997</v>
      </c>
      <c r="D90" s="1604">
        <v>0.73850000000000005</v>
      </c>
      <c r="E90" s="1604">
        <v>0.73850000000000005</v>
      </c>
      <c r="F90" s="1604">
        <v>0.73850000000000005</v>
      </c>
      <c r="G90" s="1604">
        <v>0.73850000000000005</v>
      </c>
      <c r="H90" s="1604">
        <v>0.73850000000000005</v>
      </c>
      <c r="I90" s="1604">
        <v>0.55420000000000003</v>
      </c>
      <c r="J90" s="1604">
        <v>0.55420000000000003</v>
      </c>
      <c r="K90" s="1604">
        <v>0.55420000000000003</v>
      </c>
      <c r="L90" s="1604">
        <v>0.55420000000000003</v>
      </c>
      <c r="M90" s="1604">
        <v>0.55420000000000003</v>
      </c>
    </row>
    <row r="91" spans="1:13">
      <c r="A91" s="1595">
        <v>8.9</v>
      </c>
      <c r="B91" s="1604">
        <v>0.85099999999999998</v>
      </c>
      <c r="C91" s="1604">
        <v>0.85099999999999998</v>
      </c>
      <c r="D91" s="1604">
        <v>0.73719999999999997</v>
      </c>
      <c r="E91" s="1604">
        <v>0.73719999999999997</v>
      </c>
      <c r="F91" s="1604">
        <v>0.73719999999999997</v>
      </c>
      <c r="G91" s="1604">
        <v>0.73719999999999997</v>
      </c>
      <c r="H91" s="1604">
        <v>0.73719999999999997</v>
      </c>
      <c r="I91" s="1604">
        <v>0.55230000000000001</v>
      </c>
      <c r="J91" s="1604">
        <v>0.55230000000000001</v>
      </c>
      <c r="K91" s="1604">
        <v>0.55230000000000001</v>
      </c>
      <c r="L91" s="1604">
        <v>0.55230000000000001</v>
      </c>
      <c r="M91" s="1604">
        <v>0.55230000000000001</v>
      </c>
    </row>
    <row r="92" spans="1:13">
      <c r="A92" s="1618">
        <v>9</v>
      </c>
      <c r="B92" s="1604">
        <v>0.8498</v>
      </c>
      <c r="C92" s="1604">
        <v>0.8498</v>
      </c>
      <c r="D92" s="1604">
        <v>0.7359</v>
      </c>
      <c r="E92" s="1604">
        <v>0.7359</v>
      </c>
      <c r="F92" s="1604">
        <v>0.7359</v>
      </c>
      <c r="G92" s="1604">
        <v>0.7359</v>
      </c>
      <c r="H92" s="1604">
        <v>0.7359</v>
      </c>
      <c r="I92" s="1604">
        <v>0.55049999999999999</v>
      </c>
      <c r="J92" s="1604">
        <v>0.55049999999999999</v>
      </c>
      <c r="K92" s="1604">
        <v>0.55049999999999999</v>
      </c>
      <c r="L92" s="1604">
        <v>0.55049999999999999</v>
      </c>
      <c r="M92" s="1604">
        <v>0.55049999999999999</v>
      </c>
    </row>
    <row r="93" spans="1:13">
      <c r="A93" s="1618">
        <v>9.1</v>
      </c>
      <c r="B93" s="1604">
        <v>0.84870000000000001</v>
      </c>
      <c r="C93" s="1604">
        <v>0.84870000000000001</v>
      </c>
      <c r="D93" s="1604">
        <v>0.73470000000000002</v>
      </c>
      <c r="E93" s="1604">
        <v>0.73470000000000002</v>
      </c>
      <c r="F93" s="1604">
        <v>0.73470000000000002</v>
      </c>
      <c r="G93" s="1604">
        <v>0.73470000000000002</v>
      </c>
      <c r="H93" s="1604">
        <v>0.73470000000000002</v>
      </c>
      <c r="I93" s="1604">
        <v>0.54879999999999995</v>
      </c>
      <c r="J93" s="1604">
        <v>0.54879999999999995</v>
      </c>
      <c r="K93" s="1604">
        <v>0.54879999999999995</v>
      </c>
      <c r="L93" s="1604">
        <v>0.54879999999999995</v>
      </c>
      <c r="M93" s="1604">
        <v>0.54879999999999995</v>
      </c>
    </row>
    <row r="94" spans="1:13">
      <c r="A94" s="1618">
        <v>9.1999999999999993</v>
      </c>
      <c r="B94" s="1604">
        <v>0.84770000000000001</v>
      </c>
      <c r="C94" s="1604">
        <v>0.84770000000000001</v>
      </c>
      <c r="D94" s="1604">
        <v>0.73350000000000004</v>
      </c>
      <c r="E94" s="1604">
        <v>0.73350000000000004</v>
      </c>
      <c r="F94" s="1604">
        <v>0.73350000000000004</v>
      </c>
      <c r="G94" s="1604">
        <v>0.73350000000000004</v>
      </c>
      <c r="H94" s="1604">
        <v>0.73350000000000004</v>
      </c>
      <c r="I94" s="1604">
        <v>0.54710000000000003</v>
      </c>
      <c r="J94" s="1604">
        <v>0.54710000000000003</v>
      </c>
      <c r="K94" s="1604">
        <v>0.54710000000000003</v>
      </c>
      <c r="L94" s="1604">
        <v>0.54710000000000003</v>
      </c>
      <c r="M94" s="1604">
        <v>0.54710000000000003</v>
      </c>
    </row>
    <row r="95" spans="1:13">
      <c r="A95" s="1618">
        <v>9.3000000000000007</v>
      </c>
      <c r="B95" s="1604">
        <v>0.84660000000000002</v>
      </c>
      <c r="C95" s="1604">
        <v>0.84660000000000002</v>
      </c>
      <c r="D95" s="1604">
        <v>0.73229999999999995</v>
      </c>
      <c r="E95" s="1604">
        <v>0.73229999999999995</v>
      </c>
      <c r="F95" s="1604">
        <v>0.73229999999999995</v>
      </c>
      <c r="G95" s="1604">
        <v>0.73229999999999995</v>
      </c>
      <c r="H95" s="1604">
        <v>0.73229999999999995</v>
      </c>
      <c r="I95" s="1604">
        <v>0.5454</v>
      </c>
      <c r="J95" s="1604">
        <v>0.5454</v>
      </c>
      <c r="K95" s="1604">
        <v>0.5454</v>
      </c>
      <c r="L95" s="1604">
        <v>0.5454</v>
      </c>
      <c r="M95" s="1604">
        <v>0.5454</v>
      </c>
    </row>
    <row r="96" spans="1:13">
      <c r="A96" s="1618">
        <v>9.4</v>
      </c>
      <c r="B96" s="1604">
        <v>0.84550000000000003</v>
      </c>
      <c r="C96" s="1604">
        <v>0.84550000000000003</v>
      </c>
      <c r="D96" s="1604">
        <v>0.73109999999999997</v>
      </c>
      <c r="E96" s="1604">
        <v>0.73109999999999997</v>
      </c>
      <c r="F96" s="1604">
        <v>0.73109999999999997</v>
      </c>
      <c r="G96" s="1604">
        <v>0.73109999999999997</v>
      </c>
      <c r="H96" s="1604">
        <v>0.73109999999999997</v>
      </c>
      <c r="I96" s="1604">
        <v>0.54369999999999996</v>
      </c>
      <c r="J96" s="1604">
        <v>0.54369999999999996</v>
      </c>
      <c r="K96" s="1604">
        <v>0.54369999999999996</v>
      </c>
      <c r="L96" s="1604">
        <v>0.54369999999999996</v>
      </c>
      <c r="M96" s="1604">
        <v>0.54369999999999996</v>
      </c>
    </row>
    <row r="97" spans="1:14">
      <c r="A97" s="1618">
        <v>9.5</v>
      </c>
      <c r="B97" s="1604">
        <v>0.84450000000000003</v>
      </c>
      <c r="C97" s="1604">
        <v>0.84450000000000003</v>
      </c>
      <c r="D97" s="1604">
        <v>0.72989999999999999</v>
      </c>
      <c r="E97" s="1604">
        <v>0.72989999999999999</v>
      </c>
      <c r="F97" s="1604">
        <v>0.72989999999999999</v>
      </c>
      <c r="G97" s="1604">
        <v>0.72989999999999999</v>
      </c>
      <c r="H97" s="1604">
        <v>0.72989999999999999</v>
      </c>
      <c r="I97" s="1604">
        <v>0.54200000000000004</v>
      </c>
      <c r="J97" s="1604">
        <v>0.54200000000000004</v>
      </c>
      <c r="K97" s="1604">
        <v>0.54200000000000004</v>
      </c>
      <c r="L97" s="1604">
        <v>0.54200000000000004</v>
      </c>
      <c r="M97" s="1604">
        <v>0.54200000000000004</v>
      </c>
    </row>
    <row r="98" spans="1:14">
      <c r="A98" s="1618">
        <v>9.6</v>
      </c>
      <c r="B98" s="1604">
        <v>0.84340000000000004</v>
      </c>
      <c r="C98" s="1604">
        <v>0.84340000000000004</v>
      </c>
      <c r="D98" s="1604">
        <v>0.72870000000000001</v>
      </c>
      <c r="E98" s="1604">
        <v>0.72870000000000001</v>
      </c>
      <c r="F98" s="1604">
        <v>0.72870000000000001</v>
      </c>
      <c r="G98" s="1604">
        <v>0.72870000000000001</v>
      </c>
      <c r="H98" s="1604">
        <v>0.72870000000000001</v>
      </c>
      <c r="I98" s="1604">
        <v>0.5403</v>
      </c>
      <c r="J98" s="1604">
        <v>0.5403</v>
      </c>
      <c r="K98" s="1604">
        <v>0.5403</v>
      </c>
      <c r="L98" s="1604">
        <v>0.5403</v>
      </c>
      <c r="M98" s="1604">
        <v>0.5403</v>
      </c>
    </row>
    <row r="99" spans="1:14">
      <c r="A99" s="1618">
        <v>9.6999999999999993</v>
      </c>
      <c r="B99" s="1604">
        <v>0.84230000000000005</v>
      </c>
      <c r="C99" s="1604">
        <v>0.84230000000000005</v>
      </c>
      <c r="D99" s="1604">
        <v>0.72750000000000004</v>
      </c>
      <c r="E99" s="1604">
        <v>0.72750000000000004</v>
      </c>
      <c r="F99" s="1604">
        <v>0.72750000000000004</v>
      </c>
      <c r="G99" s="1604">
        <v>0.72750000000000004</v>
      </c>
      <c r="H99" s="1604">
        <v>0.72750000000000004</v>
      </c>
      <c r="I99" s="1604">
        <v>0.53859999999999997</v>
      </c>
      <c r="J99" s="1604">
        <v>0.53859999999999997</v>
      </c>
      <c r="K99" s="1604">
        <v>0.53859999999999997</v>
      </c>
      <c r="L99" s="1604">
        <v>0.53859999999999997</v>
      </c>
      <c r="M99" s="1604">
        <v>0.53859999999999997</v>
      </c>
    </row>
    <row r="100" spans="1:14">
      <c r="A100" s="1618">
        <v>9.8000000000000007</v>
      </c>
      <c r="B100" s="1604">
        <v>0.84140000000000004</v>
      </c>
      <c r="C100" s="1604">
        <v>0.84140000000000004</v>
      </c>
      <c r="D100" s="1604">
        <v>0.72629999999999995</v>
      </c>
      <c r="E100" s="1604">
        <v>0.72629999999999995</v>
      </c>
      <c r="F100" s="1604">
        <v>0.72629999999999995</v>
      </c>
      <c r="G100" s="1604">
        <v>0.72629999999999995</v>
      </c>
      <c r="H100" s="1604">
        <v>0.72629999999999995</v>
      </c>
      <c r="I100" s="1604">
        <v>0.53710000000000002</v>
      </c>
      <c r="J100" s="1604">
        <v>0.53710000000000002</v>
      </c>
      <c r="K100" s="1604">
        <v>0.53710000000000002</v>
      </c>
      <c r="L100" s="1604">
        <v>0.53710000000000002</v>
      </c>
      <c r="M100" s="1604">
        <v>0.53710000000000002</v>
      </c>
    </row>
    <row r="101" spans="1:14">
      <c r="A101" s="1618">
        <v>9.9</v>
      </c>
      <c r="B101" s="1604">
        <v>0.84050000000000002</v>
      </c>
      <c r="C101" s="1604">
        <v>0.84050000000000002</v>
      </c>
      <c r="D101" s="1604">
        <v>0.72519999999999996</v>
      </c>
      <c r="E101" s="1604">
        <v>0.72519999999999996</v>
      </c>
      <c r="F101" s="1604">
        <v>0.72519999999999996</v>
      </c>
      <c r="G101" s="1604">
        <v>0.72519999999999996</v>
      </c>
      <c r="H101" s="1604">
        <v>0.72519999999999996</v>
      </c>
      <c r="I101" s="1604">
        <v>0.53549999999999998</v>
      </c>
      <c r="J101" s="1604">
        <v>0.53549999999999998</v>
      </c>
      <c r="K101" s="1604">
        <v>0.53549999999999998</v>
      </c>
      <c r="L101" s="1604">
        <v>0.53549999999999998</v>
      </c>
      <c r="M101" s="1604">
        <v>0.53549999999999998</v>
      </c>
    </row>
    <row r="102" spans="1:14">
      <c r="A102" s="1618">
        <v>10</v>
      </c>
      <c r="B102" s="1604">
        <v>0.83950000000000002</v>
      </c>
      <c r="C102" s="1604">
        <v>0.83950000000000002</v>
      </c>
      <c r="D102" s="1604">
        <v>0.72409999999999997</v>
      </c>
      <c r="E102" s="1604">
        <v>0.72409999999999997</v>
      </c>
      <c r="F102" s="1604">
        <v>0.72409999999999997</v>
      </c>
      <c r="G102" s="1604">
        <v>0.72409999999999997</v>
      </c>
      <c r="H102" s="1604">
        <v>0.72409999999999997</v>
      </c>
      <c r="I102" s="1604">
        <v>0.53400000000000003</v>
      </c>
      <c r="J102" s="1604">
        <v>0.53400000000000003</v>
      </c>
      <c r="K102" s="1604">
        <v>0.53400000000000003</v>
      </c>
      <c r="L102" s="1604">
        <v>0.53400000000000003</v>
      </c>
      <c r="M102" s="1604">
        <v>0.53400000000000003</v>
      </c>
    </row>
    <row r="103" spans="1:14" ht="14.25">
      <c r="A103" s="1592" t="s">
        <v>1780</v>
      </c>
      <c r="B103" s="1593"/>
      <c r="C103" s="1593"/>
      <c r="D103" s="1593"/>
      <c r="E103" s="1593"/>
      <c r="F103" s="1593"/>
      <c r="G103" s="1593"/>
      <c r="H103" s="1593"/>
      <c r="I103" s="1593"/>
      <c r="J103" s="1593"/>
      <c r="K103" s="1593"/>
      <c r="L103" s="1593"/>
      <c r="M103" s="1593"/>
      <c r="N103" s="1593"/>
    </row>
    <row r="104" spans="1:14" ht="14.25">
      <c r="A104" s="1595" t="s">
        <v>1771</v>
      </c>
      <c r="B104" s="1596" t="s">
        <v>1176</v>
      </c>
      <c r="C104" s="1596" t="s">
        <v>1177</v>
      </c>
      <c r="D104" s="1596" t="s">
        <v>1178</v>
      </c>
      <c r="E104" s="1596" t="s">
        <v>1179</v>
      </c>
      <c r="F104" s="1596" t="s">
        <v>1180</v>
      </c>
      <c r="G104" s="1596" t="s">
        <v>1181</v>
      </c>
      <c r="H104" s="1597" t="s">
        <v>1182</v>
      </c>
      <c r="I104" s="1597" t="s">
        <v>1183</v>
      </c>
      <c r="J104" s="1598" t="s">
        <v>1184</v>
      </c>
      <c r="K104" s="1598" t="s">
        <v>1185</v>
      </c>
      <c r="L104" s="1598" t="s">
        <v>1186</v>
      </c>
      <c r="M104" s="1598" t="s">
        <v>1187</v>
      </c>
      <c r="N104" s="1593">
        <f>SUMPRODUCT((A105:A204=ROUNDDOWN(基准地价修正!G3,1))*(B104:M104=基准地价修正!G2)*(B105:M204))</f>
        <v>0</v>
      </c>
    </row>
    <row r="105" spans="1:14">
      <c r="A105" s="1595">
        <v>0.1</v>
      </c>
      <c r="B105" s="1604">
        <v>13.733000000000001</v>
      </c>
      <c r="C105" s="1604">
        <v>13.733000000000001</v>
      </c>
      <c r="D105" s="1604">
        <v>12.787000000000001</v>
      </c>
      <c r="E105" s="1604">
        <v>12.787000000000001</v>
      </c>
      <c r="F105" s="1604">
        <v>12.787000000000001</v>
      </c>
      <c r="G105" s="1604">
        <v>12.787000000000001</v>
      </c>
      <c r="H105" s="1604">
        <v>12.787000000000001</v>
      </c>
      <c r="I105" s="1604">
        <v>12.384</v>
      </c>
      <c r="J105" s="1604">
        <v>12.384</v>
      </c>
      <c r="K105" s="1604">
        <v>12.384</v>
      </c>
      <c r="L105" s="1604">
        <v>12.384</v>
      </c>
      <c r="M105" s="1604">
        <v>12.384</v>
      </c>
    </row>
    <row r="106" spans="1:14">
      <c r="A106" s="1595">
        <v>0.2</v>
      </c>
      <c r="B106" s="1604">
        <v>6.8665000000000003</v>
      </c>
      <c r="C106" s="1604">
        <v>6.8665000000000003</v>
      </c>
      <c r="D106" s="1604">
        <v>6.3935000000000004</v>
      </c>
      <c r="E106" s="1604">
        <v>6.3935000000000004</v>
      </c>
      <c r="F106" s="1604">
        <v>6.3935000000000004</v>
      </c>
      <c r="G106" s="1604">
        <v>6.3935000000000004</v>
      </c>
      <c r="H106" s="1604">
        <v>6.3935000000000004</v>
      </c>
      <c r="I106" s="1604">
        <v>6.1920000000000002</v>
      </c>
      <c r="J106" s="1604">
        <v>6.1920000000000002</v>
      </c>
      <c r="K106" s="1604">
        <v>6.1920000000000002</v>
      </c>
      <c r="L106" s="1604">
        <v>6.1920000000000002</v>
      </c>
      <c r="M106" s="1604">
        <v>6.1920000000000002</v>
      </c>
    </row>
    <row r="107" spans="1:14">
      <c r="A107" s="1595">
        <v>0.3</v>
      </c>
      <c r="B107" s="1604">
        <v>4.5777000000000001</v>
      </c>
      <c r="C107" s="1604">
        <v>4.5777000000000001</v>
      </c>
      <c r="D107" s="1604">
        <v>4.2622999999999998</v>
      </c>
      <c r="E107" s="1604">
        <v>4.2622999999999998</v>
      </c>
      <c r="F107" s="1604">
        <v>4.2622999999999998</v>
      </c>
      <c r="G107" s="1604">
        <v>4.2622999999999998</v>
      </c>
      <c r="H107" s="1604">
        <v>4.2622999999999998</v>
      </c>
      <c r="I107" s="1604">
        <v>4.1280000000000001</v>
      </c>
      <c r="J107" s="1604">
        <v>4.1280000000000001</v>
      </c>
      <c r="K107" s="1604">
        <v>4.1280000000000001</v>
      </c>
      <c r="L107" s="1604">
        <v>4.1280000000000001</v>
      </c>
      <c r="M107" s="1604">
        <v>4.1280000000000001</v>
      </c>
    </row>
    <row r="108" spans="1:14">
      <c r="A108" s="1595">
        <v>0.4</v>
      </c>
      <c r="B108" s="1604">
        <v>3.4333</v>
      </c>
      <c r="C108" s="1604">
        <v>3.4333</v>
      </c>
      <c r="D108" s="1604">
        <v>3.1968000000000001</v>
      </c>
      <c r="E108" s="1604">
        <v>3.1968000000000001</v>
      </c>
      <c r="F108" s="1604">
        <v>3.1968000000000001</v>
      </c>
      <c r="G108" s="1604">
        <v>3.1968000000000001</v>
      </c>
      <c r="H108" s="1604">
        <v>3.1968000000000001</v>
      </c>
      <c r="I108" s="1604">
        <v>3.0960000000000001</v>
      </c>
      <c r="J108" s="1604">
        <v>3.0960000000000001</v>
      </c>
      <c r="K108" s="1604">
        <v>3.0960000000000001</v>
      </c>
      <c r="L108" s="1604">
        <v>3.0960000000000001</v>
      </c>
      <c r="M108" s="1604">
        <v>3.0960000000000001</v>
      </c>
    </row>
    <row r="109" spans="1:14">
      <c r="A109" s="1595">
        <v>0.5</v>
      </c>
      <c r="B109" s="1604">
        <v>2.7465999999999999</v>
      </c>
      <c r="C109" s="1604">
        <v>2.7465999999999999</v>
      </c>
      <c r="D109" s="1604">
        <v>2.5573999999999999</v>
      </c>
      <c r="E109" s="1604">
        <v>2.5573999999999999</v>
      </c>
      <c r="F109" s="1604">
        <v>2.5573999999999999</v>
      </c>
      <c r="G109" s="1604">
        <v>2.5573999999999999</v>
      </c>
      <c r="H109" s="1604">
        <v>2.5573999999999999</v>
      </c>
      <c r="I109" s="1604">
        <v>2.4767999999999999</v>
      </c>
      <c r="J109" s="1604">
        <v>2.4767999999999999</v>
      </c>
      <c r="K109" s="1604">
        <v>2.4767999999999999</v>
      </c>
      <c r="L109" s="1604">
        <v>2.4767999999999999</v>
      </c>
      <c r="M109" s="1604">
        <v>2.4767999999999999</v>
      </c>
    </row>
    <row r="110" spans="1:14">
      <c r="A110" s="1595">
        <v>0.6</v>
      </c>
      <c r="B110" s="1604">
        <v>2.2888000000000002</v>
      </c>
      <c r="C110" s="1604">
        <v>2.2888000000000002</v>
      </c>
      <c r="D110" s="1604">
        <v>2.1312000000000002</v>
      </c>
      <c r="E110" s="1604">
        <v>2.1312000000000002</v>
      </c>
      <c r="F110" s="1604">
        <v>2.1312000000000002</v>
      </c>
      <c r="G110" s="1604">
        <v>2.1312000000000002</v>
      </c>
      <c r="H110" s="1604">
        <v>2.1312000000000002</v>
      </c>
      <c r="I110" s="1604">
        <v>2.0640000000000001</v>
      </c>
      <c r="J110" s="1604">
        <v>2.0640000000000001</v>
      </c>
      <c r="K110" s="1604">
        <v>2.0640000000000001</v>
      </c>
      <c r="L110" s="1604">
        <v>2.0640000000000001</v>
      </c>
      <c r="M110" s="1604">
        <v>2.0640000000000001</v>
      </c>
    </row>
    <row r="111" spans="1:14">
      <c r="A111" s="1595">
        <v>0.7</v>
      </c>
      <c r="B111" s="1604">
        <v>1.9619</v>
      </c>
      <c r="C111" s="1604">
        <v>1.9619</v>
      </c>
      <c r="D111" s="1604">
        <v>1.8267</v>
      </c>
      <c r="E111" s="1604">
        <v>1.8267</v>
      </c>
      <c r="F111" s="1604">
        <v>1.8267</v>
      </c>
      <c r="G111" s="1604">
        <v>1.8267</v>
      </c>
      <c r="H111" s="1604">
        <v>1.8267</v>
      </c>
      <c r="I111" s="1604">
        <v>1.7690999999999999</v>
      </c>
      <c r="J111" s="1604">
        <v>1.7690999999999999</v>
      </c>
      <c r="K111" s="1604">
        <v>1.7690999999999999</v>
      </c>
      <c r="L111" s="1604">
        <v>1.7690999999999999</v>
      </c>
      <c r="M111" s="1604">
        <v>1.7690999999999999</v>
      </c>
    </row>
    <row r="112" spans="1:14">
      <c r="A112" s="1595">
        <v>0.8</v>
      </c>
      <c r="B112" s="1604">
        <v>1.7165999999999999</v>
      </c>
      <c r="C112" s="1604">
        <v>1.7165999999999999</v>
      </c>
      <c r="D112" s="1604">
        <v>1.5984</v>
      </c>
      <c r="E112" s="1604">
        <v>1.5984</v>
      </c>
      <c r="F112" s="1604">
        <v>1.5984</v>
      </c>
      <c r="G112" s="1604">
        <v>1.5984</v>
      </c>
      <c r="H112" s="1604">
        <v>1.5984</v>
      </c>
      <c r="I112" s="1604">
        <v>1.548</v>
      </c>
      <c r="J112" s="1604">
        <v>1.548</v>
      </c>
      <c r="K112" s="1604">
        <v>1.548</v>
      </c>
      <c r="L112" s="1604">
        <v>1.548</v>
      </c>
      <c r="M112" s="1604">
        <v>1.548</v>
      </c>
    </row>
    <row r="113" spans="1:13">
      <c r="A113" s="1595">
        <v>0.9</v>
      </c>
      <c r="B113" s="1604">
        <v>1.5259</v>
      </c>
      <c r="C113" s="1604">
        <v>1.5259</v>
      </c>
      <c r="D113" s="1604">
        <v>1.4208000000000001</v>
      </c>
      <c r="E113" s="1604">
        <v>1.4208000000000001</v>
      </c>
      <c r="F113" s="1604">
        <v>1.4208000000000001</v>
      </c>
      <c r="G113" s="1604">
        <v>1.4208000000000001</v>
      </c>
      <c r="H113" s="1604">
        <v>1.4208000000000001</v>
      </c>
      <c r="I113" s="1604">
        <v>1.3759999999999999</v>
      </c>
      <c r="J113" s="1604">
        <v>1.3759999999999999</v>
      </c>
      <c r="K113" s="1604">
        <v>1.3759999999999999</v>
      </c>
      <c r="L113" s="1604">
        <v>1.3759999999999999</v>
      </c>
      <c r="M113" s="1604">
        <v>1.3759999999999999</v>
      </c>
    </row>
    <row r="114" spans="1:13">
      <c r="A114" s="1595">
        <v>1</v>
      </c>
      <c r="B114" s="1604">
        <v>1.3733</v>
      </c>
      <c r="C114" s="1604">
        <v>1.3733</v>
      </c>
      <c r="D114" s="1604">
        <v>1.2786999999999999</v>
      </c>
      <c r="E114" s="1604">
        <v>1.2786999999999999</v>
      </c>
      <c r="F114" s="1604">
        <v>1.2786999999999999</v>
      </c>
      <c r="G114" s="1604">
        <v>1.2786999999999999</v>
      </c>
      <c r="H114" s="1604">
        <v>1.2786999999999999</v>
      </c>
      <c r="I114" s="1604">
        <v>1.2383999999999999</v>
      </c>
      <c r="J114" s="1604">
        <v>1.2383999999999999</v>
      </c>
      <c r="K114" s="1604">
        <v>1.2383999999999999</v>
      </c>
      <c r="L114" s="1604">
        <v>1.2383999999999999</v>
      </c>
      <c r="M114" s="1604">
        <v>1.2383999999999999</v>
      </c>
    </row>
    <row r="115" spans="1:13">
      <c r="A115" s="1595">
        <v>1.1000000000000001</v>
      </c>
      <c r="B115" s="1604">
        <v>1.3489</v>
      </c>
      <c r="C115" s="1604">
        <v>1.3489</v>
      </c>
      <c r="D115" s="1604">
        <v>1.2542</v>
      </c>
      <c r="E115" s="1604">
        <v>1.2542</v>
      </c>
      <c r="F115" s="1604">
        <v>1.2542</v>
      </c>
      <c r="G115" s="1604">
        <v>1.2542</v>
      </c>
      <c r="H115" s="1604">
        <v>1.2542</v>
      </c>
      <c r="I115" s="1604">
        <v>1.2050000000000001</v>
      </c>
      <c r="J115" s="1604">
        <v>1.2050000000000001</v>
      </c>
      <c r="K115" s="1604">
        <v>1.2050000000000001</v>
      </c>
      <c r="L115" s="1604">
        <v>1.2050000000000001</v>
      </c>
      <c r="M115" s="1604">
        <v>1.2050000000000001</v>
      </c>
    </row>
    <row r="116" spans="1:13">
      <c r="A116" s="1595">
        <v>1.2</v>
      </c>
      <c r="B116" s="1604">
        <v>1.3255999999999999</v>
      </c>
      <c r="C116" s="1604">
        <v>1.3255999999999999</v>
      </c>
      <c r="D116" s="1604">
        <v>1.2305999999999999</v>
      </c>
      <c r="E116" s="1604">
        <v>1.2305999999999999</v>
      </c>
      <c r="F116" s="1604">
        <v>1.2305999999999999</v>
      </c>
      <c r="G116" s="1604">
        <v>1.2305999999999999</v>
      </c>
      <c r="H116" s="1604">
        <v>1.2305999999999999</v>
      </c>
      <c r="I116" s="1604">
        <v>1.1741999999999999</v>
      </c>
      <c r="J116" s="1604">
        <v>1.1741999999999999</v>
      </c>
      <c r="K116" s="1604">
        <v>1.1741999999999999</v>
      </c>
      <c r="L116" s="1604">
        <v>1.1741999999999999</v>
      </c>
      <c r="M116" s="1604">
        <v>1.1741999999999999</v>
      </c>
    </row>
    <row r="117" spans="1:13">
      <c r="A117" s="1595">
        <v>1.3</v>
      </c>
      <c r="B117" s="1604">
        <v>1.3032999999999999</v>
      </c>
      <c r="C117" s="1604">
        <v>1.3032999999999999</v>
      </c>
      <c r="D117" s="1604">
        <v>1.2079</v>
      </c>
      <c r="E117" s="1604">
        <v>1.2079</v>
      </c>
      <c r="F117" s="1604">
        <v>1.2079</v>
      </c>
      <c r="G117" s="1604">
        <v>1.2079</v>
      </c>
      <c r="H117" s="1604">
        <v>1.2079</v>
      </c>
      <c r="I117" s="1604">
        <v>1.1459999999999999</v>
      </c>
      <c r="J117" s="1604">
        <v>1.1459999999999999</v>
      </c>
      <c r="K117" s="1604">
        <v>1.1459999999999999</v>
      </c>
      <c r="L117" s="1604">
        <v>1.1459999999999999</v>
      </c>
      <c r="M117" s="1604">
        <v>1.1459999999999999</v>
      </c>
    </row>
    <row r="118" spans="1:13">
      <c r="A118" s="1595">
        <v>1.4</v>
      </c>
      <c r="B118" s="1604">
        <v>1.282</v>
      </c>
      <c r="C118" s="1604">
        <v>1.282</v>
      </c>
      <c r="D118" s="1604">
        <v>1.1861999999999999</v>
      </c>
      <c r="E118" s="1604">
        <v>1.1861999999999999</v>
      </c>
      <c r="F118" s="1604">
        <v>1.1861999999999999</v>
      </c>
      <c r="G118" s="1604">
        <v>1.1861999999999999</v>
      </c>
      <c r="H118" s="1604">
        <v>1.1861999999999999</v>
      </c>
      <c r="I118" s="1604">
        <v>1.1200000000000001</v>
      </c>
      <c r="J118" s="1604">
        <v>1.1200000000000001</v>
      </c>
      <c r="K118" s="1604">
        <v>1.1200000000000001</v>
      </c>
      <c r="L118" s="1604">
        <v>1.1200000000000001</v>
      </c>
      <c r="M118" s="1604">
        <v>1.1200000000000001</v>
      </c>
    </row>
    <row r="119" spans="1:13">
      <c r="A119" s="1595">
        <v>1.5</v>
      </c>
      <c r="B119" s="1604">
        <v>1.2617</v>
      </c>
      <c r="C119" s="1604">
        <v>1.2617</v>
      </c>
      <c r="D119" s="1604">
        <v>1.1653</v>
      </c>
      <c r="E119" s="1604">
        <v>1.1653</v>
      </c>
      <c r="F119" s="1604">
        <v>1.1653</v>
      </c>
      <c r="G119" s="1604">
        <v>1.1653</v>
      </c>
      <c r="H119" s="1604">
        <v>1.1653</v>
      </c>
      <c r="I119" s="1604">
        <v>1.0961000000000001</v>
      </c>
      <c r="J119" s="1604">
        <v>1.0961000000000001</v>
      </c>
      <c r="K119" s="1604">
        <v>1.0961000000000001</v>
      </c>
      <c r="L119" s="1604">
        <v>1.0961000000000001</v>
      </c>
      <c r="M119" s="1604">
        <v>1.0961000000000001</v>
      </c>
    </row>
    <row r="120" spans="1:13">
      <c r="A120" s="1595">
        <v>1.6</v>
      </c>
      <c r="B120" s="1604">
        <v>1.2423</v>
      </c>
      <c r="C120" s="1604">
        <v>1.2423</v>
      </c>
      <c r="D120" s="1604">
        <v>1.1453</v>
      </c>
      <c r="E120" s="1604">
        <v>1.1453</v>
      </c>
      <c r="F120" s="1604">
        <v>1.1453</v>
      </c>
      <c r="G120" s="1604">
        <v>1.1453</v>
      </c>
      <c r="H120" s="1604">
        <v>1.1453</v>
      </c>
      <c r="I120" s="1604">
        <v>1.0740000000000001</v>
      </c>
      <c r="J120" s="1604">
        <v>1.0740000000000001</v>
      </c>
      <c r="K120" s="1604">
        <v>1.0740000000000001</v>
      </c>
      <c r="L120" s="1604">
        <v>1.0740000000000001</v>
      </c>
      <c r="M120" s="1604">
        <v>1.0740000000000001</v>
      </c>
    </row>
    <row r="121" spans="1:13">
      <c r="A121" s="1595">
        <v>1.7</v>
      </c>
      <c r="B121" s="1604">
        <v>1.2237</v>
      </c>
      <c r="C121" s="1604">
        <v>1.2237</v>
      </c>
      <c r="D121" s="1604">
        <v>1.1261000000000001</v>
      </c>
      <c r="E121" s="1604">
        <v>1.1261000000000001</v>
      </c>
      <c r="F121" s="1604">
        <v>1.1261000000000001</v>
      </c>
      <c r="G121" s="1604">
        <v>1.1261000000000001</v>
      </c>
      <c r="H121" s="1604">
        <v>1.1261000000000001</v>
      </c>
      <c r="I121" s="1604">
        <v>1.0535000000000001</v>
      </c>
      <c r="J121" s="1604">
        <v>1.0535000000000001</v>
      </c>
      <c r="K121" s="1604">
        <v>1.0535000000000001</v>
      </c>
      <c r="L121" s="1604">
        <v>1.0535000000000001</v>
      </c>
      <c r="M121" s="1604">
        <v>1.0535000000000001</v>
      </c>
    </row>
    <row r="122" spans="1:13">
      <c r="A122" s="1595">
        <v>1.8</v>
      </c>
      <c r="B122" s="1604">
        <v>1.206</v>
      </c>
      <c r="C122" s="1604">
        <v>1.206</v>
      </c>
      <c r="D122" s="1604">
        <v>1.1076999999999999</v>
      </c>
      <c r="E122" s="1604">
        <v>1.1076999999999999</v>
      </c>
      <c r="F122" s="1604">
        <v>1.1076999999999999</v>
      </c>
      <c r="G122" s="1604">
        <v>1.1076999999999999</v>
      </c>
      <c r="H122" s="1604">
        <v>1.1076999999999999</v>
      </c>
      <c r="I122" s="1604">
        <v>1.0345</v>
      </c>
      <c r="J122" s="1604">
        <v>1.0345</v>
      </c>
      <c r="K122" s="1604">
        <v>1.0345</v>
      </c>
      <c r="L122" s="1604">
        <v>1.0345</v>
      </c>
      <c r="M122" s="1604">
        <v>1.0345</v>
      </c>
    </row>
    <row r="123" spans="1:13">
      <c r="A123" s="1595">
        <v>1.9</v>
      </c>
      <c r="B123" s="1604">
        <v>1.1891</v>
      </c>
      <c r="C123" s="1604">
        <v>1.1891</v>
      </c>
      <c r="D123" s="1604">
        <v>1.0901000000000001</v>
      </c>
      <c r="E123" s="1604">
        <v>1.0901000000000001</v>
      </c>
      <c r="F123" s="1604">
        <v>1.0901000000000001</v>
      </c>
      <c r="G123" s="1604">
        <v>1.0901000000000001</v>
      </c>
      <c r="H123" s="1604">
        <v>1.0901000000000001</v>
      </c>
      <c r="I123" s="1604">
        <v>1.0166999999999999</v>
      </c>
      <c r="J123" s="1604">
        <v>1.0166999999999999</v>
      </c>
      <c r="K123" s="1604">
        <v>1.0166999999999999</v>
      </c>
      <c r="L123" s="1604">
        <v>1.0166999999999999</v>
      </c>
      <c r="M123" s="1604">
        <v>1.0166999999999999</v>
      </c>
    </row>
    <row r="124" spans="1:13">
      <c r="A124" s="1595">
        <v>2</v>
      </c>
      <c r="B124" s="1604">
        <v>1.1729000000000001</v>
      </c>
      <c r="C124" s="1604">
        <v>1.1729000000000001</v>
      </c>
      <c r="D124" s="1604">
        <v>1.0732999999999999</v>
      </c>
      <c r="E124" s="1604">
        <v>1.0732999999999999</v>
      </c>
      <c r="F124" s="1604">
        <v>1.0732999999999999</v>
      </c>
      <c r="G124" s="1604">
        <v>1.0732999999999999</v>
      </c>
      <c r="H124" s="1604">
        <v>1.0732999999999999</v>
      </c>
      <c r="I124" s="1604">
        <v>1</v>
      </c>
      <c r="J124" s="1604">
        <v>1</v>
      </c>
      <c r="K124" s="1604">
        <v>1</v>
      </c>
      <c r="L124" s="1604">
        <v>1</v>
      </c>
      <c r="M124" s="1604">
        <v>1</v>
      </c>
    </row>
    <row r="125" spans="1:13">
      <c r="A125" s="1618">
        <v>2.1</v>
      </c>
      <c r="B125" s="1604">
        <v>1.1574</v>
      </c>
      <c r="C125" s="1604">
        <v>1.1574</v>
      </c>
      <c r="D125" s="1604">
        <v>1.0571999999999999</v>
      </c>
      <c r="E125" s="1604">
        <v>1.0571999999999999</v>
      </c>
      <c r="F125" s="1604">
        <v>1.0571999999999999</v>
      </c>
      <c r="G125" s="1604">
        <v>1.0571999999999999</v>
      </c>
      <c r="H125" s="1604">
        <v>1.0571999999999999</v>
      </c>
      <c r="I125" s="1604">
        <v>0.98409999999999997</v>
      </c>
      <c r="J125" s="1604">
        <v>0.98409999999999997</v>
      </c>
      <c r="K125" s="1604">
        <v>0.98409999999999997</v>
      </c>
      <c r="L125" s="1604">
        <v>0.98409999999999997</v>
      </c>
      <c r="M125" s="1604">
        <v>0.98409999999999997</v>
      </c>
    </row>
    <row r="126" spans="1:13">
      <c r="A126" s="1618">
        <v>2.2000000000000002</v>
      </c>
      <c r="B126" s="1604">
        <v>1.1426000000000001</v>
      </c>
      <c r="C126" s="1604">
        <v>1.1426000000000001</v>
      </c>
      <c r="D126" s="1604">
        <v>1.0419</v>
      </c>
      <c r="E126" s="1604">
        <v>1.0419</v>
      </c>
      <c r="F126" s="1604">
        <v>1.0419</v>
      </c>
      <c r="G126" s="1604">
        <v>1.0419</v>
      </c>
      <c r="H126" s="1604">
        <v>1.0419</v>
      </c>
      <c r="I126" s="1604">
        <v>0.96889999999999998</v>
      </c>
      <c r="J126" s="1604">
        <v>0.96889999999999998</v>
      </c>
      <c r="K126" s="1604">
        <v>0.96889999999999998</v>
      </c>
      <c r="L126" s="1604">
        <v>0.96889999999999998</v>
      </c>
      <c r="M126" s="1604">
        <v>0.96889999999999998</v>
      </c>
    </row>
    <row r="127" spans="1:13">
      <c r="A127" s="1618">
        <v>2.2999999999999998</v>
      </c>
      <c r="B127" s="1604">
        <v>1.1285000000000001</v>
      </c>
      <c r="C127" s="1604">
        <v>1.1285000000000001</v>
      </c>
      <c r="D127" s="1604">
        <v>1.0271999999999999</v>
      </c>
      <c r="E127" s="1604">
        <v>1.0271999999999999</v>
      </c>
      <c r="F127" s="1604">
        <v>1.0271999999999999</v>
      </c>
      <c r="G127" s="1604">
        <v>1.0271999999999999</v>
      </c>
      <c r="H127" s="1604">
        <v>1.0271999999999999</v>
      </c>
      <c r="I127" s="1604">
        <v>0.95440000000000003</v>
      </c>
      <c r="J127" s="1604">
        <v>0.95440000000000003</v>
      </c>
      <c r="K127" s="1604">
        <v>0.95440000000000003</v>
      </c>
      <c r="L127" s="1604">
        <v>0.95440000000000003</v>
      </c>
      <c r="M127" s="1604">
        <v>0.95440000000000003</v>
      </c>
    </row>
    <row r="128" spans="1:13">
      <c r="A128" s="1618">
        <v>2.4</v>
      </c>
      <c r="B128" s="1604">
        <v>1.1149</v>
      </c>
      <c r="C128" s="1604">
        <v>1.1149</v>
      </c>
      <c r="D128" s="1604">
        <v>1.0133000000000001</v>
      </c>
      <c r="E128" s="1604">
        <v>1.0133000000000001</v>
      </c>
      <c r="F128" s="1604">
        <v>1.0133000000000001</v>
      </c>
      <c r="G128" s="1604">
        <v>1.0133000000000001</v>
      </c>
      <c r="H128" s="1604">
        <v>1.0133000000000001</v>
      </c>
      <c r="I128" s="1604">
        <v>0.9405</v>
      </c>
      <c r="J128" s="1604">
        <v>0.9405</v>
      </c>
      <c r="K128" s="1604">
        <v>0.9405</v>
      </c>
      <c r="L128" s="1604">
        <v>0.9405</v>
      </c>
      <c r="M128" s="1604">
        <v>0.9405</v>
      </c>
    </row>
    <row r="129" spans="1:13">
      <c r="A129" s="1618">
        <v>2.5</v>
      </c>
      <c r="B129" s="1604">
        <v>1.1020000000000001</v>
      </c>
      <c r="C129" s="1604">
        <v>1.1020000000000001</v>
      </c>
      <c r="D129" s="1604">
        <v>1</v>
      </c>
      <c r="E129" s="1604">
        <v>1</v>
      </c>
      <c r="F129" s="1604">
        <v>1</v>
      </c>
      <c r="G129" s="1604">
        <v>1</v>
      </c>
      <c r="H129" s="1604">
        <v>1</v>
      </c>
      <c r="I129" s="1604">
        <v>0.92730000000000001</v>
      </c>
      <c r="J129" s="1604">
        <v>0.92730000000000001</v>
      </c>
      <c r="K129" s="1604">
        <v>0.92730000000000001</v>
      </c>
      <c r="L129" s="1604">
        <v>0.92730000000000001</v>
      </c>
      <c r="M129" s="1604">
        <v>0.92730000000000001</v>
      </c>
    </row>
    <row r="130" spans="1:13">
      <c r="A130" s="1618">
        <v>2.6</v>
      </c>
      <c r="B130" s="1604">
        <v>1.0895999999999999</v>
      </c>
      <c r="C130" s="1604">
        <v>1.0895999999999999</v>
      </c>
      <c r="D130" s="1604">
        <v>0.98740000000000006</v>
      </c>
      <c r="E130" s="1604">
        <v>0.98740000000000006</v>
      </c>
      <c r="F130" s="1604">
        <v>0.98740000000000006</v>
      </c>
      <c r="G130" s="1604">
        <v>0.98740000000000006</v>
      </c>
      <c r="H130" s="1604">
        <v>0.98740000000000006</v>
      </c>
      <c r="I130" s="1604">
        <v>0.91469999999999996</v>
      </c>
      <c r="J130" s="1604">
        <v>0.91469999999999996</v>
      </c>
      <c r="K130" s="1604">
        <v>0.91469999999999996</v>
      </c>
      <c r="L130" s="1604">
        <v>0.91469999999999996</v>
      </c>
      <c r="M130" s="1604">
        <v>0.91469999999999996</v>
      </c>
    </row>
    <row r="131" spans="1:13">
      <c r="A131" s="1618">
        <v>2.7</v>
      </c>
      <c r="B131" s="1604">
        <v>1.0778000000000001</v>
      </c>
      <c r="C131" s="1604">
        <v>1.0778000000000001</v>
      </c>
      <c r="D131" s="1604">
        <v>0.97540000000000004</v>
      </c>
      <c r="E131" s="1604">
        <v>0.97540000000000004</v>
      </c>
      <c r="F131" s="1604">
        <v>0.97540000000000004</v>
      </c>
      <c r="G131" s="1604">
        <v>0.97540000000000004</v>
      </c>
      <c r="H131" s="1604">
        <v>0.97540000000000004</v>
      </c>
      <c r="I131" s="1604">
        <v>0.90269999999999995</v>
      </c>
      <c r="J131" s="1604">
        <v>0.90269999999999995</v>
      </c>
      <c r="K131" s="1604">
        <v>0.90269999999999995</v>
      </c>
      <c r="L131" s="1604">
        <v>0.90269999999999995</v>
      </c>
      <c r="M131" s="1604">
        <v>0.90269999999999995</v>
      </c>
    </row>
    <row r="132" spans="1:13">
      <c r="A132" s="1618">
        <v>2.8</v>
      </c>
      <c r="B132" s="1604">
        <v>1.0665</v>
      </c>
      <c r="C132" s="1604">
        <v>1.0665</v>
      </c>
      <c r="D132" s="1604">
        <v>0.96399999999999997</v>
      </c>
      <c r="E132" s="1604">
        <v>0.96399999999999997</v>
      </c>
      <c r="F132" s="1604">
        <v>0.96399999999999997</v>
      </c>
      <c r="G132" s="1604">
        <v>0.96399999999999997</v>
      </c>
      <c r="H132" s="1604">
        <v>0.96399999999999997</v>
      </c>
      <c r="I132" s="1604">
        <v>0.89119999999999999</v>
      </c>
      <c r="J132" s="1604">
        <v>0.89119999999999999</v>
      </c>
      <c r="K132" s="1604">
        <v>0.89119999999999999</v>
      </c>
      <c r="L132" s="1604">
        <v>0.89119999999999999</v>
      </c>
      <c r="M132" s="1604">
        <v>0.89119999999999999</v>
      </c>
    </row>
    <row r="133" spans="1:13">
      <c r="A133" s="1618">
        <v>2.9</v>
      </c>
      <c r="B133" s="1604">
        <v>1.0556000000000001</v>
      </c>
      <c r="C133" s="1604">
        <v>1.0556000000000001</v>
      </c>
      <c r="D133" s="1604">
        <v>0.95330000000000004</v>
      </c>
      <c r="E133" s="1604">
        <v>0.95330000000000004</v>
      </c>
      <c r="F133" s="1604">
        <v>0.95330000000000004</v>
      </c>
      <c r="G133" s="1604">
        <v>0.95330000000000004</v>
      </c>
      <c r="H133" s="1604">
        <v>0.95330000000000004</v>
      </c>
      <c r="I133" s="1604">
        <v>0.88019999999999998</v>
      </c>
      <c r="J133" s="1604">
        <v>0.88019999999999998</v>
      </c>
      <c r="K133" s="1604">
        <v>0.88019999999999998</v>
      </c>
      <c r="L133" s="1604">
        <v>0.88019999999999998</v>
      </c>
      <c r="M133" s="1604">
        <v>0.88019999999999998</v>
      </c>
    </row>
    <row r="134" spans="1:13">
      <c r="A134" s="1618">
        <v>3</v>
      </c>
      <c r="B134" s="1604">
        <v>1.0452999999999999</v>
      </c>
      <c r="C134" s="1604">
        <v>1.0452999999999999</v>
      </c>
      <c r="D134" s="1604">
        <v>0.94299999999999995</v>
      </c>
      <c r="E134" s="1604">
        <v>0.94299999999999995</v>
      </c>
      <c r="F134" s="1604">
        <v>0.94299999999999995</v>
      </c>
      <c r="G134" s="1604">
        <v>0.94299999999999995</v>
      </c>
      <c r="H134" s="1604">
        <v>0.94299999999999995</v>
      </c>
      <c r="I134" s="1604">
        <v>0.86970000000000003</v>
      </c>
      <c r="J134" s="1604">
        <v>0.86970000000000003</v>
      </c>
      <c r="K134" s="1604">
        <v>0.86970000000000003</v>
      </c>
      <c r="L134" s="1604">
        <v>0.86970000000000003</v>
      </c>
      <c r="M134" s="1604">
        <v>0.86970000000000003</v>
      </c>
    </row>
    <row r="135" spans="1:13">
      <c r="A135" s="1618">
        <v>3.1</v>
      </c>
      <c r="B135" s="1604">
        <v>1.0354000000000001</v>
      </c>
      <c r="C135" s="1604">
        <v>1.0354000000000001</v>
      </c>
      <c r="D135" s="1604">
        <v>0.93330000000000002</v>
      </c>
      <c r="E135" s="1604">
        <v>0.93330000000000002</v>
      </c>
      <c r="F135" s="1604">
        <v>0.93330000000000002</v>
      </c>
      <c r="G135" s="1604">
        <v>0.93330000000000002</v>
      </c>
      <c r="H135" s="1604">
        <v>0.93330000000000002</v>
      </c>
      <c r="I135" s="1604">
        <v>0.85970000000000002</v>
      </c>
      <c r="J135" s="1604">
        <v>0.85970000000000002</v>
      </c>
      <c r="K135" s="1604">
        <v>0.85970000000000002</v>
      </c>
      <c r="L135" s="1604">
        <v>0.85970000000000002</v>
      </c>
      <c r="M135" s="1604">
        <v>0.85970000000000002</v>
      </c>
    </row>
    <row r="136" spans="1:13">
      <c r="A136" s="1618">
        <v>3.2</v>
      </c>
      <c r="B136" s="1604">
        <v>1.0259</v>
      </c>
      <c r="C136" s="1604">
        <v>1.0259</v>
      </c>
      <c r="D136" s="1604">
        <v>0.92410000000000003</v>
      </c>
      <c r="E136" s="1604">
        <v>0.92410000000000003</v>
      </c>
      <c r="F136" s="1604">
        <v>0.92410000000000003</v>
      </c>
      <c r="G136" s="1604">
        <v>0.92410000000000003</v>
      </c>
      <c r="H136" s="1604">
        <v>0.92410000000000003</v>
      </c>
      <c r="I136" s="1604">
        <v>0.85019999999999996</v>
      </c>
      <c r="J136" s="1604">
        <v>0.85019999999999996</v>
      </c>
      <c r="K136" s="1604">
        <v>0.85019999999999996</v>
      </c>
      <c r="L136" s="1604">
        <v>0.85019999999999996</v>
      </c>
      <c r="M136" s="1604">
        <v>0.85019999999999996</v>
      </c>
    </row>
    <row r="137" spans="1:13">
      <c r="A137" s="1618">
        <v>3.3</v>
      </c>
      <c r="B137" s="1604">
        <v>1.0168999999999999</v>
      </c>
      <c r="C137" s="1604">
        <v>1.0168999999999999</v>
      </c>
      <c r="D137" s="1604">
        <v>0.91539999999999999</v>
      </c>
      <c r="E137" s="1604">
        <v>0.91539999999999999</v>
      </c>
      <c r="F137" s="1604">
        <v>0.91539999999999999</v>
      </c>
      <c r="G137" s="1604">
        <v>0.91539999999999999</v>
      </c>
      <c r="H137" s="1604">
        <v>0.91539999999999999</v>
      </c>
      <c r="I137" s="1604">
        <v>0.84109999999999996</v>
      </c>
      <c r="J137" s="1604">
        <v>0.84109999999999996</v>
      </c>
      <c r="K137" s="1604">
        <v>0.84109999999999996</v>
      </c>
      <c r="L137" s="1604">
        <v>0.84109999999999996</v>
      </c>
      <c r="M137" s="1604">
        <v>0.84109999999999996</v>
      </c>
    </row>
    <row r="138" spans="1:13">
      <c r="A138" s="1618">
        <v>3.4</v>
      </c>
      <c r="B138" s="1604">
        <v>1.0082</v>
      </c>
      <c r="C138" s="1604">
        <v>1.0082</v>
      </c>
      <c r="D138" s="1604">
        <v>0.90710000000000002</v>
      </c>
      <c r="E138" s="1604">
        <v>0.90710000000000002</v>
      </c>
      <c r="F138" s="1604">
        <v>0.90710000000000002</v>
      </c>
      <c r="G138" s="1604">
        <v>0.90710000000000002</v>
      </c>
      <c r="H138" s="1604">
        <v>0.90710000000000002</v>
      </c>
      <c r="I138" s="1604">
        <v>0.83240000000000003</v>
      </c>
      <c r="J138" s="1604">
        <v>0.83240000000000003</v>
      </c>
      <c r="K138" s="1604">
        <v>0.83240000000000003</v>
      </c>
      <c r="L138" s="1604">
        <v>0.83240000000000003</v>
      </c>
      <c r="M138" s="1604">
        <v>0.83240000000000003</v>
      </c>
    </row>
    <row r="139" spans="1:13">
      <c r="A139" s="1618">
        <v>3.5</v>
      </c>
      <c r="B139" s="1604">
        <v>1</v>
      </c>
      <c r="C139" s="1604">
        <v>1</v>
      </c>
      <c r="D139" s="1604">
        <v>0.89929999999999999</v>
      </c>
      <c r="E139" s="1604">
        <v>0.89929999999999999</v>
      </c>
      <c r="F139" s="1604">
        <v>0.89929999999999999</v>
      </c>
      <c r="G139" s="1604">
        <v>0.89929999999999999</v>
      </c>
      <c r="H139" s="1604">
        <v>0.89929999999999999</v>
      </c>
      <c r="I139" s="1604">
        <v>0.82410000000000005</v>
      </c>
      <c r="J139" s="1604">
        <v>0.82410000000000005</v>
      </c>
      <c r="K139" s="1604">
        <v>0.82410000000000005</v>
      </c>
      <c r="L139" s="1604">
        <v>0.82410000000000005</v>
      </c>
      <c r="M139" s="1604">
        <v>0.82410000000000005</v>
      </c>
    </row>
    <row r="140" spans="1:13">
      <c r="A140" s="1618">
        <v>3.6</v>
      </c>
      <c r="B140" s="1604">
        <v>0.99219999999999997</v>
      </c>
      <c r="C140" s="1604">
        <v>0.99219999999999997</v>
      </c>
      <c r="D140" s="1604">
        <v>0.89190000000000003</v>
      </c>
      <c r="E140" s="1604">
        <v>0.89190000000000003</v>
      </c>
      <c r="F140" s="1604">
        <v>0.89190000000000003</v>
      </c>
      <c r="G140" s="1604">
        <v>0.89190000000000003</v>
      </c>
      <c r="H140" s="1604">
        <v>0.89190000000000003</v>
      </c>
      <c r="I140" s="1604">
        <v>0.81620000000000004</v>
      </c>
      <c r="J140" s="1604">
        <v>0.81620000000000004</v>
      </c>
      <c r="K140" s="1604">
        <v>0.81620000000000004</v>
      </c>
      <c r="L140" s="1604">
        <v>0.81620000000000004</v>
      </c>
      <c r="M140" s="1604">
        <v>0.81620000000000004</v>
      </c>
    </row>
    <row r="141" spans="1:13">
      <c r="A141" s="1618">
        <v>3.7</v>
      </c>
      <c r="B141" s="1604">
        <v>0.98480000000000001</v>
      </c>
      <c r="C141" s="1604">
        <v>0.98480000000000001</v>
      </c>
      <c r="D141" s="1604">
        <v>0.88480000000000003</v>
      </c>
      <c r="E141" s="1604">
        <v>0.88480000000000003</v>
      </c>
      <c r="F141" s="1604">
        <v>0.88480000000000003</v>
      </c>
      <c r="G141" s="1604">
        <v>0.88480000000000003</v>
      </c>
      <c r="H141" s="1604">
        <v>0.88480000000000003</v>
      </c>
      <c r="I141" s="1604">
        <v>0.80869999999999997</v>
      </c>
      <c r="J141" s="1604">
        <v>0.80869999999999997</v>
      </c>
      <c r="K141" s="1604">
        <v>0.80869999999999997</v>
      </c>
      <c r="L141" s="1604">
        <v>0.80869999999999997</v>
      </c>
      <c r="M141" s="1604">
        <v>0.80869999999999997</v>
      </c>
    </row>
    <row r="142" spans="1:13">
      <c r="A142" s="1618">
        <v>3.8</v>
      </c>
      <c r="B142" s="1604">
        <v>0.9778</v>
      </c>
      <c r="C142" s="1604">
        <v>0.9778</v>
      </c>
      <c r="D142" s="1604">
        <v>0.87809999999999999</v>
      </c>
      <c r="E142" s="1604">
        <v>0.87809999999999999</v>
      </c>
      <c r="F142" s="1604">
        <v>0.87809999999999999</v>
      </c>
      <c r="G142" s="1604">
        <v>0.87809999999999999</v>
      </c>
      <c r="H142" s="1604">
        <v>0.87809999999999999</v>
      </c>
      <c r="I142" s="1604">
        <v>0.80159999999999998</v>
      </c>
      <c r="J142" s="1604">
        <v>0.80159999999999998</v>
      </c>
      <c r="K142" s="1604">
        <v>0.80159999999999998</v>
      </c>
      <c r="L142" s="1604">
        <v>0.80159999999999998</v>
      </c>
      <c r="M142" s="1604">
        <v>0.80159999999999998</v>
      </c>
    </row>
    <row r="143" spans="1:13">
      <c r="A143" s="1618">
        <v>3.9</v>
      </c>
      <c r="B143" s="1604">
        <v>0.97119999999999995</v>
      </c>
      <c r="C143" s="1604">
        <v>0.97119999999999995</v>
      </c>
      <c r="D143" s="1604">
        <v>0.87180000000000002</v>
      </c>
      <c r="E143" s="1604">
        <v>0.87180000000000002</v>
      </c>
      <c r="F143" s="1604">
        <v>0.87180000000000002</v>
      </c>
      <c r="G143" s="1604">
        <v>0.87180000000000002</v>
      </c>
      <c r="H143" s="1604">
        <v>0.87180000000000002</v>
      </c>
      <c r="I143" s="1604">
        <v>0.79479999999999995</v>
      </c>
      <c r="J143" s="1604">
        <v>0.79479999999999995</v>
      </c>
      <c r="K143" s="1604">
        <v>0.79479999999999995</v>
      </c>
      <c r="L143" s="1604">
        <v>0.79479999999999995</v>
      </c>
      <c r="M143" s="1604">
        <v>0.79479999999999995</v>
      </c>
    </row>
    <row r="144" spans="1:13">
      <c r="A144" s="1618">
        <v>4</v>
      </c>
      <c r="B144" s="1604">
        <v>0.96499999999999997</v>
      </c>
      <c r="C144" s="1604">
        <v>0.96499999999999997</v>
      </c>
      <c r="D144" s="1604">
        <v>0.86580000000000001</v>
      </c>
      <c r="E144" s="1604">
        <v>0.86580000000000001</v>
      </c>
      <c r="F144" s="1604">
        <v>0.86580000000000001</v>
      </c>
      <c r="G144" s="1604">
        <v>0.86580000000000001</v>
      </c>
      <c r="H144" s="1604">
        <v>0.86580000000000001</v>
      </c>
      <c r="I144" s="1604">
        <v>0.7883</v>
      </c>
      <c r="J144" s="1604">
        <v>0.7883</v>
      </c>
      <c r="K144" s="1604">
        <v>0.7883</v>
      </c>
      <c r="L144" s="1604">
        <v>0.7883</v>
      </c>
      <c r="M144" s="1604">
        <v>0.7883</v>
      </c>
    </row>
    <row r="145" spans="1:13">
      <c r="A145" s="1618">
        <v>4.0999999999999996</v>
      </c>
      <c r="B145" s="1604">
        <v>0.95909999999999995</v>
      </c>
      <c r="C145" s="1604">
        <v>0.95909999999999995</v>
      </c>
      <c r="D145" s="1604">
        <v>0.86009999999999998</v>
      </c>
      <c r="E145" s="1604">
        <v>0.86009999999999998</v>
      </c>
      <c r="F145" s="1604">
        <v>0.86009999999999998</v>
      </c>
      <c r="G145" s="1604">
        <v>0.86009999999999998</v>
      </c>
      <c r="H145" s="1604">
        <v>0.86009999999999998</v>
      </c>
      <c r="I145" s="1604">
        <v>0.78200000000000003</v>
      </c>
      <c r="J145" s="1604">
        <v>0.78200000000000003</v>
      </c>
      <c r="K145" s="1604">
        <v>0.78200000000000003</v>
      </c>
      <c r="L145" s="1604">
        <v>0.78200000000000003</v>
      </c>
      <c r="M145" s="1604">
        <v>0.78200000000000003</v>
      </c>
    </row>
    <row r="146" spans="1:13">
      <c r="A146" s="1618">
        <v>4.2</v>
      </c>
      <c r="B146" s="1604">
        <v>0.95350000000000001</v>
      </c>
      <c r="C146" s="1604">
        <v>0.95350000000000001</v>
      </c>
      <c r="D146" s="1604">
        <v>0.85470000000000002</v>
      </c>
      <c r="E146" s="1604">
        <v>0.85470000000000002</v>
      </c>
      <c r="F146" s="1604">
        <v>0.85470000000000002</v>
      </c>
      <c r="G146" s="1604">
        <v>0.85470000000000002</v>
      </c>
      <c r="H146" s="1604">
        <v>0.85470000000000002</v>
      </c>
      <c r="I146" s="1604">
        <v>0.77600000000000002</v>
      </c>
      <c r="J146" s="1604">
        <v>0.77600000000000002</v>
      </c>
      <c r="K146" s="1604">
        <v>0.77600000000000002</v>
      </c>
      <c r="L146" s="1604">
        <v>0.77600000000000002</v>
      </c>
      <c r="M146" s="1604">
        <v>0.77600000000000002</v>
      </c>
    </row>
    <row r="147" spans="1:13">
      <c r="A147" s="1618">
        <v>4.3</v>
      </c>
      <c r="B147" s="1604">
        <v>0.94820000000000004</v>
      </c>
      <c r="C147" s="1604">
        <v>0.94820000000000004</v>
      </c>
      <c r="D147" s="1604">
        <v>0.84960000000000002</v>
      </c>
      <c r="E147" s="1604">
        <v>0.84960000000000002</v>
      </c>
      <c r="F147" s="1604">
        <v>0.84960000000000002</v>
      </c>
      <c r="G147" s="1604">
        <v>0.84960000000000002</v>
      </c>
      <c r="H147" s="1604">
        <v>0.84960000000000002</v>
      </c>
      <c r="I147" s="1604">
        <v>0.77029999999999998</v>
      </c>
      <c r="J147" s="1604">
        <v>0.77029999999999998</v>
      </c>
      <c r="K147" s="1604">
        <v>0.77029999999999998</v>
      </c>
      <c r="L147" s="1604">
        <v>0.77029999999999998</v>
      </c>
      <c r="M147" s="1604">
        <v>0.77029999999999998</v>
      </c>
    </row>
    <row r="148" spans="1:13">
      <c r="A148" s="1618">
        <v>4.4000000000000004</v>
      </c>
      <c r="B148" s="1604">
        <v>0.94320000000000004</v>
      </c>
      <c r="C148" s="1604">
        <v>0.94320000000000004</v>
      </c>
      <c r="D148" s="1604">
        <v>0.8448</v>
      </c>
      <c r="E148" s="1604">
        <v>0.8448</v>
      </c>
      <c r="F148" s="1604">
        <v>0.8448</v>
      </c>
      <c r="G148" s="1604">
        <v>0.8448</v>
      </c>
      <c r="H148" s="1604">
        <v>0.8448</v>
      </c>
      <c r="I148" s="1604">
        <v>0.76490000000000002</v>
      </c>
      <c r="J148" s="1604">
        <v>0.76490000000000002</v>
      </c>
      <c r="K148" s="1604">
        <v>0.76490000000000002</v>
      </c>
      <c r="L148" s="1604">
        <v>0.76490000000000002</v>
      </c>
      <c r="M148" s="1604">
        <v>0.76490000000000002</v>
      </c>
    </row>
    <row r="149" spans="1:13">
      <c r="A149" s="1618">
        <v>4.5</v>
      </c>
      <c r="B149" s="1604">
        <v>0.9385</v>
      </c>
      <c r="C149" s="1604">
        <v>0.9385</v>
      </c>
      <c r="D149" s="1604">
        <v>0.84019999999999995</v>
      </c>
      <c r="E149" s="1604">
        <v>0.84019999999999995</v>
      </c>
      <c r="F149" s="1604">
        <v>0.84019999999999995</v>
      </c>
      <c r="G149" s="1604">
        <v>0.84019999999999995</v>
      </c>
      <c r="H149" s="1604">
        <v>0.84019999999999995</v>
      </c>
      <c r="I149" s="1604">
        <v>0.75970000000000004</v>
      </c>
      <c r="J149" s="1604">
        <v>0.75970000000000004</v>
      </c>
      <c r="K149" s="1604">
        <v>0.75970000000000004</v>
      </c>
      <c r="L149" s="1604">
        <v>0.75970000000000004</v>
      </c>
      <c r="M149" s="1604">
        <v>0.75970000000000004</v>
      </c>
    </row>
    <row r="150" spans="1:13">
      <c r="A150" s="1618">
        <v>4.5999999999999996</v>
      </c>
      <c r="B150" s="1604">
        <v>0.93410000000000004</v>
      </c>
      <c r="C150" s="1604">
        <v>0.93410000000000004</v>
      </c>
      <c r="D150" s="1604">
        <v>0.83579999999999999</v>
      </c>
      <c r="E150" s="1604">
        <v>0.83579999999999999</v>
      </c>
      <c r="F150" s="1604">
        <v>0.83579999999999999</v>
      </c>
      <c r="G150" s="1604">
        <v>0.83579999999999999</v>
      </c>
      <c r="H150" s="1604">
        <v>0.83579999999999999</v>
      </c>
      <c r="I150" s="1604">
        <v>0.75470000000000004</v>
      </c>
      <c r="J150" s="1604">
        <v>0.75470000000000004</v>
      </c>
      <c r="K150" s="1604">
        <v>0.75470000000000004</v>
      </c>
      <c r="L150" s="1604">
        <v>0.75470000000000004</v>
      </c>
      <c r="M150" s="1604">
        <v>0.75470000000000004</v>
      </c>
    </row>
    <row r="151" spans="1:13">
      <c r="A151" s="1618">
        <v>4.7</v>
      </c>
      <c r="B151" s="1604">
        <v>0.92989999999999995</v>
      </c>
      <c r="C151" s="1604">
        <v>0.92989999999999995</v>
      </c>
      <c r="D151" s="1604">
        <v>0.83160000000000001</v>
      </c>
      <c r="E151" s="1604">
        <v>0.83160000000000001</v>
      </c>
      <c r="F151" s="1604">
        <v>0.83160000000000001</v>
      </c>
      <c r="G151" s="1604">
        <v>0.83160000000000001</v>
      </c>
      <c r="H151" s="1604">
        <v>0.83160000000000001</v>
      </c>
      <c r="I151" s="1604">
        <v>0.74990000000000001</v>
      </c>
      <c r="J151" s="1604">
        <v>0.74990000000000001</v>
      </c>
      <c r="K151" s="1604">
        <v>0.74990000000000001</v>
      </c>
      <c r="L151" s="1604">
        <v>0.74990000000000001</v>
      </c>
      <c r="M151" s="1604">
        <v>0.74990000000000001</v>
      </c>
    </row>
    <row r="152" spans="1:13">
      <c r="A152" s="1618">
        <v>4.8</v>
      </c>
      <c r="B152" s="1604">
        <v>0.92589999999999995</v>
      </c>
      <c r="C152" s="1604">
        <v>0.92589999999999995</v>
      </c>
      <c r="D152" s="1604">
        <v>0.82769999999999999</v>
      </c>
      <c r="E152" s="1604">
        <v>0.82769999999999999</v>
      </c>
      <c r="F152" s="1604">
        <v>0.82769999999999999</v>
      </c>
      <c r="G152" s="1604">
        <v>0.82769999999999999</v>
      </c>
      <c r="H152" s="1604">
        <v>0.82769999999999999</v>
      </c>
      <c r="I152" s="1604">
        <v>0.74529999999999996</v>
      </c>
      <c r="J152" s="1604">
        <v>0.74529999999999996</v>
      </c>
      <c r="K152" s="1604">
        <v>0.74529999999999996</v>
      </c>
      <c r="L152" s="1604">
        <v>0.74529999999999996</v>
      </c>
      <c r="M152" s="1604">
        <v>0.74529999999999996</v>
      </c>
    </row>
    <row r="153" spans="1:13">
      <c r="A153" s="1618">
        <v>4.9000000000000004</v>
      </c>
      <c r="B153" s="1604">
        <v>0.92210000000000003</v>
      </c>
      <c r="C153" s="1604">
        <v>0.92210000000000003</v>
      </c>
      <c r="D153" s="1604">
        <v>0.82389999999999997</v>
      </c>
      <c r="E153" s="1604">
        <v>0.82389999999999997</v>
      </c>
      <c r="F153" s="1604">
        <v>0.82389999999999997</v>
      </c>
      <c r="G153" s="1604">
        <v>0.82389999999999997</v>
      </c>
      <c r="H153" s="1604">
        <v>0.82389999999999997</v>
      </c>
      <c r="I153" s="1604">
        <v>0.7409</v>
      </c>
      <c r="J153" s="1604">
        <v>0.7409</v>
      </c>
      <c r="K153" s="1604">
        <v>0.7409</v>
      </c>
      <c r="L153" s="1604">
        <v>0.7409</v>
      </c>
      <c r="M153" s="1604">
        <v>0.7409</v>
      </c>
    </row>
    <row r="154" spans="1:13">
      <c r="A154" s="1618">
        <v>5</v>
      </c>
      <c r="B154" s="1604">
        <v>0.91849999999999998</v>
      </c>
      <c r="C154" s="1604">
        <v>0.91849999999999998</v>
      </c>
      <c r="D154" s="1604">
        <v>0.82030000000000003</v>
      </c>
      <c r="E154" s="1604">
        <v>0.82030000000000003</v>
      </c>
      <c r="F154" s="1604">
        <v>0.82030000000000003</v>
      </c>
      <c r="G154" s="1604">
        <v>0.82030000000000003</v>
      </c>
      <c r="H154" s="1604">
        <v>0.82030000000000003</v>
      </c>
      <c r="I154" s="1604">
        <v>0.73670000000000002</v>
      </c>
      <c r="J154" s="1604">
        <v>0.73670000000000002</v>
      </c>
      <c r="K154" s="1604">
        <v>0.73670000000000002</v>
      </c>
      <c r="L154" s="1604">
        <v>0.73670000000000002</v>
      </c>
      <c r="M154" s="1604">
        <v>0.73670000000000002</v>
      </c>
    </row>
    <row r="155" spans="1:13">
      <c r="A155" s="1595">
        <v>5.0999999999999996</v>
      </c>
      <c r="B155" s="1604">
        <v>0.91510000000000002</v>
      </c>
      <c r="C155" s="1604">
        <v>0.91510000000000002</v>
      </c>
      <c r="D155" s="1604">
        <v>0.81689999999999996</v>
      </c>
      <c r="E155" s="1604">
        <v>0.81689999999999996</v>
      </c>
      <c r="F155" s="1604">
        <v>0.81689999999999996</v>
      </c>
      <c r="G155" s="1604">
        <v>0.81689999999999996</v>
      </c>
      <c r="H155" s="1604">
        <v>0.81689999999999996</v>
      </c>
      <c r="I155" s="1604">
        <v>0.73270000000000002</v>
      </c>
      <c r="J155" s="1604">
        <v>0.73270000000000002</v>
      </c>
      <c r="K155" s="1604">
        <v>0.73270000000000002</v>
      </c>
      <c r="L155" s="1604">
        <v>0.73270000000000002</v>
      </c>
      <c r="M155" s="1604">
        <v>0.73270000000000002</v>
      </c>
    </row>
    <row r="156" spans="1:13">
      <c r="A156" s="1595">
        <v>5.2</v>
      </c>
      <c r="B156" s="1604">
        <v>0.91190000000000004</v>
      </c>
      <c r="C156" s="1604">
        <v>0.91190000000000004</v>
      </c>
      <c r="D156" s="1604">
        <v>0.81359999999999999</v>
      </c>
      <c r="E156" s="1604">
        <v>0.81359999999999999</v>
      </c>
      <c r="F156" s="1604">
        <v>0.81359999999999999</v>
      </c>
      <c r="G156" s="1604">
        <v>0.81359999999999999</v>
      </c>
      <c r="H156" s="1604">
        <v>0.81359999999999999</v>
      </c>
      <c r="I156" s="1604">
        <v>0.72889999999999999</v>
      </c>
      <c r="J156" s="1604">
        <v>0.72889999999999999</v>
      </c>
      <c r="K156" s="1604">
        <v>0.72889999999999999</v>
      </c>
      <c r="L156" s="1604">
        <v>0.72889999999999999</v>
      </c>
      <c r="M156" s="1604">
        <v>0.72889999999999999</v>
      </c>
    </row>
    <row r="157" spans="1:13">
      <c r="A157" s="1595">
        <v>5.3</v>
      </c>
      <c r="B157" s="1604">
        <v>0.90880000000000005</v>
      </c>
      <c r="C157" s="1604">
        <v>0.90880000000000005</v>
      </c>
      <c r="D157" s="1604">
        <v>0.8105</v>
      </c>
      <c r="E157" s="1604">
        <v>0.8105</v>
      </c>
      <c r="F157" s="1604">
        <v>0.8105</v>
      </c>
      <c r="G157" s="1604">
        <v>0.8105</v>
      </c>
      <c r="H157" s="1604">
        <v>0.8105</v>
      </c>
      <c r="I157" s="1604">
        <v>0.72529999999999994</v>
      </c>
      <c r="J157" s="1604">
        <v>0.72529999999999994</v>
      </c>
      <c r="K157" s="1604">
        <v>0.72529999999999994</v>
      </c>
      <c r="L157" s="1604">
        <v>0.72529999999999994</v>
      </c>
      <c r="M157" s="1604">
        <v>0.72529999999999994</v>
      </c>
    </row>
    <row r="158" spans="1:13">
      <c r="A158" s="1595">
        <v>5.4</v>
      </c>
      <c r="B158" s="1604">
        <v>0.90580000000000005</v>
      </c>
      <c r="C158" s="1604">
        <v>0.90580000000000005</v>
      </c>
      <c r="D158" s="1604">
        <v>0.8075</v>
      </c>
      <c r="E158" s="1604">
        <v>0.8075</v>
      </c>
      <c r="F158" s="1604">
        <v>0.8075</v>
      </c>
      <c r="G158" s="1604">
        <v>0.8075</v>
      </c>
      <c r="H158" s="1604">
        <v>0.8075</v>
      </c>
      <c r="I158" s="1604">
        <v>0.7218</v>
      </c>
      <c r="J158" s="1604">
        <v>0.7218</v>
      </c>
      <c r="K158" s="1604">
        <v>0.7218</v>
      </c>
      <c r="L158" s="1604">
        <v>0.7218</v>
      </c>
      <c r="M158" s="1604">
        <v>0.7218</v>
      </c>
    </row>
    <row r="159" spans="1:13">
      <c r="A159" s="1595">
        <v>5.5</v>
      </c>
      <c r="B159" s="1604">
        <v>0.90290000000000004</v>
      </c>
      <c r="C159" s="1604">
        <v>0.90290000000000004</v>
      </c>
      <c r="D159" s="1604">
        <v>0.80469999999999997</v>
      </c>
      <c r="E159" s="1604">
        <v>0.80469999999999997</v>
      </c>
      <c r="F159" s="1604">
        <v>0.80469999999999997</v>
      </c>
      <c r="G159" s="1604">
        <v>0.80469999999999997</v>
      </c>
      <c r="H159" s="1604">
        <v>0.80469999999999997</v>
      </c>
      <c r="I159" s="1604">
        <v>0.71840000000000004</v>
      </c>
      <c r="J159" s="1604">
        <v>0.71840000000000004</v>
      </c>
      <c r="K159" s="1604">
        <v>0.71840000000000004</v>
      </c>
      <c r="L159" s="1604">
        <v>0.71840000000000004</v>
      </c>
      <c r="M159" s="1604">
        <v>0.71840000000000004</v>
      </c>
    </row>
    <row r="160" spans="1:13">
      <c r="A160" s="1595">
        <v>5.6</v>
      </c>
      <c r="B160" s="1604">
        <v>0.90010000000000001</v>
      </c>
      <c r="C160" s="1604">
        <v>0.90010000000000001</v>
      </c>
      <c r="D160" s="1604">
        <v>0.80200000000000005</v>
      </c>
      <c r="E160" s="1604">
        <v>0.80200000000000005</v>
      </c>
      <c r="F160" s="1604">
        <v>0.80200000000000005</v>
      </c>
      <c r="G160" s="1604">
        <v>0.80200000000000005</v>
      </c>
      <c r="H160" s="1604">
        <v>0.80200000000000005</v>
      </c>
      <c r="I160" s="1604">
        <v>0.71509999999999996</v>
      </c>
      <c r="J160" s="1604">
        <v>0.71509999999999996</v>
      </c>
      <c r="K160" s="1604">
        <v>0.71509999999999996</v>
      </c>
      <c r="L160" s="1604">
        <v>0.71509999999999996</v>
      </c>
      <c r="M160" s="1604">
        <v>0.71509999999999996</v>
      </c>
    </row>
    <row r="161" spans="1:13">
      <c r="A161" s="1618">
        <v>5.7</v>
      </c>
      <c r="B161" s="1604">
        <v>0.89749999999999996</v>
      </c>
      <c r="C161" s="1604">
        <v>0.89749999999999996</v>
      </c>
      <c r="D161" s="1604">
        <v>0.79930000000000001</v>
      </c>
      <c r="E161" s="1604">
        <v>0.79930000000000001</v>
      </c>
      <c r="F161" s="1604">
        <v>0.79930000000000001</v>
      </c>
      <c r="G161" s="1604">
        <v>0.79930000000000001</v>
      </c>
      <c r="H161" s="1604">
        <v>0.79930000000000001</v>
      </c>
      <c r="I161" s="1604">
        <v>0.71189999999999998</v>
      </c>
      <c r="J161" s="1604">
        <v>0.71189999999999998</v>
      </c>
      <c r="K161" s="1604">
        <v>0.71189999999999998</v>
      </c>
      <c r="L161" s="1604">
        <v>0.71189999999999998</v>
      </c>
      <c r="M161" s="1604">
        <v>0.71189999999999998</v>
      </c>
    </row>
    <row r="162" spans="1:13">
      <c r="A162" s="1595">
        <v>5.8</v>
      </c>
      <c r="B162" s="1604">
        <v>0.89500000000000002</v>
      </c>
      <c r="C162" s="1604">
        <v>0.89500000000000002</v>
      </c>
      <c r="D162" s="1604">
        <v>0.79679999999999995</v>
      </c>
      <c r="E162" s="1604">
        <v>0.79679999999999995</v>
      </c>
      <c r="F162" s="1604">
        <v>0.79679999999999995</v>
      </c>
      <c r="G162" s="1604">
        <v>0.79679999999999995</v>
      </c>
      <c r="H162" s="1604">
        <v>0.79679999999999995</v>
      </c>
      <c r="I162" s="1604">
        <v>0.70879999999999999</v>
      </c>
      <c r="J162" s="1604">
        <v>0.70879999999999999</v>
      </c>
      <c r="K162" s="1604">
        <v>0.70879999999999999</v>
      </c>
      <c r="L162" s="1604">
        <v>0.70879999999999999</v>
      </c>
      <c r="M162" s="1604">
        <v>0.70879999999999999</v>
      </c>
    </row>
    <row r="163" spans="1:13">
      <c r="A163" s="1595">
        <v>5.9</v>
      </c>
      <c r="B163" s="1604">
        <v>0.89259999999999995</v>
      </c>
      <c r="C163" s="1604">
        <v>0.89259999999999995</v>
      </c>
      <c r="D163" s="1604">
        <v>0.7944</v>
      </c>
      <c r="E163" s="1604">
        <v>0.7944</v>
      </c>
      <c r="F163" s="1604">
        <v>0.7944</v>
      </c>
      <c r="G163" s="1604">
        <v>0.7944</v>
      </c>
      <c r="H163" s="1604">
        <v>0.7944</v>
      </c>
      <c r="I163" s="1604">
        <v>0.70579999999999998</v>
      </c>
      <c r="J163" s="1604">
        <v>0.70579999999999998</v>
      </c>
      <c r="K163" s="1604">
        <v>0.70579999999999998</v>
      </c>
      <c r="L163" s="1604">
        <v>0.70579999999999998</v>
      </c>
      <c r="M163" s="1604">
        <v>0.70579999999999998</v>
      </c>
    </row>
    <row r="164" spans="1:13">
      <c r="A164" s="1595">
        <v>6</v>
      </c>
      <c r="B164" s="1604">
        <v>0.89029999999999998</v>
      </c>
      <c r="C164" s="1604">
        <v>0.89029999999999998</v>
      </c>
      <c r="D164" s="1604">
        <v>0.79200000000000004</v>
      </c>
      <c r="E164" s="1604">
        <v>0.79200000000000004</v>
      </c>
      <c r="F164" s="1604">
        <v>0.79200000000000004</v>
      </c>
      <c r="G164" s="1604">
        <v>0.79200000000000004</v>
      </c>
      <c r="H164" s="1604">
        <v>0.79200000000000004</v>
      </c>
      <c r="I164" s="1604">
        <v>0.70289999999999997</v>
      </c>
      <c r="J164" s="1604">
        <v>0.70289999999999997</v>
      </c>
      <c r="K164" s="1604">
        <v>0.70289999999999997</v>
      </c>
      <c r="L164" s="1604">
        <v>0.70289999999999997</v>
      </c>
      <c r="M164" s="1604">
        <v>0.70289999999999997</v>
      </c>
    </row>
    <row r="165" spans="1:13">
      <c r="A165" s="1595">
        <v>6.1</v>
      </c>
      <c r="B165" s="1604">
        <v>0.8881</v>
      </c>
      <c r="C165" s="1604">
        <v>0.8881</v>
      </c>
      <c r="D165" s="1604">
        <v>0.78979999999999995</v>
      </c>
      <c r="E165" s="1604">
        <v>0.78979999999999995</v>
      </c>
      <c r="F165" s="1604">
        <v>0.78979999999999995</v>
      </c>
      <c r="G165" s="1604">
        <v>0.78979999999999995</v>
      </c>
      <c r="H165" s="1604">
        <v>0.78979999999999995</v>
      </c>
      <c r="I165" s="1604">
        <v>0.70009999999999994</v>
      </c>
      <c r="J165" s="1604">
        <v>0.70009999999999994</v>
      </c>
      <c r="K165" s="1604">
        <v>0.70009999999999994</v>
      </c>
      <c r="L165" s="1604">
        <v>0.70009999999999994</v>
      </c>
      <c r="M165" s="1604">
        <v>0.70009999999999994</v>
      </c>
    </row>
    <row r="166" spans="1:13">
      <c r="A166" s="1595">
        <v>6.2</v>
      </c>
      <c r="B166" s="1604">
        <v>0.88600000000000001</v>
      </c>
      <c r="C166" s="1604">
        <v>0.88600000000000001</v>
      </c>
      <c r="D166" s="1604">
        <v>0.78759999999999997</v>
      </c>
      <c r="E166" s="1604">
        <v>0.78759999999999997</v>
      </c>
      <c r="F166" s="1604">
        <v>0.78759999999999997</v>
      </c>
      <c r="G166" s="1604">
        <v>0.78759999999999997</v>
      </c>
      <c r="H166" s="1604">
        <v>0.78759999999999997</v>
      </c>
      <c r="I166" s="1604">
        <v>0.69740000000000002</v>
      </c>
      <c r="J166" s="1604">
        <v>0.69740000000000002</v>
      </c>
      <c r="K166" s="1604">
        <v>0.69740000000000002</v>
      </c>
      <c r="L166" s="1604">
        <v>0.69740000000000002</v>
      </c>
      <c r="M166" s="1604">
        <v>0.69740000000000002</v>
      </c>
    </row>
    <row r="167" spans="1:13">
      <c r="A167" s="1595">
        <v>6.3</v>
      </c>
      <c r="B167" s="1604">
        <v>0.88390000000000002</v>
      </c>
      <c r="C167" s="1604">
        <v>0.88390000000000002</v>
      </c>
      <c r="D167" s="1604">
        <v>0.78549999999999998</v>
      </c>
      <c r="E167" s="1604">
        <v>0.78549999999999998</v>
      </c>
      <c r="F167" s="1604">
        <v>0.78549999999999998</v>
      </c>
      <c r="G167" s="1604">
        <v>0.78549999999999998</v>
      </c>
      <c r="H167" s="1604">
        <v>0.78549999999999998</v>
      </c>
      <c r="I167" s="1604">
        <v>0.69479999999999997</v>
      </c>
      <c r="J167" s="1604">
        <v>0.69479999999999997</v>
      </c>
      <c r="K167" s="1604">
        <v>0.69479999999999997</v>
      </c>
      <c r="L167" s="1604">
        <v>0.69479999999999997</v>
      </c>
      <c r="M167" s="1604">
        <v>0.69479999999999997</v>
      </c>
    </row>
    <row r="168" spans="1:13">
      <c r="A168" s="1595">
        <v>6.4</v>
      </c>
      <c r="B168" s="1604">
        <v>0.88190000000000002</v>
      </c>
      <c r="C168" s="1604">
        <v>0.88190000000000002</v>
      </c>
      <c r="D168" s="1604">
        <v>0.78339999999999999</v>
      </c>
      <c r="E168" s="1604">
        <v>0.78339999999999999</v>
      </c>
      <c r="F168" s="1604">
        <v>0.78339999999999999</v>
      </c>
      <c r="G168" s="1604">
        <v>0.78339999999999999</v>
      </c>
      <c r="H168" s="1604">
        <v>0.78339999999999999</v>
      </c>
      <c r="I168" s="1604">
        <v>0.69230000000000003</v>
      </c>
      <c r="J168" s="1604">
        <v>0.69230000000000003</v>
      </c>
      <c r="K168" s="1604">
        <v>0.69230000000000003</v>
      </c>
      <c r="L168" s="1604">
        <v>0.69230000000000003</v>
      </c>
      <c r="M168" s="1604">
        <v>0.69230000000000003</v>
      </c>
    </row>
    <row r="169" spans="1:13">
      <c r="A169" s="1595">
        <v>6.5</v>
      </c>
      <c r="B169" s="1604">
        <v>0.88</v>
      </c>
      <c r="C169" s="1604">
        <v>0.88</v>
      </c>
      <c r="D169" s="1604">
        <v>0.78139999999999998</v>
      </c>
      <c r="E169" s="1604">
        <v>0.78139999999999998</v>
      </c>
      <c r="F169" s="1604">
        <v>0.78139999999999998</v>
      </c>
      <c r="G169" s="1604">
        <v>0.78139999999999998</v>
      </c>
      <c r="H169" s="1604">
        <v>0.78139999999999998</v>
      </c>
      <c r="I169" s="1604">
        <v>0.68989999999999996</v>
      </c>
      <c r="J169" s="1604">
        <v>0.68989999999999996</v>
      </c>
      <c r="K169" s="1604">
        <v>0.68989999999999996</v>
      </c>
      <c r="L169" s="1604">
        <v>0.68989999999999996</v>
      </c>
      <c r="M169" s="1604">
        <v>0.68989999999999996</v>
      </c>
    </row>
    <row r="170" spans="1:13">
      <c r="A170" s="1595">
        <v>6.6</v>
      </c>
      <c r="B170" s="1604">
        <v>0.87809999999999999</v>
      </c>
      <c r="C170" s="1604">
        <v>0.87809999999999999</v>
      </c>
      <c r="D170" s="1604">
        <v>0.77949999999999997</v>
      </c>
      <c r="E170" s="1604">
        <v>0.77949999999999997</v>
      </c>
      <c r="F170" s="1604">
        <v>0.77949999999999997</v>
      </c>
      <c r="G170" s="1604">
        <v>0.77949999999999997</v>
      </c>
      <c r="H170" s="1604">
        <v>0.77949999999999997</v>
      </c>
      <c r="I170" s="1604">
        <v>0.68759999999999999</v>
      </c>
      <c r="J170" s="1604">
        <v>0.68759999999999999</v>
      </c>
      <c r="K170" s="1604">
        <v>0.68759999999999999</v>
      </c>
      <c r="L170" s="1604">
        <v>0.68759999999999999</v>
      </c>
      <c r="M170" s="1604">
        <v>0.68759999999999999</v>
      </c>
    </row>
    <row r="171" spans="1:13">
      <c r="A171" s="1595">
        <v>6.7</v>
      </c>
      <c r="B171" s="1604">
        <v>0.87629999999999997</v>
      </c>
      <c r="C171" s="1604">
        <v>0.87629999999999997</v>
      </c>
      <c r="D171" s="1604">
        <v>0.77759999999999996</v>
      </c>
      <c r="E171" s="1604">
        <v>0.77759999999999996</v>
      </c>
      <c r="F171" s="1604">
        <v>0.77759999999999996</v>
      </c>
      <c r="G171" s="1604">
        <v>0.77759999999999996</v>
      </c>
      <c r="H171" s="1604">
        <v>0.77759999999999996</v>
      </c>
      <c r="I171" s="1604">
        <v>0.68530000000000002</v>
      </c>
      <c r="J171" s="1604">
        <v>0.68530000000000002</v>
      </c>
      <c r="K171" s="1604">
        <v>0.68530000000000002</v>
      </c>
      <c r="L171" s="1604">
        <v>0.68530000000000002</v>
      </c>
      <c r="M171" s="1604">
        <v>0.68530000000000002</v>
      </c>
    </row>
    <row r="172" spans="1:13">
      <c r="A172" s="1595">
        <v>6.8</v>
      </c>
      <c r="B172" s="1604">
        <v>0.87450000000000006</v>
      </c>
      <c r="C172" s="1604">
        <v>0.87450000000000006</v>
      </c>
      <c r="D172" s="1604">
        <v>0.77569999999999995</v>
      </c>
      <c r="E172" s="1604">
        <v>0.77569999999999995</v>
      </c>
      <c r="F172" s="1604">
        <v>0.77569999999999995</v>
      </c>
      <c r="G172" s="1604">
        <v>0.77569999999999995</v>
      </c>
      <c r="H172" s="1604">
        <v>0.77569999999999995</v>
      </c>
      <c r="I172" s="1604">
        <v>0.68310000000000004</v>
      </c>
      <c r="J172" s="1604">
        <v>0.68310000000000004</v>
      </c>
      <c r="K172" s="1604">
        <v>0.68310000000000004</v>
      </c>
      <c r="L172" s="1604">
        <v>0.68310000000000004</v>
      </c>
      <c r="M172" s="1604">
        <v>0.68310000000000004</v>
      </c>
    </row>
    <row r="173" spans="1:13">
      <c r="A173" s="1595">
        <v>6.9</v>
      </c>
      <c r="B173" s="1604">
        <v>0.87280000000000002</v>
      </c>
      <c r="C173" s="1604">
        <v>0.87280000000000002</v>
      </c>
      <c r="D173" s="1604">
        <v>0.77390000000000003</v>
      </c>
      <c r="E173" s="1604">
        <v>0.77390000000000003</v>
      </c>
      <c r="F173" s="1604">
        <v>0.77390000000000003</v>
      </c>
      <c r="G173" s="1604">
        <v>0.77390000000000003</v>
      </c>
      <c r="H173" s="1604">
        <v>0.77390000000000003</v>
      </c>
      <c r="I173" s="1604">
        <v>0.68089999999999995</v>
      </c>
      <c r="J173" s="1604">
        <v>0.68089999999999995</v>
      </c>
      <c r="K173" s="1604">
        <v>0.68089999999999995</v>
      </c>
      <c r="L173" s="1604">
        <v>0.68089999999999995</v>
      </c>
      <c r="M173" s="1604">
        <v>0.68089999999999995</v>
      </c>
    </row>
    <row r="174" spans="1:13">
      <c r="A174" s="1595">
        <v>7</v>
      </c>
      <c r="B174" s="1604">
        <v>0.87109999999999999</v>
      </c>
      <c r="C174" s="1604">
        <v>0.87109999999999999</v>
      </c>
      <c r="D174" s="1604">
        <v>0.77210000000000001</v>
      </c>
      <c r="E174" s="1604">
        <v>0.77210000000000001</v>
      </c>
      <c r="F174" s="1604">
        <v>0.77210000000000001</v>
      </c>
      <c r="G174" s="1604">
        <v>0.77210000000000001</v>
      </c>
      <c r="H174" s="1604">
        <v>0.77210000000000001</v>
      </c>
      <c r="I174" s="1604">
        <v>0.67879999999999996</v>
      </c>
      <c r="J174" s="1604">
        <v>0.67879999999999996</v>
      </c>
      <c r="K174" s="1604">
        <v>0.67879999999999996</v>
      </c>
      <c r="L174" s="1604">
        <v>0.67879999999999996</v>
      </c>
      <c r="M174" s="1604">
        <v>0.67879999999999996</v>
      </c>
    </row>
    <row r="175" spans="1:13">
      <c r="A175" s="1595">
        <v>7.1</v>
      </c>
      <c r="B175" s="1604">
        <v>0.86939999999999995</v>
      </c>
      <c r="C175" s="1604">
        <v>0.86939999999999995</v>
      </c>
      <c r="D175" s="1604">
        <v>0.77039999999999997</v>
      </c>
      <c r="E175" s="1604">
        <v>0.77039999999999997</v>
      </c>
      <c r="F175" s="1604">
        <v>0.77039999999999997</v>
      </c>
      <c r="G175" s="1604">
        <v>0.77039999999999997</v>
      </c>
      <c r="H175" s="1604">
        <v>0.77039999999999997</v>
      </c>
      <c r="I175" s="1604">
        <v>0.67669999999999997</v>
      </c>
      <c r="J175" s="1604">
        <v>0.67669999999999997</v>
      </c>
      <c r="K175" s="1604">
        <v>0.67669999999999997</v>
      </c>
      <c r="L175" s="1604">
        <v>0.67669999999999997</v>
      </c>
      <c r="M175" s="1604">
        <v>0.67669999999999997</v>
      </c>
    </row>
    <row r="176" spans="1:13">
      <c r="A176" s="1595">
        <v>7.2</v>
      </c>
      <c r="B176" s="1604">
        <v>0.86770000000000003</v>
      </c>
      <c r="C176" s="1604">
        <v>0.86770000000000003</v>
      </c>
      <c r="D176" s="1604">
        <v>0.76870000000000005</v>
      </c>
      <c r="E176" s="1604">
        <v>0.76870000000000005</v>
      </c>
      <c r="F176" s="1604">
        <v>0.76870000000000005</v>
      </c>
      <c r="G176" s="1604">
        <v>0.76870000000000005</v>
      </c>
      <c r="H176" s="1604">
        <v>0.76870000000000005</v>
      </c>
      <c r="I176" s="1604">
        <v>0.67469999999999997</v>
      </c>
      <c r="J176" s="1604">
        <v>0.67469999999999997</v>
      </c>
      <c r="K176" s="1604">
        <v>0.67469999999999997</v>
      </c>
      <c r="L176" s="1604">
        <v>0.67469999999999997</v>
      </c>
      <c r="M176" s="1604">
        <v>0.67469999999999997</v>
      </c>
    </row>
    <row r="177" spans="1:13">
      <c r="A177" s="1595">
        <v>7.3</v>
      </c>
      <c r="B177" s="1604">
        <v>0.86609999999999998</v>
      </c>
      <c r="C177" s="1604">
        <v>0.86609999999999998</v>
      </c>
      <c r="D177" s="1604">
        <v>0.76700000000000002</v>
      </c>
      <c r="E177" s="1604">
        <v>0.76700000000000002</v>
      </c>
      <c r="F177" s="1604">
        <v>0.76700000000000002</v>
      </c>
      <c r="G177" s="1604">
        <v>0.76700000000000002</v>
      </c>
      <c r="H177" s="1604">
        <v>0.76700000000000002</v>
      </c>
      <c r="I177" s="1604">
        <v>0.67269999999999996</v>
      </c>
      <c r="J177" s="1604">
        <v>0.67269999999999996</v>
      </c>
      <c r="K177" s="1604">
        <v>0.67269999999999996</v>
      </c>
      <c r="L177" s="1604">
        <v>0.67269999999999996</v>
      </c>
      <c r="M177" s="1604">
        <v>0.67269999999999996</v>
      </c>
    </row>
    <row r="178" spans="1:13">
      <c r="A178" s="1595">
        <v>7.4</v>
      </c>
      <c r="B178" s="1604">
        <v>0.86450000000000005</v>
      </c>
      <c r="C178" s="1604">
        <v>0.86450000000000005</v>
      </c>
      <c r="D178" s="1604">
        <v>0.76529999999999998</v>
      </c>
      <c r="E178" s="1604">
        <v>0.76529999999999998</v>
      </c>
      <c r="F178" s="1604">
        <v>0.76529999999999998</v>
      </c>
      <c r="G178" s="1604">
        <v>0.76529999999999998</v>
      </c>
      <c r="H178" s="1604">
        <v>0.76529999999999998</v>
      </c>
      <c r="I178" s="1604">
        <v>0.67079999999999995</v>
      </c>
      <c r="J178" s="1604">
        <v>0.67079999999999995</v>
      </c>
      <c r="K178" s="1604">
        <v>0.67079999999999995</v>
      </c>
      <c r="L178" s="1604">
        <v>0.67079999999999995</v>
      </c>
      <c r="M178" s="1604">
        <v>0.67079999999999995</v>
      </c>
    </row>
    <row r="179" spans="1:13">
      <c r="A179" s="1595">
        <v>7.5</v>
      </c>
      <c r="B179" s="1604">
        <v>0.86299999999999999</v>
      </c>
      <c r="C179" s="1604">
        <v>0.86299999999999999</v>
      </c>
      <c r="D179" s="1604">
        <v>0.76359999999999995</v>
      </c>
      <c r="E179" s="1604">
        <v>0.76359999999999995</v>
      </c>
      <c r="F179" s="1604">
        <v>0.76359999999999995</v>
      </c>
      <c r="G179" s="1604">
        <v>0.76359999999999995</v>
      </c>
      <c r="H179" s="1604">
        <v>0.76359999999999995</v>
      </c>
      <c r="I179" s="1604">
        <v>0.66890000000000005</v>
      </c>
      <c r="J179" s="1604">
        <v>0.66890000000000005</v>
      </c>
      <c r="K179" s="1604">
        <v>0.66890000000000005</v>
      </c>
      <c r="L179" s="1604">
        <v>0.66890000000000005</v>
      </c>
      <c r="M179" s="1604">
        <v>0.66890000000000005</v>
      </c>
    </row>
    <row r="180" spans="1:13">
      <c r="A180" s="1595">
        <v>7.6</v>
      </c>
      <c r="B180" s="1604">
        <v>0.86150000000000004</v>
      </c>
      <c r="C180" s="1604">
        <v>0.86150000000000004</v>
      </c>
      <c r="D180" s="1604">
        <v>0.76200000000000001</v>
      </c>
      <c r="E180" s="1604">
        <v>0.76200000000000001</v>
      </c>
      <c r="F180" s="1604">
        <v>0.76200000000000001</v>
      </c>
      <c r="G180" s="1604">
        <v>0.76200000000000001</v>
      </c>
      <c r="H180" s="1604">
        <v>0.76200000000000001</v>
      </c>
      <c r="I180" s="1604">
        <v>0.66700000000000004</v>
      </c>
      <c r="J180" s="1604">
        <v>0.66700000000000004</v>
      </c>
      <c r="K180" s="1604">
        <v>0.66700000000000004</v>
      </c>
      <c r="L180" s="1604">
        <v>0.66700000000000004</v>
      </c>
      <c r="M180" s="1604">
        <v>0.66700000000000004</v>
      </c>
    </row>
    <row r="181" spans="1:13">
      <c r="A181" s="1595">
        <v>7.7</v>
      </c>
      <c r="B181" s="1604">
        <v>0.86</v>
      </c>
      <c r="C181" s="1604">
        <v>0.86</v>
      </c>
      <c r="D181" s="1604">
        <v>0.76039999999999996</v>
      </c>
      <c r="E181" s="1604">
        <v>0.76039999999999996</v>
      </c>
      <c r="F181" s="1604">
        <v>0.76039999999999996</v>
      </c>
      <c r="G181" s="1604">
        <v>0.76039999999999996</v>
      </c>
      <c r="H181" s="1604">
        <v>0.76039999999999996</v>
      </c>
      <c r="I181" s="1604">
        <v>0.66510000000000002</v>
      </c>
      <c r="J181" s="1604">
        <v>0.66510000000000002</v>
      </c>
      <c r="K181" s="1604">
        <v>0.66510000000000002</v>
      </c>
      <c r="L181" s="1604">
        <v>0.66510000000000002</v>
      </c>
      <c r="M181" s="1604">
        <v>0.66510000000000002</v>
      </c>
    </row>
    <row r="182" spans="1:13">
      <c r="A182" s="1595">
        <v>7.8</v>
      </c>
      <c r="B182" s="1604">
        <v>0.85850000000000004</v>
      </c>
      <c r="C182" s="1604">
        <v>0.85850000000000004</v>
      </c>
      <c r="D182" s="1604">
        <v>0.75880000000000003</v>
      </c>
      <c r="E182" s="1604">
        <v>0.75880000000000003</v>
      </c>
      <c r="F182" s="1604">
        <v>0.75880000000000003</v>
      </c>
      <c r="G182" s="1604">
        <v>0.75880000000000003</v>
      </c>
      <c r="H182" s="1604">
        <v>0.75880000000000003</v>
      </c>
      <c r="I182" s="1604">
        <v>0.6633</v>
      </c>
      <c r="J182" s="1604">
        <v>0.6633</v>
      </c>
      <c r="K182" s="1604">
        <v>0.6633</v>
      </c>
      <c r="L182" s="1604">
        <v>0.6633</v>
      </c>
      <c r="M182" s="1604">
        <v>0.6633</v>
      </c>
    </row>
    <row r="183" spans="1:13">
      <c r="A183" s="1595">
        <v>7.9</v>
      </c>
      <c r="B183" s="1604">
        <v>0.85699999999999998</v>
      </c>
      <c r="C183" s="1604">
        <v>0.85699999999999998</v>
      </c>
      <c r="D183" s="1604">
        <v>0.75719999999999998</v>
      </c>
      <c r="E183" s="1604">
        <v>0.75719999999999998</v>
      </c>
      <c r="F183" s="1604">
        <v>0.75719999999999998</v>
      </c>
      <c r="G183" s="1604">
        <v>0.75719999999999998</v>
      </c>
      <c r="H183" s="1604">
        <v>0.75719999999999998</v>
      </c>
      <c r="I183" s="1604">
        <v>0.66149999999999998</v>
      </c>
      <c r="J183" s="1604">
        <v>0.66149999999999998</v>
      </c>
      <c r="K183" s="1604">
        <v>0.66149999999999998</v>
      </c>
      <c r="L183" s="1604">
        <v>0.66149999999999998</v>
      </c>
      <c r="M183" s="1604">
        <v>0.66149999999999998</v>
      </c>
    </row>
    <row r="184" spans="1:13">
      <c r="A184" s="1595">
        <v>8</v>
      </c>
      <c r="B184" s="1604">
        <v>0.85550000000000004</v>
      </c>
      <c r="C184" s="1604">
        <v>0.85550000000000004</v>
      </c>
      <c r="D184" s="1604">
        <v>0.75570000000000004</v>
      </c>
      <c r="E184" s="1604">
        <v>0.75570000000000004</v>
      </c>
      <c r="F184" s="1604">
        <v>0.75570000000000004</v>
      </c>
      <c r="G184" s="1604">
        <v>0.75570000000000004</v>
      </c>
      <c r="H184" s="1604">
        <v>0.75570000000000004</v>
      </c>
      <c r="I184" s="1604">
        <v>0.65969999999999995</v>
      </c>
      <c r="J184" s="1604">
        <v>0.65969999999999995</v>
      </c>
      <c r="K184" s="1604">
        <v>0.65969999999999995</v>
      </c>
      <c r="L184" s="1604">
        <v>0.65969999999999995</v>
      </c>
      <c r="M184" s="1604">
        <v>0.65969999999999995</v>
      </c>
    </row>
    <row r="185" spans="1:13">
      <c r="A185" s="1595">
        <v>8.1</v>
      </c>
      <c r="B185" s="1604">
        <v>0.85399999999999998</v>
      </c>
      <c r="C185" s="1604">
        <v>0.85399999999999998</v>
      </c>
      <c r="D185" s="1604">
        <v>0.75419999999999998</v>
      </c>
      <c r="E185" s="1604">
        <v>0.75419999999999998</v>
      </c>
      <c r="F185" s="1604">
        <v>0.75419999999999998</v>
      </c>
      <c r="G185" s="1604">
        <v>0.75419999999999998</v>
      </c>
      <c r="H185" s="1604">
        <v>0.75419999999999998</v>
      </c>
      <c r="I185" s="1604">
        <v>0.65800000000000003</v>
      </c>
      <c r="J185" s="1604">
        <v>0.65800000000000003</v>
      </c>
      <c r="K185" s="1604">
        <v>0.65800000000000003</v>
      </c>
      <c r="L185" s="1604">
        <v>0.65800000000000003</v>
      </c>
      <c r="M185" s="1604">
        <v>0.65800000000000003</v>
      </c>
    </row>
    <row r="186" spans="1:13">
      <c r="A186" s="1595">
        <v>8.1999999999999993</v>
      </c>
      <c r="B186" s="1604">
        <v>0.85250000000000004</v>
      </c>
      <c r="C186" s="1604">
        <v>0.85250000000000004</v>
      </c>
      <c r="D186" s="1604">
        <v>0.75270000000000004</v>
      </c>
      <c r="E186" s="1604">
        <v>0.75270000000000004</v>
      </c>
      <c r="F186" s="1604">
        <v>0.75270000000000004</v>
      </c>
      <c r="G186" s="1604">
        <v>0.75270000000000004</v>
      </c>
      <c r="H186" s="1604">
        <v>0.75270000000000004</v>
      </c>
      <c r="I186" s="1604">
        <v>0.65629999999999999</v>
      </c>
      <c r="J186" s="1604">
        <v>0.65629999999999999</v>
      </c>
      <c r="K186" s="1604">
        <v>0.65629999999999999</v>
      </c>
      <c r="L186" s="1604">
        <v>0.65629999999999999</v>
      </c>
      <c r="M186" s="1604">
        <v>0.65629999999999999</v>
      </c>
    </row>
    <row r="187" spans="1:13">
      <c r="A187" s="1595">
        <v>8.3000000000000007</v>
      </c>
      <c r="B187" s="1604">
        <v>0.85109999999999997</v>
      </c>
      <c r="C187" s="1604">
        <v>0.85109999999999997</v>
      </c>
      <c r="D187" s="1604">
        <v>0.75119999999999998</v>
      </c>
      <c r="E187" s="1604">
        <v>0.75119999999999998</v>
      </c>
      <c r="F187" s="1604">
        <v>0.75119999999999998</v>
      </c>
      <c r="G187" s="1604">
        <v>0.75119999999999998</v>
      </c>
      <c r="H187" s="1604">
        <v>0.75119999999999998</v>
      </c>
      <c r="I187" s="1604">
        <v>0.65459999999999996</v>
      </c>
      <c r="J187" s="1604">
        <v>0.65459999999999996</v>
      </c>
      <c r="K187" s="1604">
        <v>0.65459999999999996</v>
      </c>
      <c r="L187" s="1604">
        <v>0.65459999999999996</v>
      </c>
      <c r="M187" s="1604">
        <v>0.65459999999999996</v>
      </c>
    </row>
    <row r="188" spans="1:13">
      <c r="A188" s="1595">
        <v>8.4</v>
      </c>
      <c r="B188" s="1604">
        <v>0.84970000000000001</v>
      </c>
      <c r="C188" s="1604">
        <v>0.84970000000000001</v>
      </c>
      <c r="D188" s="1604">
        <v>0.74970000000000003</v>
      </c>
      <c r="E188" s="1604">
        <v>0.74970000000000003</v>
      </c>
      <c r="F188" s="1604">
        <v>0.74970000000000003</v>
      </c>
      <c r="G188" s="1604">
        <v>0.74970000000000003</v>
      </c>
      <c r="H188" s="1604">
        <v>0.74970000000000003</v>
      </c>
      <c r="I188" s="1604">
        <v>0.65300000000000002</v>
      </c>
      <c r="J188" s="1604">
        <v>0.65300000000000002</v>
      </c>
      <c r="K188" s="1604">
        <v>0.65300000000000002</v>
      </c>
      <c r="L188" s="1604">
        <v>0.65300000000000002</v>
      </c>
      <c r="M188" s="1604">
        <v>0.65300000000000002</v>
      </c>
    </row>
    <row r="189" spans="1:13">
      <c r="A189" s="1595">
        <v>8.5</v>
      </c>
      <c r="B189" s="1604">
        <v>0.84830000000000005</v>
      </c>
      <c r="C189" s="1604">
        <v>0.84830000000000005</v>
      </c>
      <c r="D189" s="1604">
        <v>0.74819999999999998</v>
      </c>
      <c r="E189" s="1604">
        <v>0.74819999999999998</v>
      </c>
      <c r="F189" s="1604">
        <v>0.74819999999999998</v>
      </c>
      <c r="G189" s="1604">
        <v>0.74819999999999998</v>
      </c>
      <c r="H189" s="1604">
        <v>0.74819999999999998</v>
      </c>
      <c r="I189" s="1604">
        <v>0.65139999999999998</v>
      </c>
      <c r="J189" s="1604">
        <v>0.65139999999999998</v>
      </c>
      <c r="K189" s="1604">
        <v>0.65139999999999998</v>
      </c>
      <c r="L189" s="1604">
        <v>0.65139999999999998</v>
      </c>
      <c r="M189" s="1604">
        <v>0.65139999999999998</v>
      </c>
    </row>
    <row r="190" spans="1:13">
      <c r="A190" s="1595">
        <v>8.6</v>
      </c>
      <c r="B190" s="1604">
        <v>0.84689999999999999</v>
      </c>
      <c r="C190" s="1604">
        <v>0.84689999999999999</v>
      </c>
      <c r="D190" s="1604">
        <v>0.74670000000000003</v>
      </c>
      <c r="E190" s="1604">
        <v>0.74670000000000003</v>
      </c>
      <c r="F190" s="1604">
        <v>0.74670000000000003</v>
      </c>
      <c r="G190" s="1604">
        <v>0.74670000000000003</v>
      </c>
      <c r="H190" s="1604">
        <v>0.74670000000000003</v>
      </c>
      <c r="I190" s="1604">
        <v>0.64980000000000004</v>
      </c>
      <c r="J190" s="1604">
        <v>0.64980000000000004</v>
      </c>
      <c r="K190" s="1604">
        <v>0.64980000000000004</v>
      </c>
      <c r="L190" s="1604">
        <v>0.64980000000000004</v>
      </c>
      <c r="M190" s="1604">
        <v>0.64980000000000004</v>
      </c>
    </row>
    <row r="191" spans="1:13">
      <c r="A191" s="1595">
        <v>8.6999999999999993</v>
      </c>
      <c r="B191" s="1604">
        <v>0.84550000000000003</v>
      </c>
      <c r="C191" s="1604">
        <v>0.84550000000000003</v>
      </c>
      <c r="D191" s="1604">
        <v>0.74519999999999997</v>
      </c>
      <c r="E191" s="1604">
        <v>0.74519999999999997</v>
      </c>
      <c r="F191" s="1604">
        <v>0.74519999999999997</v>
      </c>
      <c r="G191" s="1604">
        <v>0.74519999999999997</v>
      </c>
      <c r="H191" s="1604">
        <v>0.74519999999999997</v>
      </c>
      <c r="I191" s="1604">
        <v>0.6482</v>
      </c>
      <c r="J191" s="1604">
        <v>0.6482</v>
      </c>
      <c r="K191" s="1604">
        <v>0.6482</v>
      </c>
      <c r="L191" s="1604">
        <v>0.6482</v>
      </c>
      <c r="M191" s="1604">
        <v>0.6482</v>
      </c>
    </row>
    <row r="192" spans="1:13">
      <c r="A192" s="1595">
        <v>8.8000000000000007</v>
      </c>
      <c r="B192" s="1604">
        <v>0.84409999999999996</v>
      </c>
      <c r="C192" s="1604">
        <v>0.84409999999999996</v>
      </c>
      <c r="D192" s="1604">
        <v>0.74370000000000003</v>
      </c>
      <c r="E192" s="1604">
        <v>0.74370000000000003</v>
      </c>
      <c r="F192" s="1604">
        <v>0.74370000000000003</v>
      </c>
      <c r="G192" s="1604">
        <v>0.74370000000000003</v>
      </c>
      <c r="H192" s="1604">
        <v>0.74370000000000003</v>
      </c>
      <c r="I192" s="1604">
        <v>0.64659999999999995</v>
      </c>
      <c r="J192" s="1604">
        <v>0.64659999999999995</v>
      </c>
      <c r="K192" s="1604">
        <v>0.64659999999999995</v>
      </c>
      <c r="L192" s="1604">
        <v>0.64659999999999995</v>
      </c>
      <c r="M192" s="1604">
        <v>0.64659999999999995</v>
      </c>
    </row>
    <row r="193" spans="1:13">
      <c r="A193" s="1595">
        <v>8.9</v>
      </c>
      <c r="B193" s="1604">
        <v>0.84279999999999999</v>
      </c>
      <c r="C193" s="1604">
        <v>0.84279999999999999</v>
      </c>
      <c r="D193" s="1604">
        <v>0.74219999999999997</v>
      </c>
      <c r="E193" s="1604">
        <v>0.74219999999999997</v>
      </c>
      <c r="F193" s="1604">
        <v>0.74219999999999997</v>
      </c>
      <c r="G193" s="1604">
        <v>0.74219999999999997</v>
      </c>
      <c r="H193" s="1604">
        <v>0.74219999999999997</v>
      </c>
      <c r="I193" s="1604">
        <v>0.64500000000000002</v>
      </c>
      <c r="J193" s="1604">
        <v>0.64500000000000002</v>
      </c>
      <c r="K193" s="1604">
        <v>0.64500000000000002</v>
      </c>
      <c r="L193" s="1604">
        <v>0.64500000000000002</v>
      </c>
      <c r="M193" s="1604">
        <v>0.64500000000000002</v>
      </c>
    </row>
    <row r="194" spans="1:13">
      <c r="A194" s="1618">
        <v>9</v>
      </c>
      <c r="B194" s="1604">
        <v>0.84150000000000003</v>
      </c>
      <c r="C194" s="1604">
        <v>0.84150000000000003</v>
      </c>
      <c r="D194" s="1604">
        <v>0.74070000000000003</v>
      </c>
      <c r="E194" s="1604">
        <v>0.74070000000000003</v>
      </c>
      <c r="F194" s="1604">
        <v>0.74070000000000003</v>
      </c>
      <c r="G194" s="1604">
        <v>0.74070000000000003</v>
      </c>
      <c r="H194" s="1604">
        <v>0.74070000000000003</v>
      </c>
      <c r="I194" s="1604">
        <v>0.64349999999999996</v>
      </c>
      <c r="J194" s="1604">
        <v>0.64349999999999996</v>
      </c>
      <c r="K194" s="1604">
        <v>0.64349999999999996</v>
      </c>
      <c r="L194" s="1604">
        <v>0.64349999999999996</v>
      </c>
      <c r="M194" s="1604">
        <v>0.64349999999999996</v>
      </c>
    </row>
    <row r="195" spans="1:13">
      <c r="A195" s="1618">
        <v>9.1</v>
      </c>
      <c r="B195" s="1604">
        <v>0.84019999999999995</v>
      </c>
      <c r="C195" s="1604">
        <v>0.84019999999999995</v>
      </c>
      <c r="D195" s="1604">
        <v>0.73919999999999997</v>
      </c>
      <c r="E195" s="1604">
        <v>0.73919999999999997</v>
      </c>
      <c r="F195" s="1604">
        <v>0.73919999999999997</v>
      </c>
      <c r="G195" s="1604">
        <v>0.73919999999999997</v>
      </c>
      <c r="H195" s="1604">
        <v>0.73919999999999997</v>
      </c>
      <c r="I195" s="1604">
        <v>0.64200000000000002</v>
      </c>
      <c r="J195" s="1604">
        <v>0.64200000000000002</v>
      </c>
      <c r="K195" s="1604">
        <v>0.64200000000000002</v>
      </c>
      <c r="L195" s="1604">
        <v>0.64200000000000002</v>
      </c>
      <c r="M195" s="1604">
        <v>0.64200000000000002</v>
      </c>
    </row>
    <row r="196" spans="1:13">
      <c r="A196" s="1618">
        <v>9.1999999999999993</v>
      </c>
      <c r="B196" s="1604">
        <v>0.83889999999999998</v>
      </c>
      <c r="C196" s="1604">
        <v>0.83889999999999998</v>
      </c>
      <c r="D196" s="1604">
        <v>0.73770000000000002</v>
      </c>
      <c r="E196" s="1604">
        <v>0.73770000000000002</v>
      </c>
      <c r="F196" s="1604">
        <v>0.73770000000000002</v>
      </c>
      <c r="G196" s="1604">
        <v>0.73770000000000002</v>
      </c>
      <c r="H196" s="1604">
        <v>0.73770000000000002</v>
      </c>
      <c r="I196" s="1604">
        <v>0.64059999999999995</v>
      </c>
      <c r="J196" s="1604">
        <v>0.64059999999999995</v>
      </c>
      <c r="K196" s="1604">
        <v>0.64059999999999995</v>
      </c>
      <c r="L196" s="1604">
        <v>0.64059999999999995</v>
      </c>
      <c r="M196" s="1604">
        <v>0.64059999999999995</v>
      </c>
    </row>
    <row r="197" spans="1:13">
      <c r="A197" s="1618">
        <v>9.3000000000000007</v>
      </c>
      <c r="B197" s="1604">
        <v>0.83760000000000001</v>
      </c>
      <c r="C197" s="1604">
        <v>0.83760000000000001</v>
      </c>
      <c r="D197" s="1604">
        <v>0.73629999999999995</v>
      </c>
      <c r="E197" s="1604">
        <v>0.73629999999999995</v>
      </c>
      <c r="F197" s="1604">
        <v>0.73629999999999995</v>
      </c>
      <c r="G197" s="1604">
        <v>0.73629999999999995</v>
      </c>
      <c r="H197" s="1604">
        <v>0.73629999999999995</v>
      </c>
      <c r="I197" s="1604">
        <v>0.63919999999999999</v>
      </c>
      <c r="J197" s="1604">
        <v>0.63919999999999999</v>
      </c>
      <c r="K197" s="1604">
        <v>0.63919999999999999</v>
      </c>
      <c r="L197" s="1604">
        <v>0.63919999999999999</v>
      </c>
      <c r="M197" s="1604">
        <v>0.63919999999999999</v>
      </c>
    </row>
    <row r="198" spans="1:13">
      <c r="A198" s="1618">
        <v>9.4</v>
      </c>
      <c r="B198" s="1604">
        <v>0.83630000000000004</v>
      </c>
      <c r="C198" s="1604">
        <v>0.83630000000000004</v>
      </c>
      <c r="D198" s="1604">
        <v>0.7349</v>
      </c>
      <c r="E198" s="1604">
        <v>0.7349</v>
      </c>
      <c r="F198" s="1604">
        <v>0.7349</v>
      </c>
      <c r="G198" s="1604">
        <v>0.7349</v>
      </c>
      <c r="H198" s="1604">
        <v>0.7349</v>
      </c>
      <c r="I198" s="1604">
        <v>0.63780000000000003</v>
      </c>
      <c r="J198" s="1604">
        <v>0.63780000000000003</v>
      </c>
      <c r="K198" s="1604">
        <v>0.63780000000000003</v>
      </c>
      <c r="L198" s="1604">
        <v>0.63780000000000003</v>
      </c>
      <c r="M198" s="1604">
        <v>0.63780000000000003</v>
      </c>
    </row>
    <row r="199" spans="1:13">
      <c r="A199" s="1618">
        <v>9.5</v>
      </c>
      <c r="B199" s="1604">
        <v>0.83499999999999996</v>
      </c>
      <c r="C199" s="1604">
        <v>0.83499999999999996</v>
      </c>
      <c r="D199" s="1604">
        <v>0.73350000000000004</v>
      </c>
      <c r="E199" s="1604">
        <v>0.73350000000000004</v>
      </c>
      <c r="F199" s="1604">
        <v>0.73350000000000004</v>
      </c>
      <c r="G199" s="1604">
        <v>0.73350000000000004</v>
      </c>
      <c r="H199" s="1604">
        <v>0.73350000000000004</v>
      </c>
      <c r="I199" s="1604">
        <v>0.63639999999999997</v>
      </c>
      <c r="J199" s="1604">
        <v>0.63639999999999997</v>
      </c>
      <c r="K199" s="1604">
        <v>0.63639999999999997</v>
      </c>
      <c r="L199" s="1604">
        <v>0.63639999999999997</v>
      </c>
      <c r="M199" s="1604">
        <v>0.63639999999999997</v>
      </c>
    </row>
    <row r="200" spans="1:13">
      <c r="A200" s="1618">
        <v>9.6</v>
      </c>
      <c r="B200" s="1604">
        <v>0.83379999999999999</v>
      </c>
      <c r="C200" s="1604">
        <v>0.83379999999999999</v>
      </c>
      <c r="D200" s="1604">
        <v>0.73209999999999997</v>
      </c>
      <c r="E200" s="1604">
        <v>0.73209999999999997</v>
      </c>
      <c r="F200" s="1604">
        <v>0.73209999999999997</v>
      </c>
      <c r="G200" s="1604">
        <v>0.73209999999999997</v>
      </c>
      <c r="H200" s="1604">
        <v>0.73209999999999997</v>
      </c>
      <c r="I200" s="1604">
        <v>0.63500000000000001</v>
      </c>
      <c r="J200" s="1604">
        <v>0.63500000000000001</v>
      </c>
      <c r="K200" s="1604">
        <v>0.63500000000000001</v>
      </c>
      <c r="L200" s="1604">
        <v>0.63500000000000001</v>
      </c>
      <c r="M200" s="1604">
        <v>0.63500000000000001</v>
      </c>
    </row>
    <row r="201" spans="1:13">
      <c r="A201" s="1618">
        <v>9.6999999999999993</v>
      </c>
      <c r="B201" s="1604">
        <v>0.83260000000000001</v>
      </c>
      <c r="C201" s="1604">
        <v>0.83260000000000001</v>
      </c>
      <c r="D201" s="1604">
        <v>0.73070000000000002</v>
      </c>
      <c r="E201" s="1604">
        <v>0.73070000000000002</v>
      </c>
      <c r="F201" s="1604">
        <v>0.73070000000000002</v>
      </c>
      <c r="G201" s="1604">
        <v>0.73070000000000002</v>
      </c>
      <c r="H201" s="1604">
        <v>0.73070000000000002</v>
      </c>
      <c r="I201" s="1604">
        <v>0.63360000000000005</v>
      </c>
      <c r="J201" s="1604">
        <v>0.63360000000000005</v>
      </c>
      <c r="K201" s="1604">
        <v>0.63360000000000005</v>
      </c>
      <c r="L201" s="1604">
        <v>0.63360000000000005</v>
      </c>
      <c r="M201" s="1604">
        <v>0.63360000000000005</v>
      </c>
    </row>
    <row r="202" spans="1:13">
      <c r="A202" s="1618">
        <v>9.8000000000000007</v>
      </c>
      <c r="B202" s="1604">
        <v>0.83140000000000003</v>
      </c>
      <c r="C202" s="1604">
        <v>0.83140000000000003</v>
      </c>
      <c r="D202" s="1604">
        <v>0.72929999999999995</v>
      </c>
      <c r="E202" s="1604">
        <v>0.72929999999999995</v>
      </c>
      <c r="F202" s="1604">
        <v>0.72929999999999995</v>
      </c>
      <c r="G202" s="1604">
        <v>0.72929999999999995</v>
      </c>
      <c r="H202" s="1604">
        <v>0.72929999999999995</v>
      </c>
      <c r="I202" s="1604">
        <v>0.63219999999999998</v>
      </c>
      <c r="J202" s="1604">
        <v>0.63219999999999998</v>
      </c>
      <c r="K202" s="1604">
        <v>0.63219999999999998</v>
      </c>
      <c r="L202" s="1604">
        <v>0.63219999999999998</v>
      </c>
      <c r="M202" s="1604">
        <v>0.63219999999999998</v>
      </c>
    </row>
    <row r="203" spans="1:13">
      <c r="A203" s="1618">
        <v>9.9</v>
      </c>
      <c r="B203" s="1604">
        <v>0.83020000000000005</v>
      </c>
      <c r="C203" s="1604">
        <v>0.83020000000000005</v>
      </c>
      <c r="D203" s="1604">
        <v>0.72799999999999998</v>
      </c>
      <c r="E203" s="1604">
        <v>0.72799999999999998</v>
      </c>
      <c r="F203" s="1604">
        <v>0.72799999999999998</v>
      </c>
      <c r="G203" s="1604">
        <v>0.72799999999999998</v>
      </c>
      <c r="H203" s="1604">
        <v>0.72799999999999998</v>
      </c>
      <c r="I203" s="1604">
        <v>0.63080000000000003</v>
      </c>
      <c r="J203" s="1604">
        <v>0.63080000000000003</v>
      </c>
      <c r="K203" s="1604">
        <v>0.63080000000000003</v>
      </c>
      <c r="L203" s="1604">
        <v>0.63080000000000003</v>
      </c>
      <c r="M203" s="1604">
        <v>0.63080000000000003</v>
      </c>
    </row>
    <row r="204" spans="1:13">
      <c r="A204" s="1618">
        <v>10</v>
      </c>
      <c r="B204" s="1604">
        <v>0.82899999999999996</v>
      </c>
      <c r="C204" s="1604">
        <v>0.82899999999999996</v>
      </c>
      <c r="D204" s="1604">
        <v>0.72670000000000001</v>
      </c>
      <c r="E204" s="1604">
        <v>0.72670000000000001</v>
      </c>
      <c r="F204" s="1604">
        <v>0.72670000000000001</v>
      </c>
      <c r="G204" s="1604">
        <v>0.72670000000000001</v>
      </c>
      <c r="H204" s="1604">
        <v>0.72670000000000001</v>
      </c>
      <c r="I204" s="1604">
        <v>0.62939999999999996</v>
      </c>
      <c r="J204" s="1604">
        <v>0.62939999999999996</v>
      </c>
      <c r="K204" s="1604">
        <v>0.62939999999999996</v>
      </c>
      <c r="L204" s="1604">
        <v>0.62939999999999996</v>
      </c>
      <c r="M204" s="1604">
        <v>0.62939999999999996</v>
      </c>
    </row>
    <row r="205" spans="1:13" ht="14.25">
      <c r="A205" s="1592" t="s">
        <v>1781</v>
      </c>
      <c r="B205" s="1593"/>
      <c r="C205" s="1593"/>
      <c r="D205" s="1593"/>
      <c r="E205" s="1593"/>
      <c r="F205" s="1593"/>
      <c r="G205" s="1593"/>
      <c r="H205" s="1593"/>
      <c r="I205" s="1593"/>
      <c r="J205" s="1593"/>
      <c r="K205" s="1593"/>
      <c r="L205" s="1593"/>
      <c r="M205" s="1593"/>
    </row>
    <row r="206" spans="1:13">
      <c r="A206" s="1595" t="s">
        <v>1771</v>
      </c>
      <c r="B206" s="1596" t="s">
        <v>1176</v>
      </c>
      <c r="C206" s="1596" t="s">
        <v>1177</v>
      </c>
      <c r="D206" s="1596" t="s">
        <v>1178</v>
      </c>
      <c r="E206" s="1596" t="s">
        <v>1179</v>
      </c>
      <c r="F206" s="1596" t="s">
        <v>1180</v>
      </c>
      <c r="G206" s="1596" t="s">
        <v>1181</v>
      </c>
      <c r="H206" s="1597" t="s">
        <v>1182</v>
      </c>
      <c r="I206" s="1597" t="s">
        <v>1183</v>
      </c>
      <c r="J206" s="1598" t="s">
        <v>1184</v>
      </c>
      <c r="K206" s="1598" t="s">
        <v>1185</v>
      </c>
      <c r="L206" s="1598" t="s">
        <v>1186</v>
      </c>
      <c r="M206" s="1598" t="s">
        <v>1187</v>
      </c>
    </row>
    <row r="207" spans="1:13">
      <c r="A207" s="1595">
        <v>0.1</v>
      </c>
      <c r="B207" s="1604">
        <v>12.172000000000001</v>
      </c>
      <c r="C207" s="1604">
        <v>12.172000000000001</v>
      </c>
      <c r="D207" s="1604">
        <v>12.375999999999999</v>
      </c>
      <c r="E207" s="1604">
        <v>12.375999999999999</v>
      </c>
      <c r="F207" s="1604">
        <v>12.375999999999999</v>
      </c>
      <c r="G207" s="1604">
        <v>12.375999999999999</v>
      </c>
      <c r="H207" s="1604">
        <v>12.375999999999999</v>
      </c>
      <c r="I207" s="1604">
        <v>11.071999999999999</v>
      </c>
      <c r="J207" s="1604">
        <v>11.071999999999999</v>
      </c>
      <c r="K207" s="1604">
        <v>11.071999999999999</v>
      </c>
      <c r="L207" s="1604">
        <v>11.071999999999999</v>
      </c>
      <c r="M207" s="1604">
        <v>11.071999999999999</v>
      </c>
    </row>
    <row r="208" spans="1:13">
      <c r="A208" s="1595">
        <v>0.2</v>
      </c>
      <c r="B208" s="1604">
        <v>6.0860000000000003</v>
      </c>
      <c r="C208" s="1604">
        <v>6.0860000000000003</v>
      </c>
      <c r="D208" s="1604">
        <v>6.1879999999999997</v>
      </c>
      <c r="E208" s="1604">
        <v>6.1879999999999997</v>
      </c>
      <c r="F208" s="1604">
        <v>6.1879999999999997</v>
      </c>
      <c r="G208" s="1604">
        <v>6.1879999999999997</v>
      </c>
      <c r="H208" s="1604">
        <v>6.1879999999999997</v>
      </c>
      <c r="I208" s="1604">
        <v>5.5359999999999996</v>
      </c>
      <c r="J208" s="1604">
        <v>5.5359999999999996</v>
      </c>
      <c r="K208" s="1604">
        <v>5.5359999999999996</v>
      </c>
      <c r="L208" s="1604">
        <v>5.5359999999999996</v>
      </c>
      <c r="M208" s="1604">
        <v>5.5359999999999996</v>
      </c>
    </row>
    <row r="209" spans="1:13">
      <c r="A209" s="1595">
        <v>0.3</v>
      </c>
      <c r="B209" s="1604">
        <v>4.0572999999999997</v>
      </c>
      <c r="C209" s="1604">
        <v>4.0572999999999997</v>
      </c>
      <c r="D209" s="1604">
        <v>4.1253000000000002</v>
      </c>
      <c r="E209" s="1604">
        <v>4.1253000000000002</v>
      </c>
      <c r="F209" s="1604">
        <v>4.1253000000000002</v>
      </c>
      <c r="G209" s="1604">
        <v>4.1253000000000002</v>
      </c>
      <c r="H209" s="1604">
        <v>4.1253000000000002</v>
      </c>
      <c r="I209" s="1604">
        <v>3.6907000000000001</v>
      </c>
      <c r="J209" s="1604">
        <v>3.6907000000000001</v>
      </c>
      <c r="K209" s="1604">
        <v>3.6907000000000001</v>
      </c>
      <c r="L209" s="1604">
        <v>3.6907000000000001</v>
      </c>
      <c r="M209" s="1604">
        <v>3.6907000000000001</v>
      </c>
    </row>
    <row r="210" spans="1:13">
      <c r="A210" s="1595">
        <v>0.4</v>
      </c>
      <c r="B210" s="1604">
        <v>3.0430000000000001</v>
      </c>
      <c r="C210" s="1604">
        <v>3.0430000000000001</v>
      </c>
      <c r="D210" s="1604">
        <v>3.0939999999999999</v>
      </c>
      <c r="E210" s="1604">
        <v>3.0939999999999999</v>
      </c>
      <c r="F210" s="1604">
        <v>3.0939999999999999</v>
      </c>
      <c r="G210" s="1604">
        <v>3.0939999999999999</v>
      </c>
      <c r="H210" s="1604">
        <v>3.0939999999999999</v>
      </c>
      <c r="I210" s="1604">
        <v>2.7679999999999998</v>
      </c>
      <c r="J210" s="1604">
        <v>2.7679999999999998</v>
      </c>
      <c r="K210" s="1604">
        <v>2.7679999999999998</v>
      </c>
      <c r="L210" s="1604">
        <v>2.7679999999999998</v>
      </c>
      <c r="M210" s="1604">
        <v>2.7679999999999998</v>
      </c>
    </row>
    <row r="211" spans="1:13">
      <c r="A211" s="1595">
        <v>0.5</v>
      </c>
      <c r="B211" s="1604">
        <v>2.4344000000000001</v>
      </c>
      <c r="C211" s="1604">
        <v>2.4344000000000001</v>
      </c>
      <c r="D211" s="1604">
        <v>2.4752000000000001</v>
      </c>
      <c r="E211" s="1604">
        <v>2.4752000000000001</v>
      </c>
      <c r="F211" s="1604">
        <v>2.4752000000000001</v>
      </c>
      <c r="G211" s="1604">
        <v>2.4752000000000001</v>
      </c>
      <c r="H211" s="1604">
        <v>2.4752000000000001</v>
      </c>
      <c r="I211" s="1604">
        <v>2.2143999999999999</v>
      </c>
      <c r="J211" s="1604">
        <v>2.2143999999999999</v>
      </c>
      <c r="K211" s="1604">
        <v>2.2143999999999999</v>
      </c>
      <c r="L211" s="1604">
        <v>2.2143999999999999</v>
      </c>
      <c r="M211" s="1604">
        <v>2.2143999999999999</v>
      </c>
    </row>
    <row r="212" spans="1:13">
      <c r="A212" s="1595">
        <v>0.6</v>
      </c>
      <c r="B212" s="1604">
        <v>2.0287000000000002</v>
      </c>
      <c r="C212" s="1604">
        <v>2.0287000000000002</v>
      </c>
      <c r="D212" s="1604">
        <v>2.0627</v>
      </c>
      <c r="E212" s="1604">
        <v>2.0627</v>
      </c>
      <c r="F212" s="1604">
        <v>2.0627</v>
      </c>
      <c r="G212" s="1604">
        <v>2.0627</v>
      </c>
      <c r="H212" s="1604">
        <v>2.0627</v>
      </c>
      <c r="I212" s="1604">
        <v>1.8452999999999999</v>
      </c>
      <c r="J212" s="1604">
        <v>1.8452999999999999</v>
      </c>
      <c r="K212" s="1604">
        <v>1.8452999999999999</v>
      </c>
      <c r="L212" s="1604">
        <v>1.8452999999999999</v>
      </c>
      <c r="M212" s="1604">
        <v>1.8452999999999999</v>
      </c>
    </row>
    <row r="213" spans="1:13">
      <c r="A213" s="1595">
        <v>0.7</v>
      </c>
      <c r="B213" s="1604">
        <v>1.7388999999999999</v>
      </c>
      <c r="C213" s="1604">
        <v>1.7388999999999999</v>
      </c>
      <c r="D213" s="1604">
        <v>1.768</v>
      </c>
      <c r="E213" s="1604">
        <v>1.768</v>
      </c>
      <c r="F213" s="1604">
        <v>1.768</v>
      </c>
      <c r="G213" s="1604">
        <v>1.768</v>
      </c>
      <c r="H213" s="1604">
        <v>1.768</v>
      </c>
      <c r="I213" s="1604">
        <v>1.5817000000000001</v>
      </c>
      <c r="J213" s="1604">
        <v>1.5817000000000001</v>
      </c>
      <c r="K213" s="1604">
        <v>1.5817000000000001</v>
      </c>
      <c r="L213" s="1604">
        <v>1.5817000000000001</v>
      </c>
      <c r="M213" s="1604">
        <v>1.5817000000000001</v>
      </c>
    </row>
    <row r="214" spans="1:13">
      <c r="A214" s="1595">
        <v>0.8</v>
      </c>
      <c r="B214" s="1604">
        <v>1.5215000000000001</v>
      </c>
      <c r="C214" s="1604">
        <v>1.5215000000000001</v>
      </c>
      <c r="D214" s="1604">
        <v>1.5469999999999999</v>
      </c>
      <c r="E214" s="1604">
        <v>1.5469999999999999</v>
      </c>
      <c r="F214" s="1604">
        <v>1.5469999999999999</v>
      </c>
      <c r="G214" s="1604">
        <v>1.5469999999999999</v>
      </c>
      <c r="H214" s="1604">
        <v>1.5469999999999999</v>
      </c>
      <c r="I214" s="1604">
        <v>1.3839999999999999</v>
      </c>
      <c r="J214" s="1604">
        <v>1.3839999999999999</v>
      </c>
      <c r="K214" s="1604">
        <v>1.3839999999999999</v>
      </c>
      <c r="L214" s="1604">
        <v>1.3839999999999999</v>
      </c>
      <c r="M214" s="1604">
        <v>1.3839999999999999</v>
      </c>
    </row>
    <row r="215" spans="1:13">
      <c r="A215" s="1595">
        <v>0.9</v>
      </c>
      <c r="B215" s="1604">
        <v>1.3524</v>
      </c>
      <c r="C215" s="1604">
        <v>1.3524</v>
      </c>
      <c r="D215" s="1604">
        <v>1.3751</v>
      </c>
      <c r="E215" s="1604">
        <v>1.3751</v>
      </c>
      <c r="F215" s="1604">
        <v>1.3751</v>
      </c>
      <c r="G215" s="1604">
        <v>1.3751</v>
      </c>
      <c r="H215" s="1604">
        <v>1.3751</v>
      </c>
      <c r="I215" s="1604">
        <v>1.2302</v>
      </c>
      <c r="J215" s="1604">
        <v>1.2302</v>
      </c>
      <c r="K215" s="1604">
        <v>1.2302</v>
      </c>
      <c r="L215" s="1604">
        <v>1.2302</v>
      </c>
      <c r="M215" s="1604">
        <v>1.2302</v>
      </c>
    </row>
    <row r="216" spans="1:13">
      <c r="A216" s="1595">
        <v>1</v>
      </c>
      <c r="B216" s="1604">
        <v>1.2172000000000001</v>
      </c>
      <c r="C216" s="1604">
        <v>1.2172000000000001</v>
      </c>
      <c r="D216" s="1604">
        <v>1.2376</v>
      </c>
      <c r="E216" s="1604">
        <v>1.2376</v>
      </c>
      <c r="F216" s="1604">
        <v>1.2376</v>
      </c>
      <c r="G216" s="1604">
        <v>1.2376</v>
      </c>
      <c r="H216" s="1604">
        <v>1.2376</v>
      </c>
      <c r="I216" s="1604">
        <v>1.1072</v>
      </c>
      <c r="J216" s="1604">
        <v>1.1072</v>
      </c>
      <c r="K216" s="1604">
        <v>1.1072</v>
      </c>
      <c r="L216" s="1604">
        <v>1.1072</v>
      </c>
      <c r="M216" s="1604">
        <v>1.1072</v>
      </c>
    </row>
    <row r="217" spans="1:13">
      <c r="A217" s="1595">
        <v>1.1000000000000001</v>
      </c>
      <c r="B217" s="1604">
        <v>1.198</v>
      </c>
      <c r="C217" s="1604">
        <v>1.198</v>
      </c>
      <c r="D217" s="1604">
        <v>1.2156</v>
      </c>
      <c r="E217" s="1604">
        <v>1.2156</v>
      </c>
      <c r="F217" s="1604">
        <v>1.2156</v>
      </c>
      <c r="G217" s="1604">
        <v>1.2156</v>
      </c>
      <c r="H217" s="1604">
        <v>1.2156</v>
      </c>
      <c r="I217" s="1604">
        <v>1.0829</v>
      </c>
      <c r="J217" s="1604">
        <v>1.0829</v>
      </c>
      <c r="K217" s="1604">
        <v>1.0829</v>
      </c>
      <c r="L217" s="1604">
        <v>1.0829</v>
      </c>
      <c r="M217" s="1604">
        <v>1.0829</v>
      </c>
    </row>
    <row r="218" spans="1:13">
      <c r="A218" s="1595">
        <v>1.2</v>
      </c>
      <c r="B218" s="1604">
        <v>1.1795</v>
      </c>
      <c r="C218" s="1604">
        <v>1.1795</v>
      </c>
      <c r="D218" s="1604">
        <v>1.1947000000000001</v>
      </c>
      <c r="E218" s="1604">
        <v>1.1947000000000001</v>
      </c>
      <c r="F218" s="1604">
        <v>1.1947000000000001</v>
      </c>
      <c r="G218" s="1604">
        <v>1.1947000000000001</v>
      </c>
      <c r="H218" s="1604">
        <v>1.1947000000000001</v>
      </c>
      <c r="I218" s="1604">
        <v>1.0601</v>
      </c>
      <c r="J218" s="1604">
        <v>1.0601</v>
      </c>
      <c r="K218" s="1604">
        <v>1.0601</v>
      </c>
      <c r="L218" s="1604">
        <v>1.0601</v>
      </c>
      <c r="M218" s="1604">
        <v>1.0601</v>
      </c>
    </row>
    <row r="219" spans="1:13">
      <c r="A219" s="1595">
        <v>1.3</v>
      </c>
      <c r="B219" s="1604">
        <v>1.1617999999999999</v>
      </c>
      <c r="C219" s="1604">
        <v>1.1617999999999999</v>
      </c>
      <c r="D219" s="1604">
        <v>1.1748000000000001</v>
      </c>
      <c r="E219" s="1604">
        <v>1.1748000000000001</v>
      </c>
      <c r="F219" s="1604">
        <v>1.1748000000000001</v>
      </c>
      <c r="G219" s="1604">
        <v>1.1748000000000001</v>
      </c>
      <c r="H219" s="1604">
        <v>1.1748000000000001</v>
      </c>
      <c r="I219" s="1604">
        <v>1.0387999999999999</v>
      </c>
      <c r="J219" s="1604">
        <v>1.0387999999999999</v>
      </c>
      <c r="K219" s="1604">
        <v>1.0387999999999999</v>
      </c>
      <c r="L219" s="1604">
        <v>1.0387999999999999</v>
      </c>
      <c r="M219" s="1604">
        <v>1.0387999999999999</v>
      </c>
    </row>
    <row r="220" spans="1:13">
      <c r="A220" s="1595">
        <v>1.4</v>
      </c>
      <c r="B220" s="1604">
        <v>1.1448</v>
      </c>
      <c r="C220" s="1604">
        <v>1.1448</v>
      </c>
      <c r="D220" s="1604">
        <v>1.1557999999999999</v>
      </c>
      <c r="E220" s="1604">
        <v>1.1557999999999999</v>
      </c>
      <c r="F220" s="1604">
        <v>1.1557999999999999</v>
      </c>
      <c r="G220" s="1604">
        <v>1.1557999999999999</v>
      </c>
      <c r="H220" s="1604">
        <v>1.1557999999999999</v>
      </c>
      <c r="I220" s="1604">
        <v>1.0187999999999999</v>
      </c>
      <c r="J220" s="1604">
        <v>1.0187999999999999</v>
      </c>
      <c r="K220" s="1604">
        <v>1.0187999999999999</v>
      </c>
      <c r="L220" s="1604">
        <v>1.0187999999999999</v>
      </c>
      <c r="M220" s="1604">
        <v>1.0187999999999999</v>
      </c>
    </row>
    <row r="221" spans="1:13">
      <c r="A221" s="1595">
        <v>1.5</v>
      </c>
      <c r="B221" s="1604">
        <v>1.1285000000000001</v>
      </c>
      <c r="C221" s="1604">
        <v>1.1285000000000001</v>
      </c>
      <c r="D221" s="1604">
        <v>1.1377999999999999</v>
      </c>
      <c r="E221" s="1604">
        <v>1.1377999999999999</v>
      </c>
      <c r="F221" s="1604">
        <v>1.1377999999999999</v>
      </c>
      <c r="G221" s="1604">
        <v>1.1377999999999999</v>
      </c>
      <c r="H221" s="1604">
        <v>1.1377999999999999</v>
      </c>
      <c r="I221" s="1604">
        <v>1</v>
      </c>
      <c r="J221" s="1604">
        <v>1</v>
      </c>
      <c r="K221" s="1604">
        <v>1</v>
      </c>
      <c r="L221" s="1604">
        <v>1</v>
      </c>
      <c r="M221" s="1604">
        <v>1</v>
      </c>
    </row>
    <row r="222" spans="1:13">
      <c r="A222" s="1595">
        <v>1.6</v>
      </c>
      <c r="B222" s="1604">
        <v>1.1129</v>
      </c>
      <c r="C222" s="1604">
        <v>1.1129</v>
      </c>
      <c r="D222" s="1604">
        <v>1.1206</v>
      </c>
      <c r="E222" s="1604">
        <v>1.1206</v>
      </c>
      <c r="F222" s="1604">
        <v>1.1206</v>
      </c>
      <c r="G222" s="1604">
        <v>1.1206</v>
      </c>
      <c r="H222" s="1604">
        <v>1.1206</v>
      </c>
      <c r="I222" s="1604">
        <v>0.98240000000000005</v>
      </c>
      <c r="J222" s="1604">
        <v>0.98240000000000005</v>
      </c>
      <c r="K222" s="1604">
        <v>0.98240000000000005</v>
      </c>
      <c r="L222" s="1604">
        <v>0.98240000000000005</v>
      </c>
      <c r="M222" s="1604">
        <v>0.98240000000000005</v>
      </c>
    </row>
    <row r="223" spans="1:13">
      <c r="A223" s="1595">
        <v>1.7</v>
      </c>
      <c r="B223" s="1604">
        <v>1.0980000000000001</v>
      </c>
      <c r="C223" s="1604">
        <v>1.0980000000000001</v>
      </c>
      <c r="D223" s="1604">
        <v>1.1043000000000001</v>
      </c>
      <c r="E223" s="1604">
        <v>1.1043000000000001</v>
      </c>
      <c r="F223" s="1604">
        <v>1.1043000000000001</v>
      </c>
      <c r="G223" s="1604">
        <v>1.1043000000000001</v>
      </c>
      <c r="H223" s="1604">
        <v>1.1043000000000001</v>
      </c>
      <c r="I223" s="1604">
        <v>0.96579999999999999</v>
      </c>
      <c r="J223" s="1604">
        <v>0.96579999999999999</v>
      </c>
      <c r="K223" s="1604">
        <v>0.96579999999999999</v>
      </c>
      <c r="L223" s="1604">
        <v>0.96579999999999999</v>
      </c>
      <c r="M223" s="1604">
        <v>0.96579999999999999</v>
      </c>
    </row>
    <row r="224" spans="1:13">
      <c r="A224" s="1595">
        <v>1.8</v>
      </c>
      <c r="B224" s="1604">
        <v>1.0835999999999999</v>
      </c>
      <c r="C224" s="1604">
        <v>1.0835999999999999</v>
      </c>
      <c r="D224" s="1604">
        <v>1.0888</v>
      </c>
      <c r="E224" s="1604">
        <v>1.0888</v>
      </c>
      <c r="F224" s="1604">
        <v>1.0888</v>
      </c>
      <c r="G224" s="1604">
        <v>1.0888</v>
      </c>
      <c r="H224" s="1604">
        <v>1.0888</v>
      </c>
      <c r="I224" s="1604">
        <v>0.95030000000000003</v>
      </c>
      <c r="J224" s="1604">
        <v>0.95030000000000003</v>
      </c>
      <c r="K224" s="1604">
        <v>0.95030000000000003</v>
      </c>
      <c r="L224" s="1604">
        <v>0.95030000000000003</v>
      </c>
      <c r="M224" s="1604">
        <v>0.95030000000000003</v>
      </c>
    </row>
    <row r="225" spans="1:13">
      <c r="A225" s="1595">
        <v>1.9</v>
      </c>
      <c r="B225" s="1604">
        <v>1.0698000000000001</v>
      </c>
      <c r="C225" s="1604">
        <v>1.0698000000000001</v>
      </c>
      <c r="D225" s="1604">
        <v>1.0741000000000001</v>
      </c>
      <c r="E225" s="1604">
        <v>1.0741000000000001</v>
      </c>
      <c r="F225" s="1604">
        <v>1.0741000000000001</v>
      </c>
      <c r="G225" s="1604">
        <v>1.0741000000000001</v>
      </c>
      <c r="H225" s="1604">
        <v>1.0741000000000001</v>
      </c>
      <c r="I225" s="1604">
        <v>0.93610000000000004</v>
      </c>
      <c r="J225" s="1604">
        <v>0.93610000000000004</v>
      </c>
      <c r="K225" s="1604">
        <v>0.93610000000000004</v>
      </c>
      <c r="L225" s="1604">
        <v>0.93610000000000004</v>
      </c>
      <c r="M225" s="1604">
        <v>0.93610000000000004</v>
      </c>
    </row>
    <row r="226" spans="1:13">
      <c r="A226" s="1595">
        <v>2</v>
      </c>
      <c r="B226" s="1604">
        <v>1.0568</v>
      </c>
      <c r="C226" s="1604">
        <v>1.0568</v>
      </c>
      <c r="D226" s="1604">
        <v>1.0601</v>
      </c>
      <c r="E226" s="1604">
        <v>1.0601</v>
      </c>
      <c r="F226" s="1604">
        <v>1.0601</v>
      </c>
      <c r="G226" s="1604">
        <v>1.0601</v>
      </c>
      <c r="H226" s="1604">
        <v>1.0601</v>
      </c>
      <c r="I226" s="1604">
        <v>0.9224</v>
      </c>
      <c r="J226" s="1604">
        <v>0.9224</v>
      </c>
      <c r="K226" s="1604">
        <v>0.9224</v>
      </c>
      <c r="L226" s="1604">
        <v>0.9224</v>
      </c>
      <c r="M226" s="1604">
        <v>0.9224</v>
      </c>
    </row>
    <row r="227" spans="1:13">
      <c r="A227" s="1618">
        <v>2.1</v>
      </c>
      <c r="B227" s="1604">
        <v>1.0443</v>
      </c>
      <c r="C227" s="1604">
        <v>1.0443</v>
      </c>
      <c r="D227" s="1604">
        <v>1.0468</v>
      </c>
      <c r="E227" s="1604">
        <v>1.0468</v>
      </c>
      <c r="F227" s="1604">
        <v>1.0468</v>
      </c>
      <c r="G227" s="1604">
        <v>1.0468</v>
      </c>
      <c r="H227" s="1604">
        <v>1.0468</v>
      </c>
      <c r="I227" s="1604">
        <v>0.90959999999999996</v>
      </c>
      <c r="J227" s="1604">
        <v>0.90959999999999996</v>
      </c>
      <c r="K227" s="1604">
        <v>0.90959999999999996</v>
      </c>
      <c r="L227" s="1604">
        <v>0.90959999999999996</v>
      </c>
      <c r="M227" s="1604">
        <v>0.90959999999999996</v>
      </c>
    </row>
    <row r="228" spans="1:13">
      <c r="A228" s="1618">
        <v>2.2000000000000002</v>
      </c>
      <c r="B228" s="1604">
        <v>1.0325</v>
      </c>
      <c r="C228" s="1604">
        <v>1.0325</v>
      </c>
      <c r="D228" s="1604">
        <v>1.0342</v>
      </c>
      <c r="E228" s="1604">
        <v>1.0342</v>
      </c>
      <c r="F228" s="1604">
        <v>1.0342</v>
      </c>
      <c r="G228" s="1604">
        <v>1.0342</v>
      </c>
      <c r="H228" s="1604">
        <v>1.0342</v>
      </c>
      <c r="I228" s="1604">
        <v>0.89749999999999996</v>
      </c>
      <c r="J228" s="1604">
        <v>0.89749999999999996</v>
      </c>
      <c r="K228" s="1604">
        <v>0.89749999999999996</v>
      </c>
      <c r="L228" s="1604">
        <v>0.89749999999999996</v>
      </c>
      <c r="M228" s="1604">
        <v>0.89749999999999996</v>
      </c>
    </row>
    <row r="229" spans="1:13">
      <c r="A229" s="1618">
        <v>2.2999999999999998</v>
      </c>
      <c r="B229" s="1604">
        <v>1.0209999999999999</v>
      </c>
      <c r="C229" s="1604">
        <v>1.0209999999999999</v>
      </c>
      <c r="D229" s="1604">
        <v>1.0222</v>
      </c>
      <c r="E229" s="1604">
        <v>1.0222</v>
      </c>
      <c r="F229" s="1604">
        <v>1.0222</v>
      </c>
      <c r="G229" s="1604">
        <v>1.0222</v>
      </c>
      <c r="H229" s="1604">
        <v>1.0222</v>
      </c>
      <c r="I229" s="1604">
        <v>0.88619999999999999</v>
      </c>
      <c r="J229" s="1604">
        <v>0.88619999999999999</v>
      </c>
      <c r="K229" s="1604">
        <v>0.88619999999999999</v>
      </c>
      <c r="L229" s="1604">
        <v>0.88619999999999999</v>
      </c>
      <c r="M229" s="1604">
        <v>0.88619999999999999</v>
      </c>
    </row>
    <row r="230" spans="1:13">
      <c r="A230" s="1618">
        <v>2.4</v>
      </c>
      <c r="B230" s="1604">
        <v>1.0102</v>
      </c>
      <c r="C230" s="1604">
        <v>1.0102</v>
      </c>
      <c r="D230" s="1604">
        <v>1.0107999999999999</v>
      </c>
      <c r="E230" s="1604">
        <v>1.0107999999999999</v>
      </c>
      <c r="F230" s="1604">
        <v>1.0107999999999999</v>
      </c>
      <c r="G230" s="1604">
        <v>1.0107999999999999</v>
      </c>
      <c r="H230" s="1604">
        <v>1.0107999999999999</v>
      </c>
      <c r="I230" s="1604">
        <v>0.87529999999999997</v>
      </c>
      <c r="J230" s="1604">
        <v>0.87529999999999997</v>
      </c>
      <c r="K230" s="1604">
        <v>0.87529999999999997</v>
      </c>
      <c r="L230" s="1604">
        <v>0.87529999999999997</v>
      </c>
      <c r="M230" s="1604">
        <v>0.87529999999999997</v>
      </c>
    </row>
    <row r="231" spans="1:13">
      <c r="A231" s="1618">
        <v>2.5</v>
      </c>
      <c r="B231" s="1604">
        <v>1</v>
      </c>
      <c r="C231" s="1604">
        <v>1</v>
      </c>
      <c r="D231" s="1604">
        <v>1</v>
      </c>
      <c r="E231" s="1604">
        <v>1</v>
      </c>
      <c r="F231" s="1604">
        <v>1</v>
      </c>
      <c r="G231" s="1604">
        <v>1</v>
      </c>
      <c r="H231" s="1604">
        <v>1</v>
      </c>
      <c r="I231" s="1604">
        <v>0.86509999999999998</v>
      </c>
      <c r="J231" s="1604">
        <v>0.86509999999999998</v>
      </c>
      <c r="K231" s="1604">
        <v>0.86509999999999998</v>
      </c>
      <c r="L231" s="1604">
        <v>0.86509999999999998</v>
      </c>
      <c r="M231" s="1604">
        <v>0.86509999999999998</v>
      </c>
    </row>
    <row r="232" spans="1:13">
      <c r="A232" s="1618">
        <v>2.6</v>
      </c>
      <c r="B232" s="1604">
        <v>0.99029999999999996</v>
      </c>
      <c r="C232" s="1604">
        <v>0.99029999999999996</v>
      </c>
      <c r="D232" s="1604">
        <v>0.98970000000000002</v>
      </c>
      <c r="E232" s="1604">
        <v>0.98970000000000002</v>
      </c>
      <c r="F232" s="1604">
        <v>0.98970000000000002</v>
      </c>
      <c r="G232" s="1604">
        <v>0.98970000000000002</v>
      </c>
      <c r="H232" s="1604">
        <v>0.98970000000000002</v>
      </c>
      <c r="I232" s="1604">
        <v>0.85529999999999995</v>
      </c>
      <c r="J232" s="1604">
        <v>0.85529999999999995</v>
      </c>
      <c r="K232" s="1604">
        <v>0.85529999999999995</v>
      </c>
      <c r="L232" s="1604">
        <v>0.85529999999999995</v>
      </c>
      <c r="M232" s="1604">
        <v>0.85529999999999995</v>
      </c>
    </row>
    <row r="233" spans="1:13">
      <c r="A233" s="1618">
        <v>2.7</v>
      </c>
      <c r="B233" s="1604">
        <v>0.98109999999999997</v>
      </c>
      <c r="C233" s="1604">
        <v>0.98109999999999997</v>
      </c>
      <c r="D233" s="1604">
        <v>0.97989999999999999</v>
      </c>
      <c r="E233" s="1604">
        <v>0.97989999999999999</v>
      </c>
      <c r="F233" s="1604">
        <v>0.97989999999999999</v>
      </c>
      <c r="G233" s="1604">
        <v>0.97989999999999999</v>
      </c>
      <c r="H233" s="1604">
        <v>0.97989999999999999</v>
      </c>
      <c r="I233" s="1604">
        <v>0.84599999999999997</v>
      </c>
      <c r="J233" s="1604">
        <v>0.84599999999999997</v>
      </c>
      <c r="K233" s="1604">
        <v>0.84599999999999997</v>
      </c>
      <c r="L233" s="1604">
        <v>0.84599999999999997</v>
      </c>
      <c r="M233" s="1604">
        <v>0.84599999999999997</v>
      </c>
    </row>
    <row r="234" spans="1:13">
      <c r="A234" s="1618">
        <v>2.8</v>
      </c>
      <c r="B234" s="1604">
        <v>0.97240000000000004</v>
      </c>
      <c r="C234" s="1604">
        <v>0.97240000000000004</v>
      </c>
      <c r="D234" s="1604">
        <v>0.97060000000000002</v>
      </c>
      <c r="E234" s="1604">
        <v>0.97060000000000002</v>
      </c>
      <c r="F234" s="1604">
        <v>0.97060000000000002</v>
      </c>
      <c r="G234" s="1604">
        <v>0.97060000000000002</v>
      </c>
      <c r="H234" s="1604">
        <v>0.97060000000000002</v>
      </c>
      <c r="I234" s="1604">
        <v>0.83709999999999996</v>
      </c>
      <c r="J234" s="1604">
        <v>0.83709999999999996</v>
      </c>
      <c r="K234" s="1604">
        <v>0.83709999999999996</v>
      </c>
      <c r="L234" s="1604">
        <v>0.83709999999999996</v>
      </c>
      <c r="M234" s="1604">
        <v>0.83709999999999996</v>
      </c>
    </row>
    <row r="235" spans="1:13">
      <c r="A235" s="1618">
        <v>2.9</v>
      </c>
      <c r="B235" s="1604">
        <v>0.96419999999999995</v>
      </c>
      <c r="C235" s="1604">
        <v>0.96419999999999995</v>
      </c>
      <c r="D235" s="1604">
        <v>0.96179999999999999</v>
      </c>
      <c r="E235" s="1604">
        <v>0.96179999999999999</v>
      </c>
      <c r="F235" s="1604">
        <v>0.96179999999999999</v>
      </c>
      <c r="G235" s="1604">
        <v>0.96179999999999999</v>
      </c>
      <c r="H235" s="1604">
        <v>0.96179999999999999</v>
      </c>
      <c r="I235" s="1604">
        <v>0.82850000000000001</v>
      </c>
      <c r="J235" s="1604">
        <v>0.82850000000000001</v>
      </c>
      <c r="K235" s="1604">
        <v>0.82850000000000001</v>
      </c>
      <c r="L235" s="1604">
        <v>0.82850000000000001</v>
      </c>
      <c r="M235" s="1604">
        <v>0.82850000000000001</v>
      </c>
    </row>
    <row r="236" spans="1:13">
      <c r="A236" s="1618">
        <v>3</v>
      </c>
      <c r="B236" s="1604">
        <v>0.95640000000000003</v>
      </c>
      <c r="C236" s="1604">
        <v>0.95640000000000003</v>
      </c>
      <c r="D236" s="1604">
        <v>0.95340000000000003</v>
      </c>
      <c r="E236" s="1604">
        <v>0.95340000000000003</v>
      </c>
      <c r="F236" s="1604">
        <v>0.95340000000000003</v>
      </c>
      <c r="G236" s="1604">
        <v>0.95340000000000003</v>
      </c>
      <c r="H236" s="1604">
        <v>0.95340000000000003</v>
      </c>
      <c r="I236" s="1604">
        <v>0.82040000000000002</v>
      </c>
      <c r="J236" s="1604">
        <v>0.82040000000000002</v>
      </c>
      <c r="K236" s="1604">
        <v>0.82040000000000002</v>
      </c>
      <c r="L236" s="1604">
        <v>0.82040000000000002</v>
      </c>
      <c r="M236" s="1604">
        <v>0.82040000000000002</v>
      </c>
    </row>
    <row r="237" spans="1:13">
      <c r="A237" s="1618">
        <v>3.1</v>
      </c>
      <c r="B237" s="1604">
        <v>0.94899999999999995</v>
      </c>
      <c r="C237" s="1604">
        <v>0.94899999999999995</v>
      </c>
      <c r="D237" s="1604">
        <v>0.94550000000000001</v>
      </c>
      <c r="E237" s="1604">
        <v>0.94550000000000001</v>
      </c>
      <c r="F237" s="1604">
        <v>0.94550000000000001</v>
      </c>
      <c r="G237" s="1604">
        <v>0.94550000000000001</v>
      </c>
      <c r="H237" s="1604">
        <v>0.94550000000000001</v>
      </c>
      <c r="I237" s="1604">
        <v>0.81259999999999999</v>
      </c>
      <c r="J237" s="1604">
        <v>0.81259999999999999</v>
      </c>
      <c r="K237" s="1604">
        <v>0.81259999999999999</v>
      </c>
      <c r="L237" s="1604">
        <v>0.81259999999999999</v>
      </c>
      <c r="M237" s="1604">
        <v>0.81259999999999999</v>
      </c>
    </row>
    <row r="238" spans="1:13">
      <c r="A238" s="1618">
        <v>3.2</v>
      </c>
      <c r="B238" s="1604">
        <v>0.94199999999999995</v>
      </c>
      <c r="C238" s="1604">
        <v>0.94199999999999995</v>
      </c>
      <c r="D238" s="1604">
        <v>0.93789999999999996</v>
      </c>
      <c r="E238" s="1604">
        <v>0.93789999999999996</v>
      </c>
      <c r="F238" s="1604">
        <v>0.93789999999999996</v>
      </c>
      <c r="G238" s="1604">
        <v>0.93789999999999996</v>
      </c>
      <c r="H238" s="1604">
        <v>0.93789999999999996</v>
      </c>
      <c r="I238" s="1604">
        <v>0.80530000000000002</v>
      </c>
      <c r="J238" s="1604">
        <v>0.80530000000000002</v>
      </c>
      <c r="K238" s="1604">
        <v>0.80530000000000002</v>
      </c>
      <c r="L238" s="1604">
        <v>0.80530000000000002</v>
      </c>
      <c r="M238" s="1604">
        <v>0.80530000000000002</v>
      </c>
    </row>
    <row r="239" spans="1:13">
      <c r="A239" s="1618">
        <v>3.3</v>
      </c>
      <c r="B239" s="1604">
        <v>0.93540000000000001</v>
      </c>
      <c r="C239" s="1604">
        <v>0.93540000000000001</v>
      </c>
      <c r="D239" s="1604">
        <v>0.93069999999999997</v>
      </c>
      <c r="E239" s="1604">
        <v>0.93069999999999997</v>
      </c>
      <c r="F239" s="1604">
        <v>0.93069999999999997</v>
      </c>
      <c r="G239" s="1604">
        <v>0.93069999999999997</v>
      </c>
      <c r="H239" s="1604">
        <v>0.93069999999999997</v>
      </c>
      <c r="I239" s="1604">
        <v>0.79820000000000002</v>
      </c>
      <c r="J239" s="1604">
        <v>0.79820000000000002</v>
      </c>
      <c r="K239" s="1604">
        <v>0.79820000000000002</v>
      </c>
      <c r="L239" s="1604">
        <v>0.79820000000000002</v>
      </c>
      <c r="M239" s="1604">
        <v>0.79820000000000002</v>
      </c>
    </row>
    <row r="240" spans="1:13">
      <c r="A240" s="1618">
        <v>3.4</v>
      </c>
      <c r="B240" s="1604">
        <v>0.92920000000000003</v>
      </c>
      <c r="C240" s="1604">
        <v>0.92920000000000003</v>
      </c>
      <c r="D240" s="1604">
        <v>0.92390000000000005</v>
      </c>
      <c r="E240" s="1604">
        <v>0.92390000000000005</v>
      </c>
      <c r="F240" s="1604">
        <v>0.92390000000000005</v>
      </c>
      <c r="G240" s="1604">
        <v>0.92390000000000005</v>
      </c>
      <c r="H240" s="1604">
        <v>0.92390000000000005</v>
      </c>
      <c r="I240" s="1604">
        <v>0.79139999999999999</v>
      </c>
      <c r="J240" s="1604">
        <v>0.79139999999999999</v>
      </c>
      <c r="K240" s="1604">
        <v>0.79139999999999999</v>
      </c>
      <c r="L240" s="1604">
        <v>0.79139999999999999</v>
      </c>
      <c r="M240" s="1604">
        <v>0.79139999999999999</v>
      </c>
    </row>
    <row r="241" spans="1:13">
      <c r="A241" s="1618">
        <v>3.5</v>
      </c>
      <c r="B241" s="1604">
        <v>0.9234</v>
      </c>
      <c r="C241" s="1604">
        <v>0.9234</v>
      </c>
      <c r="D241" s="1604">
        <v>0.91749999999999998</v>
      </c>
      <c r="E241" s="1604">
        <v>0.91749999999999998</v>
      </c>
      <c r="F241" s="1604">
        <v>0.91749999999999998</v>
      </c>
      <c r="G241" s="1604">
        <v>0.91749999999999998</v>
      </c>
      <c r="H241" s="1604">
        <v>0.91749999999999998</v>
      </c>
      <c r="I241" s="1604">
        <v>0.78490000000000004</v>
      </c>
      <c r="J241" s="1604">
        <v>0.78490000000000004</v>
      </c>
      <c r="K241" s="1604">
        <v>0.78490000000000004</v>
      </c>
      <c r="L241" s="1604">
        <v>0.78490000000000004</v>
      </c>
      <c r="M241" s="1604">
        <v>0.78490000000000004</v>
      </c>
    </row>
    <row r="242" spans="1:13">
      <c r="A242" s="1618">
        <v>3.6</v>
      </c>
      <c r="B242" s="1604">
        <v>0.91790000000000005</v>
      </c>
      <c r="C242" s="1604">
        <v>0.91790000000000005</v>
      </c>
      <c r="D242" s="1604">
        <v>0.91139999999999999</v>
      </c>
      <c r="E242" s="1604">
        <v>0.91139999999999999</v>
      </c>
      <c r="F242" s="1604">
        <v>0.91139999999999999</v>
      </c>
      <c r="G242" s="1604">
        <v>0.91139999999999999</v>
      </c>
      <c r="H242" s="1604">
        <v>0.91139999999999999</v>
      </c>
      <c r="I242" s="1604">
        <v>0.77880000000000005</v>
      </c>
      <c r="J242" s="1604">
        <v>0.77880000000000005</v>
      </c>
      <c r="K242" s="1604">
        <v>0.77880000000000005</v>
      </c>
      <c r="L242" s="1604">
        <v>0.77880000000000005</v>
      </c>
      <c r="M242" s="1604">
        <v>0.77880000000000005</v>
      </c>
    </row>
    <row r="243" spans="1:13">
      <c r="A243" s="1618">
        <v>3.7</v>
      </c>
      <c r="B243" s="1604">
        <v>0.91269999999999996</v>
      </c>
      <c r="C243" s="1604">
        <v>0.91269999999999996</v>
      </c>
      <c r="D243" s="1604">
        <v>0.90559999999999996</v>
      </c>
      <c r="E243" s="1604">
        <v>0.90559999999999996</v>
      </c>
      <c r="F243" s="1604">
        <v>0.90559999999999996</v>
      </c>
      <c r="G243" s="1604">
        <v>0.90559999999999996</v>
      </c>
      <c r="H243" s="1604">
        <v>0.90559999999999996</v>
      </c>
      <c r="I243" s="1604">
        <v>0.77300000000000002</v>
      </c>
      <c r="J243" s="1604">
        <v>0.77300000000000002</v>
      </c>
      <c r="K243" s="1604">
        <v>0.77300000000000002</v>
      </c>
      <c r="L243" s="1604">
        <v>0.77300000000000002</v>
      </c>
      <c r="M243" s="1604">
        <v>0.77300000000000002</v>
      </c>
    </row>
    <row r="244" spans="1:13">
      <c r="A244" s="1618">
        <v>3.8</v>
      </c>
      <c r="B244" s="1604">
        <v>0.90780000000000005</v>
      </c>
      <c r="C244" s="1604">
        <v>0.90780000000000005</v>
      </c>
      <c r="D244" s="1604">
        <v>0.90010000000000001</v>
      </c>
      <c r="E244" s="1604">
        <v>0.90010000000000001</v>
      </c>
      <c r="F244" s="1604">
        <v>0.90010000000000001</v>
      </c>
      <c r="G244" s="1604">
        <v>0.90010000000000001</v>
      </c>
      <c r="H244" s="1604">
        <v>0.90010000000000001</v>
      </c>
      <c r="I244" s="1604">
        <v>0.76739999999999997</v>
      </c>
      <c r="J244" s="1604">
        <v>0.76739999999999997</v>
      </c>
      <c r="K244" s="1604">
        <v>0.76739999999999997</v>
      </c>
      <c r="L244" s="1604">
        <v>0.76739999999999997</v>
      </c>
      <c r="M244" s="1604">
        <v>0.76739999999999997</v>
      </c>
    </row>
    <row r="245" spans="1:13">
      <c r="A245" s="1618">
        <v>3.9</v>
      </c>
      <c r="B245" s="1604">
        <v>0.9032</v>
      </c>
      <c r="C245" s="1604">
        <v>0.9032</v>
      </c>
      <c r="D245" s="1604">
        <v>0.89490000000000003</v>
      </c>
      <c r="E245" s="1604">
        <v>0.89490000000000003</v>
      </c>
      <c r="F245" s="1604">
        <v>0.89490000000000003</v>
      </c>
      <c r="G245" s="1604">
        <v>0.89490000000000003</v>
      </c>
      <c r="H245" s="1604">
        <v>0.89490000000000003</v>
      </c>
      <c r="I245" s="1604">
        <v>0.7621</v>
      </c>
      <c r="J245" s="1604">
        <v>0.7621</v>
      </c>
      <c r="K245" s="1604">
        <v>0.7621</v>
      </c>
      <c r="L245" s="1604">
        <v>0.7621</v>
      </c>
      <c r="M245" s="1604">
        <v>0.7621</v>
      </c>
    </row>
    <row r="246" spans="1:13">
      <c r="A246" s="1618">
        <v>4</v>
      </c>
      <c r="B246" s="1604">
        <v>0.89890000000000003</v>
      </c>
      <c r="C246" s="1604">
        <v>0.89890000000000003</v>
      </c>
      <c r="D246" s="1604">
        <v>0.89</v>
      </c>
      <c r="E246" s="1604">
        <v>0.89</v>
      </c>
      <c r="F246" s="1604">
        <v>0.89</v>
      </c>
      <c r="G246" s="1604">
        <v>0.89</v>
      </c>
      <c r="H246" s="1604">
        <v>0.89</v>
      </c>
      <c r="I246" s="1604">
        <v>0.7571</v>
      </c>
      <c r="J246" s="1604">
        <v>0.7571</v>
      </c>
      <c r="K246" s="1604">
        <v>0.7571</v>
      </c>
      <c r="L246" s="1604">
        <v>0.7571</v>
      </c>
      <c r="M246" s="1604">
        <v>0.7571</v>
      </c>
    </row>
    <row r="247" spans="1:13">
      <c r="A247" s="1618">
        <v>4.0999999999999996</v>
      </c>
      <c r="B247" s="1604">
        <v>0.89480000000000004</v>
      </c>
      <c r="C247" s="1604">
        <v>0.89480000000000004</v>
      </c>
      <c r="D247" s="1604">
        <v>0.88539999999999996</v>
      </c>
      <c r="E247" s="1604">
        <v>0.88539999999999996</v>
      </c>
      <c r="F247" s="1604">
        <v>0.88539999999999996</v>
      </c>
      <c r="G247" s="1604">
        <v>0.88539999999999996</v>
      </c>
      <c r="H247" s="1604">
        <v>0.88539999999999996</v>
      </c>
      <c r="I247" s="1604">
        <v>0.75229999999999997</v>
      </c>
      <c r="J247" s="1604">
        <v>0.75229999999999997</v>
      </c>
      <c r="K247" s="1604">
        <v>0.75229999999999997</v>
      </c>
      <c r="L247" s="1604">
        <v>0.75229999999999997</v>
      </c>
      <c r="M247" s="1604">
        <v>0.75229999999999997</v>
      </c>
    </row>
    <row r="248" spans="1:13">
      <c r="A248" s="1618">
        <v>4.2</v>
      </c>
      <c r="B248" s="1604">
        <v>0.89100000000000001</v>
      </c>
      <c r="C248" s="1604">
        <v>0.89100000000000001</v>
      </c>
      <c r="D248" s="1604">
        <v>0.88109999999999999</v>
      </c>
      <c r="E248" s="1604">
        <v>0.88109999999999999</v>
      </c>
      <c r="F248" s="1604">
        <v>0.88109999999999999</v>
      </c>
      <c r="G248" s="1604">
        <v>0.88109999999999999</v>
      </c>
      <c r="H248" s="1604">
        <v>0.88109999999999999</v>
      </c>
      <c r="I248" s="1604">
        <v>0.74780000000000002</v>
      </c>
      <c r="J248" s="1604">
        <v>0.74780000000000002</v>
      </c>
      <c r="K248" s="1604">
        <v>0.74780000000000002</v>
      </c>
      <c r="L248" s="1604">
        <v>0.74780000000000002</v>
      </c>
      <c r="M248" s="1604">
        <v>0.74780000000000002</v>
      </c>
    </row>
    <row r="249" spans="1:13">
      <c r="A249" s="1618">
        <v>4.3</v>
      </c>
      <c r="B249" s="1604">
        <v>0.88739999999999997</v>
      </c>
      <c r="C249" s="1604">
        <v>0.88739999999999997</v>
      </c>
      <c r="D249" s="1604">
        <v>0.877</v>
      </c>
      <c r="E249" s="1604">
        <v>0.877</v>
      </c>
      <c r="F249" s="1604">
        <v>0.877</v>
      </c>
      <c r="G249" s="1604">
        <v>0.877</v>
      </c>
      <c r="H249" s="1604">
        <v>0.877</v>
      </c>
      <c r="I249" s="1604">
        <v>0.74329999999999996</v>
      </c>
      <c r="J249" s="1604">
        <v>0.74329999999999996</v>
      </c>
      <c r="K249" s="1604">
        <v>0.74329999999999996</v>
      </c>
      <c r="L249" s="1604">
        <v>0.74329999999999996</v>
      </c>
      <c r="M249" s="1604">
        <v>0.74329999999999996</v>
      </c>
    </row>
    <row r="250" spans="1:13">
      <c r="A250" s="1618">
        <v>4.4000000000000004</v>
      </c>
      <c r="B250" s="1604">
        <v>0.88400000000000001</v>
      </c>
      <c r="C250" s="1604">
        <v>0.88400000000000001</v>
      </c>
      <c r="D250" s="1604">
        <v>0.87309999999999999</v>
      </c>
      <c r="E250" s="1604">
        <v>0.87309999999999999</v>
      </c>
      <c r="F250" s="1604">
        <v>0.87309999999999999</v>
      </c>
      <c r="G250" s="1604">
        <v>0.87309999999999999</v>
      </c>
      <c r="H250" s="1604">
        <v>0.87309999999999999</v>
      </c>
      <c r="I250" s="1604">
        <v>0.73909999999999998</v>
      </c>
      <c r="J250" s="1604">
        <v>0.73909999999999998</v>
      </c>
      <c r="K250" s="1604">
        <v>0.73909999999999998</v>
      </c>
      <c r="L250" s="1604">
        <v>0.73909999999999998</v>
      </c>
      <c r="M250" s="1604">
        <v>0.73909999999999998</v>
      </c>
    </row>
    <row r="251" spans="1:13">
      <c r="A251" s="1618">
        <v>4.5</v>
      </c>
      <c r="B251" s="1604">
        <v>0.88080000000000003</v>
      </c>
      <c r="C251" s="1604">
        <v>0.88080000000000003</v>
      </c>
      <c r="D251" s="1604">
        <v>0.86939999999999995</v>
      </c>
      <c r="E251" s="1604">
        <v>0.86939999999999995</v>
      </c>
      <c r="F251" s="1604">
        <v>0.86939999999999995</v>
      </c>
      <c r="G251" s="1604">
        <v>0.86939999999999995</v>
      </c>
      <c r="H251" s="1604">
        <v>0.86939999999999995</v>
      </c>
      <c r="I251" s="1604">
        <v>0.73499999999999999</v>
      </c>
      <c r="J251" s="1604">
        <v>0.73499999999999999</v>
      </c>
      <c r="K251" s="1604">
        <v>0.73499999999999999</v>
      </c>
      <c r="L251" s="1604">
        <v>0.73499999999999999</v>
      </c>
      <c r="M251" s="1604">
        <v>0.73499999999999999</v>
      </c>
    </row>
    <row r="252" spans="1:13">
      <c r="A252" s="1618">
        <v>4.5999999999999996</v>
      </c>
      <c r="B252" s="1604">
        <v>0.87780000000000002</v>
      </c>
      <c r="C252" s="1604">
        <v>0.87780000000000002</v>
      </c>
      <c r="D252" s="1604">
        <v>0.8659</v>
      </c>
      <c r="E252" s="1604">
        <v>0.8659</v>
      </c>
      <c r="F252" s="1604">
        <v>0.8659</v>
      </c>
      <c r="G252" s="1604">
        <v>0.8659</v>
      </c>
      <c r="H252" s="1604">
        <v>0.8659</v>
      </c>
      <c r="I252" s="1604">
        <v>0.73109999999999997</v>
      </c>
      <c r="J252" s="1604">
        <v>0.73109999999999997</v>
      </c>
      <c r="K252" s="1604">
        <v>0.73109999999999997</v>
      </c>
      <c r="L252" s="1604">
        <v>0.73109999999999997</v>
      </c>
      <c r="M252" s="1604">
        <v>0.73109999999999997</v>
      </c>
    </row>
    <row r="253" spans="1:13">
      <c r="A253" s="1618">
        <v>4.7</v>
      </c>
      <c r="B253" s="1604">
        <v>0.875</v>
      </c>
      <c r="C253" s="1604">
        <v>0.875</v>
      </c>
      <c r="D253" s="1604">
        <v>0.86260000000000003</v>
      </c>
      <c r="E253" s="1604">
        <v>0.86260000000000003</v>
      </c>
      <c r="F253" s="1604">
        <v>0.86260000000000003</v>
      </c>
      <c r="G253" s="1604">
        <v>0.86260000000000003</v>
      </c>
      <c r="H253" s="1604">
        <v>0.86260000000000003</v>
      </c>
      <c r="I253" s="1604">
        <v>0.72750000000000004</v>
      </c>
      <c r="J253" s="1604">
        <v>0.72750000000000004</v>
      </c>
      <c r="K253" s="1604">
        <v>0.72750000000000004</v>
      </c>
      <c r="L253" s="1604">
        <v>0.72750000000000004</v>
      </c>
      <c r="M253" s="1604">
        <v>0.72750000000000004</v>
      </c>
    </row>
    <row r="254" spans="1:13">
      <c r="A254" s="1618">
        <v>4.8</v>
      </c>
      <c r="B254" s="1604">
        <v>0.87229999999999996</v>
      </c>
      <c r="C254" s="1604">
        <v>0.87229999999999996</v>
      </c>
      <c r="D254" s="1604">
        <v>0.85950000000000004</v>
      </c>
      <c r="E254" s="1604">
        <v>0.85950000000000004</v>
      </c>
      <c r="F254" s="1604">
        <v>0.85950000000000004</v>
      </c>
      <c r="G254" s="1604">
        <v>0.85950000000000004</v>
      </c>
      <c r="H254" s="1604">
        <v>0.85950000000000004</v>
      </c>
      <c r="I254" s="1604">
        <v>0.72399999999999998</v>
      </c>
      <c r="J254" s="1604">
        <v>0.72399999999999998</v>
      </c>
      <c r="K254" s="1604">
        <v>0.72399999999999998</v>
      </c>
      <c r="L254" s="1604">
        <v>0.72399999999999998</v>
      </c>
      <c r="M254" s="1604">
        <v>0.72399999999999998</v>
      </c>
    </row>
    <row r="255" spans="1:13">
      <c r="A255" s="1618">
        <v>4.9000000000000004</v>
      </c>
      <c r="B255" s="1604">
        <v>0.86980000000000002</v>
      </c>
      <c r="C255" s="1604">
        <v>0.86980000000000002</v>
      </c>
      <c r="D255" s="1604">
        <v>0.85660000000000003</v>
      </c>
      <c r="E255" s="1604">
        <v>0.85660000000000003</v>
      </c>
      <c r="F255" s="1604">
        <v>0.85660000000000003</v>
      </c>
      <c r="G255" s="1604">
        <v>0.85660000000000003</v>
      </c>
      <c r="H255" s="1604">
        <v>0.85660000000000003</v>
      </c>
      <c r="I255" s="1604">
        <v>0.7208</v>
      </c>
      <c r="J255" s="1604">
        <v>0.7208</v>
      </c>
      <c r="K255" s="1604">
        <v>0.7208</v>
      </c>
      <c r="L255" s="1604">
        <v>0.7208</v>
      </c>
      <c r="M255" s="1604">
        <v>0.7208</v>
      </c>
    </row>
    <row r="256" spans="1:13">
      <c r="A256" s="1618">
        <v>5</v>
      </c>
      <c r="B256" s="1604">
        <v>0.86739999999999995</v>
      </c>
      <c r="C256" s="1604">
        <v>0.86739999999999995</v>
      </c>
      <c r="D256" s="1604">
        <v>0.8538</v>
      </c>
      <c r="E256" s="1604">
        <v>0.8538</v>
      </c>
      <c r="F256" s="1604">
        <v>0.8538</v>
      </c>
      <c r="G256" s="1604">
        <v>0.8538</v>
      </c>
      <c r="H256" s="1604">
        <v>0.8538</v>
      </c>
      <c r="I256" s="1604">
        <v>0.71760000000000002</v>
      </c>
      <c r="J256" s="1604">
        <v>0.71760000000000002</v>
      </c>
      <c r="K256" s="1604">
        <v>0.71760000000000002</v>
      </c>
      <c r="L256" s="1604">
        <v>0.71760000000000002</v>
      </c>
      <c r="M256" s="1604">
        <v>0.71760000000000002</v>
      </c>
    </row>
    <row r="257" spans="1:13">
      <c r="A257" s="1595">
        <v>5.0999999999999996</v>
      </c>
      <c r="B257" s="1604">
        <v>0.86519999999999997</v>
      </c>
      <c r="C257" s="1604">
        <v>0.86519999999999997</v>
      </c>
      <c r="D257" s="1604">
        <v>0.85109999999999997</v>
      </c>
      <c r="E257" s="1604">
        <v>0.85109999999999997</v>
      </c>
      <c r="F257" s="1604">
        <v>0.85109999999999997</v>
      </c>
      <c r="G257" s="1604">
        <v>0.85109999999999997</v>
      </c>
      <c r="H257" s="1604">
        <v>0.85109999999999997</v>
      </c>
      <c r="I257" s="1604">
        <v>0.7147</v>
      </c>
      <c r="J257" s="1604">
        <v>0.7147</v>
      </c>
      <c r="K257" s="1604">
        <v>0.7147</v>
      </c>
      <c r="L257" s="1604">
        <v>0.7147</v>
      </c>
      <c r="M257" s="1604">
        <v>0.7147</v>
      </c>
    </row>
    <row r="258" spans="1:13">
      <c r="A258" s="1595">
        <v>5.2</v>
      </c>
      <c r="B258" s="1604">
        <v>0.86309999999999998</v>
      </c>
      <c r="C258" s="1604">
        <v>0.86309999999999998</v>
      </c>
      <c r="D258" s="1604">
        <v>0.84860000000000002</v>
      </c>
      <c r="E258" s="1604">
        <v>0.84860000000000002</v>
      </c>
      <c r="F258" s="1604">
        <v>0.84860000000000002</v>
      </c>
      <c r="G258" s="1604">
        <v>0.84860000000000002</v>
      </c>
      <c r="H258" s="1604">
        <v>0.84860000000000002</v>
      </c>
      <c r="I258" s="1604">
        <v>0.71189999999999998</v>
      </c>
      <c r="J258" s="1604">
        <v>0.71189999999999998</v>
      </c>
      <c r="K258" s="1604">
        <v>0.71189999999999998</v>
      </c>
      <c r="L258" s="1604">
        <v>0.71189999999999998</v>
      </c>
      <c r="M258" s="1604">
        <v>0.71189999999999998</v>
      </c>
    </row>
    <row r="259" spans="1:13">
      <c r="A259" s="1595">
        <v>5.3</v>
      </c>
      <c r="B259" s="1604">
        <v>0.86119999999999997</v>
      </c>
      <c r="C259" s="1604">
        <v>0.86119999999999997</v>
      </c>
      <c r="D259" s="1604">
        <v>0.84619999999999995</v>
      </c>
      <c r="E259" s="1604">
        <v>0.84619999999999995</v>
      </c>
      <c r="F259" s="1604">
        <v>0.84619999999999995</v>
      </c>
      <c r="G259" s="1604">
        <v>0.84619999999999995</v>
      </c>
      <c r="H259" s="1604">
        <v>0.84619999999999995</v>
      </c>
      <c r="I259" s="1604">
        <v>0.70909999999999995</v>
      </c>
      <c r="J259" s="1604">
        <v>0.70909999999999995</v>
      </c>
      <c r="K259" s="1604">
        <v>0.70909999999999995</v>
      </c>
      <c r="L259" s="1604">
        <v>0.70909999999999995</v>
      </c>
      <c r="M259" s="1604">
        <v>0.70909999999999995</v>
      </c>
    </row>
    <row r="260" spans="1:13">
      <c r="A260" s="1595">
        <v>5.4</v>
      </c>
      <c r="B260" s="1604">
        <v>0.85940000000000005</v>
      </c>
      <c r="C260" s="1604">
        <v>0.85940000000000005</v>
      </c>
      <c r="D260" s="1604">
        <v>0.84389999999999998</v>
      </c>
      <c r="E260" s="1604">
        <v>0.84389999999999998</v>
      </c>
      <c r="F260" s="1604">
        <v>0.84389999999999998</v>
      </c>
      <c r="G260" s="1604">
        <v>0.84389999999999998</v>
      </c>
      <c r="H260" s="1604">
        <v>0.84389999999999998</v>
      </c>
      <c r="I260" s="1604">
        <v>0.70650000000000002</v>
      </c>
      <c r="J260" s="1604">
        <v>0.70650000000000002</v>
      </c>
      <c r="K260" s="1604">
        <v>0.70650000000000002</v>
      </c>
      <c r="L260" s="1604">
        <v>0.70650000000000002</v>
      </c>
      <c r="M260" s="1604">
        <v>0.70650000000000002</v>
      </c>
    </row>
    <row r="261" spans="1:13">
      <c r="A261" s="1595">
        <v>5.5</v>
      </c>
      <c r="B261" s="1604">
        <v>0.85770000000000002</v>
      </c>
      <c r="C261" s="1604">
        <v>0.85770000000000002</v>
      </c>
      <c r="D261" s="1604">
        <v>0.84179999999999999</v>
      </c>
      <c r="E261" s="1604">
        <v>0.84179999999999999</v>
      </c>
      <c r="F261" s="1604">
        <v>0.84179999999999999</v>
      </c>
      <c r="G261" s="1604">
        <v>0.84179999999999999</v>
      </c>
      <c r="H261" s="1604">
        <v>0.84179999999999999</v>
      </c>
      <c r="I261" s="1604">
        <v>0.70399999999999996</v>
      </c>
      <c r="J261" s="1604">
        <v>0.70399999999999996</v>
      </c>
      <c r="K261" s="1604">
        <v>0.70399999999999996</v>
      </c>
      <c r="L261" s="1604">
        <v>0.70399999999999996</v>
      </c>
      <c r="M261" s="1604">
        <v>0.70399999999999996</v>
      </c>
    </row>
    <row r="262" spans="1:13">
      <c r="A262" s="1595">
        <v>5.6</v>
      </c>
      <c r="B262" s="1604">
        <v>0.85599999999999998</v>
      </c>
      <c r="C262" s="1604">
        <v>0.85599999999999998</v>
      </c>
      <c r="D262" s="1604">
        <v>0.83979999999999999</v>
      </c>
      <c r="E262" s="1604">
        <v>0.83979999999999999</v>
      </c>
      <c r="F262" s="1604">
        <v>0.83979999999999999</v>
      </c>
      <c r="G262" s="1604">
        <v>0.83979999999999999</v>
      </c>
      <c r="H262" s="1604">
        <v>0.83979999999999999</v>
      </c>
      <c r="I262" s="1604">
        <v>0.7016</v>
      </c>
      <c r="J262" s="1604">
        <v>0.7016</v>
      </c>
      <c r="K262" s="1604">
        <v>0.7016</v>
      </c>
      <c r="L262" s="1604">
        <v>0.7016</v>
      </c>
      <c r="M262" s="1604">
        <v>0.7016</v>
      </c>
    </row>
    <row r="263" spans="1:13">
      <c r="A263" s="1618">
        <v>5.7</v>
      </c>
      <c r="B263" s="1604">
        <v>0.85440000000000005</v>
      </c>
      <c r="C263" s="1604">
        <v>0.85440000000000005</v>
      </c>
      <c r="D263" s="1604">
        <v>0.83789999999999998</v>
      </c>
      <c r="E263" s="1604">
        <v>0.83789999999999998</v>
      </c>
      <c r="F263" s="1604">
        <v>0.83789999999999998</v>
      </c>
      <c r="G263" s="1604">
        <v>0.83789999999999998</v>
      </c>
      <c r="H263" s="1604">
        <v>0.83789999999999998</v>
      </c>
      <c r="I263" s="1604">
        <v>0.69940000000000002</v>
      </c>
      <c r="J263" s="1604">
        <v>0.69940000000000002</v>
      </c>
      <c r="K263" s="1604">
        <v>0.69940000000000002</v>
      </c>
      <c r="L263" s="1604">
        <v>0.69940000000000002</v>
      </c>
      <c r="M263" s="1604">
        <v>0.69940000000000002</v>
      </c>
    </row>
    <row r="264" spans="1:13">
      <c r="A264" s="1595">
        <v>5.8</v>
      </c>
      <c r="B264" s="1604">
        <v>0.85289999999999999</v>
      </c>
      <c r="C264" s="1604">
        <v>0.85289999999999999</v>
      </c>
      <c r="D264" s="1604">
        <v>0.83599999999999997</v>
      </c>
      <c r="E264" s="1604">
        <v>0.83599999999999997</v>
      </c>
      <c r="F264" s="1604">
        <v>0.83599999999999997</v>
      </c>
      <c r="G264" s="1604">
        <v>0.83599999999999997</v>
      </c>
      <c r="H264" s="1604">
        <v>0.83599999999999997</v>
      </c>
      <c r="I264" s="1604">
        <v>0.69720000000000004</v>
      </c>
      <c r="J264" s="1604">
        <v>0.69720000000000004</v>
      </c>
      <c r="K264" s="1604">
        <v>0.69720000000000004</v>
      </c>
      <c r="L264" s="1604">
        <v>0.69720000000000004</v>
      </c>
      <c r="M264" s="1604">
        <v>0.69720000000000004</v>
      </c>
    </row>
    <row r="265" spans="1:13">
      <c r="A265" s="1595">
        <v>5.9</v>
      </c>
      <c r="B265" s="1604">
        <v>0.85150000000000003</v>
      </c>
      <c r="C265" s="1604">
        <v>0.85150000000000003</v>
      </c>
      <c r="D265" s="1604">
        <v>0.83430000000000004</v>
      </c>
      <c r="E265" s="1604">
        <v>0.83430000000000004</v>
      </c>
      <c r="F265" s="1604">
        <v>0.83430000000000004</v>
      </c>
      <c r="G265" s="1604">
        <v>0.83430000000000004</v>
      </c>
      <c r="H265" s="1604">
        <v>0.83430000000000004</v>
      </c>
      <c r="I265" s="1604">
        <v>0.69520000000000004</v>
      </c>
      <c r="J265" s="1604">
        <v>0.69520000000000004</v>
      </c>
      <c r="K265" s="1604">
        <v>0.69520000000000004</v>
      </c>
      <c r="L265" s="1604">
        <v>0.69520000000000004</v>
      </c>
      <c r="M265" s="1604">
        <v>0.69520000000000004</v>
      </c>
    </row>
    <row r="266" spans="1:13">
      <c r="A266" s="1595">
        <v>6</v>
      </c>
      <c r="B266" s="1604">
        <v>0.85019999999999996</v>
      </c>
      <c r="C266" s="1604">
        <v>0.85019999999999996</v>
      </c>
      <c r="D266" s="1604">
        <v>0.8327</v>
      </c>
      <c r="E266" s="1604">
        <v>0.8327</v>
      </c>
      <c r="F266" s="1604">
        <v>0.8327</v>
      </c>
      <c r="G266" s="1604">
        <v>0.8327</v>
      </c>
      <c r="H266" s="1604">
        <v>0.8327</v>
      </c>
      <c r="I266" s="1604">
        <v>0.69320000000000004</v>
      </c>
      <c r="J266" s="1604">
        <v>0.69320000000000004</v>
      </c>
      <c r="K266" s="1604">
        <v>0.69320000000000004</v>
      </c>
      <c r="L266" s="1604">
        <v>0.69320000000000004</v>
      </c>
      <c r="M266" s="1604">
        <v>0.69320000000000004</v>
      </c>
    </row>
    <row r="267" spans="1:13">
      <c r="A267" s="1595">
        <v>6.1</v>
      </c>
      <c r="B267" s="1604">
        <v>0.84899999999999998</v>
      </c>
      <c r="C267" s="1604">
        <v>0.84899999999999998</v>
      </c>
      <c r="D267" s="1604">
        <v>0.83109999999999995</v>
      </c>
      <c r="E267" s="1604">
        <v>0.83109999999999995</v>
      </c>
      <c r="F267" s="1604">
        <v>0.83109999999999995</v>
      </c>
      <c r="G267" s="1604">
        <v>0.83109999999999995</v>
      </c>
      <c r="H267" s="1604">
        <v>0.83109999999999995</v>
      </c>
      <c r="I267" s="1604">
        <v>0.69130000000000003</v>
      </c>
      <c r="J267" s="1604">
        <v>0.69130000000000003</v>
      </c>
      <c r="K267" s="1604">
        <v>0.69130000000000003</v>
      </c>
      <c r="L267" s="1604">
        <v>0.69130000000000003</v>
      </c>
      <c r="M267" s="1604">
        <v>0.69130000000000003</v>
      </c>
    </row>
    <row r="268" spans="1:13">
      <c r="A268" s="1595">
        <v>6.2</v>
      </c>
      <c r="B268" s="1604">
        <v>0.8478</v>
      </c>
      <c r="C268" s="1604">
        <v>0.8478</v>
      </c>
      <c r="D268" s="1604">
        <v>0.8296</v>
      </c>
      <c r="E268" s="1604">
        <v>0.8296</v>
      </c>
      <c r="F268" s="1604">
        <v>0.8296</v>
      </c>
      <c r="G268" s="1604">
        <v>0.8296</v>
      </c>
      <c r="H268" s="1604">
        <v>0.8296</v>
      </c>
      <c r="I268" s="1604">
        <v>0.68940000000000001</v>
      </c>
      <c r="J268" s="1604">
        <v>0.68940000000000001</v>
      </c>
      <c r="K268" s="1604">
        <v>0.68940000000000001</v>
      </c>
      <c r="L268" s="1604">
        <v>0.68940000000000001</v>
      </c>
      <c r="M268" s="1604">
        <v>0.68940000000000001</v>
      </c>
    </row>
    <row r="269" spans="1:13">
      <c r="A269" s="1595">
        <v>6.3</v>
      </c>
      <c r="B269" s="1604">
        <v>0.84670000000000001</v>
      </c>
      <c r="C269" s="1604">
        <v>0.84670000000000001</v>
      </c>
      <c r="D269" s="1604">
        <v>0.82820000000000005</v>
      </c>
      <c r="E269" s="1604">
        <v>0.82820000000000005</v>
      </c>
      <c r="F269" s="1604">
        <v>0.82820000000000005</v>
      </c>
      <c r="G269" s="1604">
        <v>0.82820000000000005</v>
      </c>
      <c r="H269" s="1604">
        <v>0.82820000000000005</v>
      </c>
      <c r="I269" s="1604">
        <v>0.68769999999999998</v>
      </c>
      <c r="J269" s="1604">
        <v>0.68769999999999998</v>
      </c>
      <c r="K269" s="1604">
        <v>0.68769999999999998</v>
      </c>
      <c r="L269" s="1604">
        <v>0.68769999999999998</v>
      </c>
      <c r="M269" s="1604">
        <v>0.68769999999999998</v>
      </c>
    </row>
    <row r="270" spans="1:13">
      <c r="A270" s="1595">
        <v>6.4</v>
      </c>
      <c r="B270" s="1604">
        <v>0.84570000000000001</v>
      </c>
      <c r="C270" s="1604">
        <v>0.84570000000000001</v>
      </c>
      <c r="D270" s="1604">
        <v>0.82689999999999997</v>
      </c>
      <c r="E270" s="1604">
        <v>0.82689999999999997</v>
      </c>
      <c r="F270" s="1604">
        <v>0.82689999999999997</v>
      </c>
      <c r="G270" s="1604">
        <v>0.82689999999999997</v>
      </c>
      <c r="H270" s="1604">
        <v>0.82689999999999997</v>
      </c>
      <c r="I270" s="1604">
        <v>0.68610000000000004</v>
      </c>
      <c r="J270" s="1604">
        <v>0.68610000000000004</v>
      </c>
      <c r="K270" s="1604">
        <v>0.68610000000000004</v>
      </c>
      <c r="L270" s="1604">
        <v>0.68610000000000004</v>
      </c>
      <c r="M270" s="1604">
        <v>0.68610000000000004</v>
      </c>
    </row>
    <row r="271" spans="1:13">
      <c r="A271" s="1595">
        <v>6.5</v>
      </c>
      <c r="B271" s="1604">
        <v>0.84470000000000001</v>
      </c>
      <c r="C271" s="1604">
        <v>0.84470000000000001</v>
      </c>
      <c r="D271" s="1604">
        <v>0.82569999999999999</v>
      </c>
      <c r="E271" s="1604">
        <v>0.82569999999999999</v>
      </c>
      <c r="F271" s="1604">
        <v>0.82569999999999999</v>
      </c>
      <c r="G271" s="1604">
        <v>0.82569999999999999</v>
      </c>
      <c r="H271" s="1604">
        <v>0.82569999999999999</v>
      </c>
      <c r="I271" s="1604">
        <v>0.68440000000000001</v>
      </c>
      <c r="J271" s="1604">
        <v>0.68440000000000001</v>
      </c>
      <c r="K271" s="1604">
        <v>0.68440000000000001</v>
      </c>
      <c r="L271" s="1604">
        <v>0.68440000000000001</v>
      </c>
      <c r="M271" s="1604">
        <v>0.68440000000000001</v>
      </c>
    </row>
    <row r="272" spans="1:13">
      <c r="A272" s="1595">
        <v>6.6</v>
      </c>
      <c r="B272" s="1604">
        <v>0.84370000000000001</v>
      </c>
      <c r="C272" s="1604">
        <v>0.84370000000000001</v>
      </c>
      <c r="D272" s="1604">
        <v>0.82450000000000001</v>
      </c>
      <c r="E272" s="1604">
        <v>0.82450000000000001</v>
      </c>
      <c r="F272" s="1604">
        <v>0.82450000000000001</v>
      </c>
      <c r="G272" s="1604">
        <v>0.82450000000000001</v>
      </c>
      <c r="H272" s="1604">
        <v>0.82450000000000001</v>
      </c>
      <c r="I272" s="1604">
        <v>0.68289999999999995</v>
      </c>
      <c r="J272" s="1604">
        <v>0.68289999999999995</v>
      </c>
      <c r="K272" s="1604">
        <v>0.68289999999999995</v>
      </c>
      <c r="L272" s="1604">
        <v>0.68289999999999995</v>
      </c>
      <c r="M272" s="1604">
        <v>0.68289999999999995</v>
      </c>
    </row>
    <row r="273" spans="1:13">
      <c r="A273" s="1595">
        <v>6.7</v>
      </c>
      <c r="B273" s="1604">
        <v>0.8427</v>
      </c>
      <c r="C273" s="1604">
        <v>0.8427</v>
      </c>
      <c r="D273" s="1604">
        <v>0.82330000000000003</v>
      </c>
      <c r="E273" s="1604">
        <v>0.82330000000000003</v>
      </c>
      <c r="F273" s="1604">
        <v>0.82330000000000003</v>
      </c>
      <c r="G273" s="1604">
        <v>0.82330000000000003</v>
      </c>
      <c r="H273" s="1604">
        <v>0.82330000000000003</v>
      </c>
      <c r="I273" s="1604">
        <v>0.68130000000000002</v>
      </c>
      <c r="J273" s="1604">
        <v>0.68130000000000002</v>
      </c>
      <c r="K273" s="1604">
        <v>0.68130000000000002</v>
      </c>
      <c r="L273" s="1604">
        <v>0.68130000000000002</v>
      </c>
      <c r="M273" s="1604">
        <v>0.68130000000000002</v>
      </c>
    </row>
    <row r="274" spans="1:13">
      <c r="A274" s="1595">
        <v>6.8</v>
      </c>
      <c r="B274" s="1604">
        <v>0.84179999999999999</v>
      </c>
      <c r="C274" s="1604">
        <v>0.84179999999999999</v>
      </c>
      <c r="D274" s="1604">
        <v>0.82210000000000005</v>
      </c>
      <c r="E274" s="1604">
        <v>0.82210000000000005</v>
      </c>
      <c r="F274" s="1604">
        <v>0.82210000000000005</v>
      </c>
      <c r="G274" s="1604">
        <v>0.82210000000000005</v>
      </c>
      <c r="H274" s="1604">
        <v>0.82210000000000005</v>
      </c>
      <c r="I274" s="1604">
        <v>0.67979999999999996</v>
      </c>
      <c r="J274" s="1604">
        <v>0.67979999999999996</v>
      </c>
      <c r="K274" s="1604">
        <v>0.67979999999999996</v>
      </c>
      <c r="L274" s="1604">
        <v>0.67979999999999996</v>
      </c>
      <c r="M274" s="1604">
        <v>0.67979999999999996</v>
      </c>
    </row>
    <row r="275" spans="1:13">
      <c r="A275" s="1595">
        <v>6.9</v>
      </c>
      <c r="B275" s="1604">
        <v>0.84089999999999998</v>
      </c>
      <c r="C275" s="1604">
        <v>0.84089999999999998</v>
      </c>
      <c r="D275" s="1604">
        <v>0.82099999999999995</v>
      </c>
      <c r="E275" s="1604">
        <v>0.82099999999999995</v>
      </c>
      <c r="F275" s="1604">
        <v>0.82099999999999995</v>
      </c>
      <c r="G275" s="1604">
        <v>0.82099999999999995</v>
      </c>
      <c r="H275" s="1604">
        <v>0.82099999999999995</v>
      </c>
      <c r="I275" s="1604">
        <v>0.67849999999999999</v>
      </c>
      <c r="J275" s="1604">
        <v>0.67849999999999999</v>
      </c>
      <c r="K275" s="1604">
        <v>0.67849999999999999</v>
      </c>
      <c r="L275" s="1604">
        <v>0.67849999999999999</v>
      </c>
      <c r="M275" s="1604">
        <v>0.67849999999999999</v>
      </c>
    </row>
    <row r="276" spans="1:13">
      <c r="A276" s="1595">
        <v>7</v>
      </c>
      <c r="B276" s="1604">
        <v>0.84009999999999996</v>
      </c>
      <c r="C276" s="1604">
        <v>0.84009999999999996</v>
      </c>
      <c r="D276" s="1604">
        <v>0.81989999999999996</v>
      </c>
      <c r="E276" s="1604">
        <v>0.81989999999999996</v>
      </c>
      <c r="F276" s="1604">
        <v>0.81989999999999996</v>
      </c>
      <c r="G276" s="1604">
        <v>0.81989999999999996</v>
      </c>
      <c r="H276" s="1604">
        <v>0.81989999999999996</v>
      </c>
      <c r="I276" s="1604">
        <v>0.67720000000000002</v>
      </c>
      <c r="J276" s="1604">
        <v>0.67720000000000002</v>
      </c>
      <c r="K276" s="1604">
        <v>0.67720000000000002</v>
      </c>
      <c r="L276" s="1604">
        <v>0.67720000000000002</v>
      </c>
      <c r="M276" s="1604">
        <v>0.67720000000000002</v>
      </c>
    </row>
    <row r="277" spans="1:13">
      <c r="A277" s="1595">
        <v>7.1</v>
      </c>
      <c r="B277" s="1604">
        <v>0.83930000000000005</v>
      </c>
      <c r="C277" s="1604">
        <v>0.83930000000000005</v>
      </c>
      <c r="D277" s="1604">
        <v>0.81889999999999996</v>
      </c>
      <c r="E277" s="1604">
        <v>0.81889999999999996</v>
      </c>
      <c r="F277" s="1604">
        <v>0.81889999999999996</v>
      </c>
      <c r="G277" s="1604">
        <v>0.81889999999999996</v>
      </c>
      <c r="H277" s="1604">
        <v>0.81889999999999996</v>
      </c>
      <c r="I277" s="1604">
        <v>0.67589999999999995</v>
      </c>
      <c r="J277" s="1604">
        <v>0.67589999999999995</v>
      </c>
      <c r="K277" s="1604">
        <v>0.67589999999999995</v>
      </c>
      <c r="L277" s="1604">
        <v>0.67589999999999995</v>
      </c>
      <c r="M277" s="1604">
        <v>0.67589999999999995</v>
      </c>
    </row>
    <row r="278" spans="1:13">
      <c r="A278" s="1595">
        <v>7.2</v>
      </c>
      <c r="B278" s="1604">
        <v>0.83850000000000002</v>
      </c>
      <c r="C278" s="1604">
        <v>0.83850000000000002</v>
      </c>
      <c r="D278" s="1604">
        <v>0.81789999999999996</v>
      </c>
      <c r="E278" s="1604">
        <v>0.81789999999999996</v>
      </c>
      <c r="F278" s="1604">
        <v>0.81789999999999996</v>
      </c>
      <c r="G278" s="1604">
        <v>0.81789999999999996</v>
      </c>
      <c r="H278" s="1604">
        <v>0.81789999999999996</v>
      </c>
      <c r="I278" s="1604">
        <v>0.67459999999999998</v>
      </c>
      <c r="J278" s="1604">
        <v>0.67459999999999998</v>
      </c>
      <c r="K278" s="1604">
        <v>0.67459999999999998</v>
      </c>
      <c r="L278" s="1604">
        <v>0.67459999999999998</v>
      </c>
      <c r="M278" s="1604">
        <v>0.67459999999999998</v>
      </c>
    </row>
    <row r="279" spans="1:13">
      <c r="A279" s="1595">
        <v>7.3</v>
      </c>
      <c r="B279" s="1604">
        <v>0.8377</v>
      </c>
      <c r="C279" s="1604">
        <v>0.8377</v>
      </c>
      <c r="D279" s="1604">
        <v>0.81689999999999996</v>
      </c>
      <c r="E279" s="1604">
        <v>0.81689999999999996</v>
      </c>
      <c r="F279" s="1604">
        <v>0.81689999999999996</v>
      </c>
      <c r="G279" s="1604">
        <v>0.81689999999999996</v>
      </c>
      <c r="H279" s="1604">
        <v>0.81689999999999996</v>
      </c>
      <c r="I279" s="1604">
        <v>0.6734</v>
      </c>
      <c r="J279" s="1604">
        <v>0.6734</v>
      </c>
      <c r="K279" s="1604">
        <v>0.6734</v>
      </c>
      <c r="L279" s="1604">
        <v>0.6734</v>
      </c>
      <c r="M279" s="1604">
        <v>0.6734</v>
      </c>
    </row>
    <row r="280" spans="1:13">
      <c r="A280" s="1595">
        <v>7.4</v>
      </c>
      <c r="B280" s="1604">
        <v>0.83699999999999997</v>
      </c>
      <c r="C280" s="1604">
        <v>0.83699999999999997</v>
      </c>
      <c r="D280" s="1604">
        <v>0.81599999999999995</v>
      </c>
      <c r="E280" s="1604">
        <v>0.81599999999999995</v>
      </c>
      <c r="F280" s="1604">
        <v>0.81599999999999995</v>
      </c>
      <c r="G280" s="1604">
        <v>0.81599999999999995</v>
      </c>
      <c r="H280" s="1604">
        <v>0.81599999999999995</v>
      </c>
      <c r="I280" s="1604">
        <v>0.67210000000000003</v>
      </c>
      <c r="J280" s="1604">
        <v>0.67210000000000003</v>
      </c>
      <c r="K280" s="1604">
        <v>0.67210000000000003</v>
      </c>
      <c r="L280" s="1604">
        <v>0.67210000000000003</v>
      </c>
      <c r="M280" s="1604">
        <v>0.67210000000000003</v>
      </c>
    </row>
    <row r="281" spans="1:13">
      <c r="A281" s="1595">
        <v>7.5</v>
      </c>
      <c r="B281" s="1604">
        <v>0.83630000000000004</v>
      </c>
      <c r="C281" s="1604">
        <v>0.83630000000000004</v>
      </c>
      <c r="D281" s="1604">
        <v>0.81510000000000005</v>
      </c>
      <c r="E281" s="1604">
        <v>0.81510000000000005</v>
      </c>
      <c r="F281" s="1604">
        <v>0.81510000000000005</v>
      </c>
      <c r="G281" s="1604">
        <v>0.81510000000000005</v>
      </c>
      <c r="H281" s="1604">
        <v>0.81510000000000005</v>
      </c>
      <c r="I281" s="1604">
        <v>0.67090000000000005</v>
      </c>
      <c r="J281" s="1604">
        <v>0.67090000000000005</v>
      </c>
      <c r="K281" s="1604">
        <v>0.67090000000000005</v>
      </c>
      <c r="L281" s="1604">
        <v>0.67090000000000005</v>
      </c>
      <c r="M281" s="1604">
        <v>0.67090000000000005</v>
      </c>
    </row>
    <row r="282" spans="1:13">
      <c r="A282" s="1595">
        <v>7.6</v>
      </c>
      <c r="B282" s="1604">
        <v>0.83560000000000001</v>
      </c>
      <c r="C282" s="1604">
        <v>0.83560000000000001</v>
      </c>
      <c r="D282" s="1604">
        <v>0.81420000000000003</v>
      </c>
      <c r="E282" s="1604">
        <v>0.81420000000000003</v>
      </c>
      <c r="F282" s="1604">
        <v>0.81420000000000003</v>
      </c>
      <c r="G282" s="1604">
        <v>0.81420000000000003</v>
      </c>
      <c r="H282" s="1604">
        <v>0.81420000000000003</v>
      </c>
      <c r="I282" s="1604">
        <v>0.66979999999999995</v>
      </c>
      <c r="J282" s="1604">
        <v>0.66979999999999995</v>
      </c>
      <c r="K282" s="1604">
        <v>0.66979999999999995</v>
      </c>
      <c r="L282" s="1604">
        <v>0.66979999999999995</v>
      </c>
      <c r="M282" s="1604">
        <v>0.66979999999999995</v>
      </c>
    </row>
    <row r="283" spans="1:13">
      <c r="A283" s="1595">
        <v>7.7</v>
      </c>
      <c r="B283" s="1604">
        <v>0.83489999999999998</v>
      </c>
      <c r="C283" s="1604">
        <v>0.83489999999999998</v>
      </c>
      <c r="D283" s="1604">
        <v>0.81330000000000002</v>
      </c>
      <c r="E283" s="1604">
        <v>0.81330000000000002</v>
      </c>
      <c r="F283" s="1604">
        <v>0.81330000000000002</v>
      </c>
      <c r="G283" s="1604">
        <v>0.81330000000000002</v>
      </c>
      <c r="H283" s="1604">
        <v>0.81330000000000002</v>
      </c>
      <c r="I283" s="1604">
        <v>0.66869999999999996</v>
      </c>
      <c r="J283" s="1604">
        <v>0.66869999999999996</v>
      </c>
      <c r="K283" s="1604">
        <v>0.66869999999999996</v>
      </c>
      <c r="L283" s="1604">
        <v>0.66869999999999996</v>
      </c>
      <c r="M283" s="1604">
        <v>0.66869999999999996</v>
      </c>
    </row>
    <row r="284" spans="1:13">
      <c r="A284" s="1595">
        <v>7.8</v>
      </c>
      <c r="B284" s="1604">
        <v>0.83420000000000005</v>
      </c>
      <c r="C284" s="1604">
        <v>0.83420000000000005</v>
      </c>
      <c r="D284" s="1604">
        <v>0.81240000000000001</v>
      </c>
      <c r="E284" s="1604">
        <v>0.81240000000000001</v>
      </c>
      <c r="F284" s="1604">
        <v>0.81240000000000001</v>
      </c>
      <c r="G284" s="1604">
        <v>0.81240000000000001</v>
      </c>
      <c r="H284" s="1604">
        <v>0.81240000000000001</v>
      </c>
      <c r="I284" s="1604">
        <v>0.66759999999999997</v>
      </c>
      <c r="J284" s="1604">
        <v>0.66759999999999997</v>
      </c>
      <c r="K284" s="1604">
        <v>0.66759999999999997</v>
      </c>
      <c r="L284" s="1604">
        <v>0.66759999999999997</v>
      </c>
      <c r="M284" s="1604">
        <v>0.66759999999999997</v>
      </c>
    </row>
    <row r="285" spans="1:13">
      <c r="A285" s="1595">
        <v>7.9</v>
      </c>
      <c r="B285" s="1604">
        <v>0.83350000000000002</v>
      </c>
      <c r="C285" s="1604">
        <v>0.83350000000000002</v>
      </c>
      <c r="D285" s="1604">
        <v>0.81159999999999999</v>
      </c>
      <c r="E285" s="1604">
        <v>0.81159999999999999</v>
      </c>
      <c r="F285" s="1604">
        <v>0.81159999999999999</v>
      </c>
      <c r="G285" s="1604">
        <v>0.81159999999999999</v>
      </c>
      <c r="H285" s="1604">
        <v>0.81159999999999999</v>
      </c>
      <c r="I285" s="1604">
        <v>0.66649999999999998</v>
      </c>
      <c r="J285" s="1604">
        <v>0.66649999999999998</v>
      </c>
      <c r="K285" s="1604">
        <v>0.66649999999999998</v>
      </c>
      <c r="L285" s="1604">
        <v>0.66649999999999998</v>
      </c>
      <c r="M285" s="1604">
        <v>0.66649999999999998</v>
      </c>
    </row>
    <row r="286" spans="1:13">
      <c r="A286" s="1595">
        <v>8</v>
      </c>
      <c r="B286" s="1604">
        <v>0.83279999999999998</v>
      </c>
      <c r="C286" s="1604">
        <v>0.83279999999999998</v>
      </c>
      <c r="D286" s="1604">
        <v>0.81079999999999997</v>
      </c>
      <c r="E286" s="1604">
        <v>0.81079999999999997</v>
      </c>
      <c r="F286" s="1604">
        <v>0.81079999999999997</v>
      </c>
      <c r="G286" s="1604">
        <v>0.81079999999999997</v>
      </c>
      <c r="H286" s="1604">
        <v>0.81079999999999997</v>
      </c>
      <c r="I286" s="1604">
        <v>0.66549999999999998</v>
      </c>
      <c r="J286" s="1604">
        <v>0.66549999999999998</v>
      </c>
      <c r="K286" s="1604">
        <v>0.66549999999999998</v>
      </c>
      <c r="L286" s="1604">
        <v>0.66549999999999998</v>
      </c>
      <c r="M286" s="1604">
        <v>0.66549999999999998</v>
      </c>
    </row>
    <row r="287" spans="1:13">
      <c r="A287" s="1595">
        <v>8.1</v>
      </c>
      <c r="B287" s="1604">
        <v>0.83220000000000005</v>
      </c>
      <c r="C287" s="1604">
        <v>0.83220000000000005</v>
      </c>
      <c r="D287" s="1604">
        <v>0.81</v>
      </c>
      <c r="E287" s="1604">
        <v>0.81</v>
      </c>
      <c r="F287" s="1604">
        <v>0.81</v>
      </c>
      <c r="G287" s="1604">
        <v>0.81</v>
      </c>
      <c r="H287" s="1604">
        <v>0.81</v>
      </c>
      <c r="I287" s="1604">
        <v>0.66439999999999999</v>
      </c>
      <c r="J287" s="1604">
        <v>0.66439999999999999</v>
      </c>
      <c r="K287" s="1604">
        <v>0.66439999999999999</v>
      </c>
      <c r="L287" s="1604">
        <v>0.66439999999999999</v>
      </c>
      <c r="M287" s="1604">
        <v>0.66439999999999999</v>
      </c>
    </row>
    <row r="288" spans="1:13">
      <c r="A288" s="1595">
        <v>8.1999999999999993</v>
      </c>
      <c r="B288" s="1604">
        <v>0.83160000000000001</v>
      </c>
      <c r="C288" s="1604">
        <v>0.83160000000000001</v>
      </c>
      <c r="D288" s="1604">
        <v>0.80920000000000003</v>
      </c>
      <c r="E288" s="1604">
        <v>0.80920000000000003</v>
      </c>
      <c r="F288" s="1604">
        <v>0.80920000000000003</v>
      </c>
      <c r="G288" s="1604">
        <v>0.80920000000000003</v>
      </c>
      <c r="H288" s="1604">
        <v>0.80920000000000003</v>
      </c>
      <c r="I288" s="1604">
        <v>0.66339999999999999</v>
      </c>
      <c r="J288" s="1604">
        <v>0.66339999999999999</v>
      </c>
      <c r="K288" s="1604">
        <v>0.66339999999999999</v>
      </c>
      <c r="L288" s="1604">
        <v>0.66339999999999999</v>
      </c>
      <c r="M288" s="1604">
        <v>0.66339999999999999</v>
      </c>
    </row>
    <row r="289" spans="1:13">
      <c r="A289" s="1595">
        <v>8.3000000000000007</v>
      </c>
      <c r="B289" s="1604">
        <v>0.83099999999999996</v>
      </c>
      <c r="C289" s="1604">
        <v>0.83099999999999996</v>
      </c>
      <c r="D289" s="1604">
        <v>0.80840000000000001</v>
      </c>
      <c r="E289" s="1604">
        <v>0.80840000000000001</v>
      </c>
      <c r="F289" s="1604">
        <v>0.80840000000000001</v>
      </c>
      <c r="G289" s="1604">
        <v>0.80840000000000001</v>
      </c>
      <c r="H289" s="1604">
        <v>0.80840000000000001</v>
      </c>
      <c r="I289" s="1604">
        <v>0.66239999999999999</v>
      </c>
      <c r="J289" s="1604">
        <v>0.66239999999999999</v>
      </c>
      <c r="K289" s="1604">
        <v>0.66239999999999999</v>
      </c>
      <c r="L289" s="1604">
        <v>0.66239999999999999</v>
      </c>
      <c r="M289" s="1604">
        <v>0.66239999999999999</v>
      </c>
    </row>
    <row r="290" spans="1:13">
      <c r="A290" s="1595">
        <v>8.4</v>
      </c>
      <c r="B290" s="1604">
        <v>0.83040000000000003</v>
      </c>
      <c r="C290" s="1604">
        <v>0.83040000000000003</v>
      </c>
      <c r="D290" s="1604">
        <v>0.80759999999999998</v>
      </c>
      <c r="E290" s="1604">
        <v>0.80759999999999998</v>
      </c>
      <c r="F290" s="1604">
        <v>0.80759999999999998</v>
      </c>
      <c r="G290" s="1604">
        <v>0.80759999999999998</v>
      </c>
      <c r="H290" s="1604">
        <v>0.80759999999999998</v>
      </c>
      <c r="I290" s="1604">
        <v>0.66139999999999999</v>
      </c>
      <c r="J290" s="1604">
        <v>0.66139999999999999</v>
      </c>
      <c r="K290" s="1604">
        <v>0.66139999999999999</v>
      </c>
      <c r="L290" s="1604">
        <v>0.66139999999999999</v>
      </c>
      <c r="M290" s="1604">
        <v>0.66139999999999999</v>
      </c>
    </row>
    <row r="291" spans="1:13">
      <c r="A291" s="1595">
        <v>8.5</v>
      </c>
      <c r="B291" s="1604">
        <v>0.82979999999999998</v>
      </c>
      <c r="C291" s="1604">
        <v>0.82979999999999998</v>
      </c>
      <c r="D291" s="1604">
        <v>0.80679999999999996</v>
      </c>
      <c r="E291" s="1604">
        <v>0.80679999999999996</v>
      </c>
      <c r="F291" s="1604">
        <v>0.80679999999999996</v>
      </c>
      <c r="G291" s="1604">
        <v>0.80679999999999996</v>
      </c>
      <c r="H291" s="1604">
        <v>0.80679999999999996</v>
      </c>
      <c r="I291" s="1604">
        <v>0.66049999999999998</v>
      </c>
      <c r="J291" s="1604">
        <v>0.66049999999999998</v>
      </c>
      <c r="K291" s="1604">
        <v>0.66049999999999998</v>
      </c>
      <c r="L291" s="1604">
        <v>0.66049999999999998</v>
      </c>
      <c r="M291" s="1604">
        <v>0.66049999999999998</v>
      </c>
    </row>
    <row r="292" spans="1:13">
      <c r="A292" s="1595">
        <v>8.6</v>
      </c>
      <c r="B292" s="1604">
        <v>0.82920000000000005</v>
      </c>
      <c r="C292" s="1604">
        <v>0.82920000000000005</v>
      </c>
      <c r="D292" s="1604">
        <v>0.80600000000000005</v>
      </c>
      <c r="E292" s="1604">
        <v>0.80600000000000005</v>
      </c>
      <c r="F292" s="1604">
        <v>0.80600000000000005</v>
      </c>
      <c r="G292" s="1604">
        <v>0.80600000000000005</v>
      </c>
      <c r="H292" s="1604">
        <v>0.80600000000000005</v>
      </c>
      <c r="I292" s="1604">
        <v>0.65949999999999998</v>
      </c>
      <c r="J292" s="1604">
        <v>0.65949999999999998</v>
      </c>
      <c r="K292" s="1604">
        <v>0.65949999999999998</v>
      </c>
      <c r="L292" s="1604">
        <v>0.65949999999999998</v>
      </c>
      <c r="M292" s="1604">
        <v>0.65949999999999998</v>
      </c>
    </row>
    <row r="293" spans="1:13">
      <c r="A293" s="1595">
        <v>8.6999999999999993</v>
      </c>
      <c r="B293" s="1604">
        <v>0.8286</v>
      </c>
      <c r="C293" s="1604">
        <v>0.8286</v>
      </c>
      <c r="D293" s="1604">
        <v>0.80520000000000003</v>
      </c>
      <c r="E293" s="1604">
        <v>0.80520000000000003</v>
      </c>
      <c r="F293" s="1604">
        <v>0.80520000000000003</v>
      </c>
      <c r="G293" s="1604">
        <v>0.80520000000000003</v>
      </c>
      <c r="H293" s="1604">
        <v>0.80520000000000003</v>
      </c>
      <c r="I293" s="1604">
        <v>0.65859999999999996</v>
      </c>
      <c r="J293" s="1604">
        <v>0.65859999999999996</v>
      </c>
      <c r="K293" s="1604">
        <v>0.65859999999999996</v>
      </c>
      <c r="L293" s="1604">
        <v>0.65859999999999996</v>
      </c>
      <c r="M293" s="1604">
        <v>0.65859999999999996</v>
      </c>
    </row>
    <row r="294" spans="1:13">
      <c r="A294" s="1595">
        <v>8.8000000000000007</v>
      </c>
      <c r="B294" s="1604">
        <v>0.82799999999999996</v>
      </c>
      <c r="C294" s="1604">
        <v>0.82799999999999996</v>
      </c>
      <c r="D294" s="1604">
        <v>0.8044</v>
      </c>
      <c r="E294" s="1604">
        <v>0.8044</v>
      </c>
      <c r="F294" s="1604">
        <v>0.8044</v>
      </c>
      <c r="G294" s="1604">
        <v>0.8044</v>
      </c>
      <c r="H294" s="1604">
        <v>0.8044</v>
      </c>
      <c r="I294" s="1604">
        <v>0.65759999999999996</v>
      </c>
      <c r="J294" s="1604">
        <v>0.65759999999999996</v>
      </c>
      <c r="K294" s="1604">
        <v>0.65759999999999996</v>
      </c>
      <c r="L294" s="1604">
        <v>0.65759999999999996</v>
      </c>
      <c r="M294" s="1604">
        <v>0.65759999999999996</v>
      </c>
    </row>
    <row r="295" spans="1:13">
      <c r="A295" s="1595">
        <v>8.9</v>
      </c>
      <c r="B295" s="1604">
        <v>0.82740000000000002</v>
      </c>
      <c r="C295" s="1604">
        <v>0.82740000000000002</v>
      </c>
      <c r="D295" s="1604">
        <v>0.80359999999999998</v>
      </c>
      <c r="E295" s="1604">
        <v>0.80359999999999998</v>
      </c>
      <c r="F295" s="1604">
        <v>0.80359999999999998</v>
      </c>
      <c r="G295" s="1604">
        <v>0.80359999999999998</v>
      </c>
      <c r="H295" s="1604">
        <v>0.80359999999999998</v>
      </c>
      <c r="I295" s="1604">
        <v>0.65669999999999995</v>
      </c>
      <c r="J295" s="1604">
        <v>0.65669999999999995</v>
      </c>
      <c r="K295" s="1604">
        <v>0.65669999999999995</v>
      </c>
      <c r="L295" s="1604">
        <v>0.65669999999999995</v>
      </c>
      <c r="M295" s="1604">
        <v>0.65669999999999995</v>
      </c>
    </row>
    <row r="296" spans="1:13">
      <c r="A296" s="1618">
        <v>9</v>
      </c>
      <c r="B296" s="1604">
        <v>0.82679999999999998</v>
      </c>
      <c r="C296" s="1604">
        <v>0.82679999999999998</v>
      </c>
      <c r="D296" s="1604">
        <v>0.80279999999999996</v>
      </c>
      <c r="E296" s="1604">
        <v>0.80279999999999996</v>
      </c>
      <c r="F296" s="1604">
        <v>0.80279999999999996</v>
      </c>
      <c r="G296" s="1604">
        <v>0.80279999999999996</v>
      </c>
      <c r="H296" s="1604">
        <v>0.80279999999999996</v>
      </c>
      <c r="I296" s="1604">
        <v>0.65569999999999995</v>
      </c>
      <c r="J296" s="1604">
        <v>0.65569999999999995</v>
      </c>
      <c r="K296" s="1604">
        <v>0.65569999999999995</v>
      </c>
      <c r="L296" s="1604">
        <v>0.65569999999999995</v>
      </c>
      <c r="M296" s="1604">
        <v>0.65569999999999995</v>
      </c>
    </row>
    <row r="297" spans="1:13">
      <c r="A297" s="1618">
        <v>9.1</v>
      </c>
      <c r="B297" s="1604">
        <v>0.82620000000000005</v>
      </c>
      <c r="C297" s="1604">
        <v>0.82620000000000005</v>
      </c>
      <c r="D297" s="1604">
        <v>0.80200000000000005</v>
      </c>
      <c r="E297" s="1604">
        <v>0.80200000000000005</v>
      </c>
      <c r="F297" s="1604">
        <v>0.80200000000000005</v>
      </c>
      <c r="G297" s="1604">
        <v>0.80200000000000005</v>
      </c>
      <c r="H297" s="1604">
        <v>0.80200000000000005</v>
      </c>
      <c r="I297" s="1604">
        <v>0.65480000000000005</v>
      </c>
      <c r="J297" s="1604">
        <v>0.65480000000000005</v>
      </c>
      <c r="K297" s="1604">
        <v>0.65480000000000005</v>
      </c>
      <c r="L297" s="1604">
        <v>0.65480000000000005</v>
      </c>
      <c r="M297" s="1604">
        <v>0.65480000000000005</v>
      </c>
    </row>
    <row r="298" spans="1:13">
      <c r="A298" s="1618">
        <v>9.1999999999999993</v>
      </c>
      <c r="B298" s="1604">
        <v>0.8256</v>
      </c>
      <c r="C298" s="1604">
        <v>0.8256</v>
      </c>
      <c r="D298" s="1604">
        <v>0.80120000000000002</v>
      </c>
      <c r="E298" s="1604">
        <v>0.80120000000000002</v>
      </c>
      <c r="F298" s="1604">
        <v>0.80120000000000002</v>
      </c>
      <c r="G298" s="1604">
        <v>0.80120000000000002</v>
      </c>
      <c r="H298" s="1604">
        <v>0.80120000000000002</v>
      </c>
      <c r="I298" s="1604">
        <v>0.65380000000000005</v>
      </c>
      <c r="J298" s="1604">
        <v>0.65380000000000005</v>
      </c>
      <c r="K298" s="1604">
        <v>0.65380000000000005</v>
      </c>
      <c r="L298" s="1604">
        <v>0.65380000000000005</v>
      </c>
      <c r="M298" s="1604">
        <v>0.65380000000000005</v>
      </c>
    </row>
    <row r="299" spans="1:13">
      <c r="A299" s="1618">
        <v>9.3000000000000007</v>
      </c>
      <c r="B299" s="1604">
        <v>0.82499999999999996</v>
      </c>
      <c r="C299" s="1604">
        <v>0.82499999999999996</v>
      </c>
      <c r="D299" s="1604">
        <v>0.8004</v>
      </c>
      <c r="E299" s="1604">
        <v>0.8004</v>
      </c>
      <c r="F299" s="1604">
        <v>0.8004</v>
      </c>
      <c r="G299" s="1604">
        <v>0.8004</v>
      </c>
      <c r="H299" s="1604">
        <v>0.8004</v>
      </c>
      <c r="I299" s="1604">
        <v>0.65290000000000004</v>
      </c>
      <c r="J299" s="1604">
        <v>0.65290000000000004</v>
      </c>
      <c r="K299" s="1604">
        <v>0.65290000000000004</v>
      </c>
      <c r="L299" s="1604">
        <v>0.65290000000000004</v>
      </c>
      <c r="M299" s="1604">
        <v>0.65290000000000004</v>
      </c>
    </row>
    <row r="300" spans="1:13">
      <c r="A300" s="1618">
        <v>9.4</v>
      </c>
      <c r="B300" s="1604">
        <v>0.82440000000000002</v>
      </c>
      <c r="C300" s="1604">
        <v>0.82440000000000002</v>
      </c>
      <c r="D300" s="1604">
        <v>0.79959999999999998</v>
      </c>
      <c r="E300" s="1604">
        <v>0.79959999999999998</v>
      </c>
      <c r="F300" s="1604">
        <v>0.79959999999999998</v>
      </c>
      <c r="G300" s="1604">
        <v>0.79959999999999998</v>
      </c>
      <c r="H300" s="1604">
        <v>0.79959999999999998</v>
      </c>
      <c r="I300" s="1604">
        <v>0.65190000000000003</v>
      </c>
      <c r="J300" s="1604">
        <v>0.65190000000000003</v>
      </c>
      <c r="K300" s="1604">
        <v>0.65190000000000003</v>
      </c>
      <c r="L300" s="1604">
        <v>0.65190000000000003</v>
      </c>
      <c r="M300" s="1604">
        <v>0.65190000000000003</v>
      </c>
    </row>
    <row r="301" spans="1:13">
      <c r="A301" s="1618">
        <v>9.5</v>
      </c>
      <c r="B301" s="1604">
        <v>0.82379999999999998</v>
      </c>
      <c r="C301" s="1604">
        <v>0.82379999999999998</v>
      </c>
      <c r="D301" s="1604">
        <v>0.79879999999999995</v>
      </c>
      <c r="E301" s="1604">
        <v>0.79879999999999995</v>
      </c>
      <c r="F301" s="1604">
        <v>0.79879999999999995</v>
      </c>
      <c r="G301" s="1604">
        <v>0.79879999999999995</v>
      </c>
      <c r="H301" s="1604">
        <v>0.79879999999999995</v>
      </c>
      <c r="I301" s="1604">
        <v>0.65100000000000002</v>
      </c>
      <c r="J301" s="1604">
        <v>0.65100000000000002</v>
      </c>
      <c r="K301" s="1604">
        <v>0.65100000000000002</v>
      </c>
      <c r="L301" s="1604">
        <v>0.65100000000000002</v>
      </c>
      <c r="M301" s="1604">
        <v>0.65100000000000002</v>
      </c>
    </row>
    <row r="302" spans="1:13">
      <c r="A302" s="1618">
        <v>9.6</v>
      </c>
      <c r="B302" s="1604">
        <v>0.82320000000000004</v>
      </c>
      <c r="C302" s="1604">
        <v>0.82320000000000004</v>
      </c>
      <c r="D302" s="1604">
        <v>0.79800000000000004</v>
      </c>
      <c r="E302" s="1604">
        <v>0.79800000000000004</v>
      </c>
      <c r="F302" s="1604">
        <v>0.79800000000000004</v>
      </c>
      <c r="G302" s="1604">
        <v>0.79800000000000004</v>
      </c>
      <c r="H302" s="1604">
        <v>0.79800000000000004</v>
      </c>
      <c r="I302" s="1604">
        <v>0.65</v>
      </c>
      <c r="J302" s="1604">
        <v>0.65</v>
      </c>
      <c r="K302" s="1604">
        <v>0.65</v>
      </c>
      <c r="L302" s="1604">
        <v>0.65</v>
      </c>
      <c r="M302" s="1604">
        <v>0.65</v>
      </c>
    </row>
    <row r="303" spans="1:13">
      <c r="A303" s="1618">
        <v>9.6999999999999993</v>
      </c>
      <c r="B303" s="1604">
        <v>0.8226</v>
      </c>
      <c r="C303" s="1604">
        <v>0.8226</v>
      </c>
      <c r="D303" s="1604">
        <v>0.79720000000000002</v>
      </c>
      <c r="E303" s="1604">
        <v>0.79720000000000002</v>
      </c>
      <c r="F303" s="1604">
        <v>0.79720000000000002</v>
      </c>
      <c r="G303" s="1604">
        <v>0.79720000000000002</v>
      </c>
      <c r="H303" s="1604">
        <v>0.79720000000000002</v>
      </c>
      <c r="I303" s="1604">
        <v>0.64900000000000002</v>
      </c>
      <c r="J303" s="1604">
        <v>0.64900000000000002</v>
      </c>
      <c r="K303" s="1604">
        <v>0.64900000000000002</v>
      </c>
      <c r="L303" s="1604">
        <v>0.64900000000000002</v>
      </c>
      <c r="M303" s="1604">
        <v>0.64900000000000002</v>
      </c>
    </row>
    <row r="304" spans="1:13">
      <c r="A304" s="1618">
        <v>9.8000000000000007</v>
      </c>
      <c r="B304" s="1604">
        <v>0.82199999999999995</v>
      </c>
      <c r="C304" s="1604">
        <v>0.82199999999999995</v>
      </c>
      <c r="D304" s="1604">
        <v>0.7964</v>
      </c>
      <c r="E304" s="1604">
        <v>0.7964</v>
      </c>
      <c r="F304" s="1604">
        <v>0.7964</v>
      </c>
      <c r="G304" s="1604">
        <v>0.7964</v>
      </c>
      <c r="H304" s="1604">
        <v>0.7964</v>
      </c>
      <c r="I304" s="1604">
        <v>0.64810000000000001</v>
      </c>
      <c r="J304" s="1604">
        <v>0.64810000000000001</v>
      </c>
      <c r="K304" s="1604">
        <v>0.64810000000000001</v>
      </c>
      <c r="L304" s="1604">
        <v>0.64810000000000001</v>
      </c>
      <c r="M304" s="1604">
        <v>0.64810000000000001</v>
      </c>
    </row>
    <row r="305" spans="1:13">
      <c r="A305" s="1618">
        <v>9.9</v>
      </c>
      <c r="B305" s="1604">
        <v>0.82140000000000002</v>
      </c>
      <c r="C305" s="1604">
        <v>0.82140000000000002</v>
      </c>
      <c r="D305" s="1604">
        <v>0.79559999999999997</v>
      </c>
      <c r="E305" s="1604">
        <v>0.79559999999999997</v>
      </c>
      <c r="F305" s="1604">
        <v>0.79559999999999997</v>
      </c>
      <c r="G305" s="1604">
        <v>0.79559999999999997</v>
      </c>
      <c r="H305" s="1604">
        <v>0.79559999999999997</v>
      </c>
      <c r="I305" s="1604">
        <v>0.64710000000000001</v>
      </c>
      <c r="J305" s="1604">
        <v>0.64710000000000001</v>
      </c>
      <c r="K305" s="1604">
        <v>0.64710000000000001</v>
      </c>
      <c r="L305" s="1604">
        <v>0.64710000000000001</v>
      </c>
      <c r="M305" s="1604">
        <v>0.64710000000000001</v>
      </c>
    </row>
    <row r="306" spans="1:13">
      <c r="A306" s="1618">
        <v>10</v>
      </c>
      <c r="B306" s="1604">
        <v>0.82079999999999997</v>
      </c>
      <c r="C306" s="1604">
        <v>0.82079999999999997</v>
      </c>
      <c r="D306" s="1604">
        <v>0.79479999999999995</v>
      </c>
      <c r="E306" s="1604">
        <v>0.79479999999999995</v>
      </c>
      <c r="F306" s="1604">
        <v>0.79479999999999995</v>
      </c>
      <c r="G306" s="1604">
        <v>0.79479999999999995</v>
      </c>
      <c r="H306" s="1604">
        <v>0.79479999999999995</v>
      </c>
      <c r="I306" s="1604">
        <v>0.6462</v>
      </c>
      <c r="J306" s="1604">
        <v>0.6462</v>
      </c>
      <c r="K306" s="1604">
        <v>0.6462</v>
      </c>
      <c r="L306" s="1604">
        <v>0.6462</v>
      </c>
      <c r="M306" s="1604">
        <v>0.6462</v>
      </c>
    </row>
    <row r="307" spans="1:13" ht="14.25">
      <c r="A307" s="1592" t="s">
        <v>1782</v>
      </c>
      <c r="B307" s="1593"/>
      <c r="C307" s="1593"/>
      <c r="D307" s="1593"/>
      <c r="E307" s="1593"/>
      <c r="F307" s="1593"/>
      <c r="G307" s="1593"/>
      <c r="H307" s="1593"/>
      <c r="I307" s="1593"/>
      <c r="J307" s="1593"/>
      <c r="K307" s="1593"/>
      <c r="L307" s="1593"/>
      <c r="M307" s="1593"/>
    </row>
    <row r="308" spans="1:13">
      <c r="A308" s="1595" t="s">
        <v>1771</v>
      </c>
      <c r="B308" s="1596" t="s">
        <v>1176</v>
      </c>
      <c r="C308" s="1596" t="s">
        <v>1177</v>
      </c>
      <c r="D308" s="1596" t="s">
        <v>1178</v>
      </c>
      <c r="E308" s="1596" t="s">
        <v>1179</v>
      </c>
      <c r="F308" s="1596" t="s">
        <v>1180</v>
      </c>
      <c r="G308" s="1596" t="s">
        <v>1181</v>
      </c>
      <c r="H308" s="1597" t="s">
        <v>1182</v>
      </c>
      <c r="I308" s="1597" t="s">
        <v>1183</v>
      </c>
      <c r="J308" s="1598" t="s">
        <v>1184</v>
      </c>
      <c r="K308" s="1598" t="s">
        <v>1185</v>
      </c>
      <c r="L308" s="1598" t="s">
        <v>1186</v>
      </c>
      <c r="M308" s="1598" t="s">
        <v>1187</v>
      </c>
    </row>
    <row r="309" spans="1:13">
      <c r="A309" s="1595">
        <v>0.1</v>
      </c>
      <c r="B309" s="1604">
        <v>11.506</v>
      </c>
      <c r="C309" s="1604">
        <v>11.506</v>
      </c>
      <c r="D309" s="1604">
        <v>12.015000000000001</v>
      </c>
      <c r="E309" s="1604">
        <v>12.015000000000001</v>
      </c>
      <c r="F309" s="1604">
        <v>12.015000000000001</v>
      </c>
      <c r="G309" s="1604">
        <v>11.118</v>
      </c>
      <c r="H309" s="1604">
        <v>11.118</v>
      </c>
      <c r="I309" s="1604">
        <v>10</v>
      </c>
      <c r="J309" s="1604">
        <v>10</v>
      </c>
      <c r="K309" s="1604">
        <v>10</v>
      </c>
      <c r="L309" s="1604">
        <v>10</v>
      </c>
      <c r="M309" s="1604">
        <v>10</v>
      </c>
    </row>
    <row r="310" spans="1:13">
      <c r="A310" s="1595">
        <v>0.2</v>
      </c>
      <c r="B310" s="1604">
        <v>5.7530000000000001</v>
      </c>
      <c r="C310" s="1604">
        <v>5.7530000000000001</v>
      </c>
      <c r="D310" s="1604">
        <v>6.0075000000000003</v>
      </c>
      <c r="E310" s="1604">
        <v>6.0075000000000003</v>
      </c>
      <c r="F310" s="1604">
        <v>6.0075000000000003</v>
      </c>
      <c r="G310" s="1604">
        <v>5.5590000000000002</v>
      </c>
      <c r="H310" s="1604">
        <v>5.5590000000000002</v>
      </c>
      <c r="I310" s="1604">
        <v>5</v>
      </c>
      <c r="J310" s="1604">
        <v>5</v>
      </c>
      <c r="K310" s="1604">
        <v>5</v>
      </c>
      <c r="L310" s="1604">
        <v>5</v>
      </c>
      <c r="M310" s="1604">
        <v>5</v>
      </c>
    </row>
    <row r="311" spans="1:13">
      <c r="A311" s="1595">
        <v>0.3</v>
      </c>
      <c r="B311" s="1604">
        <v>3.8353000000000002</v>
      </c>
      <c r="C311" s="1604">
        <v>3.8353000000000002</v>
      </c>
      <c r="D311" s="1604">
        <v>4.0049999999999999</v>
      </c>
      <c r="E311" s="1604">
        <v>4.0049999999999999</v>
      </c>
      <c r="F311" s="1604">
        <v>4.0049999999999999</v>
      </c>
      <c r="G311" s="1604">
        <v>3.706</v>
      </c>
      <c r="H311" s="1604">
        <v>3.706</v>
      </c>
      <c r="I311" s="1604">
        <v>3.3332999999999999</v>
      </c>
      <c r="J311" s="1604">
        <v>3.3332999999999999</v>
      </c>
      <c r="K311" s="1604">
        <v>3.3332999999999999</v>
      </c>
      <c r="L311" s="1604">
        <v>3.3332999999999999</v>
      </c>
      <c r="M311" s="1604">
        <v>3.3332999999999999</v>
      </c>
    </row>
    <row r="312" spans="1:13">
      <c r="A312" s="1595">
        <v>0.4</v>
      </c>
      <c r="B312" s="1604">
        <v>2.8765000000000001</v>
      </c>
      <c r="C312" s="1604">
        <v>2.8765000000000001</v>
      </c>
      <c r="D312" s="1604">
        <v>3.0038</v>
      </c>
      <c r="E312" s="1604">
        <v>3.0038</v>
      </c>
      <c r="F312" s="1604">
        <v>3.0038</v>
      </c>
      <c r="G312" s="1604">
        <v>2.7795000000000001</v>
      </c>
      <c r="H312" s="1604">
        <v>2.7795000000000001</v>
      </c>
      <c r="I312" s="1604">
        <v>2.5</v>
      </c>
      <c r="J312" s="1604">
        <v>2.5</v>
      </c>
      <c r="K312" s="1604">
        <v>2.5</v>
      </c>
      <c r="L312" s="1604">
        <v>2.5</v>
      </c>
      <c r="M312" s="1604">
        <v>2.5</v>
      </c>
    </row>
    <row r="313" spans="1:13">
      <c r="A313" s="1595">
        <v>0.5</v>
      </c>
      <c r="B313" s="1604">
        <v>2.3012000000000001</v>
      </c>
      <c r="C313" s="1604">
        <v>2.3012000000000001</v>
      </c>
      <c r="D313" s="1604">
        <v>2.403</v>
      </c>
      <c r="E313" s="1604">
        <v>2.403</v>
      </c>
      <c r="F313" s="1604">
        <v>2.403</v>
      </c>
      <c r="G313" s="1604">
        <v>2.2235999999999998</v>
      </c>
      <c r="H313" s="1604">
        <v>2.2235999999999998</v>
      </c>
      <c r="I313" s="1604">
        <v>2</v>
      </c>
      <c r="J313" s="1604">
        <v>2</v>
      </c>
      <c r="K313" s="1604">
        <v>2</v>
      </c>
      <c r="L313" s="1604">
        <v>2</v>
      </c>
      <c r="M313" s="1604">
        <v>2</v>
      </c>
    </row>
    <row r="314" spans="1:13">
      <c r="A314" s="1595">
        <v>0.6</v>
      </c>
      <c r="B314" s="1604">
        <v>1.9177</v>
      </c>
      <c r="C314" s="1604">
        <v>1.9177</v>
      </c>
      <c r="D314" s="1604">
        <v>2.0024999999999999</v>
      </c>
      <c r="E314" s="1604">
        <v>2.0024999999999999</v>
      </c>
      <c r="F314" s="1604">
        <v>2.0024999999999999</v>
      </c>
      <c r="G314" s="1604">
        <v>1.853</v>
      </c>
      <c r="H314" s="1604">
        <v>1.853</v>
      </c>
      <c r="I314" s="1604">
        <v>1.6667000000000001</v>
      </c>
      <c r="J314" s="1604">
        <v>1.6667000000000001</v>
      </c>
      <c r="K314" s="1604">
        <v>1.6667000000000001</v>
      </c>
      <c r="L314" s="1604">
        <v>1.6667000000000001</v>
      </c>
      <c r="M314" s="1604">
        <v>1.6667000000000001</v>
      </c>
    </row>
    <row r="315" spans="1:13">
      <c r="A315" s="1595">
        <v>0.7</v>
      </c>
      <c r="B315" s="1604">
        <v>1.6436999999999999</v>
      </c>
      <c r="C315" s="1604">
        <v>1.6436999999999999</v>
      </c>
      <c r="D315" s="1604">
        <v>1.7163999999999999</v>
      </c>
      <c r="E315" s="1604">
        <v>1.7163999999999999</v>
      </c>
      <c r="F315" s="1604">
        <v>1.7163999999999999</v>
      </c>
      <c r="G315" s="1604">
        <v>1.5883</v>
      </c>
      <c r="H315" s="1604">
        <v>1.5883</v>
      </c>
      <c r="I315" s="1604">
        <v>1.4286000000000001</v>
      </c>
      <c r="J315" s="1604">
        <v>1.4286000000000001</v>
      </c>
      <c r="K315" s="1604">
        <v>1.4286000000000001</v>
      </c>
      <c r="L315" s="1604">
        <v>1.4286000000000001</v>
      </c>
      <c r="M315" s="1604">
        <v>1.4286000000000001</v>
      </c>
    </row>
    <row r="316" spans="1:13">
      <c r="A316" s="1595">
        <v>0.8</v>
      </c>
      <c r="B316" s="1604">
        <v>1.4382999999999999</v>
      </c>
      <c r="C316" s="1604">
        <v>1.4382999999999999</v>
      </c>
      <c r="D316" s="1604">
        <v>1.5019</v>
      </c>
      <c r="E316" s="1604">
        <v>1.5019</v>
      </c>
      <c r="F316" s="1604">
        <v>1.5019</v>
      </c>
      <c r="G316" s="1604">
        <v>1.3897999999999999</v>
      </c>
      <c r="H316" s="1604">
        <v>1.3897999999999999</v>
      </c>
      <c r="I316" s="1604">
        <v>1.25</v>
      </c>
      <c r="J316" s="1604">
        <v>1.25</v>
      </c>
      <c r="K316" s="1604">
        <v>1.25</v>
      </c>
      <c r="L316" s="1604">
        <v>1.25</v>
      </c>
      <c r="M316" s="1604">
        <v>1.25</v>
      </c>
    </row>
    <row r="317" spans="1:13">
      <c r="A317" s="1595">
        <v>0.9</v>
      </c>
      <c r="B317" s="1604">
        <v>1.2784</v>
      </c>
      <c r="C317" s="1604">
        <v>1.2784</v>
      </c>
      <c r="D317" s="1604">
        <v>1.335</v>
      </c>
      <c r="E317" s="1604">
        <v>1.335</v>
      </c>
      <c r="F317" s="1604">
        <v>1.335</v>
      </c>
      <c r="G317" s="1604">
        <v>1.2353000000000001</v>
      </c>
      <c r="H317" s="1604">
        <v>1.2353000000000001</v>
      </c>
      <c r="I317" s="1604">
        <v>1.1111</v>
      </c>
      <c r="J317" s="1604">
        <v>1.1111</v>
      </c>
      <c r="K317" s="1604">
        <v>1.1111</v>
      </c>
      <c r="L317" s="1604">
        <v>1.1111</v>
      </c>
      <c r="M317" s="1604">
        <v>1.1111</v>
      </c>
    </row>
    <row r="318" spans="1:13">
      <c r="A318" s="1595">
        <v>1</v>
      </c>
      <c r="B318" s="1604">
        <v>1.1506000000000001</v>
      </c>
      <c r="C318" s="1604">
        <v>1.1506000000000001</v>
      </c>
      <c r="D318" s="1604">
        <v>1.2015</v>
      </c>
      <c r="E318" s="1604">
        <v>1.2015</v>
      </c>
      <c r="F318" s="1604">
        <v>1.2015</v>
      </c>
      <c r="G318" s="1604">
        <v>1.1117999999999999</v>
      </c>
      <c r="H318" s="1604">
        <v>1.1117999999999999</v>
      </c>
      <c r="I318" s="1604">
        <v>1</v>
      </c>
      <c r="J318" s="1604">
        <v>1</v>
      </c>
      <c r="K318" s="1604">
        <v>1</v>
      </c>
      <c r="L318" s="1604">
        <v>1</v>
      </c>
      <c r="M318" s="1604">
        <v>1</v>
      </c>
    </row>
    <row r="319" spans="1:13">
      <c r="A319" s="1595">
        <v>1.1000000000000001</v>
      </c>
      <c r="B319" s="1604">
        <v>1.1158999999999999</v>
      </c>
      <c r="C319" s="1604">
        <v>1.1158999999999999</v>
      </c>
      <c r="D319" s="1604">
        <v>1.1440999999999999</v>
      </c>
      <c r="E319" s="1604">
        <v>1.1440999999999999</v>
      </c>
      <c r="F319" s="1604">
        <v>1.1440999999999999</v>
      </c>
      <c r="G319" s="1604">
        <v>1.0492999999999999</v>
      </c>
      <c r="H319" s="1604">
        <v>1.0492999999999999</v>
      </c>
      <c r="I319" s="1604">
        <v>0.93730000000000002</v>
      </c>
      <c r="J319" s="1604">
        <v>0.93730000000000002</v>
      </c>
      <c r="K319" s="1604">
        <v>0.93730000000000002</v>
      </c>
      <c r="L319" s="1604">
        <v>0.93730000000000002</v>
      </c>
      <c r="M319" s="1604">
        <v>0.93730000000000002</v>
      </c>
    </row>
    <row r="320" spans="1:13">
      <c r="A320" s="1595">
        <v>1.2</v>
      </c>
      <c r="B320" s="1604">
        <v>1.0837000000000001</v>
      </c>
      <c r="C320" s="1604">
        <v>1.0837000000000001</v>
      </c>
      <c r="D320" s="1604">
        <v>1.0972999999999999</v>
      </c>
      <c r="E320" s="1604">
        <v>1.0972999999999999</v>
      </c>
      <c r="F320" s="1604">
        <v>1.0972999999999999</v>
      </c>
      <c r="G320" s="1604">
        <v>1</v>
      </c>
      <c r="H320" s="1604">
        <v>1</v>
      </c>
      <c r="I320" s="1604">
        <v>0.88890000000000002</v>
      </c>
      <c r="J320" s="1604">
        <v>0.88890000000000002</v>
      </c>
      <c r="K320" s="1604">
        <v>0.88890000000000002</v>
      </c>
      <c r="L320" s="1604">
        <v>0.88890000000000002</v>
      </c>
      <c r="M320" s="1604">
        <v>0.88890000000000002</v>
      </c>
    </row>
    <row r="321" spans="1:13">
      <c r="A321" s="1595">
        <v>1.3</v>
      </c>
      <c r="B321" s="1604">
        <v>1.0538000000000001</v>
      </c>
      <c r="C321" s="1604">
        <v>1.0538000000000001</v>
      </c>
      <c r="D321" s="1604">
        <v>1.0589999999999999</v>
      </c>
      <c r="E321" s="1604">
        <v>1.0589999999999999</v>
      </c>
      <c r="F321" s="1604">
        <v>1.0589999999999999</v>
      </c>
      <c r="G321" s="1604">
        <v>0.96140000000000003</v>
      </c>
      <c r="H321" s="1604">
        <v>0.96140000000000003</v>
      </c>
      <c r="I321" s="1604">
        <v>0.85209999999999997</v>
      </c>
      <c r="J321" s="1604">
        <v>0.85209999999999997</v>
      </c>
      <c r="K321" s="1604">
        <v>0.85209999999999997</v>
      </c>
      <c r="L321" s="1604">
        <v>0.85209999999999997</v>
      </c>
      <c r="M321" s="1604">
        <v>0.85209999999999997</v>
      </c>
    </row>
    <row r="322" spans="1:13">
      <c r="A322" s="1595">
        <v>1.4</v>
      </c>
      <c r="B322" s="1604">
        <v>1.026</v>
      </c>
      <c r="C322" s="1604">
        <v>1.026</v>
      </c>
      <c r="D322" s="1604">
        <v>1.0271999999999999</v>
      </c>
      <c r="E322" s="1604">
        <v>1.0271999999999999</v>
      </c>
      <c r="F322" s="1604">
        <v>1.0271999999999999</v>
      </c>
      <c r="G322" s="1604">
        <v>0.93079999999999996</v>
      </c>
      <c r="H322" s="1604">
        <v>0.93079999999999996</v>
      </c>
      <c r="I322" s="1604">
        <v>0.82379999999999998</v>
      </c>
      <c r="J322" s="1604">
        <v>0.82379999999999998</v>
      </c>
      <c r="K322" s="1604">
        <v>0.82379999999999998</v>
      </c>
      <c r="L322" s="1604">
        <v>0.82379999999999998</v>
      </c>
      <c r="M322" s="1604">
        <v>0.82379999999999998</v>
      </c>
    </row>
    <row r="323" spans="1:13">
      <c r="A323" s="1595">
        <v>1.5</v>
      </c>
      <c r="B323" s="1604">
        <v>1</v>
      </c>
      <c r="C323" s="1604">
        <v>1</v>
      </c>
      <c r="D323" s="1604">
        <v>1</v>
      </c>
      <c r="E323" s="1604">
        <v>1</v>
      </c>
      <c r="F323" s="1604">
        <v>1</v>
      </c>
      <c r="G323" s="1604">
        <v>0.90559999999999996</v>
      </c>
      <c r="H323" s="1604">
        <v>0.90559999999999996</v>
      </c>
      <c r="I323" s="1604">
        <v>0.80110000000000003</v>
      </c>
      <c r="J323" s="1604">
        <v>0.80110000000000003</v>
      </c>
      <c r="K323" s="1604">
        <v>0.80110000000000003</v>
      </c>
      <c r="L323" s="1604">
        <v>0.80110000000000003</v>
      </c>
      <c r="M323" s="1604">
        <v>0.80110000000000003</v>
      </c>
    </row>
    <row r="324" spans="1:13">
      <c r="A324" s="1595">
        <v>1.6</v>
      </c>
      <c r="B324" s="1604">
        <v>0.97570000000000001</v>
      </c>
      <c r="C324" s="1604">
        <v>0.97570000000000001</v>
      </c>
      <c r="D324" s="1604">
        <v>0.97519999999999996</v>
      </c>
      <c r="E324" s="1604">
        <v>0.97519999999999996</v>
      </c>
      <c r="F324" s="1604">
        <v>0.97519999999999996</v>
      </c>
      <c r="G324" s="1604">
        <v>0.8831</v>
      </c>
      <c r="H324" s="1604">
        <v>0.8831</v>
      </c>
      <c r="I324" s="1604">
        <v>0.78100000000000003</v>
      </c>
      <c r="J324" s="1604">
        <v>0.78100000000000003</v>
      </c>
      <c r="K324" s="1604">
        <v>0.78100000000000003</v>
      </c>
      <c r="L324" s="1604">
        <v>0.78100000000000003</v>
      </c>
      <c r="M324" s="1604">
        <v>0.78100000000000003</v>
      </c>
    </row>
    <row r="325" spans="1:13">
      <c r="A325" s="1595">
        <v>1.7</v>
      </c>
      <c r="B325" s="1604">
        <v>0.95289999999999997</v>
      </c>
      <c r="C325" s="1604">
        <v>0.95289999999999997</v>
      </c>
      <c r="D325" s="1604">
        <v>0.95189999999999997</v>
      </c>
      <c r="E325" s="1604">
        <v>0.95189999999999997</v>
      </c>
      <c r="F325" s="1604">
        <v>0.95189999999999997</v>
      </c>
      <c r="G325" s="1604">
        <v>0.86180000000000001</v>
      </c>
      <c r="H325" s="1604">
        <v>0.86180000000000001</v>
      </c>
      <c r="I325" s="1604">
        <v>0.7621</v>
      </c>
      <c r="J325" s="1604">
        <v>0.7621</v>
      </c>
      <c r="K325" s="1604">
        <v>0.7621</v>
      </c>
      <c r="L325" s="1604">
        <v>0.7621</v>
      </c>
      <c r="M325" s="1604">
        <v>0.7621</v>
      </c>
    </row>
    <row r="326" spans="1:13">
      <c r="A326" s="1595">
        <v>1.8</v>
      </c>
      <c r="B326" s="1604">
        <v>0.93149999999999999</v>
      </c>
      <c r="C326" s="1604">
        <v>0.93149999999999999</v>
      </c>
      <c r="D326" s="1604">
        <v>0.93</v>
      </c>
      <c r="E326" s="1604">
        <v>0.93</v>
      </c>
      <c r="F326" s="1604">
        <v>0.93</v>
      </c>
      <c r="G326" s="1604">
        <v>0.84179999999999999</v>
      </c>
      <c r="H326" s="1604">
        <v>0.84179999999999999</v>
      </c>
      <c r="I326" s="1604">
        <v>0.74419999999999997</v>
      </c>
      <c r="J326" s="1604">
        <v>0.74419999999999997</v>
      </c>
      <c r="K326" s="1604">
        <v>0.74419999999999997</v>
      </c>
      <c r="L326" s="1604">
        <v>0.74419999999999997</v>
      </c>
      <c r="M326" s="1604">
        <v>0.74419999999999997</v>
      </c>
    </row>
    <row r="327" spans="1:13">
      <c r="A327" s="1595">
        <v>1.9</v>
      </c>
      <c r="B327" s="1604">
        <v>0.91139999999999999</v>
      </c>
      <c r="C327" s="1604">
        <v>0.91139999999999999</v>
      </c>
      <c r="D327" s="1604">
        <v>0.90939999999999999</v>
      </c>
      <c r="E327" s="1604">
        <v>0.90939999999999999</v>
      </c>
      <c r="F327" s="1604">
        <v>0.90939999999999999</v>
      </c>
      <c r="G327" s="1604">
        <v>0.82289999999999996</v>
      </c>
      <c r="H327" s="1604">
        <v>0.82289999999999996</v>
      </c>
      <c r="I327" s="1604">
        <v>0.72740000000000005</v>
      </c>
      <c r="J327" s="1604">
        <v>0.72740000000000005</v>
      </c>
      <c r="K327" s="1604">
        <v>0.72740000000000005</v>
      </c>
      <c r="L327" s="1604">
        <v>0.72740000000000005</v>
      </c>
      <c r="M327" s="1604">
        <v>0.72740000000000005</v>
      </c>
    </row>
    <row r="328" spans="1:13">
      <c r="A328" s="1595">
        <v>2</v>
      </c>
      <c r="B328" s="1604">
        <v>0.89270000000000005</v>
      </c>
      <c r="C328" s="1604">
        <v>0.89270000000000005</v>
      </c>
      <c r="D328" s="1604">
        <v>0.8901</v>
      </c>
      <c r="E328" s="1604">
        <v>0.8901</v>
      </c>
      <c r="F328" s="1604">
        <v>0.8901</v>
      </c>
      <c r="G328" s="1604">
        <v>0.80530000000000002</v>
      </c>
      <c r="H328" s="1604">
        <v>0.80530000000000002</v>
      </c>
      <c r="I328" s="1604">
        <v>0.71160000000000001</v>
      </c>
      <c r="J328" s="1604">
        <v>0.71160000000000001</v>
      </c>
      <c r="K328" s="1604">
        <v>0.71160000000000001</v>
      </c>
      <c r="L328" s="1604">
        <v>0.71160000000000001</v>
      </c>
      <c r="M328" s="1604">
        <v>0.71160000000000001</v>
      </c>
    </row>
    <row r="329" spans="1:13">
      <c r="A329" s="1618">
        <v>2.1</v>
      </c>
      <c r="B329" s="1604">
        <v>0.87519999999999998</v>
      </c>
      <c r="C329" s="1604">
        <v>0.87519999999999998</v>
      </c>
      <c r="D329" s="1604">
        <v>0.872</v>
      </c>
      <c r="E329" s="1604">
        <v>0.872</v>
      </c>
      <c r="F329" s="1604">
        <v>0.872</v>
      </c>
      <c r="G329" s="1604">
        <v>0.78869999999999996</v>
      </c>
      <c r="H329" s="1604">
        <v>0.78869999999999996</v>
      </c>
      <c r="I329" s="1604">
        <v>0.69669999999999999</v>
      </c>
      <c r="J329" s="1604">
        <v>0.69669999999999999</v>
      </c>
      <c r="K329" s="1604">
        <v>0.69669999999999999</v>
      </c>
      <c r="L329" s="1604">
        <v>0.69669999999999999</v>
      </c>
      <c r="M329" s="1604">
        <v>0.69669999999999999</v>
      </c>
    </row>
    <row r="330" spans="1:13">
      <c r="A330" s="1618">
        <v>2.2000000000000002</v>
      </c>
      <c r="B330" s="1604">
        <v>0.85880000000000001</v>
      </c>
      <c r="C330" s="1604">
        <v>0.85880000000000001</v>
      </c>
      <c r="D330" s="1604">
        <v>0.85499999999999998</v>
      </c>
      <c r="E330" s="1604">
        <v>0.85499999999999998</v>
      </c>
      <c r="F330" s="1604">
        <v>0.85499999999999998</v>
      </c>
      <c r="G330" s="1604">
        <v>0.77300000000000002</v>
      </c>
      <c r="H330" s="1604">
        <v>0.77300000000000002</v>
      </c>
      <c r="I330" s="1604">
        <v>0.68269999999999997</v>
      </c>
      <c r="J330" s="1604">
        <v>0.68269999999999997</v>
      </c>
      <c r="K330" s="1604">
        <v>0.68269999999999997</v>
      </c>
      <c r="L330" s="1604">
        <v>0.68269999999999997</v>
      </c>
      <c r="M330" s="1604">
        <v>0.68269999999999997</v>
      </c>
    </row>
    <row r="331" spans="1:13">
      <c r="A331" s="1618">
        <v>2.2999999999999998</v>
      </c>
      <c r="B331" s="1604">
        <v>0.84360000000000002</v>
      </c>
      <c r="C331" s="1604">
        <v>0.84360000000000002</v>
      </c>
      <c r="D331" s="1604">
        <v>0.83899999999999997</v>
      </c>
      <c r="E331" s="1604">
        <v>0.83899999999999997</v>
      </c>
      <c r="F331" s="1604">
        <v>0.83899999999999997</v>
      </c>
      <c r="G331" s="1604">
        <v>0.75839999999999996</v>
      </c>
      <c r="H331" s="1604">
        <v>0.75839999999999996</v>
      </c>
      <c r="I331" s="1604">
        <v>0.66949999999999998</v>
      </c>
      <c r="J331" s="1604">
        <v>0.66949999999999998</v>
      </c>
      <c r="K331" s="1604">
        <v>0.66949999999999998</v>
      </c>
      <c r="L331" s="1604">
        <v>0.66949999999999998</v>
      </c>
      <c r="M331" s="1604">
        <v>0.66949999999999998</v>
      </c>
    </row>
    <row r="332" spans="1:13">
      <c r="A332" s="1618">
        <v>2.4</v>
      </c>
      <c r="B332" s="1604">
        <v>0.82940000000000003</v>
      </c>
      <c r="C332" s="1604">
        <v>0.82940000000000003</v>
      </c>
      <c r="D332" s="1604">
        <v>0.82410000000000005</v>
      </c>
      <c r="E332" s="1604">
        <v>0.82410000000000005</v>
      </c>
      <c r="F332" s="1604">
        <v>0.82410000000000005</v>
      </c>
      <c r="G332" s="1604">
        <v>0.74460000000000004</v>
      </c>
      <c r="H332" s="1604">
        <v>0.74460000000000004</v>
      </c>
      <c r="I332" s="1604">
        <v>0.65710000000000002</v>
      </c>
      <c r="J332" s="1604">
        <v>0.65710000000000002</v>
      </c>
      <c r="K332" s="1604">
        <v>0.65710000000000002</v>
      </c>
      <c r="L332" s="1604">
        <v>0.65710000000000002</v>
      </c>
      <c r="M332" s="1604">
        <v>0.65710000000000002</v>
      </c>
    </row>
    <row r="333" spans="1:13">
      <c r="A333" s="1618">
        <v>2.5</v>
      </c>
      <c r="B333" s="1604">
        <v>0.81620000000000004</v>
      </c>
      <c r="C333" s="1604">
        <v>0.81620000000000004</v>
      </c>
      <c r="D333" s="1604">
        <v>0.81020000000000003</v>
      </c>
      <c r="E333" s="1604">
        <v>0.81020000000000003</v>
      </c>
      <c r="F333" s="1604">
        <v>0.81020000000000003</v>
      </c>
      <c r="G333" s="1604">
        <v>0.73180000000000001</v>
      </c>
      <c r="H333" s="1604">
        <v>0.73180000000000001</v>
      </c>
      <c r="I333" s="1604">
        <v>0.64549999999999996</v>
      </c>
      <c r="J333" s="1604">
        <v>0.64549999999999996</v>
      </c>
      <c r="K333" s="1604">
        <v>0.64549999999999996</v>
      </c>
      <c r="L333" s="1604">
        <v>0.64549999999999996</v>
      </c>
      <c r="M333" s="1604">
        <v>0.64549999999999996</v>
      </c>
    </row>
    <row r="334" spans="1:13">
      <c r="A334" s="1618">
        <v>2.6</v>
      </c>
      <c r="B334" s="1604">
        <v>0.80389999999999995</v>
      </c>
      <c r="C334" s="1604">
        <v>0.80389999999999995</v>
      </c>
      <c r="D334" s="1604">
        <v>0.79710000000000003</v>
      </c>
      <c r="E334" s="1604">
        <v>0.79710000000000003</v>
      </c>
      <c r="F334" s="1604">
        <v>0.79710000000000003</v>
      </c>
      <c r="G334" s="1604">
        <v>0.71970000000000001</v>
      </c>
      <c r="H334" s="1604">
        <v>0.71970000000000001</v>
      </c>
      <c r="I334" s="1604">
        <v>0.63460000000000005</v>
      </c>
      <c r="J334" s="1604">
        <v>0.63460000000000005</v>
      </c>
      <c r="K334" s="1604">
        <v>0.63460000000000005</v>
      </c>
      <c r="L334" s="1604">
        <v>0.63460000000000005</v>
      </c>
      <c r="M334" s="1604">
        <v>0.63460000000000005</v>
      </c>
    </row>
    <row r="335" spans="1:13">
      <c r="A335" s="1618">
        <v>2.7</v>
      </c>
      <c r="B335" s="1604">
        <v>0.79249999999999998</v>
      </c>
      <c r="C335" s="1604">
        <v>0.79249999999999998</v>
      </c>
      <c r="D335" s="1604">
        <v>0.78490000000000004</v>
      </c>
      <c r="E335" s="1604">
        <v>0.78490000000000004</v>
      </c>
      <c r="F335" s="1604">
        <v>0.78490000000000004</v>
      </c>
      <c r="G335" s="1604">
        <v>0.70840000000000003</v>
      </c>
      <c r="H335" s="1604">
        <v>0.70840000000000003</v>
      </c>
      <c r="I335" s="1604">
        <v>0.62439999999999996</v>
      </c>
      <c r="J335" s="1604">
        <v>0.62439999999999996</v>
      </c>
      <c r="K335" s="1604">
        <v>0.62439999999999996</v>
      </c>
      <c r="L335" s="1604">
        <v>0.62439999999999996</v>
      </c>
      <c r="M335" s="1604">
        <v>0.62439999999999996</v>
      </c>
    </row>
    <row r="336" spans="1:13">
      <c r="A336" s="1618">
        <v>2.8</v>
      </c>
      <c r="B336" s="1604">
        <v>0.78190000000000004</v>
      </c>
      <c r="C336" s="1604">
        <v>0.78190000000000004</v>
      </c>
      <c r="D336" s="1604">
        <v>0.77359999999999995</v>
      </c>
      <c r="E336" s="1604">
        <v>0.77359999999999995</v>
      </c>
      <c r="F336" s="1604">
        <v>0.77359999999999995</v>
      </c>
      <c r="G336" s="1604">
        <v>0.69789999999999996</v>
      </c>
      <c r="H336" s="1604">
        <v>0.69789999999999996</v>
      </c>
      <c r="I336" s="1604">
        <v>0.61480000000000001</v>
      </c>
      <c r="J336" s="1604">
        <v>0.61480000000000001</v>
      </c>
      <c r="K336" s="1604">
        <v>0.61480000000000001</v>
      </c>
      <c r="L336" s="1604">
        <v>0.61480000000000001</v>
      </c>
      <c r="M336" s="1604">
        <v>0.61480000000000001</v>
      </c>
    </row>
    <row r="337" spans="1:13">
      <c r="A337" s="1618">
        <v>2.9</v>
      </c>
      <c r="B337" s="1604">
        <v>0.77210000000000001</v>
      </c>
      <c r="C337" s="1604">
        <v>0.77210000000000001</v>
      </c>
      <c r="D337" s="1604">
        <v>0.76300000000000001</v>
      </c>
      <c r="E337" s="1604">
        <v>0.76300000000000001</v>
      </c>
      <c r="F337" s="1604">
        <v>0.76300000000000001</v>
      </c>
      <c r="G337" s="1604">
        <v>0.68799999999999994</v>
      </c>
      <c r="H337" s="1604">
        <v>0.68799999999999994</v>
      </c>
      <c r="I337" s="1604">
        <v>0.60589999999999999</v>
      </c>
      <c r="J337" s="1604">
        <v>0.60589999999999999</v>
      </c>
      <c r="K337" s="1604">
        <v>0.60589999999999999</v>
      </c>
      <c r="L337" s="1604">
        <v>0.60589999999999999</v>
      </c>
      <c r="M337" s="1604">
        <v>0.60589999999999999</v>
      </c>
    </row>
    <row r="338" spans="1:13">
      <c r="A338" s="1618">
        <v>3</v>
      </c>
      <c r="B338" s="1604">
        <v>0.7631</v>
      </c>
      <c r="C338" s="1604">
        <v>0.7631</v>
      </c>
      <c r="D338" s="1604">
        <v>0.75309999999999999</v>
      </c>
      <c r="E338" s="1604">
        <v>0.75309999999999999</v>
      </c>
      <c r="F338" s="1604">
        <v>0.75309999999999999</v>
      </c>
      <c r="G338" s="1604">
        <v>0.67879999999999996</v>
      </c>
      <c r="H338" s="1604">
        <v>0.67879999999999996</v>
      </c>
      <c r="I338" s="1604">
        <v>0.59750000000000003</v>
      </c>
      <c r="J338" s="1604">
        <v>0.59750000000000003</v>
      </c>
      <c r="K338" s="1604">
        <v>0.59750000000000003</v>
      </c>
      <c r="L338" s="1604">
        <v>0.59750000000000003</v>
      </c>
      <c r="M338" s="1604">
        <v>0.59750000000000003</v>
      </c>
    </row>
    <row r="339" spans="1:13">
      <c r="A339" s="1618">
        <v>3.1</v>
      </c>
      <c r="B339" s="1604">
        <v>0.75470000000000004</v>
      </c>
      <c r="C339" s="1604">
        <v>0.75470000000000004</v>
      </c>
      <c r="D339" s="1604">
        <v>0.74399999999999999</v>
      </c>
      <c r="E339" s="1604">
        <v>0.74399999999999999</v>
      </c>
      <c r="F339" s="1604">
        <v>0.74399999999999999</v>
      </c>
      <c r="G339" s="1604">
        <v>0.67020000000000002</v>
      </c>
      <c r="H339" s="1604">
        <v>0.67020000000000002</v>
      </c>
      <c r="I339" s="1604">
        <v>0.5897</v>
      </c>
      <c r="J339" s="1604">
        <v>0.5897</v>
      </c>
      <c r="K339" s="1604">
        <v>0.5897</v>
      </c>
      <c r="L339" s="1604">
        <v>0.5897</v>
      </c>
      <c r="M339" s="1604">
        <v>0.5897</v>
      </c>
    </row>
    <row r="340" spans="1:13">
      <c r="A340" s="1618">
        <v>3.2</v>
      </c>
      <c r="B340" s="1604">
        <v>0.747</v>
      </c>
      <c r="C340" s="1604">
        <v>0.747</v>
      </c>
      <c r="D340" s="1604">
        <v>0.73540000000000005</v>
      </c>
      <c r="E340" s="1604">
        <v>0.73540000000000005</v>
      </c>
      <c r="F340" s="1604">
        <v>0.73540000000000005</v>
      </c>
      <c r="G340" s="1604">
        <v>0.66220000000000001</v>
      </c>
      <c r="H340" s="1604">
        <v>0.66220000000000001</v>
      </c>
      <c r="I340" s="1604">
        <v>0.58230000000000004</v>
      </c>
      <c r="J340" s="1604">
        <v>0.58230000000000004</v>
      </c>
      <c r="K340" s="1604">
        <v>0.58230000000000004</v>
      </c>
      <c r="L340" s="1604">
        <v>0.58230000000000004</v>
      </c>
      <c r="M340" s="1604">
        <v>0.58230000000000004</v>
      </c>
    </row>
    <row r="341" spans="1:13">
      <c r="A341" s="1618">
        <v>3.3</v>
      </c>
      <c r="B341" s="1604">
        <v>0.7399</v>
      </c>
      <c r="C341" s="1604">
        <v>0.7399</v>
      </c>
      <c r="D341" s="1604">
        <v>0.72750000000000004</v>
      </c>
      <c r="E341" s="1604">
        <v>0.72750000000000004</v>
      </c>
      <c r="F341" s="1604">
        <v>0.72750000000000004</v>
      </c>
      <c r="G341" s="1604">
        <v>0.65480000000000005</v>
      </c>
      <c r="H341" s="1604">
        <v>0.65480000000000005</v>
      </c>
      <c r="I341" s="1604">
        <v>0.57540000000000002</v>
      </c>
      <c r="J341" s="1604">
        <v>0.57540000000000002</v>
      </c>
      <c r="K341" s="1604">
        <v>0.57540000000000002</v>
      </c>
      <c r="L341" s="1604">
        <v>0.57540000000000002</v>
      </c>
      <c r="M341" s="1604">
        <v>0.57540000000000002</v>
      </c>
    </row>
    <row r="342" spans="1:13">
      <c r="A342" s="1618">
        <v>3.4</v>
      </c>
      <c r="B342" s="1604">
        <v>0.73340000000000005</v>
      </c>
      <c r="C342" s="1604">
        <v>0.73340000000000005</v>
      </c>
      <c r="D342" s="1604">
        <v>0.72009999999999996</v>
      </c>
      <c r="E342" s="1604">
        <v>0.72009999999999996</v>
      </c>
      <c r="F342" s="1604">
        <v>0.72009999999999996</v>
      </c>
      <c r="G342" s="1604">
        <v>0.64780000000000004</v>
      </c>
      <c r="H342" s="1604">
        <v>0.64780000000000004</v>
      </c>
      <c r="I342" s="1604">
        <v>0.56899999999999995</v>
      </c>
      <c r="J342" s="1604">
        <v>0.56899999999999995</v>
      </c>
      <c r="K342" s="1604">
        <v>0.56899999999999995</v>
      </c>
      <c r="L342" s="1604">
        <v>0.56899999999999995</v>
      </c>
      <c r="M342" s="1604">
        <v>0.56899999999999995</v>
      </c>
    </row>
    <row r="343" spans="1:13">
      <c r="A343" s="1618">
        <v>3.5</v>
      </c>
      <c r="B343" s="1604">
        <v>0.72740000000000005</v>
      </c>
      <c r="C343" s="1604">
        <v>0.72740000000000005</v>
      </c>
      <c r="D343" s="1604">
        <v>0.71330000000000005</v>
      </c>
      <c r="E343" s="1604">
        <v>0.71330000000000005</v>
      </c>
      <c r="F343" s="1604">
        <v>0.71330000000000005</v>
      </c>
      <c r="G343" s="1604">
        <v>0.64129999999999998</v>
      </c>
      <c r="H343" s="1604">
        <v>0.64129999999999998</v>
      </c>
      <c r="I343" s="1604">
        <v>0.56310000000000004</v>
      </c>
      <c r="J343" s="1604">
        <v>0.56310000000000004</v>
      </c>
      <c r="K343" s="1604">
        <v>0.56310000000000004</v>
      </c>
      <c r="L343" s="1604">
        <v>0.56310000000000004</v>
      </c>
      <c r="M343" s="1604">
        <v>0.56310000000000004</v>
      </c>
    </row>
    <row r="344" spans="1:13">
      <c r="A344" s="1618">
        <v>3.6</v>
      </c>
      <c r="B344" s="1604">
        <v>0.72189999999999999</v>
      </c>
      <c r="C344" s="1604">
        <v>0.72189999999999999</v>
      </c>
      <c r="D344" s="1604">
        <v>0.70699999999999996</v>
      </c>
      <c r="E344" s="1604">
        <v>0.70699999999999996</v>
      </c>
      <c r="F344" s="1604">
        <v>0.70699999999999996</v>
      </c>
      <c r="G344" s="1604">
        <v>0.63529999999999998</v>
      </c>
      <c r="H344" s="1604">
        <v>0.63529999999999998</v>
      </c>
      <c r="I344" s="1604">
        <v>0.5575</v>
      </c>
      <c r="J344" s="1604">
        <v>0.5575</v>
      </c>
      <c r="K344" s="1604">
        <v>0.5575</v>
      </c>
      <c r="L344" s="1604">
        <v>0.5575</v>
      </c>
      <c r="M344" s="1604">
        <v>0.5575</v>
      </c>
    </row>
    <row r="345" spans="1:13">
      <c r="A345" s="1618">
        <v>3.7</v>
      </c>
      <c r="B345" s="1604">
        <v>0.71679999999999999</v>
      </c>
      <c r="C345" s="1604">
        <v>0.71679999999999999</v>
      </c>
      <c r="D345" s="1604">
        <v>0.70109999999999995</v>
      </c>
      <c r="E345" s="1604">
        <v>0.70109999999999995</v>
      </c>
      <c r="F345" s="1604">
        <v>0.70109999999999995</v>
      </c>
      <c r="G345" s="1604">
        <v>0.62970000000000004</v>
      </c>
      <c r="H345" s="1604">
        <v>0.62970000000000004</v>
      </c>
      <c r="I345" s="1604">
        <v>0.55230000000000001</v>
      </c>
      <c r="J345" s="1604">
        <v>0.55230000000000001</v>
      </c>
      <c r="K345" s="1604">
        <v>0.55230000000000001</v>
      </c>
      <c r="L345" s="1604">
        <v>0.55230000000000001</v>
      </c>
      <c r="M345" s="1604">
        <v>0.55230000000000001</v>
      </c>
    </row>
    <row r="346" spans="1:13">
      <c r="A346" s="1618">
        <v>3.8</v>
      </c>
      <c r="B346" s="1604">
        <v>0.71220000000000006</v>
      </c>
      <c r="C346" s="1604">
        <v>0.71220000000000006</v>
      </c>
      <c r="D346" s="1604">
        <v>0.6956</v>
      </c>
      <c r="E346" s="1604">
        <v>0.6956</v>
      </c>
      <c r="F346" s="1604">
        <v>0.6956</v>
      </c>
      <c r="G346" s="1604">
        <v>0.62439999999999996</v>
      </c>
      <c r="H346" s="1604">
        <v>0.62439999999999996</v>
      </c>
      <c r="I346" s="1604">
        <v>0.5474</v>
      </c>
      <c r="J346" s="1604">
        <v>0.5474</v>
      </c>
      <c r="K346" s="1604">
        <v>0.5474</v>
      </c>
      <c r="L346" s="1604">
        <v>0.5474</v>
      </c>
      <c r="M346" s="1604">
        <v>0.5474</v>
      </c>
    </row>
    <row r="347" spans="1:13">
      <c r="A347" s="1618">
        <v>3.9</v>
      </c>
      <c r="B347" s="1604">
        <v>0.70799999999999996</v>
      </c>
      <c r="C347" s="1604">
        <v>0.70799999999999996</v>
      </c>
      <c r="D347" s="1604">
        <v>0.69059999999999999</v>
      </c>
      <c r="E347" s="1604">
        <v>0.69059999999999999</v>
      </c>
      <c r="F347" s="1604">
        <v>0.69059999999999999</v>
      </c>
      <c r="G347" s="1604">
        <v>0.61950000000000005</v>
      </c>
      <c r="H347" s="1604">
        <v>0.61950000000000005</v>
      </c>
      <c r="I347" s="1604">
        <v>0.54279999999999995</v>
      </c>
      <c r="J347" s="1604">
        <v>0.54279999999999995</v>
      </c>
      <c r="K347" s="1604">
        <v>0.54279999999999995</v>
      </c>
      <c r="L347" s="1604">
        <v>0.54279999999999995</v>
      </c>
      <c r="M347" s="1604">
        <v>0.54279999999999995</v>
      </c>
    </row>
    <row r="348" spans="1:13">
      <c r="A348" s="1618">
        <v>4</v>
      </c>
      <c r="B348" s="1604">
        <v>0.70409999999999995</v>
      </c>
      <c r="C348" s="1604">
        <v>0.70409999999999995</v>
      </c>
      <c r="D348" s="1604">
        <v>0.68589999999999995</v>
      </c>
      <c r="E348" s="1604">
        <v>0.68589999999999995</v>
      </c>
      <c r="F348" s="1604">
        <v>0.68589999999999995</v>
      </c>
      <c r="G348" s="1604">
        <v>0.61499999999999999</v>
      </c>
      <c r="H348" s="1604">
        <v>0.61499999999999999</v>
      </c>
      <c r="I348" s="1604">
        <v>0.53859999999999997</v>
      </c>
      <c r="J348" s="1604">
        <v>0.53859999999999997</v>
      </c>
      <c r="K348" s="1604">
        <v>0.53859999999999997</v>
      </c>
      <c r="L348" s="1604">
        <v>0.53859999999999997</v>
      </c>
      <c r="M348" s="1604">
        <v>0.53859999999999997</v>
      </c>
    </row>
    <row r="349" spans="1:13">
      <c r="A349" s="1618">
        <v>4.0999999999999996</v>
      </c>
      <c r="B349" s="1604">
        <v>0.7006</v>
      </c>
      <c r="C349" s="1604">
        <v>0.7006</v>
      </c>
      <c r="D349" s="1604">
        <v>0.68159999999999998</v>
      </c>
      <c r="E349" s="1604">
        <v>0.68159999999999998</v>
      </c>
      <c r="F349" s="1604">
        <v>0.68159999999999998</v>
      </c>
      <c r="G349" s="1604">
        <v>0.61080000000000001</v>
      </c>
      <c r="H349" s="1604">
        <v>0.61080000000000001</v>
      </c>
      <c r="I349" s="1604">
        <v>0.53459999999999996</v>
      </c>
      <c r="J349" s="1604">
        <v>0.53459999999999996</v>
      </c>
      <c r="K349" s="1604">
        <v>0.53459999999999996</v>
      </c>
      <c r="L349" s="1604">
        <v>0.53459999999999996</v>
      </c>
      <c r="M349" s="1604">
        <v>0.53459999999999996</v>
      </c>
    </row>
    <row r="350" spans="1:13">
      <c r="A350" s="1618">
        <v>4.2</v>
      </c>
      <c r="B350" s="1604">
        <v>0.69740000000000002</v>
      </c>
      <c r="C350" s="1604">
        <v>0.69740000000000002</v>
      </c>
      <c r="D350" s="1604">
        <v>0.67759999999999998</v>
      </c>
      <c r="E350" s="1604">
        <v>0.67759999999999998</v>
      </c>
      <c r="F350" s="1604">
        <v>0.67759999999999998</v>
      </c>
      <c r="G350" s="1604">
        <v>0.60699999999999998</v>
      </c>
      <c r="H350" s="1604">
        <v>0.60699999999999998</v>
      </c>
      <c r="I350" s="1604">
        <v>0.53090000000000004</v>
      </c>
      <c r="J350" s="1604">
        <v>0.53090000000000004</v>
      </c>
      <c r="K350" s="1604">
        <v>0.53090000000000004</v>
      </c>
      <c r="L350" s="1604">
        <v>0.53090000000000004</v>
      </c>
      <c r="M350" s="1604">
        <v>0.53090000000000004</v>
      </c>
    </row>
    <row r="351" spans="1:13">
      <c r="A351" s="1618">
        <v>4.3</v>
      </c>
      <c r="B351" s="1604">
        <v>0.69450000000000001</v>
      </c>
      <c r="C351" s="1604">
        <v>0.69450000000000001</v>
      </c>
      <c r="D351" s="1604">
        <v>0.67390000000000005</v>
      </c>
      <c r="E351" s="1604">
        <v>0.67390000000000005</v>
      </c>
      <c r="F351" s="1604">
        <v>0.67390000000000005</v>
      </c>
      <c r="G351" s="1604">
        <v>0.60329999999999995</v>
      </c>
      <c r="H351" s="1604">
        <v>0.60329999999999995</v>
      </c>
      <c r="I351" s="1604">
        <v>0.52739999999999998</v>
      </c>
      <c r="J351" s="1604">
        <v>0.52739999999999998</v>
      </c>
      <c r="K351" s="1604">
        <v>0.52739999999999998</v>
      </c>
      <c r="L351" s="1604">
        <v>0.52739999999999998</v>
      </c>
      <c r="M351" s="1604">
        <v>0.52739999999999998</v>
      </c>
    </row>
    <row r="352" spans="1:13">
      <c r="A352" s="1618">
        <v>4.4000000000000004</v>
      </c>
      <c r="B352" s="1604">
        <v>0.69179999999999997</v>
      </c>
      <c r="C352" s="1604">
        <v>0.69179999999999997</v>
      </c>
      <c r="D352" s="1604">
        <v>0.67049999999999998</v>
      </c>
      <c r="E352" s="1604">
        <v>0.67049999999999998</v>
      </c>
      <c r="F352" s="1604">
        <v>0.67049999999999998</v>
      </c>
      <c r="G352" s="1604">
        <v>0.59989999999999999</v>
      </c>
      <c r="H352" s="1604">
        <v>0.59989999999999999</v>
      </c>
      <c r="I352" s="1604">
        <v>0.5242</v>
      </c>
      <c r="J352" s="1604">
        <v>0.5242</v>
      </c>
      <c r="K352" s="1604">
        <v>0.5242</v>
      </c>
      <c r="L352" s="1604">
        <v>0.5242</v>
      </c>
      <c r="M352" s="1604">
        <v>0.5242</v>
      </c>
    </row>
    <row r="353" spans="1:13">
      <c r="A353" s="1618">
        <v>4.5</v>
      </c>
      <c r="B353" s="1604">
        <v>0.68940000000000001</v>
      </c>
      <c r="C353" s="1604">
        <v>0.68940000000000001</v>
      </c>
      <c r="D353" s="1604">
        <v>0.6673</v>
      </c>
      <c r="E353" s="1604">
        <v>0.6673</v>
      </c>
      <c r="F353" s="1604">
        <v>0.6673</v>
      </c>
      <c r="G353" s="1604">
        <v>0.59670000000000001</v>
      </c>
      <c r="H353" s="1604">
        <v>0.59670000000000001</v>
      </c>
      <c r="I353" s="1604">
        <v>0.52110000000000001</v>
      </c>
      <c r="J353" s="1604">
        <v>0.52110000000000001</v>
      </c>
      <c r="K353" s="1604">
        <v>0.52110000000000001</v>
      </c>
      <c r="L353" s="1604">
        <v>0.52110000000000001</v>
      </c>
      <c r="M353" s="1604">
        <v>0.52110000000000001</v>
      </c>
    </row>
    <row r="354" spans="1:13">
      <c r="A354" s="1618">
        <v>4.5999999999999996</v>
      </c>
      <c r="B354" s="1604">
        <v>0.68720000000000003</v>
      </c>
      <c r="C354" s="1604">
        <v>0.68720000000000003</v>
      </c>
      <c r="D354" s="1604">
        <v>0.6643</v>
      </c>
      <c r="E354" s="1604">
        <v>0.6643</v>
      </c>
      <c r="F354" s="1604">
        <v>0.6643</v>
      </c>
      <c r="G354" s="1604">
        <v>0.59379999999999999</v>
      </c>
      <c r="H354" s="1604">
        <v>0.59379999999999999</v>
      </c>
      <c r="I354" s="1604">
        <v>0.51819999999999999</v>
      </c>
      <c r="J354" s="1604">
        <v>0.51819999999999999</v>
      </c>
      <c r="K354" s="1604">
        <v>0.51819999999999999</v>
      </c>
      <c r="L354" s="1604">
        <v>0.51819999999999999</v>
      </c>
      <c r="M354" s="1604">
        <v>0.51819999999999999</v>
      </c>
    </row>
    <row r="355" spans="1:13">
      <c r="A355" s="1618">
        <v>4.7</v>
      </c>
      <c r="B355" s="1604">
        <v>0.68520000000000003</v>
      </c>
      <c r="C355" s="1604">
        <v>0.68520000000000003</v>
      </c>
      <c r="D355" s="1604">
        <v>0.66149999999999998</v>
      </c>
      <c r="E355" s="1604">
        <v>0.66149999999999998</v>
      </c>
      <c r="F355" s="1604">
        <v>0.66149999999999998</v>
      </c>
      <c r="G355" s="1604">
        <v>0.59109999999999996</v>
      </c>
      <c r="H355" s="1604">
        <v>0.59109999999999996</v>
      </c>
      <c r="I355" s="1604">
        <v>0.51559999999999995</v>
      </c>
      <c r="J355" s="1604">
        <v>0.51559999999999995</v>
      </c>
      <c r="K355" s="1604">
        <v>0.51559999999999995</v>
      </c>
      <c r="L355" s="1604">
        <v>0.51559999999999995</v>
      </c>
      <c r="M355" s="1604">
        <v>0.51559999999999995</v>
      </c>
    </row>
    <row r="356" spans="1:13">
      <c r="A356" s="1618">
        <v>4.8</v>
      </c>
      <c r="B356" s="1604">
        <v>0.68340000000000001</v>
      </c>
      <c r="C356" s="1604">
        <v>0.68340000000000001</v>
      </c>
      <c r="D356" s="1604">
        <v>0.65900000000000003</v>
      </c>
      <c r="E356" s="1604">
        <v>0.65900000000000003</v>
      </c>
      <c r="F356" s="1604">
        <v>0.65900000000000003</v>
      </c>
      <c r="G356" s="1604">
        <v>0.58850000000000002</v>
      </c>
      <c r="H356" s="1604">
        <v>0.58850000000000002</v>
      </c>
      <c r="I356" s="1604">
        <v>0.51300000000000001</v>
      </c>
      <c r="J356" s="1604">
        <v>0.51300000000000001</v>
      </c>
      <c r="K356" s="1604">
        <v>0.51300000000000001</v>
      </c>
      <c r="L356" s="1604">
        <v>0.51300000000000001</v>
      </c>
      <c r="M356" s="1604">
        <v>0.51300000000000001</v>
      </c>
    </row>
    <row r="357" spans="1:13">
      <c r="A357" s="1618">
        <v>4.9000000000000004</v>
      </c>
      <c r="B357" s="1604">
        <v>0.68179999999999996</v>
      </c>
      <c r="C357" s="1604">
        <v>0.68179999999999996</v>
      </c>
      <c r="D357" s="1604">
        <v>0.65659999999999996</v>
      </c>
      <c r="E357" s="1604">
        <v>0.65659999999999996</v>
      </c>
      <c r="F357" s="1604">
        <v>0.65659999999999996</v>
      </c>
      <c r="G357" s="1604">
        <v>0.58599999999999997</v>
      </c>
      <c r="H357" s="1604">
        <v>0.58599999999999997</v>
      </c>
      <c r="I357" s="1604">
        <v>0.51060000000000005</v>
      </c>
      <c r="J357" s="1604">
        <v>0.51060000000000005</v>
      </c>
      <c r="K357" s="1604">
        <v>0.51060000000000005</v>
      </c>
      <c r="L357" s="1604">
        <v>0.51060000000000005</v>
      </c>
      <c r="M357" s="1604">
        <v>0.51060000000000005</v>
      </c>
    </row>
    <row r="358" spans="1:13">
      <c r="A358" s="1618">
        <v>5</v>
      </c>
      <c r="B358" s="1604">
        <v>0.68030000000000002</v>
      </c>
      <c r="C358" s="1604">
        <v>0.68030000000000002</v>
      </c>
      <c r="D358" s="1604">
        <v>0.65439999999999998</v>
      </c>
      <c r="E358" s="1604">
        <v>0.65439999999999998</v>
      </c>
      <c r="F358" s="1604">
        <v>0.65439999999999998</v>
      </c>
      <c r="G358" s="1604">
        <v>0.58379999999999999</v>
      </c>
      <c r="H358" s="1604">
        <v>0.58379999999999999</v>
      </c>
      <c r="I358" s="1604">
        <v>0.50839999999999996</v>
      </c>
      <c r="J358" s="1604">
        <v>0.50839999999999996</v>
      </c>
      <c r="K358" s="1604">
        <v>0.50839999999999996</v>
      </c>
      <c r="L358" s="1604">
        <v>0.50839999999999996</v>
      </c>
      <c r="M358" s="1604">
        <v>0.50839999999999996</v>
      </c>
    </row>
    <row r="359" spans="1:13">
      <c r="A359" s="1595">
        <v>5.0999999999999996</v>
      </c>
      <c r="B359" s="1604">
        <v>0.67889999999999995</v>
      </c>
      <c r="C359" s="1604">
        <v>0.67889999999999995</v>
      </c>
      <c r="D359" s="1604">
        <v>0.65229999999999999</v>
      </c>
      <c r="E359" s="1604">
        <v>0.65229999999999999</v>
      </c>
      <c r="F359" s="1604">
        <v>0.65229999999999999</v>
      </c>
      <c r="G359" s="1604">
        <v>0.58160000000000001</v>
      </c>
      <c r="H359" s="1604">
        <v>0.58160000000000001</v>
      </c>
      <c r="I359" s="1604">
        <v>0.50629999999999997</v>
      </c>
      <c r="J359" s="1604">
        <v>0.50629999999999997</v>
      </c>
      <c r="K359" s="1604">
        <v>0.50629999999999997</v>
      </c>
      <c r="L359" s="1604">
        <v>0.50629999999999997</v>
      </c>
      <c r="M359" s="1604">
        <v>0.50629999999999997</v>
      </c>
    </row>
    <row r="360" spans="1:13">
      <c r="A360" s="1595">
        <v>5.2</v>
      </c>
      <c r="B360" s="1604">
        <v>0.67749999999999999</v>
      </c>
      <c r="C360" s="1604">
        <v>0.67749999999999999</v>
      </c>
      <c r="D360" s="1604">
        <v>0.65029999999999999</v>
      </c>
      <c r="E360" s="1604">
        <v>0.65029999999999999</v>
      </c>
      <c r="F360" s="1604">
        <v>0.65029999999999999</v>
      </c>
      <c r="G360" s="1604">
        <v>0.57950000000000002</v>
      </c>
      <c r="H360" s="1604">
        <v>0.57950000000000002</v>
      </c>
      <c r="I360" s="1604">
        <v>0.50419999999999998</v>
      </c>
      <c r="J360" s="1604">
        <v>0.50419999999999998</v>
      </c>
      <c r="K360" s="1604">
        <v>0.50419999999999998</v>
      </c>
      <c r="L360" s="1604">
        <v>0.50419999999999998</v>
      </c>
      <c r="M360" s="1604">
        <v>0.50419999999999998</v>
      </c>
    </row>
    <row r="361" spans="1:13">
      <c r="A361" s="1595">
        <v>5.3</v>
      </c>
      <c r="B361" s="1604">
        <v>0.67620000000000002</v>
      </c>
      <c r="C361" s="1604">
        <v>0.67620000000000002</v>
      </c>
      <c r="D361" s="1604">
        <v>0.64839999999999998</v>
      </c>
      <c r="E361" s="1604">
        <v>0.64839999999999998</v>
      </c>
      <c r="F361" s="1604">
        <v>0.64839999999999998</v>
      </c>
      <c r="G361" s="1604">
        <v>0.5776</v>
      </c>
      <c r="H361" s="1604">
        <v>0.5776</v>
      </c>
      <c r="I361" s="1604">
        <v>0.50229999999999997</v>
      </c>
      <c r="J361" s="1604">
        <v>0.50229999999999997</v>
      </c>
      <c r="K361" s="1604">
        <v>0.50229999999999997</v>
      </c>
      <c r="L361" s="1604">
        <v>0.50229999999999997</v>
      </c>
      <c r="M361" s="1604">
        <v>0.50229999999999997</v>
      </c>
    </row>
    <row r="362" spans="1:13">
      <c r="A362" s="1595">
        <v>5.4</v>
      </c>
      <c r="B362" s="1604">
        <v>0.67500000000000004</v>
      </c>
      <c r="C362" s="1604">
        <v>0.67500000000000004</v>
      </c>
      <c r="D362" s="1604">
        <v>0.64670000000000005</v>
      </c>
      <c r="E362" s="1604">
        <v>0.64670000000000005</v>
      </c>
      <c r="F362" s="1604">
        <v>0.64670000000000005</v>
      </c>
      <c r="G362" s="1604">
        <v>0.57579999999999998</v>
      </c>
      <c r="H362" s="1604">
        <v>0.57579999999999998</v>
      </c>
      <c r="I362" s="1604">
        <v>0.50039999999999996</v>
      </c>
      <c r="J362" s="1604">
        <v>0.50039999999999996</v>
      </c>
      <c r="K362" s="1604">
        <v>0.50039999999999996</v>
      </c>
      <c r="L362" s="1604">
        <v>0.50039999999999996</v>
      </c>
      <c r="M362" s="1604">
        <v>0.50039999999999996</v>
      </c>
    </row>
    <row r="363" spans="1:13">
      <c r="A363" s="1595">
        <v>5.5</v>
      </c>
      <c r="B363" s="1604">
        <v>0.67379999999999995</v>
      </c>
      <c r="C363" s="1604">
        <v>0.67379999999999995</v>
      </c>
      <c r="D363" s="1604">
        <v>0.64500000000000002</v>
      </c>
      <c r="E363" s="1604">
        <v>0.64500000000000002</v>
      </c>
      <c r="F363" s="1604">
        <v>0.64500000000000002</v>
      </c>
      <c r="G363" s="1604">
        <v>0.57399999999999995</v>
      </c>
      <c r="H363" s="1604">
        <v>0.57399999999999995</v>
      </c>
      <c r="I363" s="1604">
        <v>0.49869999999999998</v>
      </c>
      <c r="J363" s="1604">
        <v>0.49869999999999998</v>
      </c>
      <c r="K363" s="1604">
        <v>0.49869999999999998</v>
      </c>
      <c r="L363" s="1604">
        <v>0.49869999999999998</v>
      </c>
      <c r="M363" s="1604">
        <v>0.49869999999999998</v>
      </c>
    </row>
    <row r="364" spans="1:13">
      <c r="A364" s="1595">
        <v>5.6</v>
      </c>
      <c r="B364" s="1604">
        <v>0.67259999999999998</v>
      </c>
      <c r="C364" s="1604">
        <v>0.67259999999999998</v>
      </c>
      <c r="D364" s="1604">
        <v>0.64339999999999997</v>
      </c>
      <c r="E364" s="1604">
        <v>0.64339999999999997</v>
      </c>
      <c r="F364" s="1604">
        <v>0.64339999999999997</v>
      </c>
      <c r="G364" s="1604">
        <v>0.57240000000000002</v>
      </c>
      <c r="H364" s="1604">
        <v>0.57240000000000002</v>
      </c>
      <c r="I364" s="1604">
        <v>0.49690000000000001</v>
      </c>
      <c r="J364" s="1604">
        <v>0.49690000000000001</v>
      </c>
      <c r="K364" s="1604">
        <v>0.49690000000000001</v>
      </c>
      <c r="L364" s="1604">
        <v>0.49690000000000001</v>
      </c>
      <c r="M364" s="1604">
        <v>0.49690000000000001</v>
      </c>
    </row>
    <row r="365" spans="1:13">
      <c r="A365" s="1618">
        <v>5.7</v>
      </c>
      <c r="B365" s="1604">
        <v>0.6714</v>
      </c>
      <c r="C365" s="1604">
        <v>0.6714</v>
      </c>
      <c r="D365" s="1604">
        <v>0.64190000000000003</v>
      </c>
      <c r="E365" s="1604">
        <v>0.64190000000000003</v>
      </c>
      <c r="F365" s="1604">
        <v>0.64190000000000003</v>
      </c>
      <c r="G365" s="1604">
        <v>0.57069999999999999</v>
      </c>
      <c r="H365" s="1604">
        <v>0.57069999999999999</v>
      </c>
      <c r="I365" s="1604">
        <v>0.49519999999999997</v>
      </c>
      <c r="J365" s="1604">
        <v>0.49519999999999997</v>
      </c>
      <c r="K365" s="1604">
        <v>0.49519999999999997</v>
      </c>
      <c r="L365" s="1604">
        <v>0.49519999999999997</v>
      </c>
      <c r="M365" s="1604">
        <v>0.49519999999999997</v>
      </c>
    </row>
    <row r="366" spans="1:13">
      <c r="A366" s="1595">
        <v>5.8</v>
      </c>
      <c r="B366" s="1604">
        <v>0.67020000000000002</v>
      </c>
      <c r="C366" s="1604">
        <v>0.67020000000000002</v>
      </c>
      <c r="D366" s="1604">
        <v>0.64039999999999997</v>
      </c>
      <c r="E366" s="1604">
        <v>0.64039999999999997</v>
      </c>
      <c r="F366" s="1604">
        <v>0.64039999999999997</v>
      </c>
      <c r="G366" s="1604">
        <v>0.56910000000000005</v>
      </c>
      <c r="H366" s="1604">
        <v>0.56910000000000005</v>
      </c>
      <c r="I366" s="1604">
        <v>0.49359999999999998</v>
      </c>
      <c r="J366" s="1604">
        <v>0.49359999999999998</v>
      </c>
      <c r="K366" s="1604">
        <v>0.49359999999999998</v>
      </c>
      <c r="L366" s="1604">
        <v>0.49359999999999998</v>
      </c>
      <c r="M366" s="1604">
        <v>0.49359999999999998</v>
      </c>
    </row>
    <row r="367" spans="1:13">
      <c r="A367" s="1595">
        <v>5.9</v>
      </c>
      <c r="B367" s="1604">
        <v>0.66910000000000003</v>
      </c>
      <c r="C367" s="1604">
        <v>0.66910000000000003</v>
      </c>
      <c r="D367" s="1604">
        <v>0.63890000000000002</v>
      </c>
      <c r="E367" s="1604">
        <v>0.63890000000000002</v>
      </c>
      <c r="F367" s="1604">
        <v>0.63890000000000002</v>
      </c>
      <c r="G367" s="1604">
        <v>0.5675</v>
      </c>
      <c r="H367" s="1604">
        <v>0.5675</v>
      </c>
      <c r="I367" s="1604">
        <v>0.4919</v>
      </c>
      <c r="J367" s="1604">
        <v>0.4919</v>
      </c>
      <c r="K367" s="1604">
        <v>0.4919</v>
      </c>
      <c r="L367" s="1604">
        <v>0.4919</v>
      </c>
      <c r="M367" s="1604">
        <v>0.4919</v>
      </c>
    </row>
    <row r="368" spans="1:13">
      <c r="A368" s="1595">
        <v>6</v>
      </c>
      <c r="B368" s="1604">
        <v>0.66800000000000004</v>
      </c>
      <c r="C368" s="1604">
        <v>0.66800000000000004</v>
      </c>
      <c r="D368" s="1604">
        <v>0.63739999999999997</v>
      </c>
      <c r="E368" s="1604">
        <v>0.63739999999999997</v>
      </c>
      <c r="F368" s="1604">
        <v>0.63739999999999997</v>
      </c>
      <c r="G368" s="1604">
        <v>0.56589999999999996</v>
      </c>
      <c r="H368" s="1604">
        <v>0.56589999999999996</v>
      </c>
      <c r="I368" s="1604">
        <v>0.49020000000000002</v>
      </c>
      <c r="J368" s="1604">
        <v>0.49020000000000002</v>
      </c>
      <c r="K368" s="1604">
        <v>0.49020000000000002</v>
      </c>
      <c r="L368" s="1604">
        <v>0.49020000000000002</v>
      </c>
      <c r="M368" s="1604">
        <v>0.49020000000000002</v>
      </c>
    </row>
    <row r="369" spans="1:13">
      <c r="A369" s="1595">
        <v>6.1</v>
      </c>
      <c r="B369" s="1604">
        <v>0.66690000000000005</v>
      </c>
      <c r="C369" s="1604">
        <v>0.66690000000000005</v>
      </c>
      <c r="D369" s="1604">
        <v>0.63590000000000002</v>
      </c>
      <c r="E369" s="1604">
        <v>0.63590000000000002</v>
      </c>
      <c r="F369" s="1604">
        <v>0.63590000000000002</v>
      </c>
      <c r="G369" s="1604">
        <v>0.56440000000000001</v>
      </c>
      <c r="H369" s="1604">
        <v>0.56440000000000001</v>
      </c>
      <c r="I369" s="1604">
        <v>0.48849999999999999</v>
      </c>
      <c r="J369" s="1604">
        <v>0.48849999999999999</v>
      </c>
      <c r="K369" s="1604">
        <v>0.48849999999999999</v>
      </c>
      <c r="L369" s="1604">
        <v>0.48849999999999999</v>
      </c>
      <c r="M369" s="1604">
        <v>0.48849999999999999</v>
      </c>
    </row>
    <row r="370" spans="1:13">
      <c r="A370" s="1595">
        <v>6.2</v>
      </c>
      <c r="B370" s="1604">
        <v>0.66579999999999995</v>
      </c>
      <c r="C370" s="1604">
        <v>0.66579999999999995</v>
      </c>
      <c r="D370" s="1604">
        <v>0.63439999999999996</v>
      </c>
      <c r="E370" s="1604">
        <v>0.63439999999999996</v>
      </c>
      <c r="F370" s="1604">
        <v>0.63439999999999996</v>
      </c>
      <c r="G370" s="1604">
        <v>0.56289999999999996</v>
      </c>
      <c r="H370" s="1604">
        <v>0.56289999999999996</v>
      </c>
      <c r="I370" s="1604">
        <v>0.48680000000000001</v>
      </c>
      <c r="J370" s="1604">
        <v>0.48680000000000001</v>
      </c>
      <c r="K370" s="1604">
        <v>0.48680000000000001</v>
      </c>
      <c r="L370" s="1604">
        <v>0.48680000000000001</v>
      </c>
      <c r="M370" s="1604">
        <v>0.48680000000000001</v>
      </c>
    </row>
    <row r="371" spans="1:13">
      <c r="A371" s="1595">
        <v>6.3</v>
      </c>
      <c r="B371" s="1604">
        <v>0.66469999999999996</v>
      </c>
      <c r="C371" s="1604">
        <v>0.66469999999999996</v>
      </c>
      <c r="D371" s="1604">
        <v>0.63290000000000002</v>
      </c>
      <c r="E371" s="1604">
        <v>0.63290000000000002</v>
      </c>
      <c r="F371" s="1604">
        <v>0.63290000000000002</v>
      </c>
      <c r="G371" s="1604">
        <v>0.56130000000000002</v>
      </c>
      <c r="H371" s="1604">
        <v>0.56130000000000002</v>
      </c>
      <c r="I371" s="1604">
        <v>0.48509999999999998</v>
      </c>
      <c r="J371" s="1604">
        <v>0.48509999999999998</v>
      </c>
      <c r="K371" s="1604">
        <v>0.48509999999999998</v>
      </c>
      <c r="L371" s="1604">
        <v>0.48509999999999998</v>
      </c>
      <c r="M371" s="1604">
        <v>0.48509999999999998</v>
      </c>
    </row>
    <row r="372" spans="1:13">
      <c r="A372" s="1595">
        <v>6.4</v>
      </c>
      <c r="B372" s="1604">
        <v>0.66359999999999997</v>
      </c>
      <c r="C372" s="1604">
        <v>0.66359999999999997</v>
      </c>
      <c r="D372" s="1604">
        <v>0.63139999999999996</v>
      </c>
      <c r="E372" s="1604">
        <v>0.63139999999999996</v>
      </c>
      <c r="F372" s="1604">
        <v>0.63139999999999996</v>
      </c>
      <c r="G372" s="1604">
        <v>0.55979999999999996</v>
      </c>
      <c r="H372" s="1604">
        <v>0.55979999999999996</v>
      </c>
      <c r="I372" s="1604">
        <v>0.48349999999999999</v>
      </c>
      <c r="J372" s="1604">
        <v>0.48349999999999999</v>
      </c>
      <c r="K372" s="1604">
        <v>0.48349999999999999</v>
      </c>
      <c r="L372" s="1604">
        <v>0.48349999999999999</v>
      </c>
      <c r="M372" s="1604">
        <v>0.48349999999999999</v>
      </c>
    </row>
    <row r="373" spans="1:13">
      <c r="A373" s="1595">
        <v>6.5</v>
      </c>
      <c r="B373" s="1604">
        <v>0.66249999999999998</v>
      </c>
      <c r="C373" s="1604">
        <v>0.66249999999999998</v>
      </c>
      <c r="D373" s="1604">
        <v>0.63</v>
      </c>
      <c r="E373" s="1604">
        <v>0.63</v>
      </c>
      <c r="F373" s="1604">
        <v>0.63</v>
      </c>
      <c r="G373" s="1604">
        <v>0.55820000000000003</v>
      </c>
      <c r="H373" s="1604">
        <v>0.55820000000000003</v>
      </c>
      <c r="I373" s="1604">
        <v>0.4819</v>
      </c>
      <c r="J373" s="1604">
        <v>0.4819</v>
      </c>
      <c r="K373" s="1604">
        <v>0.4819</v>
      </c>
      <c r="L373" s="1604">
        <v>0.4819</v>
      </c>
      <c r="M373" s="1604">
        <v>0.4819</v>
      </c>
    </row>
    <row r="374" spans="1:13">
      <c r="A374" s="1595">
        <v>6.6</v>
      </c>
      <c r="B374" s="1604">
        <v>0.66149999999999998</v>
      </c>
      <c r="C374" s="1604">
        <v>0.66149999999999998</v>
      </c>
      <c r="D374" s="1604">
        <v>0.62860000000000005</v>
      </c>
      <c r="E374" s="1604">
        <v>0.62860000000000005</v>
      </c>
      <c r="F374" s="1604">
        <v>0.62860000000000005</v>
      </c>
      <c r="G374" s="1604">
        <v>0.55669999999999997</v>
      </c>
      <c r="H374" s="1604">
        <v>0.55669999999999997</v>
      </c>
      <c r="I374" s="1604">
        <v>0.4803</v>
      </c>
      <c r="J374" s="1604">
        <v>0.4803</v>
      </c>
      <c r="K374" s="1604">
        <v>0.4803</v>
      </c>
      <c r="L374" s="1604">
        <v>0.4803</v>
      </c>
      <c r="M374" s="1604">
        <v>0.4803</v>
      </c>
    </row>
    <row r="375" spans="1:13">
      <c r="A375" s="1595">
        <v>6.7</v>
      </c>
      <c r="B375" s="1604">
        <v>0.66049999999999998</v>
      </c>
      <c r="C375" s="1604">
        <v>0.66049999999999998</v>
      </c>
      <c r="D375" s="1604">
        <v>0.62719999999999998</v>
      </c>
      <c r="E375" s="1604">
        <v>0.62719999999999998</v>
      </c>
      <c r="F375" s="1604">
        <v>0.62719999999999998</v>
      </c>
      <c r="G375" s="1604">
        <v>0.55520000000000003</v>
      </c>
      <c r="H375" s="1604">
        <v>0.55520000000000003</v>
      </c>
      <c r="I375" s="1604">
        <v>0.47870000000000001</v>
      </c>
      <c r="J375" s="1604">
        <v>0.47870000000000001</v>
      </c>
      <c r="K375" s="1604">
        <v>0.47870000000000001</v>
      </c>
      <c r="L375" s="1604">
        <v>0.47870000000000001</v>
      </c>
      <c r="M375" s="1604">
        <v>0.47870000000000001</v>
      </c>
    </row>
    <row r="376" spans="1:13">
      <c r="A376" s="1595">
        <v>6.8</v>
      </c>
      <c r="B376" s="1604">
        <v>0.65949999999999998</v>
      </c>
      <c r="C376" s="1604">
        <v>0.65949999999999998</v>
      </c>
      <c r="D376" s="1604">
        <v>0.62580000000000002</v>
      </c>
      <c r="E376" s="1604">
        <v>0.62580000000000002</v>
      </c>
      <c r="F376" s="1604">
        <v>0.62580000000000002</v>
      </c>
      <c r="G376" s="1604">
        <v>0.55359999999999998</v>
      </c>
      <c r="H376" s="1604">
        <v>0.55359999999999998</v>
      </c>
      <c r="I376" s="1604">
        <v>0.47710000000000002</v>
      </c>
      <c r="J376" s="1604">
        <v>0.47710000000000002</v>
      </c>
      <c r="K376" s="1604">
        <v>0.47710000000000002</v>
      </c>
      <c r="L376" s="1604">
        <v>0.47710000000000002</v>
      </c>
      <c r="M376" s="1604">
        <v>0.47710000000000002</v>
      </c>
    </row>
    <row r="377" spans="1:13">
      <c r="A377" s="1595">
        <v>6.9</v>
      </c>
      <c r="B377" s="1604">
        <v>0.65849999999999997</v>
      </c>
      <c r="C377" s="1604">
        <v>0.65849999999999997</v>
      </c>
      <c r="D377" s="1604">
        <v>0.62439999999999996</v>
      </c>
      <c r="E377" s="1604">
        <v>0.62439999999999996</v>
      </c>
      <c r="F377" s="1604">
        <v>0.62439999999999996</v>
      </c>
      <c r="G377" s="1604">
        <v>0.55220000000000002</v>
      </c>
      <c r="H377" s="1604">
        <v>0.55220000000000002</v>
      </c>
      <c r="I377" s="1604">
        <v>0.47549999999999998</v>
      </c>
      <c r="J377" s="1604">
        <v>0.47549999999999998</v>
      </c>
      <c r="K377" s="1604">
        <v>0.47549999999999998</v>
      </c>
      <c r="L377" s="1604">
        <v>0.47549999999999998</v>
      </c>
      <c r="M377" s="1604">
        <v>0.47549999999999998</v>
      </c>
    </row>
    <row r="378" spans="1:13">
      <c r="A378" s="1595">
        <v>7</v>
      </c>
      <c r="B378" s="1604">
        <v>0.65749999999999997</v>
      </c>
      <c r="C378" s="1604">
        <v>0.65749999999999997</v>
      </c>
      <c r="D378" s="1604">
        <v>0.623</v>
      </c>
      <c r="E378" s="1604">
        <v>0.623</v>
      </c>
      <c r="F378" s="1604">
        <v>0.623</v>
      </c>
      <c r="G378" s="1604">
        <v>0.55069999999999997</v>
      </c>
      <c r="H378" s="1604">
        <v>0.55069999999999997</v>
      </c>
      <c r="I378" s="1604">
        <v>0.47389999999999999</v>
      </c>
      <c r="J378" s="1604">
        <v>0.47389999999999999</v>
      </c>
      <c r="K378" s="1604">
        <v>0.47389999999999999</v>
      </c>
      <c r="L378" s="1604">
        <v>0.47389999999999999</v>
      </c>
      <c r="M378" s="1604">
        <v>0.47389999999999999</v>
      </c>
    </row>
    <row r="379" spans="1:13">
      <c r="A379" s="1595">
        <v>7.1</v>
      </c>
      <c r="B379" s="1604">
        <v>0.65649999999999997</v>
      </c>
      <c r="C379" s="1604">
        <v>0.65649999999999997</v>
      </c>
      <c r="D379" s="1604">
        <v>0.62160000000000004</v>
      </c>
      <c r="E379" s="1604">
        <v>0.62160000000000004</v>
      </c>
      <c r="F379" s="1604">
        <v>0.62160000000000004</v>
      </c>
      <c r="G379" s="1604">
        <v>0.54930000000000001</v>
      </c>
      <c r="H379" s="1604">
        <v>0.54930000000000001</v>
      </c>
      <c r="I379" s="1604">
        <v>0.47239999999999999</v>
      </c>
      <c r="J379" s="1604">
        <v>0.47239999999999999</v>
      </c>
      <c r="K379" s="1604">
        <v>0.47239999999999999</v>
      </c>
      <c r="L379" s="1604">
        <v>0.47239999999999999</v>
      </c>
      <c r="M379" s="1604">
        <v>0.47239999999999999</v>
      </c>
    </row>
    <row r="380" spans="1:13">
      <c r="A380" s="1595">
        <v>7.2</v>
      </c>
      <c r="B380" s="1604">
        <v>0.65549999999999997</v>
      </c>
      <c r="C380" s="1604">
        <v>0.65549999999999997</v>
      </c>
      <c r="D380" s="1604">
        <v>0.62019999999999997</v>
      </c>
      <c r="E380" s="1604">
        <v>0.62019999999999997</v>
      </c>
      <c r="F380" s="1604">
        <v>0.62019999999999997</v>
      </c>
      <c r="G380" s="1604">
        <v>0.54779999999999995</v>
      </c>
      <c r="H380" s="1604">
        <v>0.54779999999999995</v>
      </c>
      <c r="I380" s="1604">
        <v>0.47089999999999999</v>
      </c>
      <c r="J380" s="1604">
        <v>0.47089999999999999</v>
      </c>
      <c r="K380" s="1604">
        <v>0.47089999999999999</v>
      </c>
      <c r="L380" s="1604">
        <v>0.47089999999999999</v>
      </c>
      <c r="M380" s="1604">
        <v>0.47089999999999999</v>
      </c>
    </row>
    <row r="381" spans="1:13">
      <c r="A381" s="1595">
        <v>7.3</v>
      </c>
      <c r="B381" s="1604">
        <v>0.65449999999999997</v>
      </c>
      <c r="C381" s="1604">
        <v>0.65449999999999997</v>
      </c>
      <c r="D381" s="1604">
        <v>0.61880000000000002</v>
      </c>
      <c r="E381" s="1604">
        <v>0.61880000000000002</v>
      </c>
      <c r="F381" s="1604">
        <v>0.61880000000000002</v>
      </c>
      <c r="G381" s="1604">
        <v>0.5464</v>
      </c>
      <c r="H381" s="1604">
        <v>0.5464</v>
      </c>
      <c r="I381" s="1604">
        <v>0.46939999999999998</v>
      </c>
      <c r="J381" s="1604">
        <v>0.46939999999999998</v>
      </c>
      <c r="K381" s="1604">
        <v>0.46939999999999998</v>
      </c>
      <c r="L381" s="1604">
        <v>0.46939999999999998</v>
      </c>
      <c r="M381" s="1604">
        <v>0.46939999999999998</v>
      </c>
    </row>
    <row r="382" spans="1:13">
      <c r="A382" s="1595">
        <v>7.4</v>
      </c>
      <c r="B382" s="1604">
        <v>0.65349999999999997</v>
      </c>
      <c r="C382" s="1604">
        <v>0.65349999999999997</v>
      </c>
      <c r="D382" s="1604">
        <v>0.61750000000000005</v>
      </c>
      <c r="E382" s="1604">
        <v>0.61750000000000005</v>
      </c>
      <c r="F382" s="1604">
        <v>0.61750000000000005</v>
      </c>
      <c r="G382" s="1604">
        <v>0.54490000000000005</v>
      </c>
      <c r="H382" s="1604">
        <v>0.54490000000000005</v>
      </c>
      <c r="I382" s="1604">
        <v>0.46779999999999999</v>
      </c>
      <c r="J382" s="1604">
        <v>0.46779999999999999</v>
      </c>
      <c r="K382" s="1604">
        <v>0.46779999999999999</v>
      </c>
      <c r="L382" s="1604">
        <v>0.46779999999999999</v>
      </c>
      <c r="M382" s="1604">
        <v>0.46779999999999999</v>
      </c>
    </row>
    <row r="383" spans="1:13">
      <c r="A383" s="1595">
        <v>7.5</v>
      </c>
      <c r="B383" s="1604">
        <v>0.65249999999999997</v>
      </c>
      <c r="C383" s="1604">
        <v>0.65249999999999997</v>
      </c>
      <c r="D383" s="1604">
        <v>0.61619999999999997</v>
      </c>
      <c r="E383" s="1604">
        <v>0.61619999999999997</v>
      </c>
      <c r="F383" s="1604">
        <v>0.61619999999999997</v>
      </c>
      <c r="G383" s="1604">
        <v>0.54349999999999998</v>
      </c>
      <c r="H383" s="1604">
        <v>0.54349999999999998</v>
      </c>
      <c r="I383" s="1604">
        <v>0.46629999999999999</v>
      </c>
      <c r="J383" s="1604">
        <v>0.46629999999999999</v>
      </c>
      <c r="K383" s="1604">
        <v>0.46629999999999999</v>
      </c>
      <c r="L383" s="1604">
        <v>0.46629999999999999</v>
      </c>
      <c r="M383" s="1604">
        <v>0.46629999999999999</v>
      </c>
    </row>
    <row r="384" spans="1:13">
      <c r="A384" s="1595">
        <v>7.6</v>
      </c>
      <c r="B384" s="1604">
        <v>0.65149999999999997</v>
      </c>
      <c r="C384" s="1604">
        <v>0.65149999999999997</v>
      </c>
      <c r="D384" s="1604">
        <v>0.6149</v>
      </c>
      <c r="E384" s="1604">
        <v>0.6149</v>
      </c>
      <c r="F384" s="1604">
        <v>0.6149</v>
      </c>
      <c r="G384" s="1604">
        <v>0.54200000000000004</v>
      </c>
      <c r="H384" s="1604">
        <v>0.54200000000000004</v>
      </c>
      <c r="I384" s="1604">
        <v>0.46479999999999999</v>
      </c>
      <c r="J384" s="1604">
        <v>0.46479999999999999</v>
      </c>
      <c r="K384" s="1604">
        <v>0.46479999999999999</v>
      </c>
      <c r="L384" s="1604">
        <v>0.46479999999999999</v>
      </c>
      <c r="M384" s="1604">
        <v>0.46479999999999999</v>
      </c>
    </row>
    <row r="385" spans="1:13">
      <c r="A385" s="1595">
        <v>7.7</v>
      </c>
      <c r="B385" s="1604">
        <v>0.65049999999999997</v>
      </c>
      <c r="C385" s="1604">
        <v>0.65049999999999997</v>
      </c>
      <c r="D385" s="1604">
        <v>0.61360000000000003</v>
      </c>
      <c r="E385" s="1604">
        <v>0.61360000000000003</v>
      </c>
      <c r="F385" s="1604">
        <v>0.61360000000000003</v>
      </c>
      <c r="G385" s="1604">
        <v>0.54059999999999997</v>
      </c>
      <c r="H385" s="1604">
        <v>0.54059999999999997</v>
      </c>
      <c r="I385" s="1604">
        <v>0.46329999999999999</v>
      </c>
      <c r="J385" s="1604">
        <v>0.46329999999999999</v>
      </c>
      <c r="K385" s="1604">
        <v>0.46329999999999999</v>
      </c>
      <c r="L385" s="1604">
        <v>0.46329999999999999</v>
      </c>
      <c r="M385" s="1604">
        <v>0.46329999999999999</v>
      </c>
    </row>
    <row r="386" spans="1:13">
      <c r="A386" s="1595">
        <v>7.8</v>
      </c>
      <c r="B386" s="1604">
        <v>0.64949999999999997</v>
      </c>
      <c r="C386" s="1604">
        <v>0.64949999999999997</v>
      </c>
      <c r="D386" s="1604">
        <v>0.61229999999999996</v>
      </c>
      <c r="E386" s="1604">
        <v>0.61229999999999996</v>
      </c>
      <c r="F386" s="1604">
        <v>0.61229999999999996</v>
      </c>
      <c r="G386" s="1604">
        <v>0.53910000000000002</v>
      </c>
      <c r="H386" s="1604">
        <v>0.53910000000000002</v>
      </c>
      <c r="I386" s="1604">
        <v>0.4617</v>
      </c>
      <c r="J386" s="1604">
        <v>0.4617</v>
      </c>
      <c r="K386" s="1604">
        <v>0.4617</v>
      </c>
      <c r="L386" s="1604">
        <v>0.4617</v>
      </c>
      <c r="M386" s="1604">
        <v>0.4617</v>
      </c>
    </row>
    <row r="387" spans="1:13">
      <c r="A387" s="1595">
        <v>7.9</v>
      </c>
      <c r="B387" s="1604">
        <v>0.64849999999999997</v>
      </c>
      <c r="C387" s="1604">
        <v>0.64849999999999997</v>
      </c>
      <c r="D387" s="1604">
        <v>0.61099999999999999</v>
      </c>
      <c r="E387" s="1604">
        <v>0.61099999999999999</v>
      </c>
      <c r="F387" s="1604">
        <v>0.61099999999999999</v>
      </c>
      <c r="G387" s="1604">
        <v>0.53769999999999996</v>
      </c>
      <c r="H387" s="1604">
        <v>0.53769999999999996</v>
      </c>
      <c r="I387" s="1604">
        <v>0.4602</v>
      </c>
      <c r="J387" s="1604">
        <v>0.4602</v>
      </c>
      <c r="K387" s="1604">
        <v>0.4602</v>
      </c>
      <c r="L387" s="1604">
        <v>0.4602</v>
      </c>
      <c r="M387" s="1604">
        <v>0.4602</v>
      </c>
    </row>
    <row r="388" spans="1:13">
      <c r="A388" s="1595">
        <v>8</v>
      </c>
      <c r="B388" s="1604">
        <v>0.64749999999999996</v>
      </c>
      <c r="C388" s="1604">
        <v>0.64749999999999996</v>
      </c>
      <c r="D388" s="1604">
        <v>0.60970000000000002</v>
      </c>
      <c r="E388" s="1604">
        <v>0.60970000000000002</v>
      </c>
      <c r="F388" s="1604">
        <v>0.60970000000000002</v>
      </c>
      <c r="G388" s="1604">
        <v>0.53620000000000001</v>
      </c>
      <c r="H388" s="1604">
        <v>0.53620000000000001</v>
      </c>
      <c r="I388" s="1604">
        <v>0.4587</v>
      </c>
      <c r="J388" s="1604">
        <v>0.4587</v>
      </c>
      <c r="K388" s="1604">
        <v>0.4587</v>
      </c>
      <c r="L388" s="1604">
        <v>0.4587</v>
      </c>
      <c r="M388" s="1604">
        <v>0.4587</v>
      </c>
    </row>
    <row r="389" spans="1:13">
      <c r="A389" s="1595">
        <v>8.1</v>
      </c>
      <c r="B389" s="1604">
        <v>0.64649999999999996</v>
      </c>
      <c r="C389" s="1604">
        <v>0.64649999999999996</v>
      </c>
      <c r="D389" s="1604">
        <v>0.60840000000000005</v>
      </c>
      <c r="E389" s="1604">
        <v>0.60840000000000005</v>
      </c>
      <c r="F389" s="1604">
        <v>0.60840000000000005</v>
      </c>
      <c r="G389" s="1604">
        <v>0.53480000000000005</v>
      </c>
      <c r="H389" s="1604">
        <v>0.53480000000000005</v>
      </c>
      <c r="I389" s="1604">
        <v>0.4572</v>
      </c>
      <c r="J389" s="1604">
        <v>0.4572</v>
      </c>
      <c r="K389" s="1604">
        <v>0.4572</v>
      </c>
      <c r="L389" s="1604">
        <v>0.4572</v>
      </c>
      <c r="M389" s="1604">
        <v>0.4572</v>
      </c>
    </row>
    <row r="390" spans="1:13">
      <c r="A390" s="1595">
        <v>8.1999999999999993</v>
      </c>
      <c r="B390" s="1604">
        <v>0.64549999999999996</v>
      </c>
      <c r="C390" s="1604">
        <v>0.64549999999999996</v>
      </c>
      <c r="D390" s="1604">
        <v>0.60709999999999997</v>
      </c>
      <c r="E390" s="1604">
        <v>0.60709999999999997</v>
      </c>
      <c r="F390" s="1604">
        <v>0.60709999999999997</v>
      </c>
      <c r="G390" s="1604">
        <v>0.5333</v>
      </c>
      <c r="H390" s="1604">
        <v>0.5333</v>
      </c>
      <c r="I390" s="1604">
        <v>0.45569999999999999</v>
      </c>
      <c r="J390" s="1604">
        <v>0.45569999999999999</v>
      </c>
      <c r="K390" s="1604">
        <v>0.45569999999999999</v>
      </c>
      <c r="L390" s="1604">
        <v>0.45569999999999999</v>
      </c>
      <c r="M390" s="1604">
        <v>0.45569999999999999</v>
      </c>
    </row>
    <row r="391" spans="1:13">
      <c r="A391" s="1595">
        <v>8.3000000000000007</v>
      </c>
      <c r="B391" s="1604">
        <v>0.64449999999999996</v>
      </c>
      <c r="C391" s="1604">
        <v>0.64449999999999996</v>
      </c>
      <c r="D391" s="1604">
        <v>0.60580000000000001</v>
      </c>
      <c r="E391" s="1604">
        <v>0.60580000000000001</v>
      </c>
      <c r="F391" s="1604">
        <v>0.60580000000000001</v>
      </c>
      <c r="G391" s="1604">
        <v>0.53190000000000004</v>
      </c>
      <c r="H391" s="1604">
        <v>0.53190000000000004</v>
      </c>
      <c r="I391" s="1604">
        <v>0.45429999999999998</v>
      </c>
      <c r="J391" s="1604">
        <v>0.45429999999999998</v>
      </c>
      <c r="K391" s="1604">
        <v>0.45429999999999998</v>
      </c>
      <c r="L391" s="1604">
        <v>0.45429999999999998</v>
      </c>
      <c r="M391" s="1604">
        <v>0.45429999999999998</v>
      </c>
    </row>
    <row r="392" spans="1:13">
      <c r="A392" s="1595">
        <v>8.4</v>
      </c>
      <c r="B392" s="1604">
        <v>0.64349999999999996</v>
      </c>
      <c r="C392" s="1604">
        <v>0.64349999999999996</v>
      </c>
      <c r="D392" s="1604">
        <v>0.60450000000000004</v>
      </c>
      <c r="E392" s="1604">
        <v>0.60450000000000004</v>
      </c>
      <c r="F392" s="1604">
        <v>0.60450000000000004</v>
      </c>
      <c r="G392" s="1604">
        <v>0.53039999999999998</v>
      </c>
      <c r="H392" s="1604">
        <v>0.53039999999999998</v>
      </c>
      <c r="I392" s="1604">
        <v>0.45290000000000002</v>
      </c>
      <c r="J392" s="1604">
        <v>0.45290000000000002</v>
      </c>
      <c r="K392" s="1604">
        <v>0.45290000000000002</v>
      </c>
      <c r="L392" s="1604">
        <v>0.45290000000000002</v>
      </c>
      <c r="M392" s="1604">
        <v>0.45290000000000002</v>
      </c>
    </row>
    <row r="393" spans="1:13">
      <c r="A393" s="1595">
        <v>8.5</v>
      </c>
      <c r="B393" s="1604">
        <v>0.64249999999999996</v>
      </c>
      <c r="C393" s="1604">
        <v>0.64249999999999996</v>
      </c>
      <c r="D393" s="1604">
        <v>0.60319999999999996</v>
      </c>
      <c r="E393" s="1604">
        <v>0.60319999999999996</v>
      </c>
      <c r="F393" s="1604">
        <v>0.60319999999999996</v>
      </c>
      <c r="G393" s="1604">
        <v>0.52900000000000003</v>
      </c>
      <c r="H393" s="1604">
        <v>0.52900000000000003</v>
      </c>
      <c r="I393" s="1604">
        <v>0.45140000000000002</v>
      </c>
      <c r="J393" s="1604">
        <v>0.45140000000000002</v>
      </c>
      <c r="K393" s="1604">
        <v>0.45140000000000002</v>
      </c>
      <c r="L393" s="1604">
        <v>0.45140000000000002</v>
      </c>
      <c r="M393" s="1604">
        <v>0.45140000000000002</v>
      </c>
    </row>
    <row r="394" spans="1:13">
      <c r="A394" s="1595">
        <v>8.6</v>
      </c>
      <c r="B394" s="1604">
        <v>0.64149999999999996</v>
      </c>
      <c r="C394" s="1604">
        <v>0.64149999999999996</v>
      </c>
      <c r="D394" s="1604">
        <v>0.60189999999999999</v>
      </c>
      <c r="E394" s="1604">
        <v>0.60189999999999999</v>
      </c>
      <c r="F394" s="1604">
        <v>0.60189999999999999</v>
      </c>
      <c r="G394" s="1604">
        <v>0.52749999999999997</v>
      </c>
      <c r="H394" s="1604">
        <v>0.52749999999999997</v>
      </c>
      <c r="I394" s="1604">
        <v>0.45</v>
      </c>
      <c r="J394" s="1604">
        <v>0.45</v>
      </c>
      <c r="K394" s="1604">
        <v>0.45</v>
      </c>
      <c r="L394" s="1604">
        <v>0.45</v>
      </c>
      <c r="M394" s="1604">
        <v>0.45</v>
      </c>
    </row>
    <row r="395" spans="1:13">
      <c r="A395" s="1595">
        <v>8.6999999999999993</v>
      </c>
      <c r="B395" s="1604">
        <v>0.64049999999999996</v>
      </c>
      <c r="C395" s="1604">
        <v>0.64049999999999996</v>
      </c>
      <c r="D395" s="1604">
        <v>0.60060000000000002</v>
      </c>
      <c r="E395" s="1604">
        <v>0.60060000000000002</v>
      </c>
      <c r="F395" s="1604">
        <v>0.60060000000000002</v>
      </c>
      <c r="G395" s="1604">
        <v>0.52610000000000001</v>
      </c>
      <c r="H395" s="1604">
        <v>0.52610000000000001</v>
      </c>
      <c r="I395" s="1604">
        <v>0.44850000000000001</v>
      </c>
      <c r="J395" s="1604">
        <v>0.44850000000000001</v>
      </c>
      <c r="K395" s="1604">
        <v>0.44850000000000001</v>
      </c>
      <c r="L395" s="1604">
        <v>0.44850000000000001</v>
      </c>
      <c r="M395" s="1604">
        <v>0.44850000000000001</v>
      </c>
    </row>
    <row r="396" spans="1:13">
      <c r="A396" s="1595">
        <v>8.8000000000000007</v>
      </c>
      <c r="B396" s="1604">
        <v>0.63949999999999996</v>
      </c>
      <c r="C396" s="1604">
        <v>0.63949999999999996</v>
      </c>
      <c r="D396" s="1604">
        <v>0.59930000000000005</v>
      </c>
      <c r="E396" s="1604">
        <v>0.59930000000000005</v>
      </c>
      <c r="F396" s="1604">
        <v>0.59930000000000005</v>
      </c>
      <c r="G396" s="1604">
        <v>0.52459999999999996</v>
      </c>
      <c r="H396" s="1604">
        <v>0.52459999999999996</v>
      </c>
      <c r="I396" s="1604">
        <v>0.4471</v>
      </c>
      <c r="J396" s="1604">
        <v>0.4471</v>
      </c>
      <c r="K396" s="1604">
        <v>0.4471</v>
      </c>
      <c r="L396" s="1604">
        <v>0.4471</v>
      </c>
      <c r="M396" s="1604">
        <v>0.4471</v>
      </c>
    </row>
    <row r="397" spans="1:13">
      <c r="A397" s="1595">
        <v>8.9</v>
      </c>
      <c r="B397" s="1604">
        <v>0.63849999999999996</v>
      </c>
      <c r="C397" s="1604">
        <v>0.63849999999999996</v>
      </c>
      <c r="D397" s="1604">
        <v>0.59799999999999998</v>
      </c>
      <c r="E397" s="1604">
        <v>0.59799999999999998</v>
      </c>
      <c r="F397" s="1604">
        <v>0.59799999999999998</v>
      </c>
      <c r="G397" s="1604">
        <v>0.5232</v>
      </c>
      <c r="H397" s="1604">
        <v>0.5232</v>
      </c>
      <c r="I397" s="1604">
        <v>0.4456</v>
      </c>
      <c r="J397" s="1604">
        <v>0.4456</v>
      </c>
      <c r="K397" s="1604">
        <v>0.4456</v>
      </c>
      <c r="L397" s="1604">
        <v>0.4456</v>
      </c>
      <c r="M397" s="1604">
        <v>0.4456</v>
      </c>
    </row>
    <row r="398" spans="1:13">
      <c r="A398" s="1618">
        <v>9</v>
      </c>
      <c r="B398" s="1604">
        <v>0.63749999999999996</v>
      </c>
      <c r="C398" s="1604">
        <v>0.63749999999999996</v>
      </c>
      <c r="D398" s="1604">
        <v>0.59670000000000001</v>
      </c>
      <c r="E398" s="1604">
        <v>0.59670000000000001</v>
      </c>
      <c r="F398" s="1604">
        <v>0.59670000000000001</v>
      </c>
      <c r="G398" s="1604">
        <v>0.52170000000000005</v>
      </c>
      <c r="H398" s="1604">
        <v>0.52170000000000005</v>
      </c>
      <c r="I398" s="1604">
        <v>0.44429999999999997</v>
      </c>
      <c r="J398" s="1604">
        <v>0.44429999999999997</v>
      </c>
      <c r="K398" s="1604">
        <v>0.44429999999999997</v>
      </c>
      <c r="L398" s="1604">
        <v>0.44429999999999997</v>
      </c>
      <c r="M398" s="1604">
        <v>0.44429999999999997</v>
      </c>
    </row>
    <row r="399" spans="1:13">
      <c r="A399" s="1618">
        <v>9.1</v>
      </c>
      <c r="B399" s="1604">
        <v>0.63649999999999995</v>
      </c>
      <c r="C399" s="1604">
        <v>0.63649999999999995</v>
      </c>
      <c r="D399" s="1604">
        <v>0.59540000000000004</v>
      </c>
      <c r="E399" s="1604">
        <v>0.59540000000000004</v>
      </c>
      <c r="F399" s="1604">
        <v>0.59540000000000004</v>
      </c>
      <c r="G399" s="1604">
        <v>0.52029999999999998</v>
      </c>
      <c r="H399" s="1604">
        <v>0.52029999999999998</v>
      </c>
      <c r="I399" s="1604">
        <v>0.44290000000000002</v>
      </c>
      <c r="J399" s="1604">
        <v>0.44290000000000002</v>
      </c>
      <c r="K399" s="1604">
        <v>0.44290000000000002</v>
      </c>
      <c r="L399" s="1604">
        <v>0.44290000000000002</v>
      </c>
      <c r="M399" s="1604">
        <v>0.44290000000000002</v>
      </c>
    </row>
    <row r="400" spans="1:13">
      <c r="A400" s="1618">
        <v>9.1999999999999993</v>
      </c>
      <c r="B400" s="1604">
        <v>0.63549999999999995</v>
      </c>
      <c r="C400" s="1604">
        <v>0.63549999999999995</v>
      </c>
      <c r="D400" s="1604">
        <v>0.59409999999999996</v>
      </c>
      <c r="E400" s="1604">
        <v>0.59409999999999996</v>
      </c>
      <c r="F400" s="1604">
        <v>0.59409999999999996</v>
      </c>
      <c r="G400" s="1604">
        <v>0.51880000000000004</v>
      </c>
      <c r="H400" s="1604">
        <v>0.51880000000000004</v>
      </c>
      <c r="I400" s="1604">
        <v>0.44159999999999999</v>
      </c>
      <c r="J400" s="1604">
        <v>0.44159999999999999</v>
      </c>
      <c r="K400" s="1604">
        <v>0.44159999999999999</v>
      </c>
      <c r="L400" s="1604">
        <v>0.44159999999999999</v>
      </c>
      <c r="M400" s="1604">
        <v>0.44159999999999999</v>
      </c>
    </row>
    <row r="401" spans="1:13">
      <c r="A401" s="1618">
        <v>9.3000000000000007</v>
      </c>
      <c r="B401" s="1604">
        <v>0.63449999999999995</v>
      </c>
      <c r="C401" s="1604">
        <v>0.63449999999999995</v>
      </c>
      <c r="D401" s="1604">
        <v>0.59279999999999999</v>
      </c>
      <c r="E401" s="1604">
        <v>0.59279999999999999</v>
      </c>
      <c r="F401" s="1604">
        <v>0.59279999999999999</v>
      </c>
      <c r="G401" s="1604">
        <v>0.51739999999999997</v>
      </c>
      <c r="H401" s="1604">
        <v>0.51739999999999997</v>
      </c>
      <c r="I401" s="1604">
        <v>0.44019999999999998</v>
      </c>
      <c r="J401" s="1604">
        <v>0.44019999999999998</v>
      </c>
      <c r="K401" s="1604">
        <v>0.44019999999999998</v>
      </c>
      <c r="L401" s="1604">
        <v>0.44019999999999998</v>
      </c>
      <c r="M401" s="1604">
        <v>0.44019999999999998</v>
      </c>
    </row>
    <row r="402" spans="1:13">
      <c r="A402" s="1618">
        <v>9.4</v>
      </c>
      <c r="B402" s="1604">
        <v>0.63349999999999995</v>
      </c>
      <c r="C402" s="1604">
        <v>0.63349999999999995</v>
      </c>
      <c r="D402" s="1604">
        <v>0.59150000000000003</v>
      </c>
      <c r="E402" s="1604">
        <v>0.59150000000000003</v>
      </c>
      <c r="F402" s="1604">
        <v>0.59150000000000003</v>
      </c>
      <c r="G402" s="1604">
        <v>0.51600000000000001</v>
      </c>
      <c r="H402" s="1604">
        <v>0.51600000000000001</v>
      </c>
      <c r="I402" s="1604">
        <v>0.43880000000000002</v>
      </c>
      <c r="J402" s="1604">
        <v>0.43880000000000002</v>
      </c>
      <c r="K402" s="1604">
        <v>0.43880000000000002</v>
      </c>
      <c r="L402" s="1604">
        <v>0.43880000000000002</v>
      </c>
      <c r="M402" s="1604">
        <v>0.43880000000000002</v>
      </c>
    </row>
    <row r="403" spans="1:13">
      <c r="A403" s="1618">
        <v>9.5</v>
      </c>
      <c r="B403" s="1604">
        <v>0.63249999999999995</v>
      </c>
      <c r="C403" s="1604">
        <v>0.63249999999999995</v>
      </c>
      <c r="D403" s="1604">
        <v>0.59030000000000005</v>
      </c>
      <c r="E403" s="1604">
        <v>0.59030000000000005</v>
      </c>
      <c r="F403" s="1604">
        <v>0.59030000000000005</v>
      </c>
      <c r="G403" s="1604">
        <v>0.51470000000000005</v>
      </c>
      <c r="H403" s="1604">
        <v>0.51470000000000005</v>
      </c>
      <c r="I403" s="1604">
        <v>0.4375</v>
      </c>
      <c r="J403" s="1604">
        <v>0.4375</v>
      </c>
      <c r="K403" s="1604">
        <v>0.4375</v>
      </c>
      <c r="L403" s="1604">
        <v>0.4375</v>
      </c>
      <c r="M403" s="1604">
        <v>0.4375</v>
      </c>
    </row>
    <row r="404" spans="1:13">
      <c r="A404" s="1618">
        <v>9.6</v>
      </c>
      <c r="B404" s="1604">
        <v>0.63149999999999995</v>
      </c>
      <c r="C404" s="1604">
        <v>0.63149999999999995</v>
      </c>
      <c r="D404" s="1604">
        <v>0.58909999999999996</v>
      </c>
      <c r="E404" s="1604">
        <v>0.58909999999999996</v>
      </c>
      <c r="F404" s="1604">
        <v>0.58909999999999996</v>
      </c>
      <c r="G404" s="1604">
        <v>0.51329999999999998</v>
      </c>
      <c r="H404" s="1604">
        <v>0.51329999999999998</v>
      </c>
      <c r="I404" s="1604">
        <v>0.43609999999999999</v>
      </c>
      <c r="J404" s="1604">
        <v>0.43609999999999999</v>
      </c>
      <c r="K404" s="1604">
        <v>0.43609999999999999</v>
      </c>
      <c r="L404" s="1604">
        <v>0.43609999999999999</v>
      </c>
      <c r="M404" s="1604">
        <v>0.43609999999999999</v>
      </c>
    </row>
    <row r="405" spans="1:13">
      <c r="A405" s="1618">
        <v>9.6999999999999993</v>
      </c>
      <c r="B405" s="1604">
        <v>0.63049999999999995</v>
      </c>
      <c r="C405" s="1604">
        <v>0.63049999999999995</v>
      </c>
      <c r="D405" s="1604">
        <v>0.58789999999999998</v>
      </c>
      <c r="E405" s="1604">
        <v>0.58789999999999998</v>
      </c>
      <c r="F405" s="1604">
        <v>0.58789999999999998</v>
      </c>
      <c r="G405" s="1604">
        <v>0.51200000000000001</v>
      </c>
      <c r="H405" s="1604">
        <v>0.51200000000000001</v>
      </c>
      <c r="I405" s="1604">
        <v>0.43480000000000002</v>
      </c>
      <c r="J405" s="1604">
        <v>0.43480000000000002</v>
      </c>
      <c r="K405" s="1604">
        <v>0.43480000000000002</v>
      </c>
      <c r="L405" s="1604">
        <v>0.43480000000000002</v>
      </c>
      <c r="M405" s="1604">
        <v>0.43480000000000002</v>
      </c>
    </row>
    <row r="406" spans="1:13">
      <c r="A406" s="1618">
        <v>9.8000000000000007</v>
      </c>
      <c r="B406" s="1604">
        <v>0.62949999999999995</v>
      </c>
      <c r="C406" s="1604">
        <v>0.62949999999999995</v>
      </c>
      <c r="D406" s="1604">
        <v>0.5867</v>
      </c>
      <c r="E406" s="1604">
        <v>0.5867</v>
      </c>
      <c r="F406" s="1604">
        <v>0.5867</v>
      </c>
      <c r="G406" s="1604">
        <v>0.51060000000000005</v>
      </c>
      <c r="H406" s="1604">
        <v>0.51060000000000005</v>
      </c>
      <c r="I406" s="1604">
        <v>0.43340000000000001</v>
      </c>
      <c r="J406" s="1604">
        <v>0.43340000000000001</v>
      </c>
      <c r="K406" s="1604">
        <v>0.43340000000000001</v>
      </c>
      <c r="L406" s="1604">
        <v>0.43340000000000001</v>
      </c>
      <c r="M406" s="1604">
        <v>0.43340000000000001</v>
      </c>
    </row>
    <row r="407" spans="1:13">
      <c r="A407" s="1618">
        <v>9.9</v>
      </c>
      <c r="B407" s="1604">
        <v>0.62849999999999995</v>
      </c>
      <c r="C407" s="1604">
        <v>0.62849999999999995</v>
      </c>
      <c r="D407" s="1604">
        <v>0.58550000000000002</v>
      </c>
      <c r="E407" s="1604">
        <v>0.58550000000000002</v>
      </c>
      <c r="F407" s="1604">
        <v>0.58550000000000002</v>
      </c>
      <c r="G407" s="1604">
        <v>0.50919999999999999</v>
      </c>
      <c r="H407" s="1604">
        <v>0.50919999999999999</v>
      </c>
      <c r="I407" s="1604">
        <v>0.432</v>
      </c>
      <c r="J407" s="1604">
        <v>0.432</v>
      </c>
      <c r="K407" s="1604">
        <v>0.432</v>
      </c>
      <c r="L407" s="1604">
        <v>0.432</v>
      </c>
      <c r="M407" s="1604">
        <v>0.432</v>
      </c>
    </row>
    <row r="408" spans="1:13">
      <c r="A408" s="1618">
        <v>10</v>
      </c>
      <c r="B408" s="1604">
        <v>0.62749999999999995</v>
      </c>
      <c r="C408" s="1604">
        <v>0.62749999999999995</v>
      </c>
      <c r="D408" s="1604">
        <v>0.58430000000000004</v>
      </c>
      <c r="E408" s="1604">
        <v>0.58430000000000004</v>
      </c>
      <c r="F408" s="1604">
        <v>0.58430000000000004</v>
      </c>
      <c r="G408" s="1604">
        <v>0.50790000000000002</v>
      </c>
      <c r="H408" s="1604">
        <v>0.50790000000000002</v>
      </c>
      <c r="I408" s="1604">
        <v>0.43070000000000003</v>
      </c>
      <c r="J408" s="1604">
        <v>0.43070000000000003</v>
      </c>
      <c r="K408" s="1604">
        <v>0.43070000000000003</v>
      </c>
      <c r="L408" s="1604">
        <v>0.43070000000000003</v>
      </c>
      <c r="M408" s="1604">
        <v>0.43070000000000003</v>
      </c>
    </row>
  </sheetData>
  <sheetProtection password="C66D" sheet="1" objects="1" scenarios="1" formatCells="0" formatColumns="0" formatRows="0"/>
  <phoneticPr fontId="10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PageLayoutView="80" workbookViewId="0">
      <selection activeCell="A2" sqref="A2:E2"/>
    </sheetView>
  </sheetViews>
  <sheetFormatPr defaultRowHeight="13.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2036</v>
      </c>
      <c r="B1" s="1959"/>
      <c r="C1" s="1959"/>
      <c r="D1" s="1959"/>
      <c r="E1" s="1959"/>
    </row>
    <row r="2" spans="1:5" ht="78" customHeight="1">
      <c r="A2" s="34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443"/>
      <c r="C2" s="3443"/>
      <c r="D2" s="3443"/>
      <c r="E2" s="3443"/>
    </row>
    <row r="3" spans="1:5" ht="18.75">
      <c r="A3" s="3444" t="str">
        <f>IF(项目基本情况!B9="房地产市场价值","估价结果一览表（市场价值不需“结果表-1”）","估价结果一览表")</f>
        <v>估价结果一览表</v>
      </c>
      <c r="B3" s="3444"/>
      <c r="C3" s="3444"/>
      <c r="D3" s="3444"/>
      <c r="E3" s="3444"/>
    </row>
    <row r="4" spans="1:5" ht="19.5" thickBot="1">
      <c r="A4" s="1971"/>
      <c r="B4" s="3442" t="s">
        <v>2041</v>
      </c>
      <c r="C4" s="3442"/>
      <c r="D4" s="3442"/>
      <c r="E4" s="1971"/>
    </row>
    <row r="5" spans="1:5" ht="16.5" thickTop="1">
      <c r="A5" s="1959"/>
      <c r="B5" s="3440" t="s">
        <v>2037</v>
      </c>
      <c r="C5" s="1961" t="s">
        <v>2042</v>
      </c>
      <c r="D5" s="1962">
        <f ca="1">结果表!H101</f>
        <v>1587</v>
      </c>
      <c r="E5" s="1959"/>
    </row>
    <row r="6" spans="1:5" ht="15.75">
      <c r="A6" s="1959"/>
      <c r="B6" s="3440"/>
      <c r="C6" s="1961" t="s">
        <v>2878</v>
      </c>
      <c r="D6" s="1962" t="str">
        <f ca="1">NUMBERSTRING(INT(D5*10000),2)&amp;"元整"</f>
        <v>壹仟伍佰捌拾柒万元整</v>
      </c>
      <c r="E6" s="1959"/>
    </row>
    <row r="7" spans="1:5" ht="15.75">
      <c r="A7" s="1959"/>
      <c r="B7" s="3445"/>
      <c r="C7" s="1963" t="s">
        <v>2043</v>
      </c>
      <c r="D7" s="1964">
        <f ca="1">结果表!H102</f>
        <v>3925</v>
      </c>
      <c r="E7" s="1959"/>
    </row>
    <row r="8" spans="1:5" ht="15.75">
      <c r="A8" s="1959"/>
      <c r="B8" s="3446" t="str">
        <f>结果表!E103</f>
        <v>2.估价师知悉的法定优先受偿款</v>
      </c>
      <c r="C8" s="1965" t="s">
        <v>2044</v>
      </c>
      <c r="D8" s="1964">
        <f>结果表!H103</f>
        <v>0</v>
      </c>
      <c r="E8" s="1959"/>
    </row>
    <row r="9" spans="1:5" ht="15.75">
      <c r="A9" s="1959"/>
      <c r="B9" s="3448"/>
      <c r="C9" s="1961" t="s">
        <v>2878</v>
      </c>
      <c r="D9" s="1962" t="str">
        <f>NUMBERSTRING(INT(D8*10000),2)&amp;"元整"</f>
        <v>元整</v>
      </c>
      <c r="E9" s="1959"/>
    </row>
    <row r="10" spans="1:5" ht="15">
      <c r="A10" s="1959"/>
      <c r="B10" s="1966" t="s">
        <v>2038</v>
      </c>
      <c r="C10" s="1967" t="s">
        <v>2044</v>
      </c>
      <c r="D10" s="1968">
        <f>结果表!H104</f>
        <v>0</v>
      </c>
      <c r="E10" s="1959"/>
    </row>
    <row r="11" spans="1:5" ht="15">
      <c r="A11" s="1959"/>
      <c r="B11" s="1966" t="s">
        <v>2039</v>
      </c>
      <c r="C11" s="1967" t="s">
        <v>2044</v>
      </c>
      <c r="D11" s="1968">
        <f>结果表!H105</f>
        <v>0</v>
      </c>
      <c r="E11" s="1959"/>
    </row>
    <row r="12" spans="1:5" ht="15">
      <c r="A12" s="1959"/>
      <c r="B12" s="1966" t="s">
        <v>2040</v>
      </c>
      <c r="C12" s="1967" t="s">
        <v>2044</v>
      </c>
      <c r="D12" s="1968">
        <f>结果表!H106</f>
        <v>0</v>
      </c>
      <c r="E12" s="1959"/>
    </row>
    <row r="13" spans="1:5" ht="15.75">
      <c r="A13" s="1959"/>
      <c r="B13" s="3439" t="str">
        <f>结果表!E107</f>
        <v>3.房地产抵押价值</v>
      </c>
      <c r="C13" s="1969" t="s">
        <v>2042</v>
      </c>
      <c r="D13" s="1972">
        <f ca="1">结果表!H107</f>
        <v>1587</v>
      </c>
      <c r="E13" s="1959"/>
    </row>
    <row r="14" spans="1:5" ht="15.75">
      <c r="A14" s="1959"/>
      <c r="B14" s="3440"/>
      <c r="C14" s="1961" t="s">
        <v>2878</v>
      </c>
      <c r="D14" s="1962" t="str">
        <f ca="1">NUMBERSTRING(INT(D13*10000),2)&amp;"元整"</f>
        <v>壹仟伍佰捌拾柒万元整</v>
      </c>
      <c r="E14" s="1959"/>
    </row>
    <row r="15" spans="1:5" ht="15">
      <c r="A15" s="1959"/>
      <c r="B15" s="3445"/>
      <c r="C15" s="1963" t="s">
        <v>2043</v>
      </c>
      <c r="D15" s="2074">
        <f ca="1">结果表!H108</f>
        <v>3925</v>
      </c>
      <c r="E15" s="1959"/>
    </row>
    <row r="16" spans="1:5" ht="14.25">
      <c r="A16" s="1959"/>
      <c r="B16" s="3446" t="str">
        <f>结果表!E109</f>
        <v>——</v>
      </c>
      <c r="C16" s="1969" t="s">
        <v>2042</v>
      </c>
      <c r="D16" s="2075" t="str">
        <f>结果表!H109</f>
        <v>——</v>
      </c>
      <c r="E16" s="1959"/>
    </row>
    <row r="17" spans="1:5" ht="15.75">
      <c r="A17" s="1959"/>
      <c r="B17" s="3447"/>
      <c r="C17" s="1961" t="s">
        <v>2878</v>
      </c>
      <c r="D17" s="1962" t="e">
        <f>NUMBERSTRING(INT(D16*10000),2)&amp;"元整"</f>
        <v>#VALUE!</v>
      </c>
      <c r="E17" s="1959"/>
    </row>
    <row r="18" spans="1:5" ht="15">
      <c r="A18" s="1959"/>
      <c r="B18" s="3448"/>
      <c r="C18" s="1963" t="s">
        <v>2043</v>
      </c>
      <c r="D18" s="2074" t="str">
        <f>结果表!H110</f>
        <v>——</v>
      </c>
      <c r="E18" s="1959"/>
    </row>
    <row r="19" spans="1:5" ht="15.75">
      <c r="A19" s="1959"/>
      <c r="B19" s="3439" t="str">
        <f>结果表!E111</f>
        <v>4.抵押净值</v>
      </c>
      <c r="C19" s="1969" t="s">
        <v>2042</v>
      </c>
      <c r="D19" s="1964">
        <f ca="1">结果表!H111</f>
        <v>1586</v>
      </c>
      <c r="E19" s="1959"/>
    </row>
    <row r="20" spans="1:5" ht="15.75">
      <c r="A20" s="1959"/>
      <c r="B20" s="3440"/>
      <c r="C20" s="1961" t="s">
        <v>2878</v>
      </c>
      <c r="D20" s="1962" t="str">
        <f ca="1">NUMBERSTRING(INT(D19*10000),2)&amp;"元整"</f>
        <v>壹仟伍佰捌拾陆万元整</v>
      </c>
      <c r="E20" s="1959"/>
    </row>
    <row r="21" spans="1:5" ht="15.75" thickBot="1">
      <c r="A21" s="1959"/>
      <c r="B21" s="3441"/>
      <c r="C21" s="2076" t="s">
        <v>2043</v>
      </c>
      <c r="D21" s="2077">
        <f ca="1">结果表!H112</f>
        <v>3922</v>
      </c>
      <c r="E21" s="1959"/>
    </row>
    <row r="22" spans="1:5" ht="14.25" thickTop="1">
      <c r="A22" s="1959"/>
      <c r="B22" s="1970" t="s">
        <v>2068</v>
      </c>
      <c r="C22" s="1959"/>
      <c r="D22" s="1959"/>
      <c r="E22" s="1959"/>
    </row>
    <row r="23" spans="1:5">
      <c r="A23" s="1959"/>
      <c r="B23" s="1959"/>
      <c r="C23" s="1959"/>
      <c r="D23" s="1959"/>
      <c r="E23" s="1959"/>
    </row>
    <row r="24" spans="1:5" ht="18.75">
      <c r="A24" s="1990"/>
      <c r="B24" s="1991" t="s">
        <v>2049</v>
      </c>
      <c r="C24" s="1990"/>
      <c r="D24" s="1990"/>
      <c r="E24" s="1990"/>
    </row>
    <row r="25" spans="1:5">
      <c r="A25" s="1990"/>
      <c r="B25" s="1990"/>
      <c r="C25" s="1990"/>
      <c r="D25" s="1990"/>
      <c r="E25" s="1990"/>
    </row>
    <row r="26" spans="1:5">
      <c r="A26" s="1990"/>
      <c r="B26" s="1990"/>
      <c r="C26" s="1990"/>
      <c r="D26" s="1990"/>
      <c r="E26" s="1990"/>
    </row>
    <row r="27" spans="1:5">
      <c r="A27" s="1990"/>
      <c r="B27" s="1990"/>
      <c r="C27" s="1990"/>
      <c r="D27" s="1990"/>
      <c r="E27" s="1990"/>
    </row>
    <row r="28" spans="1:5">
      <c r="A28" s="1990"/>
      <c r="B28" s="1990"/>
      <c r="C28" s="1990"/>
      <c r="D28" s="1990"/>
      <c r="E28" s="1990"/>
    </row>
    <row r="29" spans="1:5">
      <c r="A29" s="1990"/>
      <c r="B29" s="1990"/>
      <c r="C29" s="1990"/>
      <c r="D29" s="1990"/>
      <c r="E29" s="1990"/>
    </row>
    <row r="30" spans="1:5">
      <c r="A30" s="1990"/>
      <c r="B30" s="1990"/>
      <c r="C30" s="1990"/>
      <c r="D30" s="1990"/>
      <c r="E30" s="1990"/>
    </row>
    <row r="31" spans="1:5">
      <c r="A31" s="1990"/>
      <c r="B31" s="1990"/>
      <c r="C31" s="1990"/>
      <c r="D31" s="1990"/>
      <c r="E31" s="1990"/>
    </row>
    <row r="32" spans="1:5">
      <c r="A32" s="1990"/>
      <c r="B32" s="1990"/>
      <c r="C32" s="1990"/>
      <c r="D32" s="1990"/>
      <c r="E32" s="1990"/>
    </row>
    <row r="33" spans="1:5">
      <c r="A33" s="1990"/>
      <c r="B33" s="1990"/>
      <c r="C33" s="1990"/>
      <c r="D33" s="1990"/>
      <c r="E33" s="1990"/>
    </row>
    <row r="34" spans="1:5">
      <c r="A34" s="1990"/>
      <c r="B34" s="1990"/>
      <c r="C34" s="1990"/>
      <c r="D34" s="1990"/>
      <c r="E34" s="1990"/>
    </row>
    <row r="35" spans="1:5">
      <c r="A35" s="1990"/>
      <c r="B35" s="1990"/>
      <c r="C35" s="1990"/>
      <c r="D35" s="1990"/>
      <c r="E35" s="1990"/>
    </row>
    <row r="36" spans="1:5">
      <c r="A36" s="1990"/>
      <c r="B36" s="1990"/>
      <c r="C36" s="1990"/>
      <c r="D36" s="1990"/>
      <c r="E36" s="1990"/>
    </row>
    <row r="37" spans="1:5">
      <c r="A37" s="1990"/>
      <c r="B37" s="1990"/>
      <c r="C37" s="1990"/>
      <c r="D37" s="1990"/>
      <c r="E37" s="1990"/>
    </row>
    <row r="38" spans="1:5">
      <c r="A38" s="1990"/>
      <c r="B38" s="1990"/>
      <c r="C38" s="1990"/>
      <c r="D38" s="1990"/>
      <c r="E38" s="1990"/>
    </row>
    <row r="39" spans="1:5">
      <c r="A39" s="1990"/>
      <c r="B39" s="1990"/>
      <c r="C39" s="1990"/>
      <c r="D39" s="1990"/>
      <c r="E39" s="1990"/>
    </row>
    <row r="40" spans="1:5">
      <c r="A40" s="1990"/>
      <c r="B40" s="1990"/>
      <c r="C40" s="1990"/>
      <c r="D40" s="1990"/>
      <c r="E40" s="1990"/>
    </row>
    <row r="41" spans="1:5">
      <c r="A41" s="1990"/>
      <c r="B41" s="1990"/>
      <c r="C41" s="1990"/>
      <c r="D41" s="1990"/>
      <c r="E41" s="1990"/>
    </row>
    <row r="42" spans="1:5">
      <c r="A42" s="1990"/>
      <c r="B42" s="1990"/>
      <c r="C42" s="1990"/>
      <c r="D42" s="1990"/>
      <c r="E42" s="19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79" t="s">
        <v>3059</v>
      </c>
    </row>
    <row r="2" spans="1:5" ht="14.25">
      <c r="A2" s="3339" t="s">
        <v>210</v>
      </c>
      <c r="B2" s="3336" t="e">
        <f ca="1">SUMIF(B6:B13,"&lt;&gt;#ref!",B6:B13)</f>
        <v>#DIV/0!</v>
      </c>
      <c r="C2" s="3339" t="s">
        <v>2676</v>
      </c>
      <c r="D2" s="3339" t="s">
        <v>3054</v>
      </c>
      <c r="E2" s="3336" t="e">
        <f ca="1">SUM(E6:E13)</f>
        <v>#REF!</v>
      </c>
    </row>
    <row r="3" spans="1:5" ht="14.25">
      <c r="A3" s="3339" t="s">
        <v>8</v>
      </c>
      <c r="B3" s="3336" t="e">
        <f ca="1">ROUND(B2*10000/E2,0)</f>
        <v>#DIV/0!</v>
      </c>
      <c r="C3" s="3339" t="s">
        <v>2677</v>
      </c>
      <c r="D3" s="3337"/>
      <c r="E3" s="3337"/>
    </row>
    <row r="4" spans="1:5" ht="14.25">
      <c r="A4" s="3340"/>
      <c r="B4" s="3337"/>
      <c r="C4" s="3337"/>
      <c r="D4" s="3337"/>
      <c r="E4" s="3337"/>
    </row>
    <row r="5" spans="1:5" ht="28.5">
      <c r="A5" s="3341" t="s">
        <v>3057</v>
      </c>
      <c r="B5" s="3339" t="s">
        <v>3055</v>
      </c>
      <c r="C5" s="3336"/>
      <c r="D5" s="3337"/>
      <c r="E5" s="3339" t="s">
        <v>3056</v>
      </c>
    </row>
    <row r="6" spans="1:5" ht="14.25">
      <c r="A6" s="3342" t="s">
        <v>3058</v>
      </c>
      <c r="B6" s="3338" t="e">
        <f ca="1">SUMIF(INDIRECT("'"&amp;A6&amp;"'"&amp;"!A:A"),"总价",INDIRECT("'"&amp;A6&amp;"'"&amp;"!B:B"))</f>
        <v>#DIV/0!</v>
      </c>
      <c r="C6" s="3339" t="s">
        <v>2676</v>
      </c>
      <c r="D6" s="3337"/>
      <c r="E6" s="2785">
        <f ca="1">SUMIF(INDIRECT("'"&amp;A6&amp;"'"&amp;"!C:C"),"建筑面积",INDIRECT("'"&amp;A6&amp;"'"&amp;"!D:D"))</f>
        <v>0</v>
      </c>
    </row>
    <row r="7" spans="1:5" ht="14.25">
      <c r="A7" s="3342"/>
      <c r="B7" s="3338" t="e">
        <f ca="1">SUMIF(INDIRECT("'"&amp;A7&amp;"'"&amp;"!A:A"),"总价",INDIRECT("'"&amp;A7&amp;"'"&amp;"!B:B"))</f>
        <v>#REF!</v>
      </c>
      <c r="C7" s="3339" t="s">
        <v>2676</v>
      </c>
      <c r="D7" s="3337"/>
      <c r="E7" s="2785" t="e">
        <f t="shared" ref="E7:E13" ca="1" si="0">SUMIF(INDIRECT("'"&amp;A7&amp;"'"&amp;"!C:C"),"建筑面积",INDIRECT("'"&amp;A7&amp;"'"&amp;"!D:D"))</f>
        <v>#REF!</v>
      </c>
    </row>
    <row r="8" spans="1:5" ht="14.25">
      <c r="A8" s="3342"/>
      <c r="B8" s="3338" t="e">
        <f t="shared" ref="B8:B13" ca="1" si="1">SUMIF(INDIRECT("'"&amp;A8&amp;"'"&amp;"!A:A"),"总价",INDIRECT("'"&amp;A8&amp;"'"&amp;"!B:B"))</f>
        <v>#REF!</v>
      </c>
      <c r="C8" s="3339" t="s">
        <v>2676</v>
      </c>
      <c r="D8" s="3337"/>
      <c r="E8" s="2785" t="e">
        <f t="shared" ca="1" si="0"/>
        <v>#REF!</v>
      </c>
    </row>
    <row r="9" spans="1:5" ht="14.25">
      <c r="A9" s="3342"/>
      <c r="B9" s="3338" t="e">
        <f t="shared" ca="1" si="1"/>
        <v>#REF!</v>
      </c>
      <c r="C9" s="3339" t="s">
        <v>2676</v>
      </c>
      <c r="D9" s="3337"/>
      <c r="E9" s="2785" t="e">
        <f t="shared" ca="1" si="0"/>
        <v>#REF!</v>
      </c>
    </row>
    <row r="10" spans="1:5" ht="14.25">
      <c r="A10" s="3342"/>
      <c r="B10" s="3338" t="e">
        <f t="shared" ca="1" si="1"/>
        <v>#REF!</v>
      </c>
      <c r="C10" s="3339" t="s">
        <v>2676</v>
      </c>
      <c r="D10" s="3337"/>
      <c r="E10" s="2785" t="e">
        <f t="shared" ca="1" si="0"/>
        <v>#REF!</v>
      </c>
    </row>
    <row r="11" spans="1:5" ht="14.25">
      <c r="A11" s="3342"/>
      <c r="B11" s="3338" t="e">
        <f t="shared" ca="1" si="1"/>
        <v>#REF!</v>
      </c>
      <c r="C11" s="3339" t="s">
        <v>2676</v>
      </c>
      <c r="D11" s="3337"/>
      <c r="E11" s="2785" t="e">
        <f t="shared" ca="1" si="0"/>
        <v>#REF!</v>
      </c>
    </row>
    <row r="12" spans="1:5" ht="14.25">
      <c r="A12" s="3342"/>
      <c r="B12" s="3338" t="e">
        <f t="shared" ca="1" si="1"/>
        <v>#REF!</v>
      </c>
      <c r="C12" s="3339" t="s">
        <v>2676</v>
      </c>
      <c r="D12" s="3337"/>
      <c r="E12" s="2785" t="e">
        <f t="shared" ca="1" si="0"/>
        <v>#REF!</v>
      </c>
    </row>
    <row r="13" spans="1:5" ht="14.25">
      <c r="A13" s="3342"/>
      <c r="B13" s="3338" t="e">
        <f t="shared" ca="1" si="1"/>
        <v>#REF!</v>
      </c>
      <c r="C13" s="3339" t="s">
        <v>2676</v>
      </c>
      <c r="D13" s="3337"/>
      <c r="E13" s="2785"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sheetPr>
    <tabColor rgb="FF92D050"/>
  </sheetPr>
  <dimension ref="A1:AH102"/>
  <sheetViews>
    <sheetView zoomScale="80" zoomScaleNormal="80" workbookViewId="0">
      <selection activeCell="I2" sqref="I2:L2"/>
    </sheetView>
  </sheetViews>
  <sheetFormatPr defaultRowHeight="12.75"/>
  <cols>
    <col min="1" max="1" width="9" style="2925"/>
    <col min="2" max="6" width="9" style="2925" customWidth="1"/>
    <col min="7" max="7" width="9" style="2940"/>
    <col min="8" max="8" width="9" style="2925"/>
    <col min="9" max="12" width="9" style="2925" customWidth="1"/>
    <col min="13" max="13" width="2.25" style="2925" customWidth="1"/>
    <col min="14" max="14" width="9" style="2940" customWidth="1"/>
    <col min="15" max="17" width="9" style="2925" customWidth="1"/>
    <col min="18" max="18" width="2.375" style="2925" customWidth="1"/>
    <col min="19" max="19" width="7.125" style="2940" customWidth="1"/>
    <col min="20" max="22" width="7.125" style="2925" customWidth="1"/>
    <col min="23" max="23" width="24.25" style="2925" customWidth="1"/>
    <col min="24" max="25" width="9" style="2925"/>
    <col min="26" max="27" width="11.625" style="2925" customWidth="1"/>
    <col min="28" max="28" width="9" style="2925"/>
    <col min="29" max="29" width="2" style="2925" customWidth="1"/>
    <col min="30" max="16384" width="9" style="2925"/>
  </cols>
  <sheetData>
    <row r="1" spans="1:34" s="2895" customFormat="1">
      <c r="B1" s="3805" t="s">
        <v>2717</v>
      </c>
      <c r="C1" s="3805"/>
      <c r="D1" s="3805"/>
      <c r="E1" s="3805"/>
      <c r="F1" s="3805"/>
      <c r="G1" s="3801" t="s">
        <v>2718</v>
      </c>
      <c r="H1" s="3801"/>
      <c r="I1" s="3801"/>
      <c r="J1" s="3801"/>
      <c r="K1" s="3801"/>
      <c r="L1" s="3801"/>
      <c r="N1" s="3801" t="s">
        <v>2719</v>
      </c>
      <c r="O1" s="3801"/>
      <c r="P1" s="3801"/>
      <c r="Q1" s="3801"/>
      <c r="R1" s="2896"/>
      <c r="S1" s="3801" t="s">
        <v>2720</v>
      </c>
      <c r="T1" s="3801"/>
      <c r="U1" s="3801"/>
      <c r="V1" s="3801"/>
      <c r="X1" s="3800" t="s">
        <v>2721</v>
      </c>
      <c r="Y1" s="3801"/>
      <c r="Z1" s="3801"/>
      <c r="AA1" s="3801"/>
      <c r="AB1" s="3801"/>
      <c r="AD1" s="3800" t="s">
        <v>2722</v>
      </c>
      <c r="AE1" s="3801"/>
      <c r="AF1" s="3801"/>
      <c r="AG1" s="3801"/>
      <c r="AH1" s="3801"/>
    </row>
    <row r="2" spans="1:34" s="2897" customFormat="1" ht="14.25" thickBot="1">
      <c r="B2" s="2898" t="s">
        <v>2723</v>
      </c>
      <c r="C2" s="2898" t="s">
        <v>2724</v>
      </c>
      <c r="D2" s="2899" t="s">
        <v>2725</v>
      </c>
      <c r="E2" s="2899" t="s">
        <v>2726</v>
      </c>
      <c r="F2" s="2898" t="s">
        <v>2727</v>
      </c>
      <c r="G2" s="2900"/>
      <c r="H2" s="2901"/>
      <c r="I2" s="2898" t="s">
        <v>2723</v>
      </c>
      <c r="J2" s="2899" t="s">
        <v>3060</v>
      </c>
      <c r="K2" s="2899" t="s">
        <v>1850</v>
      </c>
      <c r="L2" s="2898" t="s">
        <v>2727</v>
      </c>
      <c r="N2" s="2898" t="s">
        <v>2723</v>
      </c>
      <c r="O2" s="2899" t="s">
        <v>3060</v>
      </c>
      <c r="P2" s="2899" t="s">
        <v>1850</v>
      </c>
      <c r="Q2" s="2898" t="s">
        <v>2727</v>
      </c>
      <c r="R2" s="2902"/>
      <c r="S2" s="2898" t="s">
        <v>2723</v>
      </c>
      <c r="T2" s="2899" t="s">
        <v>3060</v>
      </c>
      <c r="U2" s="2899" t="s">
        <v>1850</v>
      </c>
      <c r="V2" s="2898" t="s">
        <v>2727</v>
      </c>
      <c r="X2" s="2898" t="s">
        <v>2723</v>
      </c>
      <c r="Y2" s="2898" t="s">
        <v>2724</v>
      </c>
      <c r="Z2" s="2899" t="s">
        <v>2725</v>
      </c>
      <c r="AA2" s="2899" t="s">
        <v>2726</v>
      </c>
      <c r="AB2" s="2898" t="s">
        <v>2727</v>
      </c>
      <c r="AD2" s="2898" t="s">
        <v>2723</v>
      </c>
      <c r="AE2" s="2898" t="s">
        <v>2724</v>
      </c>
      <c r="AF2" s="2899" t="s">
        <v>2725</v>
      </c>
      <c r="AG2" s="2899" t="s">
        <v>2726</v>
      </c>
      <c r="AH2" s="2898" t="s">
        <v>2727</v>
      </c>
    </row>
    <row r="3" spans="1:34" s="2903" customFormat="1" ht="15" thickBot="1">
      <c r="B3" s="2904"/>
      <c r="C3" s="2904"/>
      <c r="D3" s="2905"/>
      <c r="E3" s="2905"/>
      <c r="F3" s="2904"/>
      <c r="G3" s="2906"/>
      <c r="H3" s="2907"/>
      <c r="I3" s="2907"/>
      <c r="J3" s="2907"/>
      <c r="K3" s="2907"/>
      <c r="L3" s="2907"/>
      <c r="N3" s="2906"/>
      <c r="O3" s="2908"/>
      <c r="P3" s="2908"/>
      <c r="Q3" s="2908"/>
      <c r="R3" s="2908"/>
      <c r="S3" s="2906"/>
      <c r="T3" s="2908"/>
      <c r="U3" s="2908"/>
      <c r="V3" s="2908"/>
      <c r="X3" s="2909">
        <f>ROUND(SUMPRODUCT(PRODUCT(1+N3:N$18)),4)</f>
        <v>1.3963000000000001</v>
      </c>
      <c r="Y3" s="2909">
        <f>ROUND(SUMPRODUCT(PRODUCT(1+O3:O$18)),4)</f>
        <v>1.2401</v>
      </c>
      <c r="Z3" s="2909">
        <f t="shared" ref="Z3:Z16" si="0">Y3</f>
        <v>1.2401</v>
      </c>
      <c r="AA3" s="2909">
        <f>ROUND(SUMPRODUCT(PRODUCT(1+P3:P$18)),4)</f>
        <v>1.4508000000000001</v>
      </c>
      <c r="AB3" s="2909">
        <f>ROUND(SUMPRODUCT(PRODUCT(1+Q3:Q$18)),4)</f>
        <v>1.2094</v>
      </c>
      <c r="AD3" s="2910">
        <f>ROUND(AVERAGE(I3:I$19)/100,4)</f>
        <v>2.46E-2</v>
      </c>
      <c r="AE3" s="2910">
        <f>ROUND(AVERAGE(J3:J$19)/100,4)</f>
        <v>1.6E-2</v>
      </c>
      <c r="AF3" s="2910">
        <f t="shared" ref="AF3:AF17" si="1">AE3</f>
        <v>1.6E-2</v>
      </c>
      <c r="AG3" s="2910">
        <f>ROUND(AVERAGE(K3:K$19)/100,4)</f>
        <v>2.75E-2</v>
      </c>
      <c r="AH3" s="2910">
        <f>ROUND(AVERAGE(L3:L$19)/100,4)</f>
        <v>1.37E-2</v>
      </c>
    </row>
    <row r="4" spans="1:34" s="2895" customFormat="1">
      <c r="A4" s="2911" t="s">
        <v>2728</v>
      </c>
      <c r="B4" s="2912"/>
      <c r="C4" s="2912"/>
      <c r="D4" s="2912"/>
      <c r="E4" s="2912"/>
      <c r="F4" s="2912"/>
      <c r="G4" s="3806">
        <v>2017</v>
      </c>
      <c r="H4" s="2913">
        <v>4</v>
      </c>
      <c r="I4" s="2913"/>
      <c r="J4" s="2913"/>
      <c r="K4" s="2913"/>
      <c r="L4" s="2914"/>
      <c r="N4" s="2915"/>
      <c r="O4" s="2896"/>
      <c r="P4" s="2896"/>
      <c r="Q4" s="2896"/>
      <c r="R4" s="2896"/>
      <c r="S4" s="2915"/>
      <c r="T4" s="2896"/>
      <c r="U4" s="2896"/>
      <c r="V4" s="2896"/>
      <c r="X4" s="2909">
        <f>ROUND(SUMPRODUCT(PRODUCT(1+N4:N$18)),4)</f>
        <v>1.3963000000000001</v>
      </c>
      <c r="Y4" s="2909">
        <f>ROUND(SUMPRODUCT(PRODUCT(1+O4:O$18)),4)</f>
        <v>1.2401</v>
      </c>
      <c r="Z4" s="2909">
        <f t="shared" si="0"/>
        <v>1.2401</v>
      </c>
      <c r="AA4" s="2909">
        <f>ROUND(SUMPRODUCT(PRODUCT(1+P4:P$18)),4)</f>
        <v>1.4508000000000001</v>
      </c>
      <c r="AB4" s="2909">
        <f>ROUND(SUMPRODUCT(PRODUCT(1+Q4:Q$18)),4)</f>
        <v>1.2094</v>
      </c>
      <c r="AD4" s="2910">
        <f>ROUND(AVERAGE(I4:I$19)/100,4)</f>
        <v>2.46E-2</v>
      </c>
      <c r="AE4" s="2910">
        <f>ROUND(AVERAGE(J4:J$19)/100,4)</f>
        <v>1.6E-2</v>
      </c>
      <c r="AF4" s="2910">
        <f t="shared" si="1"/>
        <v>1.6E-2</v>
      </c>
      <c r="AG4" s="2910">
        <f>ROUND(AVERAGE(K4:K$19)/100,4)</f>
        <v>2.75E-2</v>
      </c>
      <c r="AH4" s="2910">
        <f>ROUND(AVERAGE(L4:L$19)/100,4)</f>
        <v>1.37E-2</v>
      </c>
    </row>
    <row r="5" spans="1:34" s="3235" customFormat="1">
      <c r="A5" s="3233" t="s">
        <v>2729</v>
      </c>
      <c r="B5" s="3347">
        <f t="shared" ref="B5:C7" si="2">B6*(1+N5)</f>
        <v>429.62688667359998</v>
      </c>
      <c r="C5" s="3347">
        <f t="shared" si="2"/>
        <v>318.97763788800006</v>
      </c>
      <c r="D5" s="3347">
        <f>C5</f>
        <v>318.97763788800006</v>
      </c>
      <c r="E5" s="3347">
        <f t="shared" ref="E5:F7" si="3">E6*(1+P5)</f>
        <v>613.03761713879999</v>
      </c>
      <c r="F5" s="3347">
        <f t="shared" si="3"/>
        <v>278.506175276448</v>
      </c>
      <c r="G5" s="3803"/>
      <c r="H5" s="3234">
        <v>3</v>
      </c>
      <c r="I5" s="2918">
        <f>ROUND(AVERAGE(I6:I19),2)</f>
        <v>2.46</v>
      </c>
      <c r="J5" s="2918">
        <f>ROUND(AVERAGE(J6:J19),2)</f>
        <v>1.6</v>
      </c>
      <c r="K5" s="2918">
        <f>ROUND(AVERAGE(K6:K19),2)</f>
        <v>2.75</v>
      </c>
      <c r="L5" s="2918">
        <f>ROUND(AVERAGE(L6:L19),2)</f>
        <v>1.37</v>
      </c>
      <c r="N5" s="2920">
        <f t="shared" ref="N5:Q6" si="4">I5/100</f>
        <v>2.46E-2</v>
      </c>
      <c r="O5" s="2920">
        <f t="shared" si="4"/>
        <v>1.6E-2</v>
      </c>
      <c r="P5" s="2920">
        <f t="shared" si="4"/>
        <v>2.75E-2</v>
      </c>
      <c r="Q5" s="2920">
        <f t="shared" si="4"/>
        <v>1.37E-2</v>
      </c>
      <c r="R5" s="3236"/>
      <c r="S5" s="3237"/>
      <c r="T5" s="3236"/>
      <c r="U5" s="3236"/>
      <c r="V5" s="3236"/>
      <c r="W5" s="2921" t="s">
        <v>2731</v>
      </c>
      <c r="X5" s="3226">
        <f>ROUND(SUMPRODUCT(PRODUCT(1+N5:N$18)),4)</f>
        <v>1.3963000000000001</v>
      </c>
      <c r="Y5" s="3226">
        <f>ROUND(SUMPRODUCT(PRODUCT(1+O5:O$18)),4)</f>
        <v>1.2401</v>
      </c>
      <c r="Z5" s="3226">
        <f t="shared" si="0"/>
        <v>1.2401</v>
      </c>
      <c r="AA5" s="3226">
        <f>ROUND(SUMPRODUCT(PRODUCT(1+P5:P$18)),4)</f>
        <v>1.4508000000000001</v>
      </c>
      <c r="AB5" s="3226">
        <f>ROUND(SUMPRODUCT(PRODUCT(1+Q5:Q$18)),4)</f>
        <v>1.2094</v>
      </c>
      <c r="AD5" s="2922">
        <f>ROUND(AVERAGE(I5:I$19)/100,4)</f>
        <v>2.46E-2</v>
      </c>
      <c r="AE5" s="2922">
        <f>ROUND(AVERAGE(J5:J$19)/100,4)</f>
        <v>1.6E-2</v>
      </c>
      <c r="AF5" s="2922">
        <f t="shared" si="1"/>
        <v>1.6E-2</v>
      </c>
      <c r="AG5" s="2922">
        <f>ROUND(AVERAGE(K5:K$19)/100,4)</f>
        <v>2.75E-2</v>
      </c>
      <c r="AH5" s="2922">
        <f>ROUND(AVERAGE(L5:L$19)/100,4)</f>
        <v>1.37E-2</v>
      </c>
    </row>
    <row r="6" spans="1:34" s="3235" customFormat="1">
      <c r="A6" s="2911" t="s">
        <v>3061</v>
      </c>
      <c r="B6" s="2931">
        <f t="shared" si="2"/>
        <v>419.31181600000002</v>
      </c>
      <c r="C6" s="2931">
        <f t="shared" si="2"/>
        <v>313.95436800000004</v>
      </c>
      <c r="D6" s="2931">
        <f>C6</f>
        <v>313.95436800000004</v>
      </c>
      <c r="E6" s="2931">
        <f t="shared" si="3"/>
        <v>596.63028431999999</v>
      </c>
      <c r="F6" s="2931">
        <f t="shared" si="3"/>
        <v>274.74220703999998</v>
      </c>
      <c r="G6" s="3803"/>
      <c r="H6" s="2917">
        <v>2</v>
      </c>
      <c r="I6" s="2917">
        <v>3.4</v>
      </c>
      <c r="J6" s="2917">
        <v>2</v>
      </c>
      <c r="K6" s="2917">
        <v>3.82</v>
      </c>
      <c r="L6" s="2933">
        <v>1.68</v>
      </c>
      <c r="M6" s="2925"/>
      <c r="N6" s="2926">
        <f t="shared" si="4"/>
        <v>3.4000000000000002E-2</v>
      </c>
      <c r="O6" s="2927">
        <f t="shared" si="4"/>
        <v>0.02</v>
      </c>
      <c r="P6" s="2927">
        <f t="shared" si="4"/>
        <v>3.8199999999999998E-2</v>
      </c>
      <c r="Q6" s="2927">
        <f t="shared" si="4"/>
        <v>1.6799999999999999E-2</v>
      </c>
      <c r="R6" s="2928"/>
      <c r="S6" s="2929"/>
      <c r="T6" s="2930"/>
      <c r="U6" s="2930"/>
      <c r="V6" s="2930"/>
      <c r="W6" s="2903"/>
      <c r="X6" s="3344">
        <f>ROUND(SUMPRODUCT(PRODUCT(1+N6:N$18)),4)</f>
        <v>1.3628</v>
      </c>
      <c r="Y6" s="3344">
        <f>ROUND(SUMPRODUCT(PRODUCT(1+O6:O$18)),4)</f>
        <v>1.2205999999999999</v>
      </c>
      <c r="Z6" s="3344">
        <f t="shared" si="0"/>
        <v>1.2205999999999999</v>
      </c>
      <c r="AA6" s="3344">
        <f>ROUND(SUMPRODUCT(PRODUCT(1+P6:P$18)),4)</f>
        <v>1.4118999999999999</v>
      </c>
      <c r="AB6" s="3344">
        <f>ROUND(SUMPRODUCT(PRODUCT(1+Q6:Q$18)),4)</f>
        <v>1.1930000000000001</v>
      </c>
      <c r="AC6" s="2903"/>
      <c r="AD6" s="3345">
        <f>ROUND(AVERAGE(I6:I$19)/100,4)</f>
        <v>2.46E-2</v>
      </c>
      <c r="AE6" s="3345">
        <f>ROUND(AVERAGE(J6:J$19)/100,4)</f>
        <v>1.6E-2</v>
      </c>
      <c r="AF6" s="3345">
        <f t="shared" si="1"/>
        <v>1.6E-2</v>
      </c>
      <c r="AG6" s="3345">
        <f>ROUND(AVERAGE(K6:K$19)/100,4)</f>
        <v>2.75E-2</v>
      </c>
      <c r="AH6" s="3345">
        <f>ROUND(AVERAGE(L6:L$19)/100,4)</f>
        <v>1.37E-2</v>
      </c>
    </row>
    <row r="7" spans="1:34" s="2919" customFormat="1" ht="13.5" thickBot="1">
      <c r="A7" s="2911" t="s">
        <v>2730</v>
      </c>
      <c r="B7" s="2931">
        <f t="shared" si="2"/>
        <v>405.524</v>
      </c>
      <c r="C7" s="2931">
        <f t="shared" si="2"/>
        <v>307.79840000000002</v>
      </c>
      <c r="D7" s="2931">
        <f>C7</f>
        <v>307.79840000000002</v>
      </c>
      <c r="E7" s="2931">
        <f t="shared" si="3"/>
        <v>574.67759999999998</v>
      </c>
      <c r="F7" s="2931">
        <f t="shared" si="3"/>
        <v>270.20280000000002</v>
      </c>
      <c r="G7" s="3804"/>
      <c r="H7" s="2916">
        <v>1</v>
      </c>
      <c r="I7" s="2916">
        <v>3.45</v>
      </c>
      <c r="J7" s="2916">
        <v>1.92</v>
      </c>
      <c r="K7" s="2916">
        <v>3.92</v>
      </c>
      <c r="L7" s="2932">
        <v>1.58</v>
      </c>
      <c r="M7" s="2925"/>
      <c r="N7" s="2926">
        <f>I7/100</f>
        <v>3.4500000000000003E-2</v>
      </c>
      <c r="O7" s="2927">
        <f t="shared" ref="O7:Q22" si="5">J7/100</f>
        <v>1.9199999999999998E-2</v>
      </c>
      <c r="P7" s="2927">
        <f t="shared" si="5"/>
        <v>3.9199999999999999E-2</v>
      </c>
      <c r="Q7" s="2927">
        <f t="shared" si="5"/>
        <v>1.5800000000000002E-2</v>
      </c>
      <c r="R7" s="2928"/>
      <c r="S7" s="2926">
        <f>B7/B8-1</f>
        <v>3.4499999999999975E-2</v>
      </c>
      <c r="T7" s="2927">
        <f>C7/C8-1</f>
        <v>1.9200000000000106E-2</v>
      </c>
      <c r="U7" s="2927">
        <f>D7/D8-1</f>
        <v>1.9200000000000106E-2</v>
      </c>
      <c r="V7" s="2927">
        <f>E7/E8-1</f>
        <v>3.9199999999999902E-2</v>
      </c>
      <c r="W7" s="3346"/>
      <c r="X7" s="3344">
        <f>ROUND(SUMPRODUCT(PRODUCT(1+N7:N$18)),4)</f>
        <v>1.3180000000000001</v>
      </c>
      <c r="Y7" s="3344">
        <f>ROUND(SUMPRODUCT(PRODUCT(1+O7:O$18)),4)</f>
        <v>1.1966000000000001</v>
      </c>
      <c r="Z7" s="3344">
        <f t="shared" si="0"/>
        <v>1.1966000000000001</v>
      </c>
      <c r="AA7" s="3344">
        <f>ROUND(SUMPRODUCT(PRODUCT(1+P7:P$18)),4)</f>
        <v>1.36</v>
      </c>
      <c r="AB7" s="3344">
        <f>ROUND(SUMPRODUCT(PRODUCT(1+Q7:Q$18)),4)</f>
        <v>1.1733</v>
      </c>
      <c r="AC7" s="3346"/>
      <c r="AD7" s="3345">
        <f>ROUND(AVERAGE(I7:I$19)/100,4)</f>
        <v>2.3900000000000001E-2</v>
      </c>
      <c r="AE7" s="3345">
        <f>ROUND(AVERAGE(J7:J$19)/100,4)</f>
        <v>1.5699999999999999E-2</v>
      </c>
      <c r="AF7" s="3345">
        <f t="shared" si="1"/>
        <v>1.5699999999999999E-2</v>
      </c>
      <c r="AG7" s="3345">
        <f>ROUND(AVERAGE(K7:K$19)/100,4)</f>
        <v>2.6599999999999999E-2</v>
      </c>
      <c r="AH7" s="3345">
        <f>ROUND(AVERAGE(L7:L$19)/100,4)</f>
        <v>1.34E-2</v>
      </c>
    </row>
    <row r="8" spans="1:34">
      <c r="A8" s="2911" t="s">
        <v>1165</v>
      </c>
      <c r="B8" s="2923">
        <v>392</v>
      </c>
      <c r="C8" s="2923">
        <v>302</v>
      </c>
      <c r="D8" s="2923">
        <f>C8</f>
        <v>302</v>
      </c>
      <c r="E8" s="2923">
        <v>553</v>
      </c>
      <c r="F8" s="2924">
        <v>266</v>
      </c>
      <c r="G8" s="3806">
        <v>2016</v>
      </c>
      <c r="H8" s="2913">
        <v>4</v>
      </c>
      <c r="I8" s="2913">
        <v>4.5599999999999996</v>
      </c>
      <c r="J8" s="2913">
        <v>2.15</v>
      </c>
      <c r="K8" s="2913">
        <v>5.32</v>
      </c>
      <c r="L8" s="2914">
        <v>1.57</v>
      </c>
      <c r="N8" s="2926">
        <f>I8/100</f>
        <v>4.5599999999999995E-2</v>
      </c>
      <c r="O8" s="2927">
        <f t="shared" si="5"/>
        <v>2.1499999999999998E-2</v>
      </c>
      <c r="P8" s="2927">
        <f t="shared" si="5"/>
        <v>5.3200000000000004E-2</v>
      </c>
      <c r="Q8" s="2927">
        <f t="shared" si="5"/>
        <v>1.5700000000000002E-2</v>
      </c>
      <c r="R8" s="2928"/>
      <c r="S8" s="2929"/>
      <c r="T8" s="2930"/>
      <c r="U8" s="2930"/>
      <c r="V8" s="2930"/>
      <c r="X8" s="2909">
        <f>ROUND(SUMPRODUCT(PRODUCT(1+N8:N$18)),4)</f>
        <v>1.274</v>
      </c>
      <c r="Y8" s="2909">
        <f>ROUND(SUMPRODUCT(PRODUCT(1+O8:O$18)),4)</f>
        <v>1.1740999999999999</v>
      </c>
      <c r="Z8" s="2909">
        <f t="shared" si="0"/>
        <v>1.1740999999999999</v>
      </c>
      <c r="AA8" s="2909">
        <f>ROUND(SUMPRODUCT(PRODUCT(1+P8:P$18)),4)</f>
        <v>1.3087</v>
      </c>
      <c r="AB8" s="2909">
        <f>ROUND(SUMPRODUCT(PRODUCT(1+Q8:Q$18)),4)</f>
        <v>1.1551</v>
      </c>
      <c r="AD8" s="2910">
        <f>ROUND(AVERAGE(I8:I$19)/100,4)</f>
        <v>2.3E-2</v>
      </c>
      <c r="AE8" s="2910">
        <f>ROUND(AVERAGE(J8:J$19)/100,4)</f>
        <v>1.55E-2</v>
      </c>
      <c r="AF8" s="2910">
        <f t="shared" si="1"/>
        <v>1.55E-2</v>
      </c>
      <c r="AG8" s="2910">
        <f>ROUND(AVERAGE(K8:K$19)/100,4)</f>
        <v>2.5600000000000001E-2</v>
      </c>
      <c r="AH8" s="2910">
        <f>ROUND(AVERAGE(L8:L$19)/100,4)</f>
        <v>1.32E-2</v>
      </c>
    </row>
    <row r="9" spans="1:34">
      <c r="A9" s="2911" t="s">
        <v>1164</v>
      </c>
      <c r="B9" s="2931">
        <f t="shared" ref="B9:C11" si="6">B8/(1+N8)</f>
        <v>374.90436113236416</v>
      </c>
      <c r="C9" s="2931">
        <f t="shared" si="6"/>
        <v>295.64366128242779</v>
      </c>
      <c r="D9" s="2931">
        <f t="shared" ref="D9:D68" si="7">C9</f>
        <v>295.64366128242779</v>
      </c>
      <c r="E9" s="2931">
        <f t="shared" ref="E9:F11" si="8">E8/(1+P8)</f>
        <v>525.06646410938095</v>
      </c>
      <c r="F9" s="2931">
        <f t="shared" si="8"/>
        <v>261.88835286009646</v>
      </c>
      <c r="G9" s="3803"/>
      <c r="H9" s="2916">
        <v>3</v>
      </c>
      <c r="I9" s="2916">
        <v>4.12</v>
      </c>
      <c r="J9" s="2916">
        <v>2</v>
      </c>
      <c r="K9" s="2916">
        <v>4.79</v>
      </c>
      <c r="L9" s="2932">
        <v>1.97</v>
      </c>
      <c r="N9" s="2926">
        <f t="shared" ref="N9:Q43" si="9">I9/100</f>
        <v>4.1200000000000001E-2</v>
      </c>
      <c r="O9" s="2927">
        <f t="shared" si="5"/>
        <v>0.02</v>
      </c>
      <c r="P9" s="2927">
        <f t="shared" si="5"/>
        <v>4.7899999999999998E-2</v>
      </c>
      <c r="Q9" s="2927">
        <f t="shared" si="5"/>
        <v>1.9699999999999999E-2</v>
      </c>
      <c r="R9" s="2928"/>
      <c r="S9" s="2926"/>
      <c r="T9" s="2927"/>
      <c r="U9" s="2927"/>
      <c r="V9" s="2927"/>
      <c r="X9" s="2909">
        <f>ROUND(SUMPRODUCT(PRODUCT(1+N9:N$18)),4)</f>
        <v>1.2184999999999999</v>
      </c>
      <c r="Y9" s="2909">
        <f>ROUND(SUMPRODUCT(PRODUCT(1+O9:O$18)),4)</f>
        <v>1.1494</v>
      </c>
      <c r="Z9" s="2909">
        <f t="shared" si="0"/>
        <v>1.1494</v>
      </c>
      <c r="AA9" s="2909">
        <f>ROUND(SUMPRODUCT(PRODUCT(1+P9:P$18)),4)</f>
        <v>1.2425999999999999</v>
      </c>
      <c r="AB9" s="2909">
        <f>ROUND(SUMPRODUCT(PRODUCT(1+Q9:Q$18)),4)</f>
        <v>1.1372</v>
      </c>
      <c r="AD9" s="2910">
        <f>ROUND(AVERAGE(I9:I$19)/100,4)</f>
        <v>2.0899999999999998E-2</v>
      </c>
      <c r="AE9" s="2910">
        <f>ROUND(AVERAGE(J9:J$19)/100,4)</f>
        <v>1.49E-2</v>
      </c>
      <c r="AF9" s="2910">
        <f t="shared" si="1"/>
        <v>1.49E-2</v>
      </c>
      <c r="AG9" s="2910">
        <f>ROUND(AVERAGE(K9:K$19)/100,4)</f>
        <v>2.3099999999999999E-2</v>
      </c>
      <c r="AH9" s="2910">
        <f>ROUND(AVERAGE(L9:L$19)/100,4)</f>
        <v>1.2999999999999999E-2</v>
      </c>
    </row>
    <row r="10" spans="1:34">
      <c r="A10" s="2911" t="s">
        <v>1154</v>
      </c>
      <c r="B10" s="2931">
        <f t="shared" si="6"/>
        <v>360.06949782209392</v>
      </c>
      <c r="C10" s="2931">
        <f t="shared" si="6"/>
        <v>289.84672674747821</v>
      </c>
      <c r="D10" s="2931">
        <f t="shared" si="7"/>
        <v>289.84672674747821</v>
      </c>
      <c r="E10" s="2931">
        <f t="shared" si="8"/>
        <v>501.06543001181495</v>
      </c>
      <c r="F10" s="2931">
        <f t="shared" si="8"/>
        <v>256.82882500744967</v>
      </c>
      <c r="G10" s="3803"/>
      <c r="H10" s="2917">
        <v>2</v>
      </c>
      <c r="I10" s="2917">
        <v>3.85</v>
      </c>
      <c r="J10" s="2917">
        <v>1.95</v>
      </c>
      <c r="K10" s="2917">
        <v>4.4800000000000004</v>
      </c>
      <c r="L10" s="2933">
        <v>1.41</v>
      </c>
      <c r="N10" s="2926">
        <f t="shared" si="9"/>
        <v>3.85E-2</v>
      </c>
      <c r="O10" s="2927">
        <f t="shared" si="5"/>
        <v>1.95E-2</v>
      </c>
      <c r="P10" s="2927">
        <f t="shared" si="5"/>
        <v>4.4800000000000006E-2</v>
      </c>
      <c r="Q10" s="2927">
        <f t="shared" si="5"/>
        <v>1.41E-2</v>
      </c>
      <c r="R10" s="2928"/>
      <c r="S10" s="2926"/>
      <c r="T10" s="2927"/>
      <c r="U10" s="2927"/>
      <c r="V10" s="2927"/>
      <c r="X10" s="2909">
        <f>ROUND(SUMPRODUCT(PRODUCT(1+N10:N$18)),4)</f>
        <v>1.1702999999999999</v>
      </c>
      <c r="Y10" s="2909">
        <f>ROUND(SUMPRODUCT(PRODUCT(1+O10:O$18)),4)</f>
        <v>1.1269</v>
      </c>
      <c r="Z10" s="2909">
        <f t="shared" si="0"/>
        <v>1.1269</v>
      </c>
      <c r="AA10" s="2909">
        <f>ROUND(SUMPRODUCT(PRODUCT(1+P10:P$18)),4)</f>
        <v>1.1858</v>
      </c>
      <c r="AB10" s="2909">
        <f>ROUND(SUMPRODUCT(PRODUCT(1+Q10:Q$18)),4)</f>
        <v>1.1152</v>
      </c>
      <c r="AD10" s="2910">
        <f>ROUND(AVERAGE(I10:I$19)/100,4)</f>
        <v>1.89E-2</v>
      </c>
      <c r="AE10" s="2910">
        <f>ROUND(AVERAGE(J10:J$19)/100,4)</f>
        <v>1.44E-2</v>
      </c>
      <c r="AF10" s="2910">
        <f t="shared" si="1"/>
        <v>1.44E-2</v>
      </c>
      <c r="AG10" s="2910">
        <f>ROUND(AVERAGE(K10:K$19)/100,4)</f>
        <v>2.06E-2</v>
      </c>
      <c r="AH10" s="2910">
        <f>ROUND(AVERAGE(L10:L$19)/100,4)</f>
        <v>1.23E-2</v>
      </c>
    </row>
    <row r="11" spans="1:34" ht="13.5" thickBot="1">
      <c r="A11" s="2911" t="s">
        <v>1163</v>
      </c>
      <c r="B11" s="2931">
        <f t="shared" si="6"/>
        <v>346.720748986128</v>
      </c>
      <c r="C11" s="2931">
        <f t="shared" si="6"/>
        <v>284.30282172386285</v>
      </c>
      <c r="D11" s="2931">
        <f t="shared" si="7"/>
        <v>284.30282172386285</v>
      </c>
      <c r="E11" s="2931">
        <f t="shared" si="8"/>
        <v>479.58023546306947</v>
      </c>
      <c r="F11" s="2931">
        <f t="shared" si="8"/>
        <v>253.25788877571213</v>
      </c>
      <c r="G11" s="3804"/>
      <c r="H11" s="2916">
        <v>1</v>
      </c>
      <c r="I11" s="2916">
        <v>4.09</v>
      </c>
      <c r="J11" s="2916">
        <v>2.93</v>
      </c>
      <c r="K11" s="2916">
        <v>4.54</v>
      </c>
      <c r="L11" s="2932">
        <v>1.48</v>
      </c>
      <c r="N11" s="2926">
        <f t="shared" si="9"/>
        <v>4.0899999999999999E-2</v>
      </c>
      <c r="O11" s="2927">
        <f t="shared" si="5"/>
        <v>2.9300000000000003E-2</v>
      </c>
      <c r="P11" s="2927">
        <f t="shared" si="5"/>
        <v>4.5400000000000003E-2</v>
      </c>
      <c r="Q11" s="2927">
        <f t="shared" si="5"/>
        <v>1.4800000000000001E-2</v>
      </c>
      <c r="R11" s="2928"/>
      <c r="S11" s="2934">
        <f>B11/B12-1</f>
        <v>4.1203450408792808E-2</v>
      </c>
      <c r="T11" s="2935">
        <f>C11/C12-1</f>
        <v>2.6363977342465095E-2</v>
      </c>
      <c r="U11" s="2935">
        <f>E11/E12-1</f>
        <v>4.4837114298626357E-2</v>
      </c>
      <c r="V11" s="2935">
        <f>F11/F12-1</f>
        <v>1.7099954922538574E-2</v>
      </c>
      <c r="X11" s="2909">
        <f>ROUND(SUMPRODUCT(PRODUCT(1+N11:N$18)),4)</f>
        <v>1.1269</v>
      </c>
      <c r="Y11" s="2909">
        <f>ROUND(SUMPRODUCT(PRODUCT(1+O11:O$18)),4)</f>
        <v>1.1052999999999999</v>
      </c>
      <c r="Z11" s="2909">
        <f t="shared" si="0"/>
        <v>1.1052999999999999</v>
      </c>
      <c r="AA11" s="2909">
        <f>ROUND(SUMPRODUCT(PRODUCT(1+P11:P$18)),4)</f>
        <v>1.1349</v>
      </c>
      <c r="AB11" s="2909">
        <f>ROUND(SUMPRODUCT(PRODUCT(1+Q11:Q$18)),4)</f>
        <v>1.0996999999999999</v>
      </c>
      <c r="AD11" s="2910">
        <f>ROUND(AVERAGE(I11:I$19)/100,4)</f>
        <v>1.67E-2</v>
      </c>
      <c r="AE11" s="2910">
        <f>ROUND(AVERAGE(J11:J$19)/100,4)</f>
        <v>1.38E-2</v>
      </c>
      <c r="AF11" s="2910">
        <f t="shared" si="1"/>
        <v>1.38E-2</v>
      </c>
      <c r="AG11" s="2910">
        <f>ROUND(AVERAGE(K11:K$19)/100,4)</f>
        <v>1.7899999999999999E-2</v>
      </c>
      <c r="AH11" s="2910">
        <f>ROUND(AVERAGE(L11:L$19)/100,4)</f>
        <v>1.21E-2</v>
      </c>
    </row>
    <row r="12" spans="1:34" ht="13.5" thickBot="1">
      <c r="A12" s="2911" t="s">
        <v>1162</v>
      </c>
      <c r="B12" s="2923">
        <v>333</v>
      </c>
      <c r="C12" s="2923">
        <v>277</v>
      </c>
      <c r="D12" s="2923">
        <f t="shared" si="7"/>
        <v>277</v>
      </c>
      <c r="E12" s="2923">
        <v>459</v>
      </c>
      <c r="F12" s="2924">
        <v>249</v>
      </c>
      <c r="G12" s="3802">
        <v>2015</v>
      </c>
      <c r="H12" s="2936">
        <v>4</v>
      </c>
      <c r="I12" s="2936">
        <v>1.63</v>
      </c>
      <c r="J12" s="2936">
        <v>1.1100000000000001</v>
      </c>
      <c r="K12" s="2936">
        <v>1.77</v>
      </c>
      <c r="L12" s="2937">
        <v>1.89</v>
      </c>
      <c r="N12" s="2938">
        <f t="shared" si="9"/>
        <v>1.6299999999999999E-2</v>
      </c>
      <c r="O12" s="2939">
        <f t="shared" si="5"/>
        <v>1.11E-2</v>
      </c>
      <c r="P12" s="2939">
        <f t="shared" si="5"/>
        <v>1.77E-2</v>
      </c>
      <c r="Q12" s="2939">
        <f t="shared" si="5"/>
        <v>1.89E-2</v>
      </c>
      <c r="R12" s="2928"/>
      <c r="X12" s="2909">
        <f>ROUND(SUMPRODUCT(PRODUCT(1+N12:N$18)),4)</f>
        <v>1.0826</v>
      </c>
      <c r="Y12" s="2909">
        <f>ROUND(SUMPRODUCT(PRODUCT(1+O12:O$18)),4)</f>
        <v>1.0738000000000001</v>
      </c>
      <c r="Z12" s="2909">
        <f t="shared" si="0"/>
        <v>1.0738000000000001</v>
      </c>
      <c r="AA12" s="2909">
        <f>ROUND(SUMPRODUCT(PRODUCT(1+P12:P$18)),4)</f>
        <v>1.0855999999999999</v>
      </c>
      <c r="AB12" s="2909">
        <f>ROUND(SUMPRODUCT(PRODUCT(1+Q12:Q$18)),4)</f>
        <v>1.0837000000000001</v>
      </c>
      <c r="AD12" s="2910">
        <f>ROUND(AVERAGE(I12:I$19)/100,4)</f>
        <v>1.37E-2</v>
      </c>
      <c r="AE12" s="2910">
        <f>ROUND(AVERAGE(J12:J$19)/100,4)</f>
        <v>1.1900000000000001E-2</v>
      </c>
      <c r="AF12" s="2910">
        <f t="shared" si="1"/>
        <v>1.1900000000000001E-2</v>
      </c>
      <c r="AG12" s="2910">
        <f>ROUND(AVERAGE(K12:K$19)/100,4)</f>
        <v>1.4500000000000001E-2</v>
      </c>
      <c r="AH12" s="2910">
        <f>ROUND(AVERAGE(L12:L$19)/100,4)</f>
        <v>1.18E-2</v>
      </c>
    </row>
    <row r="13" spans="1:34">
      <c r="A13" s="2911" t="s">
        <v>1161</v>
      </c>
      <c r="B13" s="2931">
        <f t="shared" ref="B13:C15" si="10">B12/(1+N12)</f>
        <v>327.65915576109415</v>
      </c>
      <c r="C13" s="2931">
        <f t="shared" si="10"/>
        <v>273.95905449510434</v>
      </c>
      <c r="D13" s="2931">
        <f t="shared" si="7"/>
        <v>273.95905449510434</v>
      </c>
      <c r="E13" s="2931">
        <f t="shared" ref="E13:F15" si="11">E12/(1+P12)</f>
        <v>451.01699911565294</v>
      </c>
      <c r="F13" s="2931">
        <f t="shared" si="11"/>
        <v>244.38119540681129</v>
      </c>
      <c r="G13" s="3803"/>
      <c r="H13" s="2941">
        <v>3</v>
      </c>
      <c r="I13" s="2941">
        <v>1.65</v>
      </c>
      <c r="J13" s="2941">
        <v>0.92</v>
      </c>
      <c r="K13" s="2941">
        <v>1.88</v>
      </c>
      <c r="L13" s="2942">
        <v>1.26</v>
      </c>
      <c r="N13" s="2926">
        <f t="shared" si="9"/>
        <v>1.6500000000000001E-2</v>
      </c>
      <c r="O13" s="2943">
        <f t="shared" si="5"/>
        <v>9.1999999999999998E-3</v>
      </c>
      <c r="P13" s="2943">
        <f t="shared" si="5"/>
        <v>1.8799999999999997E-2</v>
      </c>
      <c r="Q13" s="2943">
        <f t="shared" si="5"/>
        <v>1.26E-2</v>
      </c>
      <c r="R13" s="2928"/>
      <c r="S13" s="2926"/>
      <c r="T13" s="2927"/>
      <c r="U13" s="2927"/>
      <c r="V13" s="2927"/>
      <c r="X13" s="2909">
        <f>ROUND(SUMPRODUCT(PRODUCT(1+N13:N$18)),4)</f>
        <v>1.0651999999999999</v>
      </c>
      <c r="Y13" s="2909">
        <f>ROUND(SUMPRODUCT(PRODUCT(1+O13:O$18)),4)</f>
        <v>1.0621</v>
      </c>
      <c r="Z13" s="2909">
        <f t="shared" si="0"/>
        <v>1.0621</v>
      </c>
      <c r="AA13" s="2909">
        <f>ROUND(SUMPRODUCT(PRODUCT(1+P13:P$18)),4)</f>
        <v>1.0668</v>
      </c>
      <c r="AB13" s="2909">
        <f>ROUND(SUMPRODUCT(PRODUCT(1+Q13:Q$18)),4)</f>
        <v>1.0636000000000001</v>
      </c>
      <c r="AD13" s="2910">
        <f>ROUND(AVERAGE(I13:I$19)/100,4)</f>
        <v>1.3299999999999999E-2</v>
      </c>
      <c r="AE13" s="2910">
        <f>ROUND(AVERAGE(J13:J$19)/100,4)</f>
        <v>1.2E-2</v>
      </c>
      <c r="AF13" s="2910">
        <f t="shared" si="1"/>
        <v>1.2E-2</v>
      </c>
      <c r="AG13" s="2910">
        <f>ROUND(AVERAGE(K13:K$19)/100,4)</f>
        <v>1.4E-2</v>
      </c>
      <c r="AH13" s="2910">
        <f>ROUND(AVERAGE(L13:L$19)/100,4)</f>
        <v>1.0800000000000001E-2</v>
      </c>
    </row>
    <row r="14" spans="1:34">
      <c r="A14" s="2911" t="s">
        <v>1160</v>
      </c>
      <c r="B14" s="2931">
        <f t="shared" si="10"/>
        <v>322.34053690220776</v>
      </c>
      <c r="C14" s="2931">
        <f t="shared" si="10"/>
        <v>271.46160770422546</v>
      </c>
      <c r="D14" s="2931">
        <f t="shared" si="7"/>
        <v>271.46160770422546</v>
      </c>
      <c r="E14" s="2931">
        <f t="shared" si="11"/>
        <v>442.69434542172456</v>
      </c>
      <c r="F14" s="2931">
        <f t="shared" si="11"/>
        <v>241.34030753190925</v>
      </c>
      <c r="G14" s="3803"/>
      <c r="H14" s="2917">
        <v>2</v>
      </c>
      <c r="I14" s="2917">
        <v>0.77</v>
      </c>
      <c r="J14" s="2917">
        <v>0.69</v>
      </c>
      <c r="K14" s="2917">
        <v>0.8</v>
      </c>
      <c r="L14" s="2933">
        <v>0.88</v>
      </c>
      <c r="N14" s="2926">
        <f t="shared" si="9"/>
        <v>7.7000000000000002E-3</v>
      </c>
      <c r="O14" s="2943">
        <f t="shared" si="5"/>
        <v>6.8999999999999999E-3</v>
      </c>
      <c r="P14" s="2943">
        <f t="shared" si="5"/>
        <v>8.0000000000000002E-3</v>
      </c>
      <c r="Q14" s="2943">
        <f t="shared" si="5"/>
        <v>8.8000000000000005E-3</v>
      </c>
      <c r="R14" s="2928"/>
      <c r="S14" s="2926"/>
      <c r="T14" s="2927"/>
      <c r="U14" s="2927"/>
      <c r="V14" s="2927"/>
      <c r="X14" s="2909">
        <f>ROUND(SUMPRODUCT(PRODUCT(1+N14:N$18)),4)</f>
        <v>1.048</v>
      </c>
      <c r="Y14" s="2909">
        <f>ROUND(SUMPRODUCT(PRODUCT(1+O14:O$18)),4)</f>
        <v>1.0524</v>
      </c>
      <c r="Z14" s="2909">
        <f t="shared" si="0"/>
        <v>1.0524</v>
      </c>
      <c r="AA14" s="2909">
        <f>ROUND(SUMPRODUCT(PRODUCT(1+P14:P$18)),4)</f>
        <v>1.0470999999999999</v>
      </c>
      <c r="AB14" s="2909">
        <f>ROUND(SUMPRODUCT(PRODUCT(1+Q14:Q$18)),4)</f>
        <v>1.0504</v>
      </c>
      <c r="AD14" s="2910">
        <f>ROUND(AVERAGE(I14:I$19)/100,4)</f>
        <v>1.2800000000000001E-2</v>
      </c>
      <c r="AE14" s="2910">
        <f>ROUND(AVERAGE(J14:J$19)/100,4)</f>
        <v>1.2500000000000001E-2</v>
      </c>
      <c r="AF14" s="2910">
        <f t="shared" si="1"/>
        <v>1.2500000000000001E-2</v>
      </c>
      <c r="AG14" s="2910">
        <f>ROUND(AVERAGE(K14:K$19)/100,4)</f>
        <v>1.32E-2</v>
      </c>
      <c r="AH14" s="2910">
        <f>ROUND(AVERAGE(L14:L$19)/100,4)</f>
        <v>1.0500000000000001E-2</v>
      </c>
    </row>
    <row r="15" spans="1:34">
      <c r="A15" s="2911" t="s">
        <v>1159</v>
      </c>
      <c r="B15" s="2931">
        <f t="shared" si="10"/>
        <v>319.87748030386797</v>
      </c>
      <c r="C15" s="2931">
        <f t="shared" si="10"/>
        <v>269.60135833173649</v>
      </c>
      <c r="D15" s="2931">
        <f t="shared" si="7"/>
        <v>269.60135833173649</v>
      </c>
      <c r="E15" s="2931">
        <f t="shared" si="11"/>
        <v>439.18089823583784</v>
      </c>
      <c r="F15" s="2931">
        <f t="shared" si="11"/>
        <v>239.23503918706311</v>
      </c>
      <c r="G15" s="3804"/>
      <c r="H15" s="2916">
        <v>1</v>
      </c>
      <c r="I15" s="2916">
        <v>0.51</v>
      </c>
      <c r="J15" s="2916">
        <v>0.54</v>
      </c>
      <c r="K15" s="2916">
        <v>0.48</v>
      </c>
      <c r="L15" s="2932">
        <v>0.93</v>
      </c>
      <c r="N15" s="2934">
        <f t="shared" si="9"/>
        <v>5.1000000000000004E-3</v>
      </c>
      <c r="O15" s="2935">
        <f t="shared" si="5"/>
        <v>5.4000000000000003E-3</v>
      </c>
      <c r="P15" s="2935">
        <f t="shared" si="5"/>
        <v>4.7999999999999996E-3</v>
      </c>
      <c r="Q15" s="2935">
        <f t="shared" si="5"/>
        <v>9.300000000000001E-3</v>
      </c>
      <c r="R15" s="2928"/>
      <c r="S15" s="2934">
        <f>B15/B16-1</f>
        <v>5.9040261127922822E-3</v>
      </c>
      <c r="T15" s="2935">
        <f>C15/C16-1</f>
        <v>5.9752176557332781E-3</v>
      </c>
      <c r="U15" s="2935">
        <f>E15/E16-1</f>
        <v>4.9906138119859556E-3</v>
      </c>
      <c r="V15" s="2935">
        <f>F15/F16-1</f>
        <v>9.4305450930933787E-3</v>
      </c>
      <c r="X15" s="2909">
        <f>ROUND(SUMPRODUCT(PRODUCT(1+N15:N$18)),4)</f>
        <v>1.0399</v>
      </c>
      <c r="Y15" s="2909">
        <f>ROUND(SUMPRODUCT(PRODUCT(1+O15:O$18)),4)</f>
        <v>1.0451999999999999</v>
      </c>
      <c r="Z15" s="2909">
        <f t="shared" si="0"/>
        <v>1.0451999999999999</v>
      </c>
      <c r="AA15" s="2909">
        <f>ROUND(SUMPRODUCT(PRODUCT(1+P15:P$18)),4)</f>
        <v>1.0387999999999999</v>
      </c>
      <c r="AB15" s="2909">
        <f>ROUND(SUMPRODUCT(PRODUCT(1+Q15:Q$18)),4)</f>
        <v>1.0411999999999999</v>
      </c>
      <c r="AD15" s="2910">
        <f>ROUND(AVERAGE(I15:I$19)/100,4)</f>
        <v>1.38E-2</v>
      </c>
      <c r="AE15" s="2910">
        <f>ROUND(AVERAGE(J15:J$19)/100,4)</f>
        <v>1.3599999999999999E-2</v>
      </c>
      <c r="AF15" s="2910">
        <f t="shared" si="1"/>
        <v>1.3599999999999999E-2</v>
      </c>
      <c r="AG15" s="2910">
        <f>ROUND(AVERAGE(K15:K$19)/100,4)</f>
        <v>1.4200000000000001E-2</v>
      </c>
      <c r="AH15" s="2910">
        <f>ROUND(AVERAGE(L15:L$19)/100,4)</f>
        <v>1.0800000000000001E-2</v>
      </c>
    </row>
    <row r="16" spans="1:34" ht="13.5" thickBot="1">
      <c r="A16" s="2911" t="s">
        <v>1158</v>
      </c>
      <c r="B16" s="2944">
        <v>318</v>
      </c>
      <c r="C16" s="2944">
        <v>268</v>
      </c>
      <c r="D16" s="2944">
        <f t="shared" si="7"/>
        <v>268</v>
      </c>
      <c r="E16" s="2944">
        <v>437</v>
      </c>
      <c r="F16" s="2945">
        <v>237</v>
      </c>
      <c r="G16" s="3802">
        <v>2014</v>
      </c>
      <c r="H16" s="2936">
        <v>4</v>
      </c>
      <c r="I16" s="2936">
        <v>0.21</v>
      </c>
      <c r="J16" s="2936">
        <v>0.41</v>
      </c>
      <c r="K16" s="2936">
        <v>0.12</v>
      </c>
      <c r="L16" s="2937">
        <v>0.89</v>
      </c>
      <c r="N16" s="2926">
        <f t="shared" si="9"/>
        <v>2.0999999999999999E-3</v>
      </c>
      <c r="O16" s="2927">
        <f t="shared" si="5"/>
        <v>4.0999999999999995E-3</v>
      </c>
      <c r="P16" s="2927">
        <f t="shared" si="5"/>
        <v>1.1999999999999999E-3</v>
      </c>
      <c r="Q16" s="2927">
        <f t="shared" si="5"/>
        <v>8.8999999999999999E-3</v>
      </c>
      <c r="R16" s="2928"/>
      <c r="S16" s="2929"/>
      <c r="T16" s="2930"/>
      <c r="U16" s="2930"/>
      <c r="V16" s="2930"/>
      <c r="X16" s="2909">
        <f>ROUND(SUMPRODUCT(PRODUCT(1+N16:N$18)),4)</f>
        <v>1.0347</v>
      </c>
      <c r="Y16" s="2909">
        <f>ROUND(SUMPRODUCT(PRODUCT(1+O16:O$18)),4)</f>
        <v>1.0395000000000001</v>
      </c>
      <c r="Z16" s="2909">
        <f t="shared" si="0"/>
        <v>1.0395000000000001</v>
      </c>
      <c r="AA16" s="2909">
        <f>ROUND(SUMPRODUCT(PRODUCT(1+P16:P$18)),4)</f>
        <v>1.0338000000000001</v>
      </c>
      <c r="AB16" s="2909">
        <f>ROUND(SUMPRODUCT(PRODUCT(1+Q16:Q$18)),4)</f>
        <v>1.0316000000000001</v>
      </c>
      <c r="AD16" s="2910">
        <f>ROUND(AVERAGE(I16:I$19)/100,4)</f>
        <v>1.6E-2</v>
      </c>
      <c r="AE16" s="2910">
        <f>ROUND(AVERAGE(J16:J$19)/100,4)</f>
        <v>1.5599999999999999E-2</v>
      </c>
      <c r="AF16" s="2910">
        <f t="shared" si="1"/>
        <v>1.5599999999999999E-2</v>
      </c>
      <c r="AG16" s="2910">
        <f>ROUND(AVERAGE(K16:K$19)/100,4)</f>
        <v>1.66E-2</v>
      </c>
      <c r="AH16" s="2910">
        <f>ROUND(AVERAGE(L16:L$19)/100,4)</f>
        <v>1.12E-2</v>
      </c>
    </row>
    <row r="17" spans="1:34">
      <c r="A17" s="2911" t="s">
        <v>1157</v>
      </c>
      <c r="B17" s="2931">
        <f t="shared" ref="B17:C19" si="12">B16/(1+N16)</f>
        <v>317.33359944117353</v>
      </c>
      <c r="C17" s="2931">
        <f t="shared" si="12"/>
        <v>266.90568668459315</v>
      </c>
      <c r="D17" s="2931">
        <f t="shared" si="7"/>
        <v>266.90568668459315</v>
      </c>
      <c r="E17" s="2931">
        <f t="shared" ref="E17:F19" si="13">E16/(1+P16)</f>
        <v>436.47622852576905</v>
      </c>
      <c r="F17" s="2931">
        <f t="shared" si="13"/>
        <v>234.90930716622066</v>
      </c>
      <c r="G17" s="3803"/>
      <c r="H17" s="2946">
        <v>3</v>
      </c>
      <c r="I17" s="2946">
        <v>0.83</v>
      </c>
      <c r="J17" s="2946">
        <v>1.47</v>
      </c>
      <c r="K17" s="2946">
        <v>0.65</v>
      </c>
      <c r="L17" s="2947">
        <v>0.72</v>
      </c>
      <c r="N17" s="2926">
        <f t="shared" si="9"/>
        <v>8.3000000000000001E-3</v>
      </c>
      <c r="O17" s="2927">
        <f t="shared" si="5"/>
        <v>1.47E-2</v>
      </c>
      <c r="P17" s="2927">
        <f t="shared" si="5"/>
        <v>6.5000000000000006E-3</v>
      </c>
      <c r="Q17" s="2927">
        <f t="shared" si="5"/>
        <v>7.1999999999999998E-3</v>
      </c>
      <c r="R17" s="2928"/>
      <c r="S17" s="2926"/>
      <c r="T17" s="2927"/>
      <c r="U17" s="2927"/>
      <c r="V17" s="2927"/>
      <c r="X17" s="2909">
        <f>ROUND(SUMPRODUCT(PRODUCT(1+N17:N$18)),4)</f>
        <v>1.0325</v>
      </c>
      <c r="Y17" s="2909">
        <f>ROUND(SUMPRODUCT(PRODUCT(1+O17:O$18)),4)</f>
        <v>1.0353000000000001</v>
      </c>
      <c r="Z17" s="2909">
        <f>Y17</f>
        <v>1.0353000000000001</v>
      </c>
      <c r="AA17" s="2909">
        <f>ROUND(SUMPRODUCT(PRODUCT(1+P17:P$18)),4)</f>
        <v>1.0326</v>
      </c>
      <c r="AB17" s="2909">
        <f>ROUND(SUMPRODUCT(PRODUCT(1+Q17:Q$18)),4)</f>
        <v>1.0225</v>
      </c>
      <c r="AD17" s="2910">
        <f>ROUND(AVERAGE(I17:I$19)/100,4)</f>
        <v>2.07E-2</v>
      </c>
      <c r="AE17" s="2910">
        <f>ROUND(AVERAGE(J17:J$19)/100,4)</f>
        <v>1.95E-2</v>
      </c>
      <c r="AF17" s="2910">
        <f t="shared" si="1"/>
        <v>1.95E-2</v>
      </c>
      <c r="AG17" s="2910">
        <f>ROUND(AVERAGE(K17:K$19)/100,4)</f>
        <v>2.1700000000000001E-2</v>
      </c>
      <c r="AH17" s="2910">
        <f>ROUND(AVERAGE(L17:L$19)/100,4)</f>
        <v>1.2E-2</v>
      </c>
    </row>
    <row r="18" spans="1:34" ht="13.5" thickBot="1">
      <c r="A18" s="2911" t="s">
        <v>1156</v>
      </c>
      <c r="B18" s="2931">
        <f t="shared" si="12"/>
        <v>314.72141172386546</v>
      </c>
      <c r="C18" s="2931">
        <f t="shared" si="12"/>
        <v>263.03901319069001</v>
      </c>
      <c r="D18" s="2931">
        <f t="shared" si="7"/>
        <v>263.03901319069001</v>
      </c>
      <c r="E18" s="2931">
        <f t="shared" si="13"/>
        <v>433.65745506782821</v>
      </c>
      <c r="F18" s="2931">
        <f t="shared" si="13"/>
        <v>233.23005080045735</v>
      </c>
      <c r="G18" s="3803"/>
      <c r="H18" s="2936">
        <v>2</v>
      </c>
      <c r="I18" s="2936">
        <v>2.4</v>
      </c>
      <c r="J18" s="2936">
        <v>2.0299999999999998</v>
      </c>
      <c r="K18" s="2936">
        <v>2.59</v>
      </c>
      <c r="L18" s="2937">
        <v>1.52</v>
      </c>
      <c r="N18" s="2926">
        <f t="shared" si="9"/>
        <v>2.4E-2</v>
      </c>
      <c r="O18" s="2927">
        <f t="shared" si="5"/>
        <v>2.0299999999999999E-2</v>
      </c>
      <c r="P18" s="2927">
        <f t="shared" si="5"/>
        <v>2.5899999999999999E-2</v>
      </c>
      <c r="Q18" s="2927">
        <f t="shared" si="5"/>
        <v>1.52E-2</v>
      </c>
      <c r="R18" s="2928"/>
      <c r="S18" s="2926"/>
      <c r="T18" s="2927"/>
      <c r="U18" s="2927"/>
      <c r="V18" s="2927"/>
      <c r="X18" s="2909">
        <f>1+N18</f>
        <v>1.024</v>
      </c>
      <c r="Y18" s="2909">
        <f>1+O18</f>
        <v>1.0203</v>
      </c>
      <c r="Z18" s="2909">
        <f>Y18</f>
        <v>1.0203</v>
      </c>
      <c r="AA18" s="2909">
        <f>1+P18</f>
        <v>1.0259</v>
      </c>
      <c r="AB18" s="2909">
        <f>1+Q18</f>
        <v>1.0152000000000001</v>
      </c>
      <c r="AD18" s="2910">
        <f>ROUND(AVERAGE(I18:I$19)/100,4)</f>
        <v>2.69E-2</v>
      </c>
      <c r="AE18" s="2910">
        <f>ROUND(AVERAGE(J18:J$19)/100,4)</f>
        <v>2.1899999999999999E-2</v>
      </c>
      <c r="AF18" s="2910">
        <f>AE18</f>
        <v>2.1899999999999999E-2</v>
      </c>
      <c r="AG18" s="2910">
        <f>ROUND(AVERAGE(K18:K$19)/100,4)</f>
        <v>2.9399999999999999E-2</v>
      </c>
      <c r="AH18" s="2910">
        <f>ROUND(AVERAGE(L18:L$19)/100,4)</f>
        <v>1.44E-2</v>
      </c>
    </row>
    <row r="19" spans="1:34" s="2952" customFormat="1" ht="13.5" thickBot="1">
      <c r="A19" s="2948" t="s">
        <v>1155</v>
      </c>
      <c r="B19" s="2949">
        <f t="shared" si="12"/>
        <v>307.34512863658733</v>
      </c>
      <c r="C19" s="2949">
        <f t="shared" si="12"/>
        <v>257.80556031626975</v>
      </c>
      <c r="D19" s="2949">
        <f t="shared" si="7"/>
        <v>257.80556031626975</v>
      </c>
      <c r="E19" s="2949">
        <f t="shared" si="13"/>
        <v>422.70928459677179</v>
      </c>
      <c r="F19" s="2949">
        <f t="shared" si="13"/>
        <v>229.73803270336617</v>
      </c>
      <c r="G19" s="3804"/>
      <c r="H19" s="2950">
        <v>1</v>
      </c>
      <c r="I19" s="2950">
        <v>2.97</v>
      </c>
      <c r="J19" s="2950">
        <v>2.34</v>
      </c>
      <c r="K19" s="2950">
        <v>3.28</v>
      </c>
      <c r="L19" s="2951">
        <v>1.36</v>
      </c>
      <c r="N19" s="2953">
        <f t="shared" si="9"/>
        <v>2.9700000000000001E-2</v>
      </c>
      <c r="O19" s="2954">
        <f t="shared" si="5"/>
        <v>2.3399999999999997E-2</v>
      </c>
      <c r="P19" s="2954">
        <f t="shared" si="5"/>
        <v>3.2799999999999996E-2</v>
      </c>
      <c r="Q19" s="2954">
        <f t="shared" si="5"/>
        <v>1.3600000000000001E-2</v>
      </c>
      <c r="R19" s="2955"/>
      <c r="S19" s="2956">
        <f>B19/B20-1</f>
        <v>2.7910129219355539E-2</v>
      </c>
      <c r="T19" s="2957">
        <f>C19/C20-1</f>
        <v>2.3037937762975247E-2</v>
      </c>
      <c r="U19" s="2957">
        <f>E19/E20-1</f>
        <v>3.3519033243940788E-2</v>
      </c>
      <c r="V19" s="2957">
        <f>F19/F20-1</f>
        <v>1.2061818076502862E-2</v>
      </c>
      <c r="W19" s="2958" t="s">
        <v>2732</v>
      </c>
      <c r="X19" s="2959">
        <v>1</v>
      </c>
      <c r="Y19" s="2959">
        <v>1</v>
      </c>
      <c r="Z19" s="2959">
        <v>1</v>
      </c>
      <c r="AA19" s="2959">
        <v>1</v>
      </c>
      <c r="AB19" s="2959">
        <v>1</v>
      </c>
      <c r="AD19" s="3227">
        <f>I19/100</f>
        <v>2.9700000000000001E-2</v>
      </c>
      <c r="AE19" s="3227">
        <f>J19/100</f>
        <v>2.3399999999999997E-2</v>
      </c>
      <c r="AF19" s="3227">
        <f>AE19</f>
        <v>2.3399999999999997E-2</v>
      </c>
      <c r="AG19" s="3227">
        <f>K19/100</f>
        <v>3.2799999999999996E-2</v>
      </c>
      <c r="AH19" s="3227">
        <f>L19/100</f>
        <v>1.3600000000000001E-2</v>
      </c>
    </row>
    <row r="20" spans="1:34" ht="13.5" thickBot="1">
      <c r="A20" s="2911" t="s">
        <v>2733</v>
      </c>
      <c r="B20" s="2923">
        <v>299</v>
      </c>
      <c r="C20" s="2923">
        <v>252</v>
      </c>
      <c r="D20" s="2923">
        <f t="shared" si="7"/>
        <v>252</v>
      </c>
      <c r="E20" s="2923">
        <v>409</v>
      </c>
      <c r="F20" s="2924">
        <v>227</v>
      </c>
      <c r="G20" s="3807">
        <v>2013</v>
      </c>
      <c r="H20" s="2960">
        <v>4</v>
      </c>
      <c r="I20" s="2960">
        <v>1.83</v>
      </c>
      <c r="J20" s="2960">
        <v>1.68</v>
      </c>
      <c r="K20" s="2960">
        <v>1.97</v>
      </c>
      <c r="L20" s="2961">
        <v>0.87</v>
      </c>
      <c r="N20" s="2938">
        <f t="shared" si="9"/>
        <v>1.83E-2</v>
      </c>
      <c r="O20" s="2939">
        <f t="shared" si="5"/>
        <v>1.6799999999999999E-2</v>
      </c>
      <c r="P20" s="2939">
        <f t="shared" si="5"/>
        <v>1.9699999999999999E-2</v>
      </c>
      <c r="Q20" s="2939">
        <f t="shared" si="5"/>
        <v>8.6999999999999994E-3</v>
      </c>
      <c r="R20" s="2928"/>
      <c r="S20" s="2929"/>
      <c r="T20" s="2930"/>
      <c r="U20" s="2930"/>
      <c r="V20" s="2930"/>
      <c r="X20" s="2930"/>
      <c r="Y20" s="2930"/>
      <c r="Z20" s="2930"/>
    </row>
    <row r="21" spans="1:34">
      <c r="A21" s="2911" t="s">
        <v>2734</v>
      </c>
      <c r="B21" s="2931">
        <f t="shared" ref="B21:C23" si="14">B20/(1+N20)</f>
        <v>293.62663262299913</v>
      </c>
      <c r="C21" s="2931">
        <f t="shared" si="14"/>
        <v>247.83634933123525</v>
      </c>
      <c r="D21" s="2931">
        <f t="shared" si="7"/>
        <v>247.83634933123525</v>
      </c>
      <c r="E21" s="2931">
        <f t="shared" ref="E21:F23" si="15">E20/(1+P20)</f>
        <v>401.09836226341076</v>
      </c>
      <c r="F21" s="2931">
        <f t="shared" si="15"/>
        <v>225.04213343908003</v>
      </c>
      <c r="G21" s="3808"/>
      <c r="H21" s="2941">
        <v>3</v>
      </c>
      <c r="I21" s="2941">
        <v>1.86</v>
      </c>
      <c r="J21" s="2941">
        <v>1.72</v>
      </c>
      <c r="K21" s="2941">
        <v>1.98</v>
      </c>
      <c r="L21" s="2942">
        <v>0.88</v>
      </c>
      <c r="N21" s="2926">
        <f t="shared" si="9"/>
        <v>1.8600000000000002E-2</v>
      </c>
      <c r="O21" s="2943">
        <f t="shared" si="5"/>
        <v>1.72E-2</v>
      </c>
      <c r="P21" s="2943">
        <f t="shared" si="5"/>
        <v>1.9799999999999998E-2</v>
      </c>
      <c r="Q21" s="2943">
        <f t="shared" si="5"/>
        <v>8.8000000000000005E-3</v>
      </c>
      <c r="R21" s="2928"/>
      <c r="S21" s="2926"/>
      <c r="T21" s="2927"/>
      <c r="U21" s="2927"/>
      <c r="V21" s="2927"/>
    </row>
    <row r="22" spans="1:34">
      <c r="A22" s="2911" t="s">
        <v>2735</v>
      </c>
      <c r="B22" s="2931">
        <f t="shared" si="14"/>
        <v>288.2649053828776</v>
      </c>
      <c r="C22" s="2931">
        <f t="shared" si="14"/>
        <v>243.64564425013293</v>
      </c>
      <c r="D22" s="2931">
        <f t="shared" si="7"/>
        <v>243.64564425013293</v>
      </c>
      <c r="E22" s="2931">
        <f t="shared" si="15"/>
        <v>393.31080825986544</v>
      </c>
      <c r="F22" s="2931">
        <f t="shared" si="15"/>
        <v>223.07903790551154</v>
      </c>
      <c r="G22" s="3808"/>
      <c r="H22" s="2917">
        <v>2</v>
      </c>
      <c r="I22" s="2917">
        <v>2.04</v>
      </c>
      <c r="J22" s="2917">
        <v>2.33</v>
      </c>
      <c r="K22" s="2917">
        <v>2.0699999999999998</v>
      </c>
      <c r="L22" s="2933">
        <v>0.69</v>
      </c>
      <c r="N22" s="2926">
        <f t="shared" si="9"/>
        <v>2.0400000000000001E-2</v>
      </c>
      <c r="O22" s="2943">
        <f t="shared" si="5"/>
        <v>2.3300000000000001E-2</v>
      </c>
      <c r="P22" s="2943">
        <f t="shared" si="5"/>
        <v>2.07E-2</v>
      </c>
      <c r="Q22" s="2943">
        <f t="shared" si="5"/>
        <v>6.8999999999999999E-3</v>
      </c>
      <c r="R22" s="2928"/>
      <c r="S22" s="2926"/>
      <c r="T22" s="2927"/>
      <c r="U22" s="2927"/>
      <c r="V22" s="2927"/>
      <c r="X22" s="2962"/>
      <c r="Y22" s="2963"/>
    </row>
    <row r="23" spans="1:34">
      <c r="A23" s="2911" t="s">
        <v>2736</v>
      </c>
      <c r="B23" s="2931">
        <f t="shared" si="14"/>
        <v>282.50186729015837</v>
      </c>
      <c r="C23" s="2931">
        <f t="shared" si="14"/>
        <v>238.09796174155468</v>
      </c>
      <c r="D23" s="2931">
        <f t="shared" si="7"/>
        <v>238.09796174155468</v>
      </c>
      <c r="E23" s="2931">
        <f t="shared" si="15"/>
        <v>385.33438646014054</v>
      </c>
      <c r="F23" s="2931">
        <f t="shared" si="15"/>
        <v>221.55034055567739</v>
      </c>
      <c r="G23" s="3809"/>
      <c r="H23" s="2916">
        <v>1</v>
      </c>
      <c r="I23" s="2916">
        <v>1.67</v>
      </c>
      <c r="J23" s="2916">
        <v>1.31</v>
      </c>
      <c r="K23" s="2916">
        <v>1.85</v>
      </c>
      <c r="L23" s="2932">
        <v>0.96</v>
      </c>
      <c r="N23" s="2934">
        <f t="shared" si="9"/>
        <v>1.67E-2</v>
      </c>
      <c r="O23" s="2935">
        <f t="shared" si="9"/>
        <v>1.3100000000000001E-2</v>
      </c>
      <c r="P23" s="2935">
        <f t="shared" si="9"/>
        <v>1.8500000000000003E-2</v>
      </c>
      <c r="Q23" s="2935">
        <f t="shared" si="9"/>
        <v>9.5999999999999992E-3</v>
      </c>
      <c r="R23" s="2928"/>
      <c r="S23" s="2934">
        <f>B23/B24-1</f>
        <v>1.6193767230785472E-2</v>
      </c>
      <c r="T23" s="2935">
        <f>C23/C24-1</f>
        <v>1.7512657015190891E-2</v>
      </c>
      <c r="U23" s="2935">
        <f>E23/E24-1</f>
        <v>1.6713420739157048E-2</v>
      </c>
      <c r="V23" s="2935">
        <f>F23/F24-1</f>
        <v>7.0470025258062563E-3</v>
      </c>
      <c r="X23" s="2964"/>
      <c r="Y23" s="2910"/>
      <c r="Z23" s="2910"/>
    </row>
    <row r="24" spans="1:34" ht="13.5" thickBot="1">
      <c r="A24" s="2911" t="s">
        <v>2737</v>
      </c>
      <c r="B24" s="2965">
        <v>278</v>
      </c>
      <c r="C24" s="2965">
        <v>234</v>
      </c>
      <c r="D24" s="2965">
        <f t="shared" si="7"/>
        <v>234</v>
      </c>
      <c r="E24" s="2965">
        <v>379</v>
      </c>
      <c r="F24" s="2966">
        <v>220</v>
      </c>
      <c r="G24" s="3802">
        <v>2012</v>
      </c>
      <c r="H24" s="2936">
        <v>4</v>
      </c>
      <c r="I24" s="2936">
        <v>0.91</v>
      </c>
      <c r="J24" s="2936">
        <v>0.68</v>
      </c>
      <c r="K24" s="2936">
        <v>0.98</v>
      </c>
      <c r="L24" s="2937">
        <v>0.9</v>
      </c>
      <c r="N24" s="2926">
        <f t="shared" si="9"/>
        <v>9.1000000000000004E-3</v>
      </c>
      <c r="O24" s="2927">
        <f t="shared" si="9"/>
        <v>6.8000000000000005E-3</v>
      </c>
      <c r="P24" s="2927">
        <f t="shared" si="9"/>
        <v>9.7999999999999997E-3</v>
      </c>
      <c r="Q24" s="2927">
        <f t="shared" si="9"/>
        <v>9.0000000000000011E-3</v>
      </c>
      <c r="R24" s="2928"/>
      <c r="S24" s="2929"/>
      <c r="T24" s="2930"/>
      <c r="U24" s="2930"/>
      <c r="V24" s="2930"/>
      <c r="X24" s="2930"/>
      <c r="Y24" s="2930"/>
      <c r="Z24" s="2930"/>
    </row>
    <row r="25" spans="1:34">
      <c r="A25" s="2911" t="s">
        <v>2738</v>
      </c>
      <c r="B25" s="2931">
        <f>B24/(1+N24)</f>
        <v>275.49301357645425</v>
      </c>
      <c r="C25" s="2931">
        <f>C24/(1+O24)</f>
        <v>232.41954707985698</v>
      </c>
      <c r="D25" s="2931">
        <f t="shared" si="7"/>
        <v>232.41954707985698</v>
      </c>
      <c r="E25" s="2931">
        <f t="shared" ref="E25:F27" si="16">E24/(1+P24)</f>
        <v>375.32184591008121</v>
      </c>
      <c r="F25" s="2931">
        <f t="shared" si="16"/>
        <v>218.03766105054513</v>
      </c>
      <c r="G25" s="3803"/>
      <c r="H25" s="2941">
        <v>3</v>
      </c>
      <c r="I25" s="2941">
        <v>0.09</v>
      </c>
      <c r="J25" s="2941">
        <v>0.28999999999999998</v>
      </c>
      <c r="K25" s="2941">
        <v>-0.01</v>
      </c>
      <c r="L25" s="2942">
        <v>0.57999999999999996</v>
      </c>
      <c r="N25" s="2926">
        <f t="shared" si="9"/>
        <v>8.9999999999999998E-4</v>
      </c>
      <c r="O25" s="2927">
        <f t="shared" si="9"/>
        <v>2.8999999999999998E-3</v>
      </c>
      <c r="P25" s="2927">
        <f t="shared" si="9"/>
        <v>-1E-4</v>
      </c>
      <c r="Q25" s="2927">
        <f t="shared" si="9"/>
        <v>5.7999999999999996E-3</v>
      </c>
      <c r="R25" s="2928"/>
      <c r="S25" s="2926"/>
      <c r="T25" s="2927"/>
      <c r="U25" s="2927"/>
      <c r="V25" s="2927"/>
    </row>
    <row r="26" spans="1:34">
      <c r="A26" s="2911" t="s">
        <v>2739</v>
      </c>
      <c r="B26" s="2931">
        <f>B25/(1+N25)</f>
        <v>275.24529281292263</v>
      </c>
      <c r="C26" s="2931">
        <f>C25/(1+O25)</f>
        <v>231.74747938962707</v>
      </c>
      <c r="D26" s="2931">
        <f t="shared" si="7"/>
        <v>231.74747938962707</v>
      </c>
      <c r="E26" s="2931">
        <f t="shared" si="16"/>
        <v>375.35938184826603</v>
      </c>
      <c r="F26" s="2931">
        <f t="shared" si="16"/>
        <v>216.78033510692495</v>
      </c>
      <c r="G26" s="3803"/>
      <c r="H26" s="2917">
        <v>2</v>
      </c>
      <c r="I26" s="2917">
        <v>0.02</v>
      </c>
      <c r="J26" s="2917">
        <v>0.12</v>
      </c>
      <c r="K26" s="2917">
        <v>-0.08</v>
      </c>
      <c r="L26" s="2933">
        <v>1.24</v>
      </c>
      <c r="N26" s="2926">
        <f t="shared" si="9"/>
        <v>2.0000000000000001E-4</v>
      </c>
      <c r="O26" s="2927">
        <f t="shared" si="9"/>
        <v>1.1999999999999999E-3</v>
      </c>
      <c r="P26" s="2927">
        <f t="shared" si="9"/>
        <v>-8.0000000000000004E-4</v>
      </c>
      <c r="Q26" s="2927">
        <f t="shared" si="9"/>
        <v>1.24E-2</v>
      </c>
      <c r="R26" s="2928"/>
      <c r="S26" s="2926"/>
      <c r="T26" s="2927"/>
      <c r="U26" s="2927"/>
      <c r="V26" s="2927"/>
    </row>
    <row r="27" spans="1:34" ht="13.5" thickBot="1">
      <c r="A27" s="2911" t="s">
        <v>2740</v>
      </c>
      <c r="B27" s="2931">
        <f>B26/(1+N26)</f>
        <v>275.19025476197027</v>
      </c>
      <c r="C27" s="2967">
        <v>232</v>
      </c>
      <c r="D27" s="2967">
        <f t="shared" si="7"/>
        <v>232</v>
      </c>
      <c r="E27" s="2931">
        <f t="shared" si="16"/>
        <v>375.65990977608692</v>
      </c>
      <c r="F27" s="2931">
        <f t="shared" si="16"/>
        <v>214.12518283971252</v>
      </c>
      <c r="G27" s="3804"/>
      <c r="H27" s="2916">
        <v>1</v>
      </c>
      <c r="I27" s="2916">
        <v>0.02</v>
      </c>
      <c r="J27" s="2916">
        <v>0.13</v>
      </c>
      <c r="K27" s="2916">
        <v>-0.04</v>
      </c>
      <c r="L27" s="2932">
        <v>0.46</v>
      </c>
      <c r="N27" s="2926">
        <f t="shared" si="9"/>
        <v>2.0000000000000001E-4</v>
      </c>
      <c r="O27" s="2927">
        <f t="shared" si="9"/>
        <v>1.2999999999999999E-3</v>
      </c>
      <c r="P27" s="2927">
        <f t="shared" si="9"/>
        <v>-4.0000000000000002E-4</v>
      </c>
      <c r="Q27" s="2927">
        <f t="shared" si="9"/>
        <v>4.5999999999999999E-3</v>
      </c>
      <c r="R27" s="2928"/>
      <c r="S27" s="2934">
        <f>B27/B28-1</f>
        <v>6.9183549807361189E-4</v>
      </c>
      <c r="T27" s="2935">
        <f>C27/C28-1</f>
        <v>0</v>
      </c>
      <c r="U27" s="2935">
        <f>E27/E28-1</f>
        <v>-9.0449527636460303E-4</v>
      </c>
      <c r="V27" s="2935">
        <f>F27/F28-1</f>
        <v>5.2825485432512753E-3</v>
      </c>
      <c r="X27" s="2910"/>
      <c r="Y27" s="2910"/>
      <c r="Z27" s="2910"/>
    </row>
    <row r="28" spans="1:34" ht="13.5" thickBot="1">
      <c r="A28" s="2911" t="s">
        <v>2741</v>
      </c>
      <c r="B28" s="2923">
        <v>275</v>
      </c>
      <c r="C28" s="2923">
        <v>232</v>
      </c>
      <c r="D28" s="2923">
        <f t="shared" si="7"/>
        <v>232</v>
      </c>
      <c r="E28" s="2923">
        <v>376</v>
      </c>
      <c r="F28" s="2924">
        <v>213</v>
      </c>
      <c r="G28" s="3802">
        <v>2011</v>
      </c>
      <c r="H28" s="2936">
        <v>4</v>
      </c>
      <c r="I28" s="2936">
        <v>-0.2</v>
      </c>
      <c r="J28" s="2936">
        <v>0.04</v>
      </c>
      <c r="K28" s="2936">
        <v>-0.34</v>
      </c>
      <c r="L28" s="2937">
        <v>0.46</v>
      </c>
      <c r="N28" s="2938">
        <f t="shared" si="9"/>
        <v>-2E-3</v>
      </c>
      <c r="O28" s="2939">
        <f t="shared" si="9"/>
        <v>4.0000000000000002E-4</v>
      </c>
      <c r="P28" s="2939">
        <f t="shared" si="9"/>
        <v>-3.4000000000000002E-3</v>
      </c>
      <c r="Q28" s="2939">
        <f t="shared" si="9"/>
        <v>4.5999999999999999E-3</v>
      </c>
      <c r="R28" s="2928"/>
      <c r="S28" s="2929"/>
      <c r="T28" s="2930"/>
      <c r="U28" s="2930"/>
      <c r="V28" s="2930"/>
      <c r="X28" s="2930"/>
      <c r="Y28" s="2930"/>
      <c r="Z28" s="2930"/>
    </row>
    <row r="29" spans="1:34">
      <c r="A29" s="2911" t="s">
        <v>2742</v>
      </c>
      <c r="B29" s="2931">
        <f t="shared" ref="B29:C31" si="17">B28/(1+N28)</f>
        <v>275.55110220440883</v>
      </c>
      <c r="C29" s="2931">
        <f t="shared" si="17"/>
        <v>231.90723710515795</v>
      </c>
      <c r="D29" s="2931">
        <f t="shared" si="7"/>
        <v>231.90723710515795</v>
      </c>
      <c r="E29" s="2931">
        <f t="shared" ref="E29:F31" si="18">E28/(1+P28)</f>
        <v>377.28276138872161</v>
      </c>
      <c r="F29" s="2931">
        <f t="shared" si="18"/>
        <v>212.02468644236512</v>
      </c>
      <c r="G29" s="3803">
        <v>2011</v>
      </c>
      <c r="H29" s="2941">
        <v>3</v>
      </c>
      <c r="I29" s="2941">
        <v>0.13</v>
      </c>
      <c r="J29" s="2941">
        <v>0.75</v>
      </c>
      <c r="K29" s="2941">
        <v>-0.08</v>
      </c>
      <c r="L29" s="2942">
        <v>0.53</v>
      </c>
      <c r="N29" s="2926">
        <f t="shared" si="9"/>
        <v>1.2999999999999999E-3</v>
      </c>
      <c r="O29" s="2943">
        <f t="shared" si="9"/>
        <v>7.4999999999999997E-3</v>
      </c>
      <c r="P29" s="2943">
        <f t="shared" si="9"/>
        <v>-8.0000000000000004E-4</v>
      </c>
      <c r="Q29" s="2943">
        <f t="shared" si="9"/>
        <v>5.3E-3</v>
      </c>
      <c r="R29" s="2928"/>
      <c r="S29" s="2926"/>
      <c r="T29" s="2927"/>
      <c r="U29" s="2927"/>
      <c r="V29" s="2927"/>
    </row>
    <row r="30" spans="1:34">
      <c r="A30" s="2911" t="s">
        <v>2743</v>
      </c>
      <c r="B30" s="2931">
        <f t="shared" si="17"/>
        <v>275.19335084830601</v>
      </c>
      <c r="C30" s="2931">
        <f t="shared" si="17"/>
        <v>230.18088050139744</v>
      </c>
      <c r="D30" s="2931">
        <f t="shared" si="7"/>
        <v>230.18088050139744</v>
      </c>
      <c r="E30" s="2931">
        <f t="shared" si="18"/>
        <v>377.58482925212331</v>
      </c>
      <c r="F30" s="2931">
        <f t="shared" si="18"/>
        <v>210.90687997847917</v>
      </c>
      <c r="G30" s="3803">
        <v>2011</v>
      </c>
      <c r="H30" s="2917">
        <v>2</v>
      </c>
      <c r="I30" s="2917">
        <v>-0.4</v>
      </c>
      <c r="J30" s="2917">
        <v>0.17</v>
      </c>
      <c r="K30" s="2917">
        <v>-0.57999999999999996</v>
      </c>
      <c r="L30" s="2933">
        <v>-0.2</v>
      </c>
      <c r="N30" s="2926">
        <f t="shared" si="9"/>
        <v>-4.0000000000000001E-3</v>
      </c>
      <c r="O30" s="2943">
        <f t="shared" si="9"/>
        <v>1.7000000000000001E-3</v>
      </c>
      <c r="P30" s="2943">
        <f t="shared" si="9"/>
        <v>-5.7999999999999996E-3</v>
      </c>
      <c r="Q30" s="2943">
        <f t="shared" si="9"/>
        <v>-2E-3</v>
      </c>
      <c r="R30" s="2928"/>
      <c r="S30" s="2926"/>
      <c r="T30" s="2927"/>
      <c r="U30" s="2927"/>
      <c r="V30" s="2927"/>
    </row>
    <row r="31" spans="1:34" ht="13.5" thickBot="1">
      <c r="A31" s="2911" t="s">
        <v>2744</v>
      </c>
      <c r="B31" s="2931">
        <f t="shared" si="17"/>
        <v>276.29854502841971</v>
      </c>
      <c r="C31" s="2931">
        <f t="shared" si="17"/>
        <v>229.79023709833027</v>
      </c>
      <c r="D31" s="2931">
        <f t="shared" si="7"/>
        <v>229.79023709833027</v>
      </c>
      <c r="E31" s="2931">
        <f t="shared" si="18"/>
        <v>379.78759731655936</v>
      </c>
      <c r="F31" s="2931">
        <f t="shared" si="18"/>
        <v>211.32953905659235</v>
      </c>
      <c r="G31" s="3804">
        <v>2011</v>
      </c>
      <c r="H31" s="2916">
        <v>1</v>
      </c>
      <c r="I31" s="2916">
        <v>2.65</v>
      </c>
      <c r="J31" s="2916">
        <v>3.76</v>
      </c>
      <c r="K31" s="2916">
        <v>1.89</v>
      </c>
      <c r="L31" s="2932">
        <v>7.95</v>
      </c>
      <c r="N31" s="2934">
        <f t="shared" si="9"/>
        <v>2.6499999999999999E-2</v>
      </c>
      <c r="O31" s="2935">
        <f t="shared" si="9"/>
        <v>3.7599999999999995E-2</v>
      </c>
      <c r="P31" s="2935">
        <f t="shared" si="9"/>
        <v>1.89E-2</v>
      </c>
      <c r="Q31" s="2935">
        <f t="shared" si="9"/>
        <v>7.9500000000000001E-2</v>
      </c>
      <c r="R31" s="2928"/>
      <c r="S31" s="2934">
        <f>B31/B32-1</f>
        <v>2.713213765211786E-2</v>
      </c>
      <c r="T31" s="2935">
        <f>C31/C32-1</f>
        <v>3.9774828499231862E-2</v>
      </c>
      <c r="U31" s="2935">
        <f>E31/E32-1</f>
        <v>1.8197311840641772E-2</v>
      </c>
      <c r="V31" s="2935">
        <f>F31/F32-1</f>
        <v>7.8211933962205826E-2</v>
      </c>
      <c r="X31" s="2910"/>
      <c r="Y31" s="2910"/>
      <c r="Z31" s="2910"/>
    </row>
    <row r="32" spans="1:34" ht="13.5" thickBot="1">
      <c r="A32" s="2911" t="s">
        <v>2745</v>
      </c>
      <c r="B32" s="2923">
        <v>269</v>
      </c>
      <c r="C32" s="2923">
        <v>221</v>
      </c>
      <c r="D32" s="2923">
        <f t="shared" si="7"/>
        <v>221</v>
      </c>
      <c r="E32" s="2923">
        <v>373</v>
      </c>
      <c r="F32" s="2924">
        <v>196</v>
      </c>
      <c r="G32" s="3802">
        <v>2010</v>
      </c>
      <c r="H32" s="2936">
        <v>4</v>
      </c>
      <c r="I32" s="2936">
        <v>5.72</v>
      </c>
      <c r="J32" s="2936">
        <v>6.57</v>
      </c>
      <c r="K32" s="2936">
        <v>5.72</v>
      </c>
      <c r="L32" s="2937">
        <v>2.72</v>
      </c>
      <c r="N32" s="2926">
        <f t="shared" si="9"/>
        <v>5.7200000000000001E-2</v>
      </c>
      <c r="O32" s="2927">
        <f t="shared" si="9"/>
        <v>6.5700000000000008E-2</v>
      </c>
      <c r="P32" s="2927">
        <f t="shared" si="9"/>
        <v>5.7200000000000001E-2</v>
      </c>
      <c r="Q32" s="2927">
        <f t="shared" si="9"/>
        <v>2.7200000000000002E-2</v>
      </c>
      <c r="R32" s="2928"/>
      <c r="S32" s="2929"/>
      <c r="T32" s="2930"/>
      <c r="U32" s="2930"/>
      <c r="V32" s="2930"/>
      <c r="X32" s="2930"/>
      <c r="Y32" s="2930"/>
      <c r="Z32" s="2930"/>
    </row>
    <row r="33" spans="1:26">
      <c r="A33" s="2911" t="s">
        <v>2746</v>
      </c>
      <c r="B33" s="2931">
        <f t="shared" ref="B33:C35" si="19">B32/(1+N32)</f>
        <v>254.44570563753314</v>
      </c>
      <c r="C33" s="2931">
        <f t="shared" si="19"/>
        <v>207.37543398705074</v>
      </c>
      <c r="D33" s="2931">
        <f t="shared" si="7"/>
        <v>207.37543398705074</v>
      </c>
      <c r="E33" s="2931">
        <f t="shared" ref="E33:F35" si="20">E32/(1+P32)</f>
        <v>352.81876655315932</v>
      </c>
      <c r="F33" s="2931">
        <f t="shared" si="20"/>
        <v>190.809968847352</v>
      </c>
      <c r="G33" s="3803">
        <v>2010</v>
      </c>
      <c r="H33" s="2941">
        <v>3</v>
      </c>
      <c r="I33" s="2941">
        <v>4.7300000000000004</v>
      </c>
      <c r="J33" s="2941">
        <v>3.9</v>
      </c>
      <c r="K33" s="2941">
        <v>5.03</v>
      </c>
      <c r="L33" s="2942">
        <v>4.21</v>
      </c>
      <c r="N33" s="2926">
        <f t="shared" si="9"/>
        <v>4.7300000000000002E-2</v>
      </c>
      <c r="O33" s="2927">
        <f t="shared" si="9"/>
        <v>3.9E-2</v>
      </c>
      <c r="P33" s="2927">
        <f t="shared" si="9"/>
        <v>5.0300000000000004E-2</v>
      </c>
      <c r="Q33" s="2927">
        <f t="shared" si="9"/>
        <v>4.2099999999999999E-2</v>
      </c>
      <c r="R33" s="2928"/>
      <c r="S33" s="2926"/>
      <c r="T33" s="2927"/>
      <c r="U33" s="2927"/>
      <c r="V33" s="2927"/>
    </row>
    <row r="34" spans="1:26">
      <c r="A34" s="2911" t="s">
        <v>2747</v>
      </c>
      <c r="B34" s="2931">
        <f t="shared" si="19"/>
        <v>242.95398227588385</v>
      </c>
      <c r="C34" s="2931">
        <f t="shared" si="19"/>
        <v>199.59137053614126</v>
      </c>
      <c r="D34" s="2931">
        <f t="shared" si="7"/>
        <v>199.59137053614126</v>
      </c>
      <c r="E34" s="2931">
        <f t="shared" si="20"/>
        <v>335.92189522342125</v>
      </c>
      <c r="F34" s="2931">
        <f t="shared" si="20"/>
        <v>183.10139991109489</v>
      </c>
      <c r="G34" s="3803">
        <v>2010</v>
      </c>
      <c r="H34" s="2917">
        <v>2</v>
      </c>
      <c r="I34" s="2917">
        <v>4.6900000000000004</v>
      </c>
      <c r="J34" s="2917">
        <v>3.55</v>
      </c>
      <c r="K34" s="2917">
        <v>5.07</v>
      </c>
      <c r="L34" s="2933">
        <v>4.2300000000000004</v>
      </c>
      <c r="N34" s="2926">
        <f t="shared" si="9"/>
        <v>4.6900000000000004E-2</v>
      </c>
      <c r="O34" s="2927">
        <f t="shared" si="9"/>
        <v>3.5499999999999997E-2</v>
      </c>
      <c r="P34" s="2927">
        <f t="shared" si="9"/>
        <v>5.0700000000000002E-2</v>
      </c>
      <c r="Q34" s="2927">
        <f t="shared" si="9"/>
        <v>4.2300000000000004E-2</v>
      </c>
      <c r="R34" s="2928"/>
      <c r="S34" s="2926"/>
      <c r="T34" s="2927"/>
      <c r="U34" s="2927"/>
      <c r="V34" s="2927"/>
    </row>
    <row r="35" spans="1:26" ht="13.5" thickBot="1">
      <c r="A35" s="2911" t="s">
        <v>2748</v>
      </c>
      <c r="B35" s="2931">
        <f t="shared" si="19"/>
        <v>232.06990378821649</v>
      </c>
      <c r="C35" s="2931">
        <f t="shared" si="19"/>
        <v>192.74878854286936</v>
      </c>
      <c r="D35" s="2931">
        <f t="shared" si="7"/>
        <v>192.74878854286936</v>
      </c>
      <c r="E35" s="2931">
        <f t="shared" si="20"/>
        <v>319.71247284992984</v>
      </c>
      <c r="F35" s="2931">
        <f t="shared" si="20"/>
        <v>175.67053622862409</v>
      </c>
      <c r="G35" s="3804">
        <v>2010</v>
      </c>
      <c r="H35" s="2916">
        <v>1</v>
      </c>
      <c r="I35" s="2916">
        <v>5.4</v>
      </c>
      <c r="J35" s="2916">
        <v>3.2</v>
      </c>
      <c r="K35" s="2916">
        <v>6.16</v>
      </c>
      <c r="L35" s="2932">
        <v>4.51</v>
      </c>
      <c r="N35" s="2926">
        <f t="shared" si="9"/>
        <v>5.4000000000000006E-2</v>
      </c>
      <c r="O35" s="2927">
        <f t="shared" si="9"/>
        <v>3.2000000000000001E-2</v>
      </c>
      <c r="P35" s="2927">
        <f t="shared" si="9"/>
        <v>6.1600000000000002E-2</v>
      </c>
      <c r="Q35" s="2927">
        <f t="shared" si="9"/>
        <v>4.5100000000000001E-2</v>
      </c>
      <c r="R35" s="2928"/>
      <c r="S35" s="2934">
        <f>B35/B36-1</f>
        <v>5.4863199037347599E-2</v>
      </c>
      <c r="T35" s="2935">
        <f>C35/C36-1</f>
        <v>3.0742184721226584E-2</v>
      </c>
      <c r="U35" s="2935">
        <f>E35/E36-1</f>
        <v>6.2167683886810154E-2</v>
      </c>
      <c r="V35" s="2935">
        <f>F35/F36-1</f>
        <v>4.5657953741810031E-2</v>
      </c>
      <c r="X35" s="2910"/>
      <c r="Y35" s="2910"/>
      <c r="Z35" s="2910"/>
    </row>
    <row r="36" spans="1:26" ht="13.5" thickBot="1">
      <c r="A36" s="2911" t="s">
        <v>2749</v>
      </c>
      <c r="B36" s="2923">
        <v>220</v>
      </c>
      <c r="C36" s="2923">
        <v>187</v>
      </c>
      <c r="D36" s="2923">
        <f t="shared" si="7"/>
        <v>187</v>
      </c>
      <c r="E36" s="2923">
        <v>301</v>
      </c>
      <c r="F36" s="2924">
        <v>168</v>
      </c>
      <c r="G36" s="3802">
        <v>2009</v>
      </c>
      <c r="H36" s="2936">
        <v>4</v>
      </c>
      <c r="I36" s="2936">
        <v>2.2999999999999998</v>
      </c>
      <c r="J36" s="2936">
        <v>1.04</v>
      </c>
      <c r="K36" s="2936">
        <v>2.84</v>
      </c>
      <c r="L36" s="2937">
        <v>0.67</v>
      </c>
      <c r="N36" s="2938">
        <f t="shared" si="9"/>
        <v>2.3E-2</v>
      </c>
      <c r="O36" s="2939">
        <f t="shared" si="9"/>
        <v>1.04E-2</v>
      </c>
      <c r="P36" s="2939">
        <f t="shared" si="9"/>
        <v>2.8399999999999998E-2</v>
      </c>
      <c r="Q36" s="2939">
        <f t="shared" si="9"/>
        <v>6.7000000000000002E-3</v>
      </c>
      <c r="R36" s="2928"/>
      <c r="S36" s="2929"/>
      <c r="T36" s="2930"/>
      <c r="U36" s="2930"/>
      <c r="V36" s="2930"/>
      <c r="X36" s="2930"/>
      <c r="Y36" s="2930"/>
      <c r="Z36" s="2930"/>
    </row>
    <row r="37" spans="1:26">
      <c r="A37" s="2911" t="s">
        <v>2750</v>
      </c>
      <c r="B37" s="2931">
        <f t="shared" ref="B37:C39" si="21">B36/(1+N36)</f>
        <v>215.05376344086022</v>
      </c>
      <c r="C37" s="2931">
        <f t="shared" si="21"/>
        <v>185.0752177355503</v>
      </c>
      <c r="D37" s="2931">
        <f t="shared" si="7"/>
        <v>185.0752177355503</v>
      </c>
      <c r="E37" s="2931">
        <f t="shared" ref="E37:F39" si="22">E36/(1+P36)</f>
        <v>292.68767016725008</v>
      </c>
      <c r="F37" s="2931">
        <f t="shared" si="22"/>
        <v>166.88189132810174</v>
      </c>
      <c r="G37" s="3803">
        <v>2009</v>
      </c>
      <c r="H37" s="2941">
        <v>3</v>
      </c>
      <c r="I37" s="2941">
        <v>2.1</v>
      </c>
      <c r="J37" s="2941">
        <v>1.86</v>
      </c>
      <c r="K37" s="2941">
        <v>2.29</v>
      </c>
      <c r="L37" s="2942">
        <v>0.85</v>
      </c>
      <c r="N37" s="2926">
        <f t="shared" si="9"/>
        <v>2.1000000000000001E-2</v>
      </c>
      <c r="O37" s="2943">
        <f t="shared" si="9"/>
        <v>1.8600000000000002E-2</v>
      </c>
      <c r="P37" s="2943">
        <f t="shared" si="9"/>
        <v>2.29E-2</v>
      </c>
      <c r="Q37" s="2943">
        <f t="shared" si="9"/>
        <v>8.5000000000000006E-3</v>
      </c>
      <c r="R37" s="2928"/>
      <c r="S37" s="2926"/>
      <c r="T37" s="2927"/>
      <c r="U37" s="2927"/>
      <c r="V37" s="2927"/>
    </row>
    <row r="38" spans="1:26">
      <c r="A38" s="2911" t="s">
        <v>2751</v>
      </c>
      <c r="B38" s="2931">
        <f t="shared" si="21"/>
        <v>210.630522469011</v>
      </c>
      <c r="C38" s="2931">
        <f t="shared" si="21"/>
        <v>181.69567812247232</v>
      </c>
      <c r="D38" s="2931">
        <f t="shared" si="7"/>
        <v>181.69567812247232</v>
      </c>
      <c r="E38" s="2931">
        <f t="shared" si="22"/>
        <v>286.13517466736738</v>
      </c>
      <c r="F38" s="2931">
        <f t="shared" si="22"/>
        <v>165.47535084591149</v>
      </c>
      <c r="G38" s="3803">
        <v>2009</v>
      </c>
      <c r="H38" s="2917">
        <v>2</v>
      </c>
      <c r="I38" s="2917">
        <v>0.86</v>
      </c>
      <c r="J38" s="2917">
        <v>-1.1299999999999999</v>
      </c>
      <c r="K38" s="2917">
        <v>1.79</v>
      </c>
      <c r="L38" s="2933">
        <v>-2.0699999999999998</v>
      </c>
      <c r="N38" s="2926">
        <f t="shared" si="9"/>
        <v>8.6E-3</v>
      </c>
      <c r="O38" s="2943">
        <f t="shared" si="9"/>
        <v>-1.1299999999999999E-2</v>
      </c>
      <c r="P38" s="2943">
        <f t="shared" si="9"/>
        <v>1.7899999999999999E-2</v>
      </c>
      <c r="Q38" s="2943">
        <f t="shared" si="9"/>
        <v>-2.07E-2</v>
      </c>
      <c r="R38" s="2928"/>
      <c r="S38" s="2926"/>
      <c r="T38" s="2927"/>
      <c r="U38" s="2927"/>
      <c r="V38" s="2927"/>
    </row>
    <row r="39" spans="1:26">
      <c r="A39" s="2911" t="s">
        <v>2752</v>
      </c>
      <c r="B39" s="2931">
        <f t="shared" si="21"/>
        <v>208.83454537875372</v>
      </c>
      <c r="C39" s="2931">
        <f t="shared" si="21"/>
        <v>183.77230517090351</v>
      </c>
      <c r="D39" s="2931">
        <f t="shared" si="7"/>
        <v>183.77230517090351</v>
      </c>
      <c r="E39" s="2931">
        <f t="shared" si="22"/>
        <v>281.10342338870947</v>
      </c>
      <c r="F39" s="2931">
        <f t="shared" si="22"/>
        <v>168.97309388942256</v>
      </c>
      <c r="G39" s="3804">
        <v>2009</v>
      </c>
      <c r="H39" s="2916">
        <v>1</v>
      </c>
      <c r="I39" s="2916">
        <v>-2.64</v>
      </c>
      <c r="J39" s="2916">
        <v>-2.5299999999999998</v>
      </c>
      <c r="K39" s="2916">
        <v>-3.02</v>
      </c>
      <c r="L39" s="2932">
        <v>1.52</v>
      </c>
      <c r="N39" s="2934">
        <f t="shared" si="9"/>
        <v>-2.64E-2</v>
      </c>
      <c r="O39" s="2935">
        <f t="shared" si="9"/>
        <v>-2.53E-2</v>
      </c>
      <c r="P39" s="2935">
        <f t="shared" si="9"/>
        <v>-3.0200000000000001E-2</v>
      </c>
      <c r="Q39" s="2935">
        <f t="shared" si="9"/>
        <v>1.52E-2</v>
      </c>
      <c r="R39" s="2928"/>
      <c r="S39" s="2934">
        <f>B39/B40-1</f>
        <v>-2.4137638417038754E-2</v>
      </c>
      <c r="T39" s="2935">
        <f>C39/C40-1</f>
        <v>-2.248773845264096E-2</v>
      </c>
      <c r="U39" s="2935">
        <f>E39/E40-1</f>
        <v>-2.7323794502735366E-2</v>
      </c>
      <c r="V39" s="2935">
        <f>F39/F40-1</f>
        <v>1.7910204153148035E-2</v>
      </c>
      <c r="X39" s="2910"/>
      <c r="Y39" s="2910"/>
      <c r="Z39" s="2910"/>
    </row>
    <row r="40" spans="1:26" ht="13.5" thickBot="1">
      <c r="A40" s="2911" t="s">
        <v>2753</v>
      </c>
      <c r="B40" s="2965">
        <v>214</v>
      </c>
      <c r="C40" s="2965">
        <v>188</v>
      </c>
      <c r="D40" s="2965">
        <f t="shared" si="7"/>
        <v>188</v>
      </c>
      <c r="E40" s="2965">
        <v>289</v>
      </c>
      <c r="F40" s="2966">
        <v>166</v>
      </c>
      <c r="G40" s="3802">
        <v>2008</v>
      </c>
      <c r="H40" s="2936">
        <v>4</v>
      </c>
      <c r="I40" s="2936">
        <v>1.73</v>
      </c>
      <c r="J40" s="2936">
        <v>0.03</v>
      </c>
      <c r="K40" s="2936">
        <v>2.59</v>
      </c>
      <c r="L40" s="2937">
        <v>-1.66</v>
      </c>
      <c r="N40" s="2926">
        <f t="shared" si="9"/>
        <v>1.7299999999999999E-2</v>
      </c>
      <c r="O40" s="2927">
        <f t="shared" si="9"/>
        <v>2.9999999999999997E-4</v>
      </c>
      <c r="P40" s="2927">
        <f t="shared" si="9"/>
        <v>2.5899999999999999E-2</v>
      </c>
      <c r="Q40" s="2927">
        <f t="shared" si="9"/>
        <v>-1.66E-2</v>
      </c>
      <c r="R40" s="2928"/>
      <c r="S40" s="2929"/>
      <c r="T40" s="2930"/>
      <c r="U40" s="2930"/>
      <c r="V40" s="2930"/>
      <c r="X40" s="2930"/>
      <c r="Y40" s="2930"/>
      <c r="Z40" s="2930"/>
    </row>
    <row r="41" spans="1:26">
      <c r="A41" s="2911" t="s">
        <v>2754</v>
      </c>
      <c r="B41" s="2931">
        <f t="shared" ref="B41:C43" si="23">B40/(1+N40)</f>
        <v>210.36075887152265</v>
      </c>
      <c r="C41" s="2931">
        <f t="shared" si="23"/>
        <v>187.94361691492554</v>
      </c>
      <c r="D41" s="2931">
        <f t="shared" si="7"/>
        <v>187.94361691492554</v>
      </c>
      <c r="E41" s="2931">
        <f t="shared" ref="E41:F43" si="24">E40/(1+P40)</f>
        <v>281.70386977288234</v>
      </c>
      <c r="F41" s="2931">
        <f t="shared" si="24"/>
        <v>168.80211511083994</v>
      </c>
      <c r="G41" s="3803">
        <v>2008</v>
      </c>
      <c r="H41" s="2941">
        <v>3</v>
      </c>
      <c r="I41" s="2941">
        <v>1.96</v>
      </c>
      <c r="J41" s="2941">
        <v>2.36</v>
      </c>
      <c r="K41" s="2941">
        <v>1.82</v>
      </c>
      <c r="L41" s="2942">
        <v>2.2200000000000002</v>
      </c>
      <c r="N41" s="2926">
        <f t="shared" si="9"/>
        <v>1.9599999999999999E-2</v>
      </c>
      <c r="O41" s="2927">
        <f t="shared" si="9"/>
        <v>2.3599999999999999E-2</v>
      </c>
      <c r="P41" s="2927">
        <f t="shared" si="9"/>
        <v>1.8200000000000001E-2</v>
      </c>
      <c r="Q41" s="2927">
        <f t="shared" si="9"/>
        <v>2.2200000000000001E-2</v>
      </c>
      <c r="R41" s="2928"/>
      <c r="S41" s="2926"/>
      <c r="T41" s="2927"/>
      <c r="U41" s="2927"/>
      <c r="V41" s="2927"/>
    </row>
    <row r="42" spans="1:26">
      <c r="A42" s="2911" t="s">
        <v>2755</v>
      </c>
      <c r="B42" s="2931">
        <f t="shared" si="23"/>
        <v>206.31694671589116</v>
      </c>
      <c r="C42" s="2931">
        <f t="shared" si="23"/>
        <v>183.61041121036101</v>
      </c>
      <c r="D42" s="2931">
        <f t="shared" si="7"/>
        <v>183.61041121036101</v>
      </c>
      <c r="E42" s="2931">
        <f t="shared" si="24"/>
        <v>276.66850301795557</v>
      </c>
      <c r="F42" s="2931">
        <f t="shared" si="24"/>
        <v>165.1360938278614</v>
      </c>
      <c r="G42" s="3803">
        <v>2008</v>
      </c>
      <c r="H42" s="2917">
        <v>2</v>
      </c>
      <c r="I42" s="2917">
        <v>4.93</v>
      </c>
      <c r="J42" s="2917">
        <v>7.38</v>
      </c>
      <c r="K42" s="2917">
        <v>3.98</v>
      </c>
      <c r="L42" s="2933">
        <v>6.86</v>
      </c>
      <c r="N42" s="2926">
        <f t="shared" si="9"/>
        <v>4.9299999999999997E-2</v>
      </c>
      <c r="O42" s="2927">
        <f t="shared" si="9"/>
        <v>7.3800000000000004E-2</v>
      </c>
      <c r="P42" s="2927">
        <f t="shared" si="9"/>
        <v>3.9800000000000002E-2</v>
      </c>
      <c r="Q42" s="2927">
        <f t="shared" si="9"/>
        <v>6.8600000000000008E-2</v>
      </c>
      <c r="R42" s="2928"/>
      <c r="S42" s="2926"/>
      <c r="T42" s="2927"/>
      <c r="U42" s="2927"/>
      <c r="V42" s="2927"/>
    </row>
    <row r="43" spans="1:26" s="2971" customFormat="1" ht="13.5" thickBot="1">
      <c r="A43" s="2911" t="s">
        <v>2756</v>
      </c>
      <c r="B43" s="2968">
        <f t="shared" si="23"/>
        <v>196.62341248059772</v>
      </c>
      <c r="C43" s="2968">
        <f t="shared" si="23"/>
        <v>170.99125648199012</v>
      </c>
      <c r="D43" s="2968">
        <f t="shared" si="7"/>
        <v>170.99125648199012</v>
      </c>
      <c r="E43" s="2968">
        <f t="shared" si="24"/>
        <v>266.07857570490052</v>
      </c>
      <c r="F43" s="2968">
        <f t="shared" si="24"/>
        <v>154.53499328828505</v>
      </c>
      <c r="G43" s="3804">
        <v>2008</v>
      </c>
      <c r="H43" s="2969">
        <v>1</v>
      </c>
      <c r="I43" s="2969">
        <v>4.1399999999999997</v>
      </c>
      <c r="J43" s="2969">
        <v>3.45</v>
      </c>
      <c r="K43" s="2969">
        <v>4.95</v>
      </c>
      <c r="L43" s="2970">
        <v>4.82</v>
      </c>
      <c r="N43" s="2972">
        <f t="shared" si="9"/>
        <v>4.1399999999999999E-2</v>
      </c>
      <c r="O43" s="2973">
        <f t="shared" si="9"/>
        <v>3.4500000000000003E-2</v>
      </c>
      <c r="P43" s="2973">
        <f t="shared" si="9"/>
        <v>4.9500000000000002E-2</v>
      </c>
      <c r="Q43" s="2973">
        <f t="shared" si="9"/>
        <v>4.82E-2</v>
      </c>
      <c r="R43" s="2974"/>
      <c r="S43" s="2972">
        <f>B43/B44-1</f>
        <v>4.5869215322328349E-2</v>
      </c>
      <c r="T43" s="2973">
        <f>C43/C44-1</f>
        <v>3.6310645345394743E-2</v>
      </c>
      <c r="U43" s="2973">
        <f>E43/E44-1</f>
        <v>4.7553447657088688E-2</v>
      </c>
      <c r="V43" s="2973">
        <f>F43/F44-1</f>
        <v>4.4155360055980086E-2</v>
      </c>
      <c r="X43" s="2975"/>
      <c r="Y43" s="2975"/>
      <c r="Z43" s="2975"/>
    </row>
    <row r="44" spans="1:26" ht="13.5" thickBot="1">
      <c r="A44" s="2911" t="s">
        <v>2757</v>
      </c>
      <c r="B44" s="2923">
        <v>188</v>
      </c>
      <c r="C44" s="2923">
        <v>165</v>
      </c>
      <c r="D44" s="2923">
        <f t="shared" si="7"/>
        <v>165</v>
      </c>
      <c r="E44" s="2923">
        <v>254</v>
      </c>
      <c r="F44" s="2924">
        <v>148</v>
      </c>
      <c r="G44" s="3802">
        <v>2007</v>
      </c>
      <c r="H44" s="2976">
        <v>4</v>
      </c>
      <c r="I44" s="2976">
        <v>5.51</v>
      </c>
      <c r="J44" s="2976">
        <v>4.8899999999999997</v>
      </c>
      <c r="K44" s="2976">
        <v>6.43</v>
      </c>
      <c r="L44" s="2977">
        <v>5.36</v>
      </c>
      <c r="N44" s="2978">
        <f t="shared" ref="N44:O47" si="25">B44/B45-1</f>
        <v>4.1339718365245526E-2</v>
      </c>
      <c r="O44" s="2979">
        <f t="shared" si="25"/>
        <v>4.0324492593776018E-2</v>
      </c>
      <c r="P44" s="2979">
        <f t="shared" ref="P44:Q47" si="26">E44/E45-1</f>
        <v>6.1625555347990968E-2</v>
      </c>
      <c r="Q44" s="2979">
        <f t="shared" si="26"/>
        <v>4.6757569250590603E-2</v>
      </c>
      <c r="R44" s="2928"/>
      <c r="S44" s="2929"/>
      <c r="T44" s="2930"/>
      <c r="U44" s="2930"/>
      <c r="V44" s="2930"/>
      <c r="X44" s="2930"/>
      <c r="Y44" s="2930"/>
      <c r="Z44" s="2930"/>
    </row>
    <row r="45" spans="1:26">
      <c r="A45" s="2911" t="s">
        <v>2758</v>
      </c>
      <c r="B45" s="2931">
        <f t="shared" ref="B45:C47" si="27">B46+(B$44-B$48)*I45/SUM(I$44:I$47)</f>
        <v>180.5366651097618</v>
      </c>
      <c r="C45" s="2931">
        <f t="shared" si="27"/>
        <v>158.60435967302453</v>
      </c>
      <c r="D45" s="2931">
        <f t="shared" si="7"/>
        <v>158.60435967302453</v>
      </c>
      <c r="E45" s="2931">
        <f t="shared" ref="E45:F47" si="28">E46+(E$44-E$48)*K45/SUM(K$44:K$47)</f>
        <v>239.25573260785075</v>
      </c>
      <c r="F45" s="2931">
        <f t="shared" si="28"/>
        <v>141.38899430740037</v>
      </c>
      <c r="G45" s="3803">
        <v>2007</v>
      </c>
      <c r="H45" s="2941">
        <v>3</v>
      </c>
      <c r="I45" s="2941">
        <v>8.65</v>
      </c>
      <c r="J45" s="2941">
        <v>8.06</v>
      </c>
      <c r="K45" s="2941">
        <v>9.94</v>
      </c>
      <c r="L45" s="2942">
        <v>5.8</v>
      </c>
      <c r="N45" s="2978">
        <f t="shared" si="25"/>
        <v>6.940217571740015E-2</v>
      </c>
      <c r="O45" s="2979">
        <f t="shared" si="25"/>
        <v>7.1197482471153428E-2</v>
      </c>
      <c r="P45" s="2979">
        <f t="shared" si="26"/>
        <v>0.10529679922579582</v>
      </c>
      <c r="Q45" s="2979">
        <f t="shared" si="26"/>
        <v>5.3292245059512133E-2</v>
      </c>
      <c r="R45" s="2928"/>
      <c r="S45" s="2926"/>
      <c r="T45" s="2927"/>
      <c r="U45" s="2927"/>
      <c r="V45" s="2927"/>
      <c r="X45" s="2980"/>
      <c r="Y45" s="2980"/>
      <c r="Z45" s="2980"/>
    </row>
    <row r="46" spans="1:26">
      <c r="A46" s="2911" t="s">
        <v>2759</v>
      </c>
      <c r="B46" s="2931">
        <f t="shared" si="27"/>
        <v>168.82017748715555</v>
      </c>
      <c r="C46" s="2931">
        <f t="shared" si="27"/>
        <v>148.06267029972753</v>
      </c>
      <c r="D46" s="2931">
        <f t="shared" si="7"/>
        <v>148.06267029972753</v>
      </c>
      <c r="E46" s="2931">
        <f t="shared" si="28"/>
        <v>216.46288379323747</v>
      </c>
      <c r="F46" s="2931">
        <f t="shared" si="28"/>
        <v>134.23529411764704</v>
      </c>
      <c r="G46" s="3803">
        <v>2007</v>
      </c>
      <c r="H46" s="2917">
        <v>2</v>
      </c>
      <c r="I46" s="2917">
        <v>3.67</v>
      </c>
      <c r="J46" s="2917">
        <v>2.3199999999999998</v>
      </c>
      <c r="K46" s="2917">
        <v>5.0199999999999996</v>
      </c>
      <c r="L46" s="2933">
        <v>6.71</v>
      </c>
      <c r="N46" s="2978">
        <f t="shared" si="25"/>
        <v>3.0339138143848032E-2</v>
      </c>
      <c r="O46" s="2979">
        <f t="shared" si="25"/>
        <v>2.0922341588790472E-2</v>
      </c>
      <c r="P46" s="2979">
        <f t="shared" si="26"/>
        <v>5.6164796592717003E-2</v>
      </c>
      <c r="Q46" s="2979">
        <f t="shared" si="26"/>
        <v>6.5704536723887319E-2</v>
      </c>
      <c r="R46" s="2928"/>
      <c r="S46" s="2926"/>
      <c r="T46" s="2927"/>
      <c r="U46" s="2927"/>
      <c r="V46" s="2927"/>
      <c r="X46" s="2980"/>
      <c r="Y46" s="2980"/>
      <c r="Z46" s="2980"/>
    </row>
    <row r="47" spans="1:26">
      <c r="A47" s="2911" t="s">
        <v>2760</v>
      </c>
      <c r="B47" s="2931">
        <f t="shared" si="27"/>
        <v>163.84913591779542</v>
      </c>
      <c r="C47" s="2931">
        <f t="shared" si="27"/>
        <v>145.0283378746594</v>
      </c>
      <c r="D47" s="2931">
        <f t="shared" si="7"/>
        <v>145.0283378746594</v>
      </c>
      <c r="E47" s="2931">
        <f t="shared" si="28"/>
        <v>204.95180722891567</v>
      </c>
      <c r="F47" s="2931">
        <f t="shared" si="28"/>
        <v>125.95920303605313</v>
      </c>
      <c r="G47" s="3804">
        <v>2007</v>
      </c>
      <c r="H47" s="2916">
        <v>1</v>
      </c>
      <c r="I47" s="2916">
        <v>3.58</v>
      </c>
      <c r="J47" s="2916">
        <v>3.08</v>
      </c>
      <c r="K47" s="2916">
        <v>4.34</v>
      </c>
      <c r="L47" s="2932">
        <v>3.21</v>
      </c>
      <c r="N47" s="2981">
        <f t="shared" si="25"/>
        <v>3.0497710174814063E-2</v>
      </c>
      <c r="O47" s="2982">
        <f t="shared" si="25"/>
        <v>2.8569772160704998E-2</v>
      </c>
      <c r="P47" s="2982">
        <f t="shared" si="26"/>
        <v>5.1034908866234296E-2</v>
      </c>
      <c r="Q47" s="2982">
        <f t="shared" si="26"/>
        <v>3.245248390207478E-2</v>
      </c>
      <c r="R47" s="2928"/>
      <c r="S47" s="2934">
        <f>B47/B48-1</f>
        <v>3.0497710174814063E-2</v>
      </c>
      <c r="T47" s="2935">
        <f>C47/C48-1</f>
        <v>2.8569772160704998E-2</v>
      </c>
      <c r="U47" s="2935">
        <f>E47/E48-1</f>
        <v>5.1034908866234296E-2</v>
      </c>
      <c r="V47" s="2935">
        <f>F47/F48-1</f>
        <v>3.245248390207478E-2</v>
      </c>
      <c r="X47" s="2980"/>
      <c r="Y47" s="2980"/>
      <c r="Z47" s="2980"/>
    </row>
    <row r="48" spans="1:26" ht="13.5" thickBot="1">
      <c r="A48" s="2911" t="s">
        <v>2761</v>
      </c>
      <c r="B48" s="2944">
        <v>159</v>
      </c>
      <c r="C48" s="2944">
        <v>141</v>
      </c>
      <c r="D48" s="2944">
        <f t="shared" si="7"/>
        <v>141</v>
      </c>
      <c r="E48" s="2944">
        <v>195</v>
      </c>
      <c r="F48" s="2945">
        <v>122</v>
      </c>
      <c r="G48" s="3802">
        <v>2006</v>
      </c>
      <c r="H48" s="2936">
        <v>4</v>
      </c>
      <c r="I48" s="2936">
        <v>3.79</v>
      </c>
      <c r="J48" s="2936">
        <v>2.21</v>
      </c>
      <c r="K48" s="2936">
        <v>5.65</v>
      </c>
      <c r="L48" s="2937">
        <v>5.41</v>
      </c>
      <c r="N48" s="2978">
        <f t="shared" ref="N48:O51" si="29">I48/SUM(I$48:I$51)*(B$48/B$52-1)</f>
        <v>7.245466462748526E-2</v>
      </c>
      <c r="O48" s="2979">
        <f t="shared" si="29"/>
        <v>2.3237230038062766E-2</v>
      </c>
      <c r="P48" s="2979">
        <f t="shared" ref="P48:Q51" si="30">K48/SUM(K$48:K$51)*(E$48/E$52-1)</f>
        <v>0.16146893866323722</v>
      </c>
      <c r="Q48" s="2979">
        <f t="shared" si="30"/>
        <v>5.0755230321793784E-2</v>
      </c>
      <c r="R48" s="2928"/>
      <c r="S48" s="2929"/>
      <c r="T48" s="2930"/>
      <c r="U48" s="2930"/>
      <c r="V48" s="2930"/>
      <c r="X48" s="2980"/>
      <c r="Y48" s="2980"/>
      <c r="Z48" s="2980"/>
    </row>
    <row r="49" spans="1:26">
      <c r="A49" s="2911" t="s">
        <v>2762</v>
      </c>
      <c r="B49" s="2931">
        <f t="shared" ref="B49:C51" si="31">B50+(B$48-B$52)*I49/SUM(I$48:I$51)</f>
        <v>149.00125628140702</v>
      </c>
      <c r="C49" s="2931">
        <f t="shared" si="31"/>
        <v>137.95592286501378</v>
      </c>
      <c r="D49" s="2931">
        <f t="shared" si="7"/>
        <v>137.95592286501378</v>
      </c>
      <c r="E49" s="2931">
        <f t="shared" ref="E49:F51" si="32">E50+(E$48-E$52)*K49/SUM(K$48:K$51)</f>
        <v>169.97231450719823</v>
      </c>
      <c r="F49" s="2931">
        <f t="shared" si="32"/>
        <v>116.21390374331551</v>
      </c>
      <c r="G49" s="3803">
        <v>2006</v>
      </c>
      <c r="H49" s="2941">
        <v>3</v>
      </c>
      <c r="I49" s="2941">
        <v>0.92</v>
      </c>
      <c r="J49" s="2941">
        <v>1.08</v>
      </c>
      <c r="K49" s="2941">
        <v>0.73</v>
      </c>
      <c r="L49" s="2942">
        <v>1.08</v>
      </c>
      <c r="N49" s="2978">
        <f t="shared" si="29"/>
        <v>1.7587939698492462E-2</v>
      </c>
      <c r="O49" s="2979">
        <f t="shared" si="29"/>
        <v>1.1355750425840628E-2</v>
      </c>
      <c r="P49" s="2979">
        <f t="shared" si="30"/>
        <v>2.0862358446754544E-2</v>
      </c>
      <c r="Q49" s="2979">
        <f t="shared" si="30"/>
        <v>1.0132282578103011E-2</v>
      </c>
      <c r="R49" s="2928"/>
      <c r="S49" s="2926"/>
      <c r="T49" s="2927"/>
      <c r="U49" s="2927"/>
      <c r="V49" s="2927"/>
      <c r="X49" s="2980"/>
      <c r="Y49" s="2980"/>
      <c r="Z49" s="2980"/>
    </row>
    <row r="50" spans="1:26">
      <c r="A50" s="2911" t="s">
        <v>2763</v>
      </c>
      <c r="B50" s="2931">
        <f t="shared" si="31"/>
        <v>146.57412060301507</v>
      </c>
      <c r="C50" s="2931">
        <f t="shared" si="31"/>
        <v>136.46831955922866</v>
      </c>
      <c r="D50" s="2931">
        <f t="shared" si="7"/>
        <v>136.46831955922866</v>
      </c>
      <c r="E50" s="2931">
        <f t="shared" si="32"/>
        <v>166.73864894795128</v>
      </c>
      <c r="F50" s="2931">
        <f t="shared" si="32"/>
        <v>115.05882352941177</v>
      </c>
      <c r="G50" s="3803">
        <v>2006</v>
      </c>
      <c r="H50" s="2917">
        <v>2</v>
      </c>
      <c r="I50" s="2917">
        <v>0.96</v>
      </c>
      <c r="J50" s="2917">
        <v>0.25</v>
      </c>
      <c r="K50" s="2917">
        <v>1.9</v>
      </c>
      <c r="L50" s="2933">
        <v>0.95</v>
      </c>
      <c r="N50" s="2978">
        <f t="shared" si="29"/>
        <v>1.8352632728861701E-2</v>
      </c>
      <c r="O50" s="2979">
        <f t="shared" si="29"/>
        <v>2.6286459319075526E-3</v>
      </c>
      <c r="P50" s="2979">
        <f t="shared" si="30"/>
        <v>5.4299289107991269E-2</v>
      </c>
      <c r="Q50" s="2979">
        <f t="shared" si="30"/>
        <v>8.9126559714794995E-3</v>
      </c>
      <c r="R50" s="2928"/>
      <c r="S50" s="2926"/>
      <c r="T50" s="2927"/>
      <c r="U50" s="2927"/>
      <c r="V50" s="2927"/>
      <c r="X50" s="2980"/>
      <c r="Y50" s="2980"/>
      <c r="Z50" s="2980"/>
    </row>
    <row r="51" spans="1:26">
      <c r="A51" s="2911" t="s">
        <v>2764</v>
      </c>
      <c r="B51" s="2931">
        <f t="shared" si="31"/>
        <v>144.04145728643215</v>
      </c>
      <c r="C51" s="2931">
        <f t="shared" si="31"/>
        <v>136.12396694214877</v>
      </c>
      <c r="D51" s="2931">
        <f t="shared" si="7"/>
        <v>136.12396694214877</v>
      </c>
      <c r="E51" s="2931">
        <f t="shared" si="32"/>
        <v>158.32225913621264</v>
      </c>
      <c r="F51" s="2931">
        <f t="shared" si="32"/>
        <v>114.04278074866311</v>
      </c>
      <c r="G51" s="3804">
        <v>2006</v>
      </c>
      <c r="H51" s="2916">
        <v>1</v>
      </c>
      <c r="I51" s="2916">
        <v>2.29</v>
      </c>
      <c r="J51" s="2916">
        <v>3.72</v>
      </c>
      <c r="K51" s="2916">
        <v>0.75</v>
      </c>
      <c r="L51" s="2932">
        <v>0.04</v>
      </c>
      <c r="N51" s="2981">
        <f t="shared" si="29"/>
        <v>4.3778675988638847E-2</v>
      </c>
      <c r="O51" s="2982">
        <f t="shared" si="29"/>
        <v>3.9114251466784385E-2</v>
      </c>
      <c r="P51" s="2982">
        <f t="shared" si="30"/>
        <v>2.1433929911049188E-2</v>
      </c>
      <c r="Q51" s="2982">
        <f t="shared" si="30"/>
        <v>3.7526972511492629E-4</v>
      </c>
      <c r="R51" s="2928"/>
      <c r="S51" s="2934">
        <f>B51/B52-1</f>
        <v>4.3778675988638716E-2</v>
      </c>
      <c r="T51" s="2935">
        <f>C51/C52-1</f>
        <v>3.91142514667846E-2</v>
      </c>
      <c r="U51" s="2935">
        <f>E51/E52-1</f>
        <v>2.143392991104931E-2</v>
      </c>
      <c r="V51" s="2935">
        <f>F51/F52-1</f>
        <v>3.7526972511492396E-4</v>
      </c>
      <c r="X51" s="2980"/>
      <c r="Y51" s="2980"/>
      <c r="Z51" s="2980"/>
    </row>
    <row r="52" spans="1:26" ht="13.5" thickBot="1">
      <c r="A52" s="2911" t="s">
        <v>2765</v>
      </c>
      <c r="B52" s="2944">
        <v>138</v>
      </c>
      <c r="C52" s="2944">
        <v>131</v>
      </c>
      <c r="D52" s="2944">
        <f t="shared" si="7"/>
        <v>131</v>
      </c>
      <c r="E52" s="2944">
        <v>155</v>
      </c>
      <c r="F52" s="2945">
        <v>114</v>
      </c>
      <c r="G52" s="3802">
        <v>2005</v>
      </c>
      <c r="H52" s="2936">
        <v>4</v>
      </c>
      <c r="I52" s="2936">
        <v>3.29</v>
      </c>
      <c r="J52" s="2936">
        <v>1.44</v>
      </c>
      <c r="K52" s="2936">
        <v>0.66</v>
      </c>
      <c r="L52" s="2937">
        <v>7.78</v>
      </c>
      <c r="N52" s="2978">
        <f t="shared" ref="N52:O55" si="33">I52/SUM(I$52:I$55)*(B$52/B$56-1)</f>
        <v>9.9404603216919935E-2</v>
      </c>
      <c r="O52" s="2979">
        <f t="shared" si="33"/>
        <v>4.7636550760861554E-2</v>
      </c>
      <c r="P52" s="2979">
        <f t="shared" ref="P52:Q55" si="34">K52/SUM(K$52:K$55)*(E$52/E$56-1)</f>
        <v>8.3756345177664976E-2</v>
      </c>
      <c r="Q52" s="2979">
        <f t="shared" si="34"/>
        <v>5.2148766661559584E-2</v>
      </c>
      <c r="R52" s="2928"/>
      <c r="S52" s="2929"/>
      <c r="T52" s="2930"/>
      <c r="U52" s="2930"/>
      <c r="V52" s="2930"/>
      <c r="X52" s="2980"/>
      <c r="Y52" s="2980"/>
      <c r="Z52" s="2980"/>
    </row>
    <row r="53" spans="1:26">
      <c r="A53" s="2911" t="s">
        <v>2766</v>
      </c>
      <c r="B53" s="2931">
        <f t="shared" ref="B53:C55" si="35">B54+(B$52-B$56)*I53/SUM(I$52:I$55)</f>
        <v>125.9720430107527</v>
      </c>
      <c r="C53" s="2931">
        <f t="shared" si="35"/>
        <v>125.1883408071749</v>
      </c>
      <c r="D53" s="2931">
        <f t="shared" si="7"/>
        <v>125.1883408071749</v>
      </c>
      <c r="E53" s="2931">
        <f t="shared" ref="E53:F55" si="36">E54+(E$52-E$56)*K53/SUM(K$52:K$55)</f>
        <v>144.61421319796952</v>
      </c>
      <c r="F53" s="2931">
        <f t="shared" si="36"/>
        <v>108.42008196721311</v>
      </c>
      <c r="G53" s="3803">
        <v>2005</v>
      </c>
      <c r="H53" s="2941">
        <v>3</v>
      </c>
      <c r="I53" s="2941">
        <v>0.46</v>
      </c>
      <c r="J53" s="2941">
        <v>0.32</v>
      </c>
      <c r="K53" s="2941">
        <v>0.42</v>
      </c>
      <c r="L53" s="2942">
        <v>0.64</v>
      </c>
      <c r="N53" s="2978">
        <f t="shared" si="33"/>
        <v>1.3898515951301874E-2</v>
      </c>
      <c r="O53" s="2979">
        <f t="shared" si="33"/>
        <v>1.0585900169080346E-2</v>
      </c>
      <c r="P53" s="2979">
        <f t="shared" si="34"/>
        <v>5.3299492385786795E-2</v>
      </c>
      <c r="Q53" s="2979">
        <f t="shared" si="34"/>
        <v>4.2898728359123568E-3</v>
      </c>
      <c r="R53" s="2928"/>
      <c r="S53" s="2926"/>
      <c r="T53" s="2927"/>
      <c r="U53" s="2927"/>
      <c r="V53" s="2927"/>
      <c r="X53" s="2980"/>
      <c r="Y53" s="2980"/>
      <c r="Z53" s="2980"/>
    </row>
    <row r="54" spans="1:26">
      <c r="A54" s="2911" t="s">
        <v>2767</v>
      </c>
      <c r="B54" s="2931">
        <f t="shared" si="35"/>
        <v>124.29032258064517</v>
      </c>
      <c r="C54" s="2931">
        <f t="shared" si="35"/>
        <v>123.8968609865471</v>
      </c>
      <c r="D54" s="2931">
        <f t="shared" si="7"/>
        <v>123.8968609865471</v>
      </c>
      <c r="E54" s="2931">
        <f t="shared" si="36"/>
        <v>138.00507614213197</v>
      </c>
      <c r="F54" s="2931">
        <f t="shared" si="36"/>
        <v>107.96106557377048</v>
      </c>
      <c r="G54" s="3803">
        <v>2005</v>
      </c>
      <c r="H54" s="2917">
        <v>2</v>
      </c>
      <c r="I54" s="2917">
        <v>0.47</v>
      </c>
      <c r="J54" s="2917">
        <v>0.1</v>
      </c>
      <c r="K54" s="2917">
        <v>0.52</v>
      </c>
      <c r="L54" s="2933">
        <v>0.79</v>
      </c>
      <c r="N54" s="2978">
        <f t="shared" si="33"/>
        <v>1.420065760241713E-2</v>
      </c>
      <c r="O54" s="2979">
        <f t="shared" si="33"/>
        <v>3.3080938028376083E-3</v>
      </c>
      <c r="P54" s="2979">
        <f t="shared" si="34"/>
        <v>6.598984771573603E-2</v>
      </c>
      <c r="Q54" s="2979">
        <f t="shared" si="34"/>
        <v>5.2953117818293153E-3</v>
      </c>
      <c r="R54" s="2928"/>
      <c r="S54" s="2926"/>
      <c r="T54" s="2927"/>
      <c r="U54" s="2927"/>
      <c r="V54" s="2927"/>
      <c r="X54" s="2980"/>
      <c r="Y54" s="2980"/>
      <c r="Z54" s="2980"/>
    </row>
    <row r="55" spans="1:26">
      <c r="A55" s="2911" t="s">
        <v>2768</v>
      </c>
      <c r="B55" s="2931">
        <f t="shared" si="35"/>
        <v>122.57204301075269</v>
      </c>
      <c r="C55" s="2931">
        <f t="shared" si="35"/>
        <v>123.4932735426009</v>
      </c>
      <c r="D55" s="2931">
        <f t="shared" si="7"/>
        <v>123.4932735426009</v>
      </c>
      <c r="E55" s="2931">
        <f t="shared" si="36"/>
        <v>129.82233502538071</v>
      </c>
      <c r="F55" s="2931">
        <f t="shared" si="36"/>
        <v>107.39446721311475</v>
      </c>
      <c r="G55" s="3804">
        <v>2005</v>
      </c>
      <c r="H55" s="2916">
        <v>1</v>
      </c>
      <c r="I55" s="2916">
        <v>0.43</v>
      </c>
      <c r="J55" s="2916">
        <v>0.37</v>
      </c>
      <c r="K55" s="2916">
        <v>0.37</v>
      </c>
      <c r="L55" s="2932">
        <v>0.55000000000000004</v>
      </c>
      <c r="N55" s="2981">
        <f t="shared" si="33"/>
        <v>1.2992090997956099E-2</v>
      </c>
      <c r="O55" s="2982">
        <f t="shared" si="33"/>
        <v>1.2239947070499151E-2</v>
      </c>
      <c r="P55" s="2982">
        <f t="shared" si="34"/>
        <v>4.6954314720812178E-2</v>
      </c>
      <c r="Q55" s="2982">
        <f t="shared" si="34"/>
        <v>3.6866094683621815E-3</v>
      </c>
      <c r="R55" s="2928"/>
      <c r="S55" s="2934">
        <f>B55/B56-1</f>
        <v>1.2992090997956174E-2</v>
      </c>
      <c r="T55" s="2935">
        <f>C55/C56-1</f>
        <v>1.2239947070499246E-2</v>
      </c>
      <c r="U55" s="2935">
        <f>E55/E56-1</f>
        <v>4.695431472081224E-2</v>
      </c>
      <c r="V55" s="2935">
        <f>F55/F56-1</f>
        <v>3.6866094683620787E-3</v>
      </c>
      <c r="X55" s="2980"/>
      <c r="Y55" s="2980"/>
      <c r="Z55" s="2980"/>
    </row>
    <row r="56" spans="1:26" ht="13.5" thickBot="1">
      <c r="A56" s="2911" t="s">
        <v>2769</v>
      </c>
      <c r="B56" s="2965">
        <v>121</v>
      </c>
      <c r="C56" s="2965">
        <v>122</v>
      </c>
      <c r="D56" s="2965">
        <f t="shared" si="7"/>
        <v>122</v>
      </c>
      <c r="E56" s="2965">
        <v>124</v>
      </c>
      <c r="F56" s="2966">
        <v>107</v>
      </c>
      <c r="G56" s="3802">
        <v>2004</v>
      </c>
      <c r="H56" s="2936">
        <v>4</v>
      </c>
      <c r="I56" s="2936">
        <v>0.33</v>
      </c>
      <c r="J56" s="2936">
        <v>0.5</v>
      </c>
      <c r="K56" s="2936">
        <v>0.5</v>
      </c>
      <c r="L56" s="2937">
        <v>0</v>
      </c>
      <c r="N56" s="2978">
        <f t="shared" ref="N56:O59" si="37">I56/SUM(I$56:I$59)*(B$56/B$60-1)</f>
        <v>1.3391770148526898E-2</v>
      </c>
      <c r="O56" s="2979">
        <f t="shared" si="37"/>
        <v>1.063264221158958E-2</v>
      </c>
      <c r="P56" s="2979">
        <f t="shared" ref="P56:Q59" si="38">K56/SUM(K$56:K$59)*(E$56/E$60-1)</f>
        <v>2.2244466688911134E-2</v>
      </c>
      <c r="Q56" s="2979">
        <f t="shared" si="38"/>
        <v>0</v>
      </c>
      <c r="R56" s="2928"/>
      <c r="S56" s="2929"/>
      <c r="T56" s="2930"/>
      <c r="U56" s="2930"/>
      <c r="V56" s="2930"/>
      <c r="X56" s="2980"/>
      <c r="Y56" s="2980"/>
      <c r="Z56" s="2980"/>
    </row>
    <row r="57" spans="1:26">
      <c r="A57" s="2911" t="s">
        <v>2770</v>
      </c>
      <c r="B57" s="2931">
        <f t="shared" ref="B57:C59" si="39">B58+(B$56-B$60)*I57/SUM(I$56:I$59)</f>
        <v>119.51351351351352</v>
      </c>
      <c r="C57" s="2931">
        <f t="shared" si="39"/>
        <v>120.7878787878788</v>
      </c>
      <c r="D57" s="2931">
        <f t="shared" si="7"/>
        <v>120.7878787878788</v>
      </c>
      <c r="E57" s="2931">
        <f t="shared" ref="E57:F59" si="40">E58+(E$56-E$60)*K57/SUM(K$56:K$59)</f>
        <v>121.5975975975976</v>
      </c>
      <c r="F57" s="2931">
        <f t="shared" si="40"/>
        <v>107</v>
      </c>
      <c r="G57" s="3803">
        <v>2004</v>
      </c>
      <c r="H57" s="2941">
        <v>3</v>
      </c>
      <c r="I57" s="2941">
        <v>0.56000000000000005</v>
      </c>
      <c r="J57" s="2941">
        <v>0.8</v>
      </c>
      <c r="K57" s="2941">
        <v>0.83</v>
      </c>
      <c r="L57" s="2942">
        <v>0.06</v>
      </c>
      <c r="N57" s="2978">
        <f t="shared" si="37"/>
        <v>2.2725428130833527E-2</v>
      </c>
      <c r="O57" s="2979">
        <f t="shared" si="37"/>
        <v>1.7012227538543329E-2</v>
      </c>
      <c r="P57" s="2979">
        <f t="shared" si="38"/>
        <v>3.6925814703592477E-2</v>
      </c>
      <c r="Q57" s="2979">
        <f t="shared" si="38"/>
        <v>2.8846153846153744E-2</v>
      </c>
      <c r="R57" s="2928"/>
      <c r="S57" s="2926"/>
      <c r="T57" s="2927"/>
      <c r="U57" s="2927"/>
      <c r="V57" s="2927"/>
      <c r="X57" s="2980"/>
      <c r="Y57" s="2980"/>
      <c r="Z57" s="2980"/>
    </row>
    <row r="58" spans="1:26">
      <c r="A58" s="2911" t="s">
        <v>2771</v>
      </c>
      <c r="B58" s="2931">
        <f t="shared" si="39"/>
        <v>116.99099099099099</v>
      </c>
      <c r="C58" s="2931">
        <f t="shared" si="39"/>
        <v>118.84848484848486</v>
      </c>
      <c r="D58" s="2931">
        <f t="shared" si="7"/>
        <v>118.84848484848486</v>
      </c>
      <c r="E58" s="2931">
        <f t="shared" si="40"/>
        <v>117.60960960960961</v>
      </c>
      <c r="F58" s="2931">
        <f t="shared" si="40"/>
        <v>104</v>
      </c>
      <c r="G58" s="3803">
        <v>2004</v>
      </c>
      <c r="H58" s="2917">
        <v>2</v>
      </c>
      <c r="I58" s="2917">
        <v>1</v>
      </c>
      <c r="J58" s="2917">
        <v>1.5</v>
      </c>
      <c r="K58" s="2917">
        <v>1.5</v>
      </c>
      <c r="L58" s="2933">
        <v>0</v>
      </c>
      <c r="N58" s="2978">
        <f t="shared" si="37"/>
        <v>4.0581121662202721E-2</v>
      </c>
      <c r="O58" s="2979">
        <f t="shared" si="37"/>
        <v>3.1897926634768738E-2</v>
      </c>
      <c r="P58" s="2979">
        <f t="shared" si="38"/>
        <v>6.6733400066733395E-2</v>
      </c>
      <c r="Q58" s="2979">
        <f t="shared" si="38"/>
        <v>0</v>
      </c>
      <c r="R58" s="2928"/>
      <c r="S58" s="2926"/>
      <c r="T58" s="2927"/>
      <c r="U58" s="2927"/>
      <c r="V58" s="2927"/>
      <c r="X58" s="2980"/>
      <c r="Y58" s="2980"/>
      <c r="Z58" s="2980"/>
    </row>
    <row r="59" spans="1:26" s="2971" customFormat="1" ht="13.5" thickBot="1">
      <c r="A59" s="2911" t="s">
        <v>2772</v>
      </c>
      <c r="B59" s="2968">
        <f t="shared" si="39"/>
        <v>112.48648648648648</v>
      </c>
      <c r="C59" s="2968">
        <f t="shared" si="39"/>
        <v>115.21212121212122</v>
      </c>
      <c r="D59" s="2968">
        <f t="shared" si="7"/>
        <v>115.21212121212122</v>
      </c>
      <c r="E59" s="2968">
        <f t="shared" si="40"/>
        <v>110.4024024024024</v>
      </c>
      <c r="F59" s="2968">
        <f t="shared" si="40"/>
        <v>104</v>
      </c>
      <c r="G59" s="3804">
        <v>2004</v>
      </c>
      <c r="H59" s="2969">
        <v>1</v>
      </c>
      <c r="I59" s="2969">
        <v>0.33</v>
      </c>
      <c r="J59" s="2969">
        <v>0.5</v>
      </c>
      <c r="K59" s="2969">
        <v>0.5</v>
      </c>
      <c r="L59" s="2970">
        <v>0</v>
      </c>
      <c r="N59" s="2983">
        <f t="shared" si="37"/>
        <v>1.3391770148526898E-2</v>
      </c>
      <c r="O59" s="2984">
        <f t="shared" si="37"/>
        <v>1.063264221158958E-2</v>
      </c>
      <c r="P59" s="2984">
        <f t="shared" si="38"/>
        <v>2.2244466688911134E-2</v>
      </c>
      <c r="Q59" s="2984">
        <f t="shared" si="38"/>
        <v>0</v>
      </c>
      <c r="R59" s="2974"/>
      <c r="S59" s="2972">
        <f>B59/B60-1</f>
        <v>1.3391770148526883E-2</v>
      </c>
      <c r="T59" s="2973">
        <f>C59/C60-1</f>
        <v>1.063264221158966E-2</v>
      </c>
      <c r="U59" s="2973">
        <f>E59/E60-1</f>
        <v>2.2244466688911224E-2</v>
      </c>
      <c r="V59" s="2973">
        <f>F59/F60-1</f>
        <v>0</v>
      </c>
      <c r="X59" s="2985"/>
      <c r="Y59" s="2985"/>
      <c r="Z59" s="2985"/>
    </row>
    <row r="60" spans="1:26" ht="13.5" thickBot="1">
      <c r="A60" s="2911" t="s">
        <v>2773</v>
      </c>
      <c r="B60" s="2986">
        <v>111</v>
      </c>
      <c r="C60" s="2986">
        <v>114</v>
      </c>
      <c r="D60" s="2986">
        <f t="shared" si="7"/>
        <v>114</v>
      </c>
      <c r="E60" s="2986">
        <v>108</v>
      </c>
      <c r="F60" s="2987">
        <v>104</v>
      </c>
      <c r="G60" s="3802">
        <v>2003</v>
      </c>
      <c r="H60" s="2976">
        <v>4</v>
      </c>
      <c r="I60" s="2988"/>
      <c r="J60" s="2988"/>
      <c r="K60" s="2988"/>
      <c r="L60" s="2988"/>
      <c r="N60" s="2989"/>
      <c r="O60" s="2988"/>
      <c r="P60" s="2988"/>
      <c r="Q60" s="2988"/>
      <c r="S60" s="2989"/>
      <c r="T60" s="2988"/>
      <c r="U60" s="2988"/>
      <c r="V60" s="2988"/>
      <c r="X60" s="2980"/>
      <c r="Y60" s="2980"/>
      <c r="Z60" s="2980"/>
    </row>
    <row r="61" spans="1:26">
      <c r="A61" s="2911" t="s">
        <v>2774</v>
      </c>
      <c r="B61" s="2990">
        <f t="shared" ref="B61:C63" si="41">B62+(B$60-B$64)/4</f>
        <v>109.75</v>
      </c>
      <c r="C61" s="2990">
        <f t="shared" si="41"/>
        <v>112.25</v>
      </c>
      <c r="D61" s="2990">
        <f t="shared" si="7"/>
        <v>112.25</v>
      </c>
      <c r="E61" s="2990">
        <f t="shared" ref="E61:F63" si="42">E62+(E$60-E$64)/4</f>
        <v>107.25</v>
      </c>
      <c r="F61" s="2990">
        <f t="shared" si="42"/>
        <v>103.5</v>
      </c>
      <c r="G61" s="3803">
        <v>2003</v>
      </c>
      <c r="H61" s="2941">
        <v>3</v>
      </c>
      <c r="I61" s="2988"/>
      <c r="J61" s="2988"/>
      <c r="K61" s="2988"/>
      <c r="L61" s="2988"/>
      <c r="X61" s="2980"/>
      <c r="Y61" s="2980"/>
      <c r="Z61" s="2980"/>
    </row>
    <row r="62" spans="1:26">
      <c r="A62" s="2911" t="s">
        <v>2775</v>
      </c>
      <c r="B62" s="2990">
        <f t="shared" si="41"/>
        <v>108.5</v>
      </c>
      <c r="C62" s="2990">
        <f t="shared" si="41"/>
        <v>110.5</v>
      </c>
      <c r="D62" s="2990">
        <f t="shared" si="7"/>
        <v>110.5</v>
      </c>
      <c r="E62" s="2990">
        <f t="shared" si="42"/>
        <v>106.5</v>
      </c>
      <c r="F62" s="2990">
        <f t="shared" si="42"/>
        <v>103</v>
      </c>
      <c r="G62" s="3803">
        <v>2003</v>
      </c>
      <c r="H62" s="2917">
        <v>2</v>
      </c>
      <c r="I62" s="2988"/>
      <c r="J62" s="2988"/>
      <c r="K62" s="2988"/>
      <c r="L62" s="2988"/>
      <c r="X62" s="2980"/>
      <c r="Y62" s="2980"/>
      <c r="Z62" s="2980"/>
    </row>
    <row r="63" spans="1:26" ht="13.5" thickBot="1">
      <c r="A63" s="2911" t="s">
        <v>2776</v>
      </c>
      <c r="B63" s="2990">
        <f t="shared" si="41"/>
        <v>107.25</v>
      </c>
      <c r="C63" s="2990">
        <f t="shared" si="41"/>
        <v>108.75</v>
      </c>
      <c r="D63" s="2990">
        <f t="shared" si="7"/>
        <v>108.75</v>
      </c>
      <c r="E63" s="2990">
        <f t="shared" si="42"/>
        <v>105.75</v>
      </c>
      <c r="F63" s="2990">
        <f t="shared" si="42"/>
        <v>102.5</v>
      </c>
      <c r="G63" s="3804">
        <v>2003</v>
      </c>
      <c r="H63" s="2991">
        <v>1</v>
      </c>
      <c r="I63" s="2988"/>
      <c r="J63" s="2988"/>
      <c r="K63" s="2988"/>
      <c r="L63" s="2988"/>
      <c r="S63" s="2926"/>
      <c r="T63" s="2927"/>
      <c r="U63" s="2927"/>
      <c r="X63" s="2980"/>
      <c r="Y63" s="2980"/>
      <c r="Z63" s="2980"/>
    </row>
    <row r="64" spans="1:26" ht="13.5" thickBot="1">
      <c r="A64" s="2911" t="s">
        <v>2777</v>
      </c>
      <c r="B64" s="2992">
        <v>106</v>
      </c>
      <c r="C64" s="2992">
        <v>107</v>
      </c>
      <c r="D64" s="2992">
        <f t="shared" si="7"/>
        <v>107</v>
      </c>
      <c r="E64" s="2992">
        <v>105</v>
      </c>
      <c r="F64" s="2993">
        <v>102</v>
      </c>
      <c r="G64" s="3802">
        <v>2002</v>
      </c>
      <c r="H64" s="2936">
        <v>4</v>
      </c>
      <c r="I64" s="2988"/>
      <c r="J64" s="2988"/>
      <c r="K64" s="2988"/>
      <c r="L64" s="2988"/>
      <c r="N64" s="2989"/>
      <c r="O64" s="2988"/>
      <c r="P64" s="2988"/>
      <c r="Q64" s="2988"/>
      <c r="S64" s="2989"/>
      <c r="T64" s="2988"/>
      <c r="U64" s="2988"/>
      <c r="V64" s="2988"/>
      <c r="X64" s="2980"/>
      <c r="Y64" s="2980"/>
      <c r="Z64" s="2980"/>
    </row>
    <row r="65" spans="1:26">
      <c r="A65" s="2911" t="s">
        <v>2778</v>
      </c>
      <c r="B65" s="2990">
        <f t="shared" ref="B65:C67" si="43">B66+(B$64-B$68)/4</f>
        <v>105</v>
      </c>
      <c r="C65" s="2990">
        <f t="shared" si="43"/>
        <v>106</v>
      </c>
      <c r="D65" s="2990">
        <f t="shared" si="7"/>
        <v>106</v>
      </c>
      <c r="E65" s="2990">
        <f t="shared" ref="E65:F67" si="44">E66+(E$64-E$68)/4</f>
        <v>104.5</v>
      </c>
      <c r="F65" s="2990">
        <f t="shared" si="44"/>
        <v>101.5</v>
      </c>
      <c r="G65" s="3803">
        <v>2002</v>
      </c>
      <c r="H65" s="2941">
        <v>3</v>
      </c>
      <c r="I65" s="2988"/>
      <c r="J65" s="2988"/>
      <c r="K65" s="2988"/>
      <c r="L65" s="2988"/>
      <c r="X65" s="2980"/>
      <c r="Y65" s="2980"/>
      <c r="Z65" s="2980"/>
    </row>
    <row r="66" spans="1:26">
      <c r="A66" s="2911" t="s">
        <v>2779</v>
      </c>
      <c r="B66" s="2990">
        <f t="shared" si="43"/>
        <v>104</v>
      </c>
      <c r="C66" s="2990">
        <f t="shared" si="43"/>
        <v>105</v>
      </c>
      <c r="D66" s="2990">
        <f t="shared" si="7"/>
        <v>105</v>
      </c>
      <c r="E66" s="2990">
        <f t="shared" si="44"/>
        <v>104</v>
      </c>
      <c r="F66" s="2990">
        <f t="shared" si="44"/>
        <v>101</v>
      </c>
      <c r="G66" s="3803">
        <v>2002</v>
      </c>
      <c r="H66" s="2917">
        <v>2</v>
      </c>
      <c r="I66" s="2988"/>
      <c r="J66" s="2988"/>
      <c r="K66" s="2988"/>
      <c r="L66" s="2988"/>
      <c r="X66" s="2980"/>
      <c r="Y66" s="2980"/>
      <c r="Z66" s="2980"/>
    </row>
    <row r="67" spans="1:26" s="2952" customFormat="1" ht="13.5" thickBot="1">
      <c r="A67" s="2948" t="s">
        <v>2780</v>
      </c>
      <c r="B67" s="2994">
        <f t="shared" si="43"/>
        <v>103</v>
      </c>
      <c r="C67" s="2994">
        <f t="shared" si="43"/>
        <v>104</v>
      </c>
      <c r="D67" s="2994">
        <f t="shared" si="7"/>
        <v>104</v>
      </c>
      <c r="E67" s="2994">
        <f t="shared" si="44"/>
        <v>103.5</v>
      </c>
      <c r="F67" s="2994">
        <f t="shared" si="44"/>
        <v>100.5</v>
      </c>
      <c r="G67" s="3804">
        <v>2002</v>
      </c>
      <c r="H67" s="2995">
        <v>1</v>
      </c>
      <c r="I67" s="2996"/>
      <c r="J67" s="2996"/>
      <c r="K67" s="2996"/>
      <c r="L67" s="2996"/>
      <c r="N67" s="2997"/>
      <c r="S67" s="2997"/>
      <c r="X67" s="2998"/>
      <c r="Y67" s="2998"/>
      <c r="Z67" s="2998"/>
    </row>
    <row r="68" spans="1:26" ht="13.5" thickBot="1">
      <c r="B68" s="2999">
        <v>102</v>
      </c>
      <c r="C68" s="3000">
        <v>103</v>
      </c>
      <c r="D68" s="3000">
        <f t="shared" si="7"/>
        <v>103</v>
      </c>
      <c r="E68" s="3000">
        <v>103</v>
      </c>
      <c r="F68" s="3001">
        <v>100</v>
      </c>
      <c r="I68" s="2988"/>
      <c r="J68" s="2988"/>
      <c r="K68" s="2988"/>
      <c r="L68" s="2988"/>
      <c r="N68" s="2989"/>
      <c r="O68" s="2988"/>
      <c r="P68" s="2988"/>
      <c r="Q68" s="2988"/>
      <c r="S68" s="2989"/>
      <c r="T68" s="2988"/>
      <c r="U68" s="2988"/>
      <c r="V68" s="2988"/>
      <c r="X68" s="2930"/>
      <c r="Y68" s="2930"/>
      <c r="Z68" s="2930"/>
    </row>
    <row r="70" spans="1:26" s="3003" customFormat="1">
      <c r="A70" s="3002" t="s">
        <v>2781</v>
      </c>
      <c r="G70" s="3004"/>
      <c r="N70" s="3004"/>
      <c r="S70" s="3004"/>
    </row>
    <row r="71" spans="1:26" s="3003" customFormat="1">
      <c r="A71" s="3003" t="s">
        <v>2782</v>
      </c>
      <c r="G71" s="3004"/>
      <c r="N71" s="3004"/>
      <c r="S71" s="3004"/>
    </row>
    <row r="72" spans="1:26" s="3003" customFormat="1">
      <c r="A72" s="3003" t="s">
        <v>2783</v>
      </c>
      <c r="G72" s="3004"/>
      <c r="I72" s="3005"/>
      <c r="J72" s="3005"/>
      <c r="K72" s="3005"/>
      <c r="L72" s="3005"/>
      <c r="N72" s="3006"/>
      <c r="O72" s="3005"/>
      <c r="P72" s="3005"/>
      <c r="Q72" s="3005"/>
      <c r="S72" s="3006"/>
      <c r="T72" s="3005"/>
      <c r="U72" s="3005"/>
      <c r="V72" s="3005"/>
    </row>
    <row r="73" spans="1:26" s="3003" customFormat="1">
      <c r="A73" s="3003" t="s">
        <v>2784</v>
      </c>
      <c r="G73" s="3004"/>
      <c r="N73" s="3004"/>
      <c r="S73" s="3004"/>
    </row>
    <row r="80" spans="1:26" ht="13.5" thickBot="1"/>
    <row r="81" spans="14:22" s="2925" customFormat="1">
      <c r="N81" s="2940"/>
      <c r="S81" s="3007" t="s">
        <v>2785</v>
      </c>
      <c r="T81" s="3008" t="s">
        <v>2786</v>
      </c>
      <c r="U81" s="3008" t="s">
        <v>2787</v>
      </c>
      <c r="V81" s="3008" t="s">
        <v>2788</v>
      </c>
    </row>
    <row r="82" spans="14:22" s="2925" customFormat="1">
      <c r="N82" s="2929"/>
      <c r="O82" s="2930"/>
      <c r="P82" s="2930"/>
      <c r="Q82" s="2930"/>
      <c r="S82" s="3009">
        <v>2006</v>
      </c>
      <c r="T82" s="3010">
        <v>15.1</v>
      </c>
      <c r="U82" s="3010">
        <v>7.43</v>
      </c>
      <c r="V82" s="3010">
        <v>26.26</v>
      </c>
    </row>
    <row r="83" spans="14:22" s="2925" customFormat="1">
      <c r="N83" s="2929"/>
      <c r="O83" s="2930"/>
      <c r="P83" s="2930"/>
      <c r="Q83" s="2930"/>
      <c r="S83" s="3011">
        <v>2005</v>
      </c>
      <c r="T83" s="3012">
        <v>13.9</v>
      </c>
      <c r="U83" s="3012">
        <v>7.49</v>
      </c>
      <c r="V83" s="3012">
        <v>24.92</v>
      </c>
    </row>
    <row r="84" spans="14:22" s="2925" customFormat="1">
      <c r="N84" s="2929"/>
      <c r="O84" s="2930"/>
      <c r="P84" s="2930"/>
      <c r="Q84" s="2930"/>
      <c r="S84" s="3009">
        <v>2004</v>
      </c>
      <c r="T84" s="3010">
        <v>9.48</v>
      </c>
      <c r="U84" s="3010">
        <v>7.2</v>
      </c>
      <c r="V84" s="3010">
        <v>14.68</v>
      </c>
    </row>
    <row r="85" spans="14:22" s="2925" customFormat="1">
      <c r="N85" s="2929"/>
      <c r="O85" s="2930"/>
      <c r="P85" s="2930"/>
      <c r="Q85" s="2930"/>
      <c r="S85" s="3011">
        <v>2003</v>
      </c>
      <c r="T85" s="3012">
        <v>4.5</v>
      </c>
      <c r="U85" s="3012">
        <v>6.12</v>
      </c>
      <c r="V85" s="3012">
        <v>2.34</v>
      </c>
    </row>
    <row r="86" spans="14:22" s="2925" customFormat="1" ht="13.5" thickBot="1">
      <c r="N86" s="2929"/>
      <c r="O86" s="2930"/>
      <c r="P86" s="2930"/>
      <c r="Q86" s="2930"/>
      <c r="S86" s="3013">
        <v>2002</v>
      </c>
      <c r="T86" s="3014">
        <v>3.59</v>
      </c>
      <c r="U86" s="3014">
        <v>4.54</v>
      </c>
      <c r="V86" s="3014">
        <v>2.5499999999999998</v>
      </c>
    </row>
    <row r="87" spans="14:22" s="2925" customFormat="1">
      <c r="N87" s="2929"/>
      <c r="O87" s="2930"/>
      <c r="P87" s="2930"/>
      <c r="Q87" s="2930"/>
      <c r="S87" s="2940"/>
    </row>
    <row r="88" spans="14:22" s="2925" customFormat="1">
      <c r="N88" s="2929"/>
      <c r="O88" s="2930"/>
      <c r="P88" s="2930"/>
      <c r="Q88" s="2930"/>
      <c r="S88" s="2940"/>
    </row>
    <row r="89" spans="14:22" s="2925" customFormat="1">
      <c r="N89" s="2929"/>
      <c r="O89" s="2930"/>
      <c r="P89" s="2930"/>
      <c r="Q89" s="2930"/>
      <c r="S89" s="2940"/>
    </row>
    <row r="90" spans="14:22" s="2925" customFormat="1">
      <c r="N90" s="2929"/>
      <c r="O90" s="2930"/>
      <c r="P90" s="2930"/>
      <c r="Q90" s="2930"/>
      <c r="S90" s="2940"/>
    </row>
    <row r="91" spans="14:22" s="2925" customFormat="1">
      <c r="N91" s="2929"/>
      <c r="O91" s="2930"/>
      <c r="P91" s="2930"/>
      <c r="Q91" s="2930"/>
      <c r="S91" s="2940"/>
    </row>
    <row r="92" spans="14:22" s="2925" customFormat="1">
      <c r="N92" s="2929"/>
      <c r="O92" s="2930"/>
      <c r="P92" s="2930"/>
      <c r="Q92" s="2930"/>
      <c r="S92" s="2940"/>
    </row>
    <row r="93" spans="14:22" s="2925" customFormat="1">
      <c r="N93" s="2929"/>
      <c r="O93" s="2930"/>
      <c r="P93" s="2930"/>
      <c r="Q93" s="2930"/>
      <c r="S93" s="2940"/>
    </row>
    <row r="94" spans="14:22" s="2925" customFormat="1">
      <c r="N94" s="2929"/>
      <c r="O94" s="2930"/>
      <c r="P94" s="2930"/>
      <c r="Q94" s="2930"/>
      <c r="S94" s="2940"/>
    </row>
    <row r="95" spans="14:22" s="2925" customFormat="1">
      <c r="N95" s="2929"/>
      <c r="O95" s="2930"/>
      <c r="P95" s="2930"/>
      <c r="Q95" s="2930"/>
      <c r="S95" s="2940"/>
    </row>
    <row r="96" spans="14:22" s="2925" customFormat="1">
      <c r="N96" s="2929"/>
      <c r="O96" s="2930"/>
      <c r="P96" s="2930"/>
      <c r="Q96" s="2930"/>
      <c r="S96" s="2940"/>
    </row>
    <row r="97" spans="14:17" s="2925" customFormat="1">
      <c r="N97" s="2929"/>
      <c r="O97" s="2930"/>
      <c r="P97" s="2930"/>
      <c r="Q97" s="2930"/>
    </row>
    <row r="98" spans="14:17" s="2925" customFormat="1">
      <c r="N98" s="2929"/>
      <c r="O98" s="2930"/>
      <c r="P98" s="2930"/>
      <c r="Q98" s="2930"/>
    </row>
    <row r="99" spans="14:17" s="2925" customFormat="1">
      <c r="N99" s="2929"/>
      <c r="O99" s="2930"/>
      <c r="P99" s="2930"/>
      <c r="Q99" s="2930"/>
    </row>
    <row r="100" spans="14:17" s="2925" customFormat="1">
      <c r="N100" s="2929"/>
      <c r="O100" s="2930"/>
      <c r="P100" s="2930"/>
      <c r="Q100" s="2930"/>
    </row>
    <row r="101" spans="14:17" s="2925" customFormat="1">
      <c r="N101" s="2929"/>
      <c r="O101" s="2930"/>
      <c r="P101" s="2930"/>
      <c r="Q101" s="2930"/>
    </row>
    <row r="102" spans="14:17" s="2925" customFormat="1">
      <c r="N102" s="2929"/>
      <c r="O102" s="2930"/>
      <c r="P102" s="2930"/>
      <c r="Q102" s="2930"/>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820</v>
      </c>
      <c r="B1" s="573"/>
      <c r="C1" s="574"/>
      <c r="D1" s="574"/>
      <c r="E1" s="574"/>
      <c r="F1" s="574"/>
      <c r="G1" s="575"/>
    </row>
    <row r="2" spans="1:7" s="576" customFormat="1" ht="18" customHeight="1">
      <c r="A2" s="577" t="s">
        <v>821</v>
      </c>
      <c r="B2" s="578">
        <f ca="1">C52</f>
        <v>28192</v>
      </c>
      <c r="C2" s="85" t="s">
        <v>870</v>
      </c>
      <c r="D2" s="575"/>
      <c r="E2" s="575"/>
      <c r="F2" s="575"/>
      <c r="G2" s="575"/>
    </row>
    <row r="3" spans="1:7" s="576" customFormat="1" ht="18" customHeight="1" thickBot="1">
      <c r="A3" s="579" t="s">
        <v>822</v>
      </c>
      <c r="B3" s="580">
        <f ca="1">ROUND(B2*10000/'数据-汇总表'!E3,0)</f>
        <v>69718</v>
      </c>
      <c r="C3" s="85" t="s">
        <v>871</v>
      </c>
      <c r="D3" s="575"/>
      <c r="E3" s="575"/>
      <c r="F3" s="575"/>
      <c r="G3" s="575"/>
    </row>
    <row r="4" spans="1:7" s="584" customFormat="1" ht="15.75">
      <c r="A4" s="581" t="s">
        <v>823</v>
      </c>
      <c r="B4" s="582"/>
      <c r="C4" s="582"/>
      <c r="D4" s="582"/>
      <c r="E4" s="582"/>
      <c r="F4" s="582"/>
      <c r="G4" s="583"/>
    </row>
    <row r="5" spans="1:7" s="590" customFormat="1" ht="13.5" customHeight="1">
      <c r="A5" s="631" t="s">
        <v>2512</v>
      </c>
      <c r="B5" s="586" t="s">
        <v>824</v>
      </c>
      <c r="C5" s="587">
        <f>C6+C7+C8</f>
        <v>20610</v>
      </c>
      <c r="D5" s="587" t="s">
        <v>825</v>
      </c>
      <c r="E5" s="588" t="s">
        <v>826</v>
      </c>
      <c r="F5" s="588" t="s">
        <v>827</v>
      </c>
      <c r="G5" s="589"/>
    </row>
    <row r="6" spans="1:7" s="590" customFormat="1" ht="13.5" customHeight="1">
      <c r="A6" s="1800" t="s">
        <v>1926</v>
      </c>
      <c r="B6" s="591" t="s">
        <v>828</v>
      </c>
      <c r="C6" s="592">
        <v>20000</v>
      </c>
      <c r="D6" s="593"/>
      <c r="E6" s="594"/>
      <c r="F6" s="594"/>
      <c r="G6" s="595"/>
    </row>
    <row r="7" spans="1:7" s="590" customFormat="1" ht="13.5" customHeight="1">
      <c r="A7" s="1800" t="s">
        <v>1927</v>
      </c>
      <c r="B7" s="591" t="s">
        <v>347</v>
      </c>
      <c r="C7" s="596">
        <f>ROUND(C6*F7,0)</f>
        <v>610</v>
      </c>
      <c r="D7" s="596"/>
      <c r="E7" s="594"/>
      <c r="F7" s="597">
        <f>'数据-取费表'!B48+'数据-取费表'!B49</f>
        <v>3.0499999999999999E-2</v>
      </c>
      <c r="G7" s="595"/>
    </row>
    <row r="8" spans="1:7" s="599" customFormat="1">
      <c r="A8" s="1800" t="s">
        <v>1928</v>
      </c>
      <c r="B8" s="591" t="s">
        <v>829</v>
      </c>
      <c r="C8" s="596" t="str">
        <f>IF(G8="已包含在土地购买价格中","0",'数据-取费表'!B29)</f>
        <v>0</v>
      </c>
      <c r="D8" s="598"/>
      <c r="E8" s="596"/>
      <c r="F8" s="597"/>
      <c r="G8" s="84" t="s">
        <v>2689</v>
      </c>
    </row>
    <row r="9" spans="1:7" s="590" customFormat="1" ht="13.5" customHeight="1">
      <c r="A9" s="1801" t="s">
        <v>1935</v>
      </c>
      <c r="B9" s="600" t="s">
        <v>830</v>
      </c>
      <c r="C9" s="601">
        <f>ROUND(D9*E9/10000,0)</f>
        <v>40</v>
      </c>
      <c r="D9" s="1905">
        <f>'数据-汇总表'!E5</f>
        <v>1653.4</v>
      </c>
      <c r="E9" s="601">
        <f>'数据-取费表'!B27</f>
        <v>240</v>
      </c>
      <c r="F9" s="597"/>
      <c r="G9" s="602"/>
    </row>
    <row r="10" spans="1:7" s="590" customFormat="1" ht="13.5" customHeight="1">
      <c r="A10" s="1801" t="s">
        <v>1936</v>
      </c>
      <c r="B10" s="600" t="s">
        <v>831</v>
      </c>
      <c r="C10" s="601">
        <f>ROUND(D10*E10/10000,0)</f>
        <v>57</v>
      </c>
      <c r="D10" s="1905">
        <f>'数据-汇总表'!E6</f>
        <v>2390.3000000000002</v>
      </c>
      <c r="E10" s="601">
        <f>'数据-取费表'!B28</f>
        <v>240</v>
      </c>
      <c r="F10" s="597"/>
      <c r="G10" s="602"/>
    </row>
    <row r="11" spans="1:7" s="590" customFormat="1" ht="13.5" hidden="1" customHeight="1">
      <c r="A11" s="603" t="s">
        <v>42</v>
      </c>
      <c r="B11" s="591" t="s">
        <v>832</v>
      </c>
      <c r="C11" s="587"/>
      <c r="D11" s="1907"/>
      <c r="E11" s="594"/>
      <c r="F11" s="594"/>
      <c r="G11" s="595"/>
    </row>
    <row r="12" spans="1:7" s="590" customFormat="1" ht="13.5" hidden="1" customHeight="1">
      <c r="A12" s="603" t="s">
        <v>43</v>
      </c>
      <c r="B12" s="591" t="s">
        <v>833</v>
      </c>
      <c r="C12" s="587">
        <v>0</v>
      </c>
      <c r="D12" s="1907"/>
      <c r="E12" s="604"/>
      <c r="F12" s="597">
        <v>3.0499999999999999E-2</v>
      </c>
      <c r="G12" s="595"/>
    </row>
    <row r="13" spans="1:7" s="590" customFormat="1" ht="13.5" hidden="1" customHeight="1">
      <c r="A13" s="603" t="s">
        <v>44</v>
      </c>
      <c r="B13" s="591" t="s">
        <v>834</v>
      </c>
      <c r="C13" s="587"/>
      <c r="D13" s="1907"/>
      <c r="E13" s="594"/>
      <c r="F13" s="594"/>
      <c r="G13" s="595"/>
    </row>
    <row r="14" spans="1:7" s="590" customFormat="1" ht="13.5" hidden="1" customHeight="1">
      <c r="A14" s="603" t="s">
        <v>45</v>
      </c>
      <c r="B14" s="591" t="s">
        <v>829</v>
      </c>
      <c r="C14" s="587"/>
      <c r="D14" s="1907"/>
      <c r="E14" s="594"/>
      <c r="F14" s="594"/>
      <c r="G14" s="595" t="s">
        <v>835</v>
      </c>
    </row>
    <row r="15" spans="1:7" s="590" customFormat="1" ht="13.5" hidden="1" customHeight="1">
      <c r="A15" s="603" t="s">
        <v>46</v>
      </c>
      <c r="B15" s="591" t="s">
        <v>836</v>
      </c>
      <c r="C15" s="596"/>
      <c r="D15" s="1907"/>
      <c r="E15" s="594"/>
      <c r="F15" s="594"/>
      <c r="G15" s="595" t="s">
        <v>837</v>
      </c>
    </row>
    <row r="16" spans="1:7" s="590" customFormat="1" ht="13.5" hidden="1" customHeight="1">
      <c r="A16" s="603" t="s">
        <v>47</v>
      </c>
      <c r="B16" s="591" t="s">
        <v>829</v>
      </c>
      <c r="C16" s="596"/>
      <c r="D16" s="1907"/>
      <c r="E16" s="594"/>
      <c r="F16" s="594"/>
      <c r="G16" s="595"/>
    </row>
    <row r="17" spans="1:7" s="590" customFormat="1" ht="13.5" hidden="1" customHeight="1">
      <c r="A17" s="603" t="s">
        <v>48</v>
      </c>
      <c r="B17" s="591" t="s">
        <v>838</v>
      </c>
      <c r="C17" s="605"/>
      <c r="D17" s="1908"/>
      <c r="E17" s="605"/>
      <c r="F17" s="605"/>
      <c r="G17" s="595" t="s">
        <v>837</v>
      </c>
    </row>
    <row r="18" spans="1:7" s="590" customFormat="1" ht="13.5" hidden="1" customHeight="1">
      <c r="A18" s="603" t="s">
        <v>49</v>
      </c>
      <c r="B18" s="591" t="s">
        <v>839</v>
      </c>
      <c r="C18" s="596">
        <v>0</v>
      </c>
      <c r="D18" s="1907"/>
      <c r="E18" s="594"/>
      <c r="F18" s="597">
        <v>3.0499999999999999E-2</v>
      </c>
      <c r="G18" s="595" t="s">
        <v>840</v>
      </c>
    </row>
    <row r="19" spans="1:7" s="599" customFormat="1" ht="13.5" customHeight="1">
      <c r="A19" s="1799" t="s">
        <v>2513</v>
      </c>
      <c r="B19" s="586" t="s">
        <v>848</v>
      </c>
      <c r="C19" s="587">
        <f>IF(G19="已包含在土地取得成本中","0",ROUND(D19*E19/10000,0))</f>
        <v>81</v>
      </c>
      <c r="D19" s="1909">
        <f>'数据-汇总表'!E3</f>
        <v>4043.7000000000003</v>
      </c>
      <c r="E19" s="587">
        <f>'数据-取费表'!B31</f>
        <v>200</v>
      </c>
      <c r="F19" s="607"/>
      <c r="G19" s="84" t="s">
        <v>2535</v>
      </c>
    </row>
    <row r="20" spans="1:7" s="590" customFormat="1" ht="13.5" customHeight="1">
      <c r="A20" s="1799" t="s">
        <v>2515</v>
      </c>
      <c r="B20" s="586" t="s">
        <v>841</v>
      </c>
      <c r="C20" s="608">
        <f>ROUND((C5+C19)*F20,0)</f>
        <v>310</v>
      </c>
      <c r="D20" s="608"/>
      <c r="E20" s="608"/>
      <c r="F20" s="609">
        <f>'数据-取费表'!B37</f>
        <v>1.4999999999999999E-2</v>
      </c>
      <c r="G20" s="2616" t="s">
        <v>2526</v>
      </c>
    </row>
    <row r="21" spans="1:7" s="590" customFormat="1" ht="13.5" customHeight="1">
      <c r="A21" s="1799" t="s">
        <v>2517</v>
      </c>
      <c r="B21" s="586" t="s">
        <v>842</v>
      </c>
      <c r="C21" s="611">
        <f>F21</f>
        <v>1.4999999999999999E-2</v>
      </c>
      <c r="D21" s="612" t="s">
        <v>863</v>
      </c>
      <c r="E21" s="608"/>
      <c r="F21" s="609">
        <f>'数据-取费表'!B38</f>
        <v>1.4999999999999999E-2</v>
      </c>
      <c r="G21" s="610" t="s">
        <v>843</v>
      </c>
    </row>
    <row r="22" spans="1:7" s="590" customFormat="1" ht="13.5" customHeight="1">
      <c r="A22" s="1799" t="s">
        <v>1921</v>
      </c>
      <c r="B22" s="586" t="s">
        <v>844</v>
      </c>
      <c r="C22" s="2695">
        <f ca="1">ROUND(SUM(C23:C25),0)</f>
        <v>2564</v>
      </c>
      <c r="D22" s="611">
        <f ca="1">C26</f>
        <v>8.9999999999999998E-4</v>
      </c>
      <c r="E22" s="612" t="s">
        <v>863</v>
      </c>
      <c r="F22" s="613">
        <f ca="1">'数据-取费表'!B40</f>
        <v>4.7500000000000001E-2</v>
      </c>
      <c r="G22" s="2616" t="str">
        <f>IF('数据-取费表'!B22&lt;=1,"单利计息","复利计息")</f>
        <v>复利计息</v>
      </c>
    </row>
    <row r="23" spans="1:7" s="590" customFormat="1" ht="13.5" customHeight="1">
      <c r="A23" s="1802" t="s">
        <v>1929</v>
      </c>
      <c r="B23" s="591" t="s">
        <v>2519</v>
      </c>
      <c r="C23" s="2696">
        <f ca="1">ROUND(IF('数据-取费表'!B22&lt;=1,C5*F22*'数据-取费表'!B23,C5*(POWER((1+F22),'数据-取费表'!B23)-1)),0)</f>
        <v>2535</v>
      </c>
      <c r="D23" s="614"/>
      <c r="E23" s="614"/>
      <c r="F23" s="615"/>
      <c r="G23" s="616" t="s">
        <v>845</v>
      </c>
    </row>
    <row r="24" spans="1:7" s="590" customFormat="1" ht="13.5" customHeight="1">
      <c r="A24" s="1802" t="s">
        <v>1927</v>
      </c>
      <c r="B24" s="591" t="s">
        <v>2514</v>
      </c>
      <c r="C24" s="2696">
        <f ca="1">ROUND(IF('数据-取费表'!B22&lt;=1,C19*F22*('数据-取费表'!B19/2+'数据-取费表'!B21),C19*(POWER((1+F22),('数据-取费表'!B19/2+'数据-取费表'!B21))-1)),0)</f>
        <v>10</v>
      </c>
      <c r="D24" s="614"/>
      <c r="E24" s="614"/>
      <c r="F24" s="615"/>
      <c r="G24" s="616" t="s">
        <v>846</v>
      </c>
    </row>
    <row r="25" spans="1:7" s="590" customFormat="1" ht="24">
      <c r="A25" s="1802" t="s">
        <v>1928</v>
      </c>
      <c r="B25" s="591" t="s">
        <v>2516</v>
      </c>
      <c r="C25" s="2696">
        <f ca="1">ROUND(IF('数据-取费表'!B22&lt;=1,C20*F22*'数据-取费表'!B23/2,C20*(POWER((1+F22),'数据-取费表'!B23/2)-1)),0)</f>
        <v>19</v>
      </c>
      <c r="D25" s="614"/>
      <c r="E25" s="617"/>
      <c r="F25" s="615"/>
      <c r="G25" s="618" t="s">
        <v>847</v>
      </c>
    </row>
    <row r="26" spans="1:7" s="590" customFormat="1">
      <c r="A26" s="1802" t="s">
        <v>1930</v>
      </c>
      <c r="B26" s="591" t="s">
        <v>2518</v>
      </c>
      <c r="C26" s="614">
        <f ca="1">ROUND(IF('数据-取费表'!B22&lt;=1,F21*F22*'数据-取费表'!B23/2,F21*(POWER((1+F22),'数据-取费表'!B23/2)-1)),4)</f>
        <v>8.9999999999999998E-4</v>
      </c>
      <c r="D26" s="614"/>
      <c r="E26" s="617"/>
      <c r="F26" s="615"/>
      <c r="G26" s="619"/>
    </row>
    <row r="27" spans="1:7" s="590" customFormat="1" ht="24.75">
      <c r="A27" s="1799" t="s">
        <v>1922</v>
      </c>
      <c r="B27" s="620" t="s">
        <v>849</v>
      </c>
      <c r="C27" s="621">
        <f>C28</f>
        <v>1680</v>
      </c>
      <c r="D27" s="611">
        <f>C29</f>
        <v>1.1999999999999999E-3</v>
      </c>
      <c r="E27" s="612" t="s">
        <v>863</v>
      </c>
      <c r="F27" s="622">
        <f>'数据-取费表'!Q16</f>
        <v>0.08</v>
      </c>
      <c r="G27" s="623" t="s">
        <v>2527</v>
      </c>
    </row>
    <row r="28" spans="1:7" s="590" customFormat="1" ht="13.5" customHeight="1">
      <c r="A28" s="1802" t="s">
        <v>1929</v>
      </c>
      <c r="B28" s="624" t="s">
        <v>2520</v>
      </c>
      <c r="C28" s="625">
        <f>ROUND((C5+C19+C20)*F27*'数据-取费表'!B21/'数据-取费表'!B20,0)</f>
        <v>1680</v>
      </c>
      <c r="D28" s="611"/>
      <c r="E28" s="612"/>
      <c r="F28" s="622"/>
      <c r="G28" s="623"/>
    </row>
    <row r="29" spans="1:7" s="590" customFormat="1" ht="13.5" customHeight="1">
      <c r="A29" s="1802" t="s">
        <v>1927</v>
      </c>
      <c r="B29" s="624" t="s">
        <v>2521</v>
      </c>
      <c r="C29" s="614">
        <f>ROUND(C21*F27*'数据-取费表'!B21/'数据-取费表'!B20,4)</f>
        <v>1.1999999999999999E-3</v>
      </c>
      <c r="D29" s="611"/>
      <c r="E29" s="612"/>
      <c r="F29" s="622"/>
      <c r="G29" s="623"/>
    </row>
    <row r="30" spans="1:7" s="590" customFormat="1" ht="13.5" customHeight="1">
      <c r="A30" s="1799" t="s">
        <v>1923</v>
      </c>
      <c r="B30" s="586" t="s">
        <v>348</v>
      </c>
      <c r="C30" s="611">
        <f>F30</f>
        <v>5.6000000000000001E-2</v>
      </c>
      <c r="D30" s="612" t="s">
        <v>864</v>
      </c>
      <c r="E30" s="617"/>
      <c r="F30" s="613">
        <f>'数据-取费表'!B41</f>
        <v>5.6000000000000001E-2</v>
      </c>
      <c r="G30" s="610" t="s">
        <v>850</v>
      </c>
    </row>
    <row r="31" spans="1:7" ht="16.5" customHeight="1">
      <c r="A31" s="585">
        <v>1</v>
      </c>
      <c r="B31" s="586" t="s">
        <v>865</v>
      </c>
      <c r="C31" s="587">
        <f ca="1">ROUND((C5+C19+C20+C22+C27)/(1-C21-D22-D27-C30/(1+'数据-取费表'!B42)),0)</f>
        <v>27158</v>
      </c>
      <c r="D31" s="606"/>
      <c r="E31" s="587"/>
      <c r="F31" s="626"/>
      <c r="G31" s="610" t="s">
        <v>2528</v>
      </c>
    </row>
    <row r="32" spans="1:7" s="584" customFormat="1" ht="15.75">
      <c r="A32" s="628" t="s">
        <v>851</v>
      </c>
      <c r="B32" s="629"/>
      <c r="C32" s="629"/>
      <c r="D32" s="629"/>
      <c r="E32" s="629"/>
      <c r="F32" s="629"/>
      <c r="G32" s="630"/>
    </row>
    <row r="33" spans="1:7" s="590" customFormat="1" ht="13.5" customHeight="1">
      <c r="A33" s="631" t="s">
        <v>1917</v>
      </c>
      <c r="B33" s="586" t="s">
        <v>852</v>
      </c>
      <c r="C33" s="632">
        <f>SUM(C34:C38)</f>
        <v>856</v>
      </c>
      <c r="D33" s="608"/>
      <c r="E33" s="588"/>
      <c r="F33" s="617"/>
      <c r="G33" s="610"/>
    </row>
    <row r="34" spans="1:7" s="634" customFormat="1" ht="13.5" customHeight="1">
      <c r="A34" s="1802" t="s">
        <v>1929</v>
      </c>
      <c r="B34" s="591" t="s">
        <v>349</v>
      </c>
      <c r="C34" s="596">
        <f>IF(F34=100%,'数据-取费表'!M16-SUMIF('数据-取费表'!C:C,"公共配套",'数据-取费表'!M:M),'数据-取费表'!O16-SUMIF('数据-取费表'!C:C,"公共配套",'数据-取费表'!O:O))</f>
        <v>727</v>
      </c>
      <c r="D34" s="593"/>
      <c r="E34" s="596"/>
      <c r="F34" s="633">
        <f>IF('数据-取费表'!B24=0,1,'数据-取费表'!N16)</f>
        <v>1</v>
      </c>
      <c r="G34" s="595" t="s">
        <v>853</v>
      </c>
    </row>
    <row r="35" spans="1:7" ht="13.5" customHeight="1">
      <c r="A35" s="1802" t="s">
        <v>1931</v>
      </c>
      <c r="B35" s="591" t="s">
        <v>350</v>
      </c>
      <c r="C35" s="596">
        <f>ROUND(C34*F35,0)</f>
        <v>22</v>
      </c>
      <c r="D35" s="596"/>
      <c r="E35" s="596"/>
      <c r="F35" s="635">
        <f>'数据-取费表'!B33</f>
        <v>0.03</v>
      </c>
      <c r="G35" s="595" t="s">
        <v>854</v>
      </c>
    </row>
    <row r="36" spans="1:7" ht="24">
      <c r="A36" s="1802" t="s">
        <v>1932</v>
      </c>
      <c r="B36" s="591" t="s">
        <v>351</v>
      </c>
      <c r="C36" s="596">
        <f>ROUND(IF(SUMIF('数据-取费表'!C:C,"住宅",IF(F34=100%,'数据-取费表'!M:M,'数据-取费表'!O:O))=0,0,IF(F36=0,SUMIF('数据-取费表'!C:C,"公共配套",IF(F34=100%,'数据-取费表'!M:M,'数据-取费表'!O:O)),SUMIF('数据-取费表'!C:C,"住宅",IF(F34=100%,'数据-取费表'!M:M,'数据-取费表'!O:O))*F36)),0)</f>
        <v>15</v>
      </c>
      <c r="D36" s="596"/>
      <c r="E36" s="596"/>
      <c r="F36" s="635">
        <f>'数据-取费表'!B34</f>
        <v>0.05</v>
      </c>
      <c r="G36" s="636" t="s">
        <v>352</v>
      </c>
    </row>
    <row r="37" spans="1:7" s="634" customFormat="1" ht="13.5" customHeight="1">
      <c r="A37" s="1802" t="s">
        <v>1933</v>
      </c>
      <c r="B37" s="591" t="s">
        <v>855</v>
      </c>
      <c r="C37" s="625">
        <f>ROUND(E37*D37*F34/10000,0)</f>
        <v>81</v>
      </c>
      <c r="D37" s="593">
        <f>'数据-汇总表'!E3</f>
        <v>4043.7000000000003</v>
      </c>
      <c r="E37" s="625">
        <f>'数据-取费表'!B35</f>
        <v>200</v>
      </c>
      <c r="F37" s="635"/>
      <c r="G37" s="637" t="s">
        <v>856</v>
      </c>
    </row>
    <row r="38" spans="1:7" ht="13.5" customHeight="1">
      <c r="A38" s="1802" t="s">
        <v>1934</v>
      </c>
      <c r="B38" s="591" t="s">
        <v>353</v>
      </c>
      <c r="C38" s="596">
        <f>ROUND(C34*F38,0)</f>
        <v>11</v>
      </c>
      <c r="D38" s="596"/>
      <c r="E38" s="596"/>
      <c r="F38" s="635">
        <f>'数据-取费表'!B36</f>
        <v>1.4999999999999999E-2</v>
      </c>
      <c r="G38" s="595" t="s">
        <v>854</v>
      </c>
    </row>
    <row r="39" spans="1:7" s="590" customFormat="1" ht="13.5" customHeight="1">
      <c r="A39" s="1799" t="s">
        <v>1918</v>
      </c>
      <c r="B39" s="586" t="s">
        <v>841</v>
      </c>
      <c r="C39" s="608">
        <f>ROUND(C33*F20,0)</f>
        <v>13</v>
      </c>
      <c r="D39" s="608"/>
      <c r="E39" s="608"/>
      <c r="F39" s="609"/>
      <c r="G39" s="2616" t="s">
        <v>2529</v>
      </c>
    </row>
    <row r="40" spans="1:7" s="590" customFormat="1" ht="13.5" customHeight="1">
      <c r="A40" s="1799" t="s">
        <v>1919</v>
      </c>
      <c r="B40" s="586" t="s">
        <v>842</v>
      </c>
      <c r="C40" s="638">
        <f>F21</f>
        <v>1.4999999999999999E-2</v>
      </c>
      <c r="D40" s="612" t="s">
        <v>866</v>
      </c>
      <c r="E40" s="608"/>
      <c r="F40" s="609"/>
      <c r="G40" s="610" t="s">
        <v>857</v>
      </c>
    </row>
    <row r="41" spans="1:7" s="590" customFormat="1" ht="13.5" customHeight="1">
      <c r="A41" s="1799" t="s">
        <v>1920</v>
      </c>
      <c r="B41" s="586" t="s">
        <v>844</v>
      </c>
      <c r="C41" s="608">
        <f ca="1">ROUND(SUM(C42:C43),0)</f>
        <v>52</v>
      </c>
      <c r="D41" s="611">
        <f ca="1">C44</f>
        <v>8.9999999999999998E-4</v>
      </c>
      <c r="E41" s="612" t="s">
        <v>866</v>
      </c>
      <c r="F41" s="613"/>
      <c r="G41" s="2616" t="str">
        <f>IF('数据-取费表'!B22&lt;=1,"单利计息","复利计息")</f>
        <v>复利计息</v>
      </c>
    </row>
    <row r="42" spans="1:7" ht="13.5" customHeight="1">
      <c r="A42" s="1802" t="s">
        <v>1929</v>
      </c>
      <c r="B42" s="591" t="s">
        <v>2519</v>
      </c>
      <c r="C42" s="614">
        <f ca="1">ROUND(IF('数据-取费表'!B22&lt;=1,C33*F22*'数据-取费表'!B21/2,C33*(POWER((1+F22),'数据-取费表'!B21/2)-1)),0)</f>
        <v>51</v>
      </c>
      <c r="D42" s="614"/>
      <c r="E42" s="614"/>
      <c r="F42" s="615"/>
      <c r="G42" s="3631" t="s">
        <v>858</v>
      </c>
    </row>
    <row r="43" spans="1:7" ht="13.5" customHeight="1">
      <c r="A43" s="1802" t="s">
        <v>1927</v>
      </c>
      <c r="B43" s="591" t="s">
        <v>2522</v>
      </c>
      <c r="C43" s="614">
        <f ca="1">ROUND(IF('数据-取费表'!B22&lt;=1,C39*F22*'数据-取费表'!B21/2,C39*(POWER((1+F22),'数据-取费表'!B21/2)-1)),0)</f>
        <v>1</v>
      </c>
      <c r="D43" s="614"/>
      <c r="E43" s="614"/>
      <c r="F43" s="615"/>
      <c r="G43" s="3632"/>
    </row>
    <row r="44" spans="1:7" ht="13.5" customHeight="1">
      <c r="A44" s="1802" t="s">
        <v>1928</v>
      </c>
      <c r="B44" s="591" t="s">
        <v>2524</v>
      </c>
      <c r="C44" s="614">
        <f ca="1">ROUND(IF('数据-取费表'!B22&lt;=1,C40*F22*'数据-取费表'!B21/2,C40*(POWER((1+F22),'数据-取费表'!B21/2)-1)),4)</f>
        <v>8.9999999999999998E-4</v>
      </c>
      <c r="D44" s="614"/>
      <c r="E44" s="614"/>
      <c r="F44" s="615"/>
      <c r="G44" s="3633"/>
    </row>
    <row r="45" spans="1:7" s="590" customFormat="1" ht="13.5" customHeight="1">
      <c r="A45" s="1799" t="s">
        <v>1921</v>
      </c>
      <c r="B45" s="620" t="s">
        <v>849</v>
      </c>
      <c r="C45" s="621">
        <f>C46</f>
        <v>70</v>
      </c>
      <c r="D45" s="611">
        <f>C47</f>
        <v>1.1999999999999999E-3</v>
      </c>
      <c r="E45" s="612" t="s">
        <v>866</v>
      </c>
      <c r="F45" s="622"/>
      <c r="G45" s="623" t="s">
        <v>2530</v>
      </c>
    </row>
    <row r="46" spans="1:7" s="590" customFormat="1" ht="13.5" customHeight="1">
      <c r="A46" s="1802" t="s">
        <v>1929</v>
      </c>
      <c r="B46" s="624" t="s">
        <v>2523</v>
      </c>
      <c r="C46" s="625">
        <f>ROUND((C33+C39)*F27,0)</f>
        <v>70</v>
      </c>
      <c r="D46" s="639"/>
      <c r="E46" s="612"/>
      <c r="F46" s="622"/>
      <c r="G46" s="623"/>
    </row>
    <row r="47" spans="1:7" s="590" customFormat="1" ht="13.5" customHeight="1">
      <c r="A47" s="1802" t="s">
        <v>1927</v>
      </c>
      <c r="B47" s="624" t="s">
        <v>2525</v>
      </c>
      <c r="C47" s="614">
        <f>ROUND(C40*F27,4)</f>
        <v>1.1999999999999999E-3</v>
      </c>
      <c r="D47" s="639"/>
      <c r="E47" s="612"/>
      <c r="F47" s="622"/>
      <c r="G47" s="623"/>
    </row>
    <row r="48" spans="1:7" s="590" customFormat="1" ht="13.5" customHeight="1">
      <c r="A48" s="1799" t="s">
        <v>1922</v>
      </c>
      <c r="B48" s="586" t="s">
        <v>859</v>
      </c>
      <c r="C48" s="638">
        <f>F30</f>
        <v>5.6000000000000001E-2</v>
      </c>
      <c r="D48" s="612" t="s">
        <v>867</v>
      </c>
      <c r="E48" s="608"/>
      <c r="F48" s="613"/>
      <c r="G48" s="610" t="s">
        <v>860</v>
      </c>
    </row>
    <row r="49" spans="1:7" ht="16.5" customHeight="1">
      <c r="A49" s="1799" t="s">
        <v>1923</v>
      </c>
      <c r="B49" s="586" t="s">
        <v>868</v>
      </c>
      <c r="C49" s="608">
        <f ca="1">ROUND((C33+C39+C41+C45)/(1-C40-D41-D45-C48/(1+'数据-取费表'!B42)),0)</f>
        <v>1066</v>
      </c>
      <c r="D49" s="608"/>
      <c r="E49" s="608"/>
      <c r="F49" s="640"/>
      <c r="G49" s="610" t="s">
        <v>2531</v>
      </c>
    </row>
    <row r="50" spans="1:7" s="634" customFormat="1" ht="24">
      <c r="A50" s="1799" t="s">
        <v>1924</v>
      </c>
      <c r="B50" s="586" t="s">
        <v>861</v>
      </c>
      <c r="C50" s="608"/>
      <c r="D50" s="608"/>
      <c r="E50" s="608"/>
      <c r="F50" s="640">
        <f>IF('数据-取费表'!B24=0,'数据-取费表'!N16,1)</f>
        <v>0.97</v>
      </c>
      <c r="G50" s="623" t="s">
        <v>862</v>
      </c>
    </row>
    <row r="51" spans="1:7" ht="16.5" customHeight="1">
      <c r="A51" s="1799" t="s">
        <v>1925</v>
      </c>
      <c r="B51" s="586" t="s">
        <v>869</v>
      </c>
      <c r="C51" s="608">
        <f ca="1">ROUND(C49*F50,0)</f>
        <v>1034</v>
      </c>
      <c r="D51" s="608"/>
      <c r="E51" s="608"/>
      <c r="F51" s="640"/>
      <c r="G51" s="610" t="s">
        <v>354</v>
      </c>
    </row>
    <row r="52" spans="1:7" s="584" customFormat="1" ht="16.5" thickBot="1">
      <c r="A52" s="641" t="s">
        <v>355</v>
      </c>
      <c r="B52" s="642"/>
      <c r="C52" s="643">
        <f ca="1">C31+C51</f>
        <v>28192</v>
      </c>
      <c r="D52" s="642"/>
      <c r="E52" s="642"/>
      <c r="F52" s="642"/>
      <c r="G52" s="644"/>
    </row>
    <row r="55" spans="1:7" ht="15">
      <c r="B55" s="646" t="s">
        <v>356</v>
      </c>
      <c r="C55" s="647"/>
    </row>
    <row r="56" spans="1:7">
      <c r="B56" s="649" t="s">
        <v>357</v>
      </c>
      <c r="C56" s="650">
        <f ca="1">ROUND(C51/C52,3)</f>
        <v>3.6999999999999998E-2</v>
      </c>
    </row>
    <row r="57" spans="1:7">
      <c r="B57" s="649" t="s">
        <v>358</v>
      </c>
      <c r="C57" s="651">
        <f ca="1">1-C56</f>
        <v>0.96299999999999997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RowHeight="13.5"/>
  <cols>
    <col min="1" max="1" width="12.625" style="1542" customWidth="1"/>
    <col min="2" max="5" width="10.25" style="1487" customWidth="1"/>
    <col min="6" max="6" width="9" style="1487"/>
    <col min="7" max="8" width="9" style="1515"/>
    <col min="9" max="16384" width="9" style="1487"/>
  </cols>
  <sheetData>
    <row r="1" spans="1:19">
      <c r="A1" s="3810" t="s">
        <v>1175</v>
      </c>
      <c r="B1" s="3810"/>
      <c r="C1" s="3810"/>
      <c r="D1" s="3810"/>
      <c r="E1" s="3810"/>
      <c r="F1" s="3810"/>
      <c r="H1" s="1517" t="s">
        <v>1176</v>
      </c>
      <c r="I1" s="1518" t="s">
        <v>1177</v>
      </c>
      <c r="J1" s="1518" t="s">
        <v>1178</v>
      </c>
      <c r="K1" s="1518" t="s">
        <v>1179</v>
      </c>
      <c r="L1" s="1518" t="s">
        <v>1180</v>
      </c>
      <c r="M1" s="1518" t="s">
        <v>1181</v>
      </c>
      <c r="N1" s="1518" t="s">
        <v>1182</v>
      </c>
      <c r="O1" s="1518" t="s">
        <v>1183</v>
      </c>
      <c r="P1" s="1518" t="s">
        <v>1184</v>
      </c>
      <c r="Q1" s="1518" t="s">
        <v>1185</v>
      </c>
      <c r="R1" s="1518" t="s">
        <v>1186</v>
      </c>
      <c r="S1" s="1519" t="s">
        <v>1187</v>
      </c>
    </row>
    <row r="2" spans="1:19" ht="14.25" thickBot="1">
      <c r="A2" s="3811" t="s">
        <v>1188</v>
      </c>
      <c r="B2" s="3811"/>
      <c r="C2" s="3811"/>
      <c r="D2" s="3811"/>
      <c r="E2" s="3811"/>
      <c r="F2" s="3811"/>
      <c r="H2" s="1520" t="s">
        <v>1189</v>
      </c>
      <c r="I2" s="1521" t="s">
        <v>1190</v>
      </c>
      <c r="J2" s="1521" t="s">
        <v>1191</v>
      </c>
      <c r="K2" s="1521" t="s">
        <v>1192</v>
      </c>
      <c r="L2" s="1521" t="s">
        <v>1193</v>
      </c>
      <c r="M2" s="1521" t="s">
        <v>1194</v>
      </c>
      <c r="N2" s="1521" t="s">
        <v>1195</v>
      </c>
      <c r="O2" s="1521" t="s">
        <v>1196</v>
      </c>
      <c r="P2" s="1521" t="s">
        <v>1197</v>
      </c>
      <c r="Q2" s="1521" t="s">
        <v>1198</v>
      </c>
      <c r="R2" s="1521" t="s">
        <v>1199</v>
      </c>
      <c r="S2" s="1521" t="s">
        <v>1200</v>
      </c>
    </row>
    <row r="3" spans="1:19" s="1516" customFormat="1" ht="19.5" customHeight="1">
      <c r="A3" s="3812" t="s">
        <v>1201</v>
      </c>
      <c r="B3" s="1522"/>
      <c r="C3" s="1523" t="s">
        <v>1202</v>
      </c>
      <c r="D3" s="1523" t="s">
        <v>1203</v>
      </c>
      <c r="E3" s="1523" t="s">
        <v>1850</v>
      </c>
      <c r="F3" s="1523" t="s">
        <v>1205</v>
      </c>
      <c r="G3" s="1524"/>
      <c r="H3" s="1520" t="s">
        <v>1206</v>
      </c>
      <c r="I3" s="1521" t="s">
        <v>1207</v>
      </c>
      <c r="J3" s="1521" t="s">
        <v>1208</v>
      </c>
      <c r="K3" s="1521" t="s">
        <v>1209</v>
      </c>
      <c r="L3" s="1521" t="s">
        <v>1210</v>
      </c>
      <c r="M3" s="1521" t="s">
        <v>1211</v>
      </c>
      <c r="N3" s="1521" t="s">
        <v>1212</v>
      </c>
      <c r="O3" s="1521" t="s">
        <v>1213</v>
      </c>
      <c r="P3" s="1521" t="s">
        <v>1214</v>
      </c>
      <c r="Q3" s="1521" t="s">
        <v>1215</v>
      </c>
      <c r="R3" s="1521" t="s">
        <v>1216</v>
      </c>
      <c r="S3" s="1521" t="s">
        <v>1217</v>
      </c>
    </row>
    <row r="4" spans="1:19" s="1516" customFormat="1" ht="19.5" customHeight="1" thickBot="1">
      <c r="A4" s="3813"/>
      <c r="B4" s="1525" t="s">
        <v>1218</v>
      </c>
      <c r="C4" s="1525" t="s">
        <v>1219</v>
      </c>
      <c r="D4" s="1525" t="s">
        <v>1219</v>
      </c>
      <c r="E4" s="1525" t="s">
        <v>1219</v>
      </c>
      <c r="F4" s="1526" t="s">
        <v>1219</v>
      </c>
      <c r="G4" s="1524"/>
      <c r="H4" s="1520" t="s">
        <v>1220</v>
      </c>
      <c r="I4" s="1521" t="s">
        <v>1143</v>
      </c>
      <c r="J4" s="1521" t="s">
        <v>1221</v>
      </c>
      <c r="K4" s="1521" t="s">
        <v>1222</v>
      </c>
      <c r="L4" s="1521" t="s">
        <v>1223</v>
      </c>
      <c r="M4" s="1521" t="s">
        <v>1224</v>
      </c>
      <c r="N4" s="1521" t="s">
        <v>1225</v>
      </c>
      <c r="O4" s="1521" t="s">
        <v>1226</v>
      </c>
      <c r="P4" s="1521" t="s">
        <v>1227</v>
      </c>
      <c r="Q4" s="1521" t="s">
        <v>1228</v>
      </c>
      <c r="R4" s="1521" t="s">
        <v>1229</v>
      </c>
      <c r="S4" s="1521" t="s">
        <v>1230</v>
      </c>
    </row>
    <row r="5" spans="1:19" ht="14.25" customHeight="1" thickBot="1">
      <c r="A5" s="1527" t="s">
        <v>1957</v>
      </c>
      <c r="B5" s="1528" t="s">
        <v>1958</v>
      </c>
      <c r="C5" s="1528">
        <v>29530</v>
      </c>
      <c r="D5" s="1528">
        <v>28130</v>
      </c>
      <c r="E5" s="1528">
        <v>27930</v>
      </c>
      <c r="F5" s="1529">
        <v>11300</v>
      </c>
      <c r="G5" s="1524"/>
      <c r="H5" s="1520" t="s">
        <v>1232</v>
      </c>
      <c r="I5" s="1521" t="s">
        <v>1233</v>
      </c>
      <c r="J5" s="1521" t="s">
        <v>1234</v>
      </c>
      <c r="K5" s="1521" t="s">
        <v>1235</v>
      </c>
      <c r="L5" s="1521" t="s">
        <v>1236</v>
      </c>
      <c r="M5" s="1521" t="s">
        <v>1237</v>
      </c>
      <c r="N5" s="1521" t="s">
        <v>1238</v>
      </c>
      <c r="O5" s="1521" t="s">
        <v>1239</v>
      </c>
      <c r="P5" s="1521" t="s">
        <v>1240</v>
      </c>
      <c r="Q5" s="1521" t="s">
        <v>1241</v>
      </c>
      <c r="R5" s="1521" t="s">
        <v>1242</v>
      </c>
      <c r="S5" s="1521" t="s">
        <v>1243</v>
      </c>
    </row>
    <row r="6" spans="1:19" ht="14.25" customHeight="1" thickBot="1">
      <c r="A6" s="1527" t="s">
        <v>1231</v>
      </c>
      <c r="B6" s="1521" t="s">
        <v>1206</v>
      </c>
      <c r="C6" s="1521">
        <v>30290</v>
      </c>
      <c r="D6" s="1521">
        <v>29210</v>
      </c>
      <c r="E6" s="1521">
        <v>28860</v>
      </c>
      <c r="F6" s="1530">
        <v>12600</v>
      </c>
      <c r="G6" s="1524"/>
      <c r="H6" s="1520" t="s">
        <v>1244</v>
      </c>
      <c r="I6" s="1521" t="s">
        <v>1245</v>
      </c>
      <c r="J6" s="1521" t="s">
        <v>1246</v>
      </c>
      <c r="K6" s="1521" t="s">
        <v>1247</v>
      </c>
      <c r="L6" s="1521" t="s">
        <v>1248</v>
      </c>
      <c r="M6" s="1521" t="s">
        <v>1249</v>
      </c>
      <c r="N6" s="1521" t="s">
        <v>1250</v>
      </c>
      <c r="O6" s="1521" t="s">
        <v>1251</v>
      </c>
      <c r="P6" s="1521" t="s">
        <v>1252</v>
      </c>
      <c r="Q6" s="1521" t="s">
        <v>1253</v>
      </c>
      <c r="R6" s="1521" t="s">
        <v>1254</v>
      </c>
      <c r="S6" s="1521" t="s">
        <v>1255</v>
      </c>
    </row>
    <row r="7" spans="1:19" ht="14.25" customHeight="1" thickBot="1">
      <c r="A7" s="1527" t="s">
        <v>1231</v>
      </c>
      <c r="B7" s="1531" t="s">
        <v>1220</v>
      </c>
      <c r="C7" s="1521">
        <v>29350</v>
      </c>
      <c r="D7" s="1521">
        <v>28410</v>
      </c>
      <c r="E7" s="1521">
        <v>27990</v>
      </c>
      <c r="F7" s="1530">
        <v>12300</v>
      </c>
      <c r="G7" s="1524"/>
      <c r="I7" s="1521" t="s">
        <v>1256</v>
      </c>
      <c r="J7" s="1521" t="s">
        <v>1257</v>
      </c>
      <c r="K7" s="1521" t="s">
        <v>1258</v>
      </c>
      <c r="L7" s="1521" t="s">
        <v>1259</v>
      </c>
      <c r="M7" s="1521" t="s">
        <v>1260</v>
      </c>
      <c r="N7" s="1521" t="s">
        <v>1261</v>
      </c>
      <c r="O7" s="1521" t="s">
        <v>1262</v>
      </c>
      <c r="P7" s="1521" t="s">
        <v>1263</v>
      </c>
      <c r="Q7" s="1521" t="s">
        <v>1264</v>
      </c>
      <c r="R7" s="1521" t="s">
        <v>1265</v>
      </c>
      <c r="S7" s="1531" t="s">
        <v>1266</v>
      </c>
    </row>
    <row r="8" spans="1:19" ht="14.25" customHeight="1" thickBot="1">
      <c r="A8" s="1527" t="s">
        <v>1231</v>
      </c>
      <c r="B8" s="1521" t="s">
        <v>1232</v>
      </c>
      <c r="C8" s="1521">
        <v>30890</v>
      </c>
      <c r="D8" s="1521">
        <v>29780</v>
      </c>
      <c r="E8" s="1521">
        <v>29270</v>
      </c>
      <c r="F8" s="1530">
        <v>11600</v>
      </c>
      <c r="G8" s="1524"/>
      <c r="I8" s="1521" t="s">
        <v>1267</v>
      </c>
      <c r="J8" s="1521" t="s">
        <v>1268</v>
      </c>
      <c r="K8" s="1521" t="s">
        <v>1269</v>
      </c>
      <c r="L8" s="1521" t="s">
        <v>1270</v>
      </c>
      <c r="M8" s="1521" t="s">
        <v>1271</v>
      </c>
      <c r="N8" s="1521" t="s">
        <v>1272</v>
      </c>
      <c r="O8" s="1521" t="s">
        <v>1273</v>
      </c>
      <c r="P8" s="1521" t="s">
        <v>1274</v>
      </c>
      <c r="Q8" s="1521" t="s">
        <v>1275</v>
      </c>
      <c r="R8" s="1521" t="s">
        <v>1276</v>
      </c>
      <c r="S8" s="1521" t="s">
        <v>1277</v>
      </c>
    </row>
    <row r="9" spans="1:19" ht="14.25" customHeight="1" thickBot="1">
      <c r="A9" s="1527" t="s">
        <v>1231</v>
      </c>
      <c r="B9" s="1532" t="s">
        <v>1244</v>
      </c>
      <c r="C9" s="1533">
        <v>28140</v>
      </c>
      <c r="D9" s="1533"/>
      <c r="E9" s="1533"/>
      <c r="F9" s="1534"/>
      <c r="G9" s="1524"/>
      <c r="I9" s="1521" t="s">
        <v>1278</v>
      </c>
      <c r="J9" s="1521" t="s">
        <v>1279</v>
      </c>
      <c r="K9" s="1521" t="s">
        <v>1280</v>
      </c>
      <c r="L9" s="1521" t="s">
        <v>1281</v>
      </c>
      <c r="M9" s="1521" t="s">
        <v>1282</v>
      </c>
      <c r="N9" s="1521" t="s">
        <v>1283</v>
      </c>
      <c r="O9" s="1521" t="s">
        <v>1284</v>
      </c>
      <c r="P9" s="1521" t="s">
        <v>1285</v>
      </c>
      <c r="Q9" s="1521" t="s">
        <v>1286</v>
      </c>
      <c r="R9" s="1521" t="s">
        <v>1287</v>
      </c>
    </row>
    <row r="10" spans="1:19" ht="14.25" customHeight="1" thickBot="1">
      <c r="A10" s="1527" t="s">
        <v>1288</v>
      </c>
      <c r="B10" s="1528" t="s">
        <v>1289</v>
      </c>
      <c r="C10" s="1528">
        <v>27450</v>
      </c>
      <c r="D10" s="1528">
        <v>26180</v>
      </c>
      <c r="E10" s="1528">
        <v>25980</v>
      </c>
      <c r="F10" s="1529">
        <v>8910</v>
      </c>
      <c r="G10" s="1524"/>
      <c r="I10" s="1521" t="s">
        <v>1290</v>
      </c>
      <c r="J10" s="1521" t="s">
        <v>1291</v>
      </c>
      <c r="K10" s="1521" t="s">
        <v>1292</v>
      </c>
      <c r="L10" s="1521" t="s">
        <v>1293</v>
      </c>
      <c r="M10" s="1521" t="s">
        <v>1294</v>
      </c>
      <c r="N10" s="1521" t="s">
        <v>1295</v>
      </c>
      <c r="O10" s="1521" t="s">
        <v>1296</v>
      </c>
      <c r="P10" s="1521" t="s">
        <v>1297</v>
      </c>
      <c r="Q10" s="1521" t="s">
        <v>1298</v>
      </c>
      <c r="R10" s="1521" t="s">
        <v>1299</v>
      </c>
    </row>
    <row r="11" spans="1:19" ht="14.25" customHeight="1" thickBot="1">
      <c r="A11" s="1527" t="s">
        <v>1288</v>
      </c>
      <c r="B11" s="1531" t="s">
        <v>1207</v>
      </c>
      <c r="C11" s="1521">
        <v>22950</v>
      </c>
      <c r="D11" s="1521">
        <v>22630</v>
      </c>
      <c r="E11" s="1521">
        <v>22030</v>
      </c>
      <c r="F11" s="1535">
        <v>8330</v>
      </c>
      <c r="G11" s="1524"/>
      <c r="I11" s="1521" t="s">
        <v>1300</v>
      </c>
      <c r="J11" s="1521" t="s">
        <v>1301</v>
      </c>
      <c r="K11" s="1521" t="s">
        <v>1302</v>
      </c>
      <c r="L11" s="1521" t="s">
        <v>1303</v>
      </c>
      <c r="M11" s="1521" t="s">
        <v>1304</v>
      </c>
      <c r="N11" s="1521" t="s">
        <v>1305</v>
      </c>
      <c r="O11" s="1521" t="s">
        <v>1306</v>
      </c>
      <c r="P11" s="1521" t="s">
        <v>1307</v>
      </c>
      <c r="Q11" s="1521" t="s">
        <v>1308</v>
      </c>
      <c r="R11" s="1521" t="s">
        <v>1309</v>
      </c>
    </row>
    <row r="12" spans="1:19" ht="14.25" customHeight="1" thickBot="1">
      <c r="A12" s="1527" t="s">
        <v>1288</v>
      </c>
      <c r="B12" s="1531" t="s">
        <v>1143</v>
      </c>
      <c r="C12" s="1521">
        <v>24940</v>
      </c>
      <c r="D12" s="1521">
        <v>23180</v>
      </c>
      <c r="E12" s="1521">
        <v>22910</v>
      </c>
      <c r="F12" s="1535">
        <v>7180</v>
      </c>
      <c r="G12" s="1524"/>
      <c r="I12" s="1521" t="s">
        <v>1310</v>
      </c>
      <c r="J12" s="1521" t="s">
        <v>1311</v>
      </c>
      <c r="K12" s="1521" t="s">
        <v>1312</v>
      </c>
      <c r="L12" s="1521" t="s">
        <v>1313</v>
      </c>
      <c r="M12" s="1521" t="s">
        <v>1314</v>
      </c>
      <c r="N12" s="1521" t="s">
        <v>1315</v>
      </c>
      <c r="O12" s="1521" t="s">
        <v>1316</v>
      </c>
      <c r="P12" s="1521" t="s">
        <v>1317</v>
      </c>
      <c r="Q12" s="1521" t="s">
        <v>1318</v>
      </c>
      <c r="R12" s="1521" t="s">
        <v>1319</v>
      </c>
    </row>
    <row r="13" spans="1:19" ht="14.25" customHeight="1" thickBot="1">
      <c r="A13" s="1527" t="s">
        <v>1288</v>
      </c>
      <c r="B13" s="1531" t="s">
        <v>1233</v>
      </c>
      <c r="C13" s="1521">
        <v>24140</v>
      </c>
      <c r="D13" s="1521">
        <v>22270</v>
      </c>
      <c r="E13" s="1521">
        <v>21950</v>
      </c>
      <c r="F13" s="1535">
        <v>7600</v>
      </c>
      <c r="G13" s="1524"/>
      <c r="I13" s="1521" t="s">
        <v>1320</v>
      </c>
      <c r="J13" s="1521" t="s">
        <v>1321</v>
      </c>
      <c r="K13" s="1521" t="s">
        <v>1322</v>
      </c>
      <c r="L13" s="1521" t="s">
        <v>1323</v>
      </c>
      <c r="M13" s="1521" t="s">
        <v>1324</v>
      </c>
      <c r="N13" s="1521" t="s">
        <v>1325</v>
      </c>
      <c r="O13" s="1521" t="s">
        <v>1326</v>
      </c>
      <c r="P13" s="1521" t="s">
        <v>1327</v>
      </c>
      <c r="Q13" s="1521" t="s">
        <v>1328</v>
      </c>
      <c r="R13" s="1521" t="s">
        <v>1329</v>
      </c>
    </row>
    <row r="14" spans="1:19" ht="14.25" customHeight="1" thickBot="1">
      <c r="A14" s="1527" t="s">
        <v>1288</v>
      </c>
      <c r="B14" s="1531" t="s">
        <v>1245</v>
      </c>
      <c r="C14" s="1521">
        <v>25600</v>
      </c>
      <c r="D14" s="1521">
        <v>22260</v>
      </c>
      <c r="E14" s="1521">
        <v>22110</v>
      </c>
      <c r="F14" s="1535">
        <v>7630</v>
      </c>
      <c r="G14" s="1524"/>
      <c r="I14" s="1521" t="s">
        <v>1330</v>
      </c>
      <c r="J14" s="1521" t="s">
        <v>1331</v>
      </c>
      <c r="K14" s="1521" t="s">
        <v>1332</v>
      </c>
      <c r="L14" s="1521" t="s">
        <v>1333</v>
      </c>
      <c r="M14" s="1521" t="s">
        <v>1334</v>
      </c>
      <c r="N14" s="1521" t="s">
        <v>1335</v>
      </c>
      <c r="O14" s="1521" t="s">
        <v>1336</v>
      </c>
      <c r="P14" s="1521" t="s">
        <v>1337</v>
      </c>
      <c r="Q14" s="1521" t="s">
        <v>1338</v>
      </c>
      <c r="R14" s="1521" t="s">
        <v>1339</v>
      </c>
    </row>
    <row r="15" spans="1:19" ht="14.25" customHeight="1" thickBot="1">
      <c r="A15" s="1527" t="s">
        <v>1288</v>
      </c>
      <c r="B15" s="1531" t="s">
        <v>1256</v>
      </c>
      <c r="C15" s="1521">
        <v>24760</v>
      </c>
      <c r="D15" s="1521">
        <v>24440</v>
      </c>
      <c r="E15" s="1521">
        <v>24130</v>
      </c>
      <c r="F15" s="1535">
        <v>9480</v>
      </c>
      <c r="G15" s="1524"/>
      <c r="I15" s="1521" t="s">
        <v>1341</v>
      </c>
      <c r="J15" s="1521" t="s">
        <v>1342</v>
      </c>
      <c r="K15" s="1521" t="s">
        <v>1343</v>
      </c>
      <c r="L15" s="1521" t="s">
        <v>1344</v>
      </c>
      <c r="M15" s="1521" t="s">
        <v>1345</v>
      </c>
      <c r="N15" s="1521" t="s">
        <v>1346</v>
      </c>
      <c r="O15" s="1521" t="s">
        <v>1347</v>
      </c>
      <c r="P15" s="1521" t="s">
        <v>1348</v>
      </c>
      <c r="Q15" s="1521" t="s">
        <v>1349</v>
      </c>
      <c r="R15" s="1521" t="s">
        <v>1350</v>
      </c>
    </row>
    <row r="16" spans="1:19" ht="14.25" customHeight="1" thickBot="1">
      <c r="A16" s="1527" t="s">
        <v>1288</v>
      </c>
      <c r="B16" s="1531" t="s">
        <v>1267</v>
      </c>
      <c r="C16" s="1521">
        <v>22220</v>
      </c>
      <c r="D16" s="1521">
        <v>22310</v>
      </c>
      <c r="E16" s="1521">
        <v>22000</v>
      </c>
      <c r="F16" s="1535">
        <v>8900</v>
      </c>
      <c r="G16" s="1524"/>
      <c r="I16" s="1521" t="s">
        <v>1352</v>
      </c>
      <c r="J16" s="1521" t="s">
        <v>1353</v>
      </c>
      <c r="K16" s="1521" t="s">
        <v>1354</v>
      </c>
      <c r="L16" s="1521" t="s">
        <v>1355</v>
      </c>
      <c r="M16" s="1521" t="s">
        <v>1356</v>
      </c>
      <c r="N16" s="1521" t="s">
        <v>1357</v>
      </c>
      <c r="O16" s="1521" t="s">
        <v>1358</v>
      </c>
      <c r="P16" s="1521" t="s">
        <v>1359</v>
      </c>
      <c r="Q16" s="1521" t="s">
        <v>1360</v>
      </c>
      <c r="R16" s="1521" t="s">
        <v>1361</v>
      </c>
    </row>
    <row r="17" spans="1:18" ht="14.25" customHeight="1" thickBot="1">
      <c r="A17" s="1527" t="s">
        <v>1288</v>
      </c>
      <c r="B17" s="1531" t="s">
        <v>1278</v>
      </c>
      <c r="C17" s="1521">
        <v>24700</v>
      </c>
      <c r="D17" s="1521">
        <v>25150</v>
      </c>
      <c r="E17" s="1521">
        <v>24700</v>
      </c>
      <c r="F17" s="1536"/>
      <c r="G17" s="1524"/>
      <c r="I17" s="1521" t="s">
        <v>1362</v>
      </c>
      <c r="J17" s="1521" t="s">
        <v>1363</v>
      </c>
      <c r="K17" s="1521" t="s">
        <v>1364</v>
      </c>
      <c r="L17" s="1521" t="s">
        <v>1365</v>
      </c>
      <c r="M17" s="1521" t="s">
        <v>1366</v>
      </c>
      <c r="N17" s="1521" t="s">
        <v>1367</v>
      </c>
      <c r="O17" s="1521" t="s">
        <v>1368</v>
      </c>
      <c r="P17" s="1521" t="s">
        <v>1369</v>
      </c>
      <c r="Q17" s="1521" t="s">
        <v>1370</v>
      </c>
      <c r="R17" s="1521" t="s">
        <v>1371</v>
      </c>
    </row>
    <row r="18" spans="1:18" ht="14.25" customHeight="1" thickBot="1">
      <c r="A18" s="1527" t="s">
        <v>1288</v>
      </c>
      <c r="B18" s="1531" t="s">
        <v>1290</v>
      </c>
      <c r="C18" s="1521">
        <v>22350</v>
      </c>
      <c r="D18" s="1521">
        <v>24340</v>
      </c>
      <c r="E18" s="1521">
        <v>24100</v>
      </c>
      <c r="F18" s="1536"/>
      <c r="G18" s="1524"/>
      <c r="I18" s="1521" t="s">
        <v>1372</v>
      </c>
      <c r="J18" s="1521" t="s">
        <v>1373</v>
      </c>
      <c r="K18" s="1521" t="s">
        <v>1374</v>
      </c>
      <c r="L18" s="1521" t="s">
        <v>1375</v>
      </c>
      <c r="M18" s="1521" t="s">
        <v>1376</v>
      </c>
      <c r="N18" s="1521" t="s">
        <v>1377</v>
      </c>
      <c r="O18" s="1521" t="s">
        <v>1378</v>
      </c>
      <c r="P18" s="1521" t="s">
        <v>1379</v>
      </c>
      <c r="Q18" s="1521" t="s">
        <v>1380</v>
      </c>
      <c r="R18" s="1521" t="s">
        <v>1381</v>
      </c>
    </row>
    <row r="19" spans="1:18" ht="14.25" customHeight="1" thickBot="1">
      <c r="A19" s="1527" t="s">
        <v>1288</v>
      </c>
      <c r="B19" s="1531" t="s">
        <v>1300</v>
      </c>
      <c r="C19" s="1521">
        <v>23430</v>
      </c>
      <c r="D19" s="1521">
        <v>21580</v>
      </c>
      <c r="E19" s="1521">
        <v>21350</v>
      </c>
      <c r="F19" s="1536"/>
      <c r="G19" s="1524"/>
      <c r="I19" s="1521" t="s">
        <v>1382</v>
      </c>
      <c r="J19" s="1521" t="s">
        <v>1383</v>
      </c>
      <c r="K19" s="1521" t="s">
        <v>1384</v>
      </c>
      <c r="L19" s="1521" t="s">
        <v>1385</v>
      </c>
      <c r="M19" s="1521" t="s">
        <v>1386</v>
      </c>
      <c r="N19" s="1521" t="s">
        <v>1387</v>
      </c>
      <c r="O19" s="1521" t="s">
        <v>1388</v>
      </c>
      <c r="P19" s="1521" t="s">
        <v>1389</v>
      </c>
      <c r="Q19" s="1521" t="s">
        <v>1390</v>
      </c>
      <c r="R19" s="1521" t="s">
        <v>1391</v>
      </c>
    </row>
    <row r="20" spans="1:18" ht="14.25" customHeight="1" thickBot="1">
      <c r="A20" s="1527" t="s">
        <v>1288</v>
      </c>
      <c r="B20" s="1531" t="s">
        <v>1310</v>
      </c>
      <c r="C20" s="1521">
        <v>27660</v>
      </c>
      <c r="D20" s="1521">
        <v>24240</v>
      </c>
      <c r="E20" s="1521">
        <v>24020</v>
      </c>
      <c r="F20" s="1536"/>
      <c r="I20" s="1521" t="s">
        <v>1392</v>
      </c>
      <c r="J20" s="1521" t="s">
        <v>1393</v>
      </c>
      <c r="K20" s="1521" t="s">
        <v>1394</v>
      </c>
      <c r="L20" s="1521" t="s">
        <v>1395</v>
      </c>
      <c r="M20" s="1521" t="s">
        <v>1396</v>
      </c>
      <c r="N20" s="1521" t="s">
        <v>1397</v>
      </c>
      <c r="O20" s="1521" t="s">
        <v>1398</v>
      </c>
      <c r="P20" s="1521" t="s">
        <v>1399</v>
      </c>
      <c r="Q20" s="1521" t="s">
        <v>1400</v>
      </c>
      <c r="R20" s="1521" t="s">
        <v>1401</v>
      </c>
    </row>
    <row r="21" spans="1:18" ht="14.25" customHeight="1" thickBot="1">
      <c r="A21" s="1527" t="s">
        <v>1288</v>
      </c>
      <c r="B21" s="1531" t="s">
        <v>1320</v>
      </c>
      <c r="C21" s="1521">
        <v>24720</v>
      </c>
      <c r="D21" s="1521">
        <v>21670</v>
      </c>
      <c r="E21" s="1521">
        <v>21510</v>
      </c>
      <c r="F21" s="1536"/>
      <c r="J21" s="1521" t="s">
        <v>1402</v>
      </c>
      <c r="K21" s="1521" t="s">
        <v>1403</v>
      </c>
      <c r="L21" s="1521" t="s">
        <v>1404</v>
      </c>
      <c r="M21" s="1521" t="s">
        <v>1405</v>
      </c>
      <c r="N21" s="1521" t="s">
        <v>1406</v>
      </c>
      <c r="O21" s="1521" t="s">
        <v>1407</v>
      </c>
      <c r="P21" s="1521" t="s">
        <v>1408</v>
      </c>
      <c r="Q21" s="1521" t="s">
        <v>1409</v>
      </c>
      <c r="R21" s="1521" t="s">
        <v>1410</v>
      </c>
    </row>
    <row r="22" spans="1:18" ht="14.25" customHeight="1" thickBot="1">
      <c r="A22" s="1527" t="s">
        <v>1288</v>
      </c>
      <c r="B22" s="1531" t="s">
        <v>1411</v>
      </c>
      <c r="C22" s="1521">
        <v>26530</v>
      </c>
      <c r="D22" s="1521">
        <v>22980</v>
      </c>
      <c r="E22" s="1521">
        <v>22650</v>
      </c>
      <c r="F22" s="1536"/>
      <c r="K22" s="1521" t="s">
        <v>1412</v>
      </c>
      <c r="L22" s="1521" t="s">
        <v>1413</v>
      </c>
      <c r="M22" s="1521" t="s">
        <v>1414</v>
      </c>
      <c r="N22" s="1521" t="s">
        <v>1415</v>
      </c>
      <c r="O22" s="1521" t="s">
        <v>1416</v>
      </c>
      <c r="P22" s="1521" t="s">
        <v>1417</v>
      </c>
      <c r="Q22" s="1521" t="s">
        <v>1418</v>
      </c>
      <c r="R22" s="1531" t="s">
        <v>1419</v>
      </c>
    </row>
    <row r="23" spans="1:18" ht="14.25" customHeight="1" thickBot="1">
      <c r="A23" s="1527" t="s">
        <v>1288</v>
      </c>
      <c r="B23" s="1531" t="s">
        <v>1341</v>
      </c>
      <c r="C23" s="1521">
        <v>24700</v>
      </c>
      <c r="D23" s="1521">
        <v>27290</v>
      </c>
      <c r="E23" s="1521">
        <v>26710</v>
      </c>
      <c r="F23" s="1536"/>
      <c r="K23" s="1521" t="s">
        <v>1420</v>
      </c>
      <c r="L23" s="1521" t="s">
        <v>1421</v>
      </c>
      <c r="M23" s="1521" t="s">
        <v>1422</v>
      </c>
      <c r="N23" s="1521" t="s">
        <v>1423</v>
      </c>
      <c r="O23" s="1521" t="s">
        <v>1424</v>
      </c>
      <c r="P23" s="1521" t="s">
        <v>1425</v>
      </c>
      <c r="Q23" s="1521" t="s">
        <v>1426</v>
      </c>
    </row>
    <row r="24" spans="1:18" ht="14.25" customHeight="1" thickBot="1">
      <c r="A24" s="1527" t="s">
        <v>1288</v>
      </c>
      <c r="B24" s="1531" t="s">
        <v>1352</v>
      </c>
      <c r="C24" s="1521">
        <v>23070</v>
      </c>
      <c r="D24" s="1521">
        <v>24130</v>
      </c>
      <c r="E24" s="1521">
        <v>23860</v>
      </c>
      <c r="F24" s="1536"/>
      <c r="K24" s="1521" t="s">
        <v>1427</v>
      </c>
      <c r="L24" s="1521" t="s">
        <v>1428</v>
      </c>
      <c r="M24" s="1521" t="s">
        <v>1429</v>
      </c>
      <c r="N24" s="1521" t="s">
        <v>1430</v>
      </c>
      <c r="O24" s="1521" t="s">
        <v>1431</v>
      </c>
      <c r="P24" s="1521" t="s">
        <v>1432</v>
      </c>
      <c r="Q24" s="1521" t="s">
        <v>1433</v>
      </c>
    </row>
    <row r="25" spans="1:18" ht="14.25" customHeight="1" thickBot="1">
      <c r="A25" s="1527" t="s">
        <v>1288</v>
      </c>
      <c r="B25" s="1531" t="s">
        <v>1362</v>
      </c>
      <c r="C25" s="1521">
        <v>27550</v>
      </c>
      <c r="D25" s="1521">
        <v>25850</v>
      </c>
      <c r="E25" s="1521">
        <v>25340</v>
      </c>
      <c r="F25" s="1536"/>
      <c r="K25" s="1521" t="s">
        <v>1434</v>
      </c>
      <c r="L25" s="1521" t="s">
        <v>1435</v>
      </c>
      <c r="M25" s="1521" t="s">
        <v>1436</v>
      </c>
      <c r="N25" s="1521" t="s">
        <v>1437</v>
      </c>
      <c r="O25" s="1521" t="s">
        <v>1438</v>
      </c>
      <c r="P25" s="1521" t="s">
        <v>1439</v>
      </c>
      <c r="Q25" s="1521" t="s">
        <v>1440</v>
      </c>
    </row>
    <row r="26" spans="1:18" ht="14.25" customHeight="1" thickBot="1">
      <c r="A26" s="1527" t="s">
        <v>1288</v>
      </c>
      <c r="B26" s="1531" t="s">
        <v>1372</v>
      </c>
      <c r="C26" s="1521"/>
      <c r="D26" s="1521">
        <v>23900</v>
      </c>
      <c r="E26" s="1521">
        <v>23590</v>
      </c>
      <c r="F26" s="1536"/>
      <c r="K26" s="1521" t="s">
        <v>1441</v>
      </c>
      <c r="L26" s="1521" t="s">
        <v>1442</v>
      </c>
      <c r="M26" s="1521" t="s">
        <v>1443</v>
      </c>
      <c r="N26" s="1521" t="s">
        <v>1444</v>
      </c>
      <c r="O26" s="1521" t="s">
        <v>1445</v>
      </c>
      <c r="P26" s="1521" t="s">
        <v>1446</v>
      </c>
      <c r="Q26" s="1521" t="s">
        <v>1447</v>
      </c>
    </row>
    <row r="27" spans="1:18" ht="14.25" customHeight="1" thickBot="1">
      <c r="A27" s="1527" t="s">
        <v>1288</v>
      </c>
      <c r="B27" s="1531" t="s">
        <v>1382</v>
      </c>
      <c r="C27" s="1521"/>
      <c r="D27" s="1521">
        <v>22850</v>
      </c>
      <c r="E27" s="1521">
        <v>21920</v>
      </c>
      <c r="F27" s="1536"/>
      <c r="K27" s="1521" t="s">
        <v>1448</v>
      </c>
      <c r="L27" s="1521" t="s">
        <v>1449</v>
      </c>
      <c r="M27" s="1521" t="s">
        <v>1450</v>
      </c>
      <c r="N27" s="1521" t="s">
        <v>1451</v>
      </c>
      <c r="O27" s="1521" t="s">
        <v>1452</v>
      </c>
      <c r="P27" s="1521" t="s">
        <v>1453</v>
      </c>
      <c r="Q27" s="1521" t="s">
        <v>1454</v>
      </c>
    </row>
    <row r="28" spans="1:18" ht="14.25" customHeight="1" thickBot="1">
      <c r="A28" s="1537" t="s">
        <v>1288</v>
      </c>
      <c r="B28" s="1532" t="s">
        <v>1392</v>
      </c>
      <c r="C28" s="1533"/>
      <c r="D28" s="1533">
        <v>26610</v>
      </c>
      <c r="E28" s="1533">
        <v>26370</v>
      </c>
      <c r="F28" s="1534"/>
      <c r="K28" s="1521" t="s">
        <v>1455</v>
      </c>
      <c r="L28" s="1521" t="s">
        <v>1456</v>
      </c>
      <c r="M28" s="1521" t="s">
        <v>1457</v>
      </c>
      <c r="N28" s="1521" t="s">
        <v>1458</v>
      </c>
      <c r="O28" s="1521" t="s">
        <v>1459</v>
      </c>
      <c r="P28" s="1521" t="s">
        <v>1460</v>
      </c>
    </row>
    <row r="29" spans="1:18" ht="14.25" customHeight="1" thickBot="1">
      <c r="A29" s="1527" t="s">
        <v>1461</v>
      </c>
      <c r="B29" s="1528" t="s">
        <v>1462</v>
      </c>
      <c r="C29" s="1528">
        <v>22090</v>
      </c>
      <c r="D29" s="1528">
        <v>21860</v>
      </c>
      <c r="E29" s="1528">
        <v>19380</v>
      </c>
      <c r="F29" s="1529">
        <v>6610</v>
      </c>
      <c r="L29" s="1521" t="s">
        <v>1463</v>
      </c>
      <c r="M29" s="1521" t="s">
        <v>1464</v>
      </c>
      <c r="N29" s="1521" t="s">
        <v>1465</v>
      </c>
      <c r="O29" s="1521" t="s">
        <v>1466</v>
      </c>
      <c r="P29" s="1521" t="s">
        <v>1467</v>
      </c>
    </row>
    <row r="30" spans="1:18" ht="14.25" customHeight="1" thickBot="1">
      <c r="A30" s="1527" t="s">
        <v>1461</v>
      </c>
      <c r="B30" s="1531" t="s">
        <v>1208</v>
      </c>
      <c r="C30" s="1521">
        <v>21380</v>
      </c>
      <c r="D30" s="1521">
        <v>19930</v>
      </c>
      <c r="E30" s="1521">
        <v>19860</v>
      </c>
      <c r="F30" s="1535">
        <v>6010</v>
      </c>
      <c r="L30" s="1521" t="s">
        <v>1468</v>
      </c>
      <c r="M30" s="1521" t="s">
        <v>1469</v>
      </c>
      <c r="N30" s="1521" t="s">
        <v>1470</v>
      </c>
      <c r="O30" s="1521" t="s">
        <v>2504</v>
      </c>
      <c r="P30" s="1521" t="s">
        <v>1471</v>
      </c>
    </row>
    <row r="31" spans="1:18" ht="14.25" customHeight="1" thickBot="1">
      <c r="A31" s="1527" t="s">
        <v>1461</v>
      </c>
      <c r="B31" s="1531" t="s">
        <v>1221</v>
      </c>
      <c r="C31" s="1521">
        <v>21670</v>
      </c>
      <c r="D31" s="1521">
        <v>20660</v>
      </c>
      <c r="E31" s="1521">
        <v>20290</v>
      </c>
      <c r="F31" s="1535">
        <v>5840</v>
      </c>
      <c r="L31" s="1521" t="s">
        <v>1472</v>
      </c>
      <c r="M31" s="1521" t="s">
        <v>1473</v>
      </c>
      <c r="N31" s="1521" t="s">
        <v>1474</v>
      </c>
      <c r="O31" s="1521" t="s">
        <v>1475</v>
      </c>
      <c r="P31" s="1521" t="s">
        <v>1476</v>
      </c>
    </row>
    <row r="32" spans="1:18" ht="14.25" customHeight="1" thickBot="1">
      <c r="A32" s="1527" t="s">
        <v>1461</v>
      </c>
      <c r="B32" s="1531" t="s">
        <v>1234</v>
      </c>
      <c r="C32" s="1521">
        <v>22280</v>
      </c>
      <c r="D32" s="1521">
        <v>21800</v>
      </c>
      <c r="E32" s="1521">
        <v>17650</v>
      </c>
      <c r="F32" s="1535">
        <v>4690</v>
      </c>
      <c r="L32" s="1521" t="s">
        <v>1477</v>
      </c>
      <c r="M32" s="1521" t="s">
        <v>1478</v>
      </c>
      <c r="N32" s="1521" t="s">
        <v>1479</v>
      </c>
      <c r="O32" s="1521" t="s">
        <v>1480</v>
      </c>
      <c r="P32" s="1521" t="s">
        <v>1481</v>
      </c>
    </row>
    <row r="33" spans="1:16" ht="14.25" customHeight="1" thickBot="1">
      <c r="A33" s="1527" t="s">
        <v>1461</v>
      </c>
      <c r="B33" s="1531" t="s">
        <v>1246</v>
      </c>
      <c r="C33" s="1521">
        <v>22130</v>
      </c>
      <c r="D33" s="1521">
        <v>20460</v>
      </c>
      <c r="E33" s="1521">
        <v>18500</v>
      </c>
      <c r="F33" s="1535">
        <v>5340</v>
      </c>
      <c r="L33" s="1521" t="s">
        <v>1482</v>
      </c>
      <c r="M33" s="1521" t="s">
        <v>1483</v>
      </c>
      <c r="N33" s="1521" t="s">
        <v>1484</v>
      </c>
      <c r="O33" s="1521" t="s">
        <v>1485</v>
      </c>
      <c r="P33" s="1521" t="s">
        <v>1486</v>
      </c>
    </row>
    <row r="34" spans="1:16" ht="14.25" customHeight="1" thickBot="1">
      <c r="A34" s="1527" t="s">
        <v>1461</v>
      </c>
      <c r="B34" s="1531" t="s">
        <v>1257</v>
      </c>
      <c r="C34" s="1521">
        <v>22070</v>
      </c>
      <c r="D34" s="1521">
        <v>20110</v>
      </c>
      <c r="E34" s="1521">
        <v>18830</v>
      </c>
      <c r="F34" s="1535">
        <v>5190</v>
      </c>
      <c r="L34" s="1521" t="s">
        <v>1487</v>
      </c>
      <c r="M34" s="1521" t="s">
        <v>1488</v>
      </c>
      <c r="N34" s="1521" t="s">
        <v>1489</v>
      </c>
      <c r="O34" s="1521" t="s">
        <v>1490</v>
      </c>
      <c r="P34" s="1521" t="s">
        <v>1491</v>
      </c>
    </row>
    <row r="35" spans="1:16" ht="14.25" customHeight="1" thickBot="1">
      <c r="A35" s="1527" t="s">
        <v>1461</v>
      </c>
      <c r="B35" s="1531" t="s">
        <v>1268</v>
      </c>
      <c r="C35" s="1521">
        <v>22240</v>
      </c>
      <c r="D35" s="1521">
        <v>19550</v>
      </c>
      <c r="E35" s="1521">
        <v>19220</v>
      </c>
      <c r="F35" s="1535">
        <v>5800</v>
      </c>
      <c r="L35" s="1521" t="s">
        <v>1492</v>
      </c>
      <c r="M35" s="1521" t="s">
        <v>1493</v>
      </c>
      <c r="N35" s="1521" t="s">
        <v>1494</v>
      </c>
      <c r="O35" s="1521" t="s">
        <v>1495</v>
      </c>
      <c r="P35" s="1521" t="s">
        <v>1496</v>
      </c>
    </row>
    <row r="36" spans="1:16" ht="14.25" customHeight="1" thickBot="1">
      <c r="A36" s="1527" t="s">
        <v>1461</v>
      </c>
      <c r="B36" s="1531" t="s">
        <v>1279</v>
      </c>
      <c r="C36" s="1521">
        <v>19750</v>
      </c>
      <c r="D36" s="1521">
        <v>19790</v>
      </c>
      <c r="E36" s="1521">
        <v>18510</v>
      </c>
      <c r="F36" s="1535">
        <v>6520</v>
      </c>
      <c r="M36" s="1521" t="s">
        <v>1497</v>
      </c>
      <c r="N36" s="1521" t="s">
        <v>1498</v>
      </c>
      <c r="O36" s="1521" t="s">
        <v>1499</v>
      </c>
      <c r="P36" s="1521" t="s">
        <v>1500</v>
      </c>
    </row>
    <row r="37" spans="1:16" ht="14.25" customHeight="1" thickBot="1">
      <c r="A37" s="1527" t="s">
        <v>1461</v>
      </c>
      <c r="B37" s="1531" t="s">
        <v>1291</v>
      </c>
      <c r="C37" s="1521">
        <v>22380</v>
      </c>
      <c r="D37" s="1521">
        <v>18530</v>
      </c>
      <c r="E37" s="1521">
        <v>17930</v>
      </c>
      <c r="F37" s="1535">
        <v>6270</v>
      </c>
      <c r="M37" s="1521" t="s">
        <v>1501</v>
      </c>
      <c r="N37" s="1521" t="s">
        <v>1502</v>
      </c>
      <c r="O37" s="1521" t="s">
        <v>1503</v>
      </c>
      <c r="P37" s="1521" t="s">
        <v>1504</v>
      </c>
    </row>
    <row r="38" spans="1:16" ht="14.25" customHeight="1" thickBot="1">
      <c r="A38" s="1527" t="s">
        <v>1461</v>
      </c>
      <c r="B38" s="1531" t="s">
        <v>1301</v>
      </c>
      <c r="C38" s="1521">
        <v>20200</v>
      </c>
      <c r="D38" s="1521">
        <v>20070</v>
      </c>
      <c r="E38" s="1521">
        <v>19950</v>
      </c>
      <c r="F38" s="1535"/>
      <c r="M38" s="1521" t="s">
        <v>1505</v>
      </c>
      <c r="N38" s="1521" t="s">
        <v>1506</v>
      </c>
      <c r="O38" s="1521" t="s">
        <v>1507</v>
      </c>
      <c r="P38" s="1521" t="s">
        <v>1508</v>
      </c>
    </row>
    <row r="39" spans="1:16" ht="14.25" customHeight="1" thickBot="1">
      <c r="A39" s="1527" t="s">
        <v>1461</v>
      </c>
      <c r="B39" s="1531" t="s">
        <v>1311</v>
      </c>
      <c r="C39" s="1521">
        <v>19300</v>
      </c>
      <c r="D39" s="1521">
        <v>20360</v>
      </c>
      <c r="E39" s="1521">
        <v>20230</v>
      </c>
      <c r="F39" s="1535"/>
      <c r="M39" s="1521" t="s">
        <v>1509</v>
      </c>
      <c r="N39" s="1521" t="s">
        <v>1510</v>
      </c>
      <c r="O39" s="1521" t="s">
        <v>1511</v>
      </c>
      <c r="P39" s="1521" t="s">
        <v>1512</v>
      </c>
    </row>
    <row r="40" spans="1:16" ht="14.25" customHeight="1" thickBot="1">
      <c r="A40" s="1527" t="s">
        <v>1461</v>
      </c>
      <c r="B40" s="1531" t="s">
        <v>1321</v>
      </c>
      <c r="C40" s="1521">
        <v>20210</v>
      </c>
      <c r="D40" s="1521">
        <v>19060</v>
      </c>
      <c r="E40" s="1521">
        <v>18890</v>
      </c>
      <c r="F40" s="1535"/>
      <c r="M40" s="1521" t="s">
        <v>1513</v>
      </c>
      <c r="N40" s="1521" t="s">
        <v>1514</v>
      </c>
      <c r="O40" s="1521" t="s">
        <v>1515</v>
      </c>
      <c r="P40" s="1521" t="s">
        <v>1516</v>
      </c>
    </row>
    <row r="41" spans="1:16" ht="14.25" customHeight="1" thickBot="1">
      <c r="A41" s="1527" t="s">
        <v>1461</v>
      </c>
      <c r="B41" s="1531" t="s">
        <v>1331</v>
      </c>
      <c r="C41" s="1521">
        <v>20560</v>
      </c>
      <c r="D41" s="1521">
        <v>21040</v>
      </c>
      <c r="E41" s="1521">
        <v>20740</v>
      </c>
      <c r="F41" s="1535"/>
      <c r="M41" s="1531" t="s">
        <v>1517</v>
      </c>
      <c r="N41" s="1531" t="s">
        <v>1518</v>
      </c>
      <c r="P41" s="1531" t="s">
        <v>1519</v>
      </c>
    </row>
    <row r="42" spans="1:16" ht="14.25" customHeight="1" thickBot="1">
      <c r="A42" s="1527" t="s">
        <v>1461</v>
      </c>
      <c r="B42" s="1531" t="s">
        <v>1342</v>
      </c>
      <c r="C42" s="1521">
        <v>19280</v>
      </c>
      <c r="D42" s="1521">
        <v>22940</v>
      </c>
      <c r="E42" s="1521">
        <v>22500</v>
      </c>
      <c r="F42" s="1535"/>
      <c r="M42" s="1521" t="s">
        <v>1520</v>
      </c>
      <c r="N42" s="1521" t="s">
        <v>1521</v>
      </c>
      <c r="P42" s="1521" t="s">
        <v>1522</v>
      </c>
    </row>
    <row r="43" spans="1:16" ht="14.25" customHeight="1" thickBot="1">
      <c r="A43" s="1527" t="s">
        <v>1461</v>
      </c>
      <c r="B43" s="1531" t="s">
        <v>1353</v>
      </c>
      <c r="C43" s="1521">
        <v>21520</v>
      </c>
      <c r="D43" s="1521">
        <v>19230</v>
      </c>
      <c r="E43" s="1521">
        <v>18540</v>
      </c>
      <c r="F43" s="1535"/>
      <c r="M43" s="1521" t="s">
        <v>1523</v>
      </c>
      <c r="N43" s="1521" t="s">
        <v>1524</v>
      </c>
      <c r="P43" s="1521" t="s">
        <v>1525</v>
      </c>
    </row>
    <row r="44" spans="1:16" ht="14.25" customHeight="1" thickBot="1">
      <c r="A44" s="1527" t="s">
        <v>1461</v>
      </c>
      <c r="B44" s="1531" t="s">
        <v>1363</v>
      </c>
      <c r="C44" s="1521">
        <v>23260</v>
      </c>
      <c r="D44" s="1521">
        <v>21180</v>
      </c>
      <c r="E44" s="1521">
        <v>20730</v>
      </c>
      <c r="F44" s="1535"/>
      <c r="M44" s="1521" t="s">
        <v>1526</v>
      </c>
      <c r="N44" s="1521" t="s">
        <v>1527</v>
      </c>
      <c r="P44" s="1521" t="s">
        <v>1528</v>
      </c>
    </row>
    <row r="45" spans="1:16" ht="14.25" customHeight="1" thickBot="1">
      <c r="A45" s="1527" t="s">
        <v>1461</v>
      </c>
      <c r="B45" s="1531" t="s">
        <v>1373</v>
      </c>
      <c r="C45" s="1521">
        <v>19610</v>
      </c>
      <c r="D45" s="1521">
        <v>18090</v>
      </c>
      <c r="E45" s="1521">
        <v>17970</v>
      </c>
      <c r="F45" s="1535"/>
      <c r="M45" s="1521" t="s">
        <v>1529</v>
      </c>
      <c r="N45" s="1521" t="s">
        <v>1530</v>
      </c>
      <c r="P45" s="1521" t="s">
        <v>1531</v>
      </c>
    </row>
    <row r="46" spans="1:16" ht="14.25" customHeight="1" thickBot="1">
      <c r="A46" s="1527" t="s">
        <v>1461</v>
      </c>
      <c r="B46" s="1531" t="s">
        <v>1383</v>
      </c>
      <c r="C46" s="1521">
        <v>21660</v>
      </c>
      <c r="D46" s="1521">
        <v>19190</v>
      </c>
      <c r="E46" s="1521">
        <v>19790</v>
      </c>
      <c r="F46" s="1535"/>
      <c r="M46" s="1521" t="s">
        <v>1532</v>
      </c>
      <c r="N46" s="1521" t="s">
        <v>1533</v>
      </c>
      <c r="P46" s="1521" t="s">
        <v>1534</v>
      </c>
    </row>
    <row r="47" spans="1:16" ht="14.25" customHeight="1" thickBot="1">
      <c r="A47" s="1527" t="s">
        <v>1461</v>
      </c>
      <c r="B47" s="1531" t="s">
        <v>1393</v>
      </c>
      <c r="C47" s="1521">
        <v>18220</v>
      </c>
      <c r="D47" s="1521"/>
      <c r="E47" s="1521">
        <v>17220</v>
      </c>
      <c r="F47" s="1535"/>
      <c r="M47" s="1521" t="s">
        <v>1535</v>
      </c>
      <c r="N47" s="1521" t="s">
        <v>1536</v>
      </c>
    </row>
    <row r="48" spans="1:16" ht="14.25" customHeight="1" thickBot="1">
      <c r="A48" s="1527" t="s">
        <v>1461</v>
      </c>
      <c r="B48" s="1532" t="s">
        <v>1402</v>
      </c>
      <c r="C48" s="1533">
        <v>19430</v>
      </c>
      <c r="D48" s="1533"/>
      <c r="E48" s="1533">
        <v>17830</v>
      </c>
      <c r="F48" s="1538"/>
      <c r="M48" s="1521" t="s">
        <v>1537</v>
      </c>
      <c r="N48" s="1521" t="s">
        <v>1538</v>
      </c>
    </row>
    <row r="49" spans="1:14" ht="14.25" customHeight="1" thickBot="1">
      <c r="A49" s="1527" t="s">
        <v>1142</v>
      </c>
      <c r="B49" s="1528" t="s">
        <v>1539</v>
      </c>
      <c r="C49" s="1528">
        <v>17090</v>
      </c>
      <c r="D49" s="1528">
        <v>16950</v>
      </c>
      <c r="E49" s="1528">
        <v>16310</v>
      </c>
      <c r="F49" s="1529">
        <v>4540</v>
      </c>
      <c r="M49" s="1521" t="s">
        <v>1540</v>
      </c>
      <c r="N49" s="1521" t="s">
        <v>1541</v>
      </c>
    </row>
    <row r="50" spans="1:14" ht="14.25" customHeight="1" thickBot="1">
      <c r="A50" s="1527" t="s">
        <v>1142</v>
      </c>
      <c r="B50" s="1521" t="s">
        <v>1209</v>
      </c>
      <c r="C50" s="1521">
        <v>19040</v>
      </c>
      <c r="D50" s="1521">
        <v>16960</v>
      </c>
      <c r="E50" s="1521">
        <v>14800</v>
      </c>
      <c r="F50" s="1535">
        <v>3940</v>
      </c>
    </row>
    <row r="51" spans="1:14" ht="14.25" customHeight="1" thickBot="1">
      <c r="A51" s="1527" t="s">
        <v>1142</v>
      </c>
      <c r="B51" s="1521" t="s">
        <v>1222</v>
      </c>
      <c r="C51" s="1521">
        <v>17040</v>
      </c>
      <c r="D51" s="1521">
        <v>16930</v>
      </c>
      <c r="E51" s="1521">
        <v>15030</v>
      </c>
      <c r="F51" s="1535">
        <v>4120</v>
      </c>
    </row>
    <row r="52" spans="1:14" ht="14.25" customHeight="1" thickBot="1">
      <c r="A52" s="1527" t="s">
        <v>1142</v>
      </c>
      <c r="B52" s="1521" t="s">
        <v>1235</v>
      </c>
      <c r="C52" s="1521">
        <v>17110</v>
      </c>
      <c r="D52" s="1521">
        <v>17750</v>
      </c>
      <c r="E52" s="1521">
        <v>17310</v>
      </c>
      <c r="F52" s="1535">
        <v>3220</v>
      </c>
    </row>
    <row r="53" spans="1:14" ht="14.25" customHeight="1" thickBot="1">
      <c r="A53" s="1527" t="s">
        <v>1142</v>
      </c>
      <c r="B53" s="1521" t="s">
        <v>1247</v>
      </c>
      <c r="C53" s="1521">
        <v>17810</v>
      </c>
      <c r="D53" s="1521">
        <v>17260</v>
      </c>
      <c r="E53" s="1521">
        <v>17090</v>
      </c>
      <c r="F53" s="1535">
        <v>3520</v>
      </c>
    </row>
    <row r="54" spans="1:14" ht="14.25" customHeight="1" thickBot="1">
      <c r="A54" s="1527" t="s">
        <v>1142</v>
      </c>
      <c r="B54" s="1521" t="s">
        <v>1258</v>
      </c>
      <c r="C54" s="1521">
        <v>17410</v>
      </c>
      <c r="D54" s="1521">
        <v>16780</v>
      </c>
      <c r="E54" s="1521">
        <v>16370</v>
      </c>
      <c r="F54" s="1535">
        <v>3410</v>
      </c>
    </row>
    <row r="55" spans="1:14" ht="14.25" customHeight="1" thickBot="1">
      <c r="A55" s="1527" t="s">
        <v>1142</v>
      </c>
      <c r="B55" s="1521" t="s">
        <v>1269</v>
      </c>
      <c r="C55" s="1521">
        <v>16930</v>
      </c>
      <c r="D55" s="1521">
        <v>14720</v>
      </c>
      <c r="E55" s="1521">
        <v>15000</v>
      </c>
      <c r="F55" s="1535">
        <v>3710</v>
      </c>
    </row>
    <row r="56" spans="1:14" ht="14.25" customHeight="1" thickBot="1">
      <c r="A56" s="1527" t="s">
        <v>1142</v>
      </c>
      <c r="B56" s="1521" t="s">
        <v>1280</v>
      </c>
      <c r="C56" s="1521">
        <v>14930</v>
      </c>
      <c r="D56" s="1521">
        <v>15850</v>
      </c>
      <c r="E56" s="1521">
        <v>14320</v>
      </c>
      <c r="F56" s="1535">
        <v>3960</v>
      </c>
    </row>
    <row r="57" spans="1:14" ht="14.25" customHeight="1" thickBot="1">
      <c r="A57" s="1527" t="s">
        <v>1142</v>
      </c>
      <c r="B57" s="1521" t="s">
        <v>1292</v>
      </c>
      <c r="C57" s="1521">
        <v>16160</v>
      </c>
      <c r="D57" s="1521">
        <v>16190</v>
      </c>
      <c r="E57" s="1521">
        <v>15650</v>
      </c>
      <c r="F57" s="1535">
        <v>4200</v>
      </c>
    </row>
    <row r="58" spans="1:14" ht="14.25" customHeight="1" thickBot="1">
      <c r="A58" s="1527" t="s">
        <v>1142</v>
      </c>
      <c r="B58" s="1521" t="s">
        <v>1302</v>
      </c>
      <c r="C58" s="1521">
        <v>16360</v>
      </c>
      <c r="D58" s="1521">
        <v>14050</v>
      </c>
      <c r="E58" s="1521">
        <v>16070</v>
      </c>
      <c r="F58" s="1535">
        <v>3990</v>
      </c>
    </row>
    <row r="59" spans="1:14" ht="14.25" customHeight="1" thickBot="1">
      <c r="A59" s="1527" t="s">
        <v>1142</v>
      </c>
      <c r="B59" s="1521" t="s">
        <v>1312</v>
      </c>
      <c r="C59" s="1521">
        <v>14160</v>
      </c>
      <c r="D59" s="1521">
        <v>16620</v>
      </c>
      <c r="E59" s="1521">
        <v>13940</v>
      </c>
      <c r="F59" s="1535">
        <v>4260</v>
      </c>
    </row>
    <row r="60" spans="1:14" ht="14.25" customHeight="1" thickBot="1">
      <c r="A60" s="1527" t="s">
        <v>1142</v>
      </c>
      <c r="B60" s="1521" t="s">
        <v>1322</v>
      </c>
      <c r="C60" s="1521">
        <v>16750</v>
      </c>
      <c r="D60" s="1521">
        <v>13910</v>
      </c>
      <c r="E60" s="1521">
        <v>16550</v>
      </c>
      <c r="F60" s="1535">
        <v>4550</v>
      </c>
    </row>
    <row r="61" spans="1:14" ht="14.25" customHeight="1" thickBot="1">
      <c r="A61" s="1527" t="s">
        <v>1142</v>
      </c>
      <c r="B61" s="1521" t="s">
        <v>1332</v>
      </c>
      <c r="C61" s="1521">
        <v>14000</v>
      </c>
      <c r="D61" s="1521">
        <v>14550</v>
      </c>
      <c r="E61" s="1521">
        <v>13860</v>
      </c>
      <c r="F61" s="1539"/>
    </row>
    <row r="62" spans="1:14" ht="14.25" customHeight="1" thickBot="1">
      <c r="A62" s="1527" t="s">
        <v>1142</v>
      </c>
      <c r="B62" s="1521" t="s">
        <v>1343</v>
      </c>
      <c r="C62" s="1521">
        <v>14660</v>
      </c>
      <c r="D62" s="1521">
        <v>17450</v>
      </c>
      <c r="E62" s="1521">
        <v>14470</v>
      </c>
      <c r="F62" s="1539"/>
    </row>
    <row r="63" spans="1:14" ht="14.25" customHeight="1" thickBot="1">
      <c r="A63" s="1527" t="s">
        <v>1142</v>
      </c>
      <c r="B63" s="1521" t="s">
        <v>1354</v>
      </c>
      <c r="C63" s="1521">
        <v>17610</v>
      </c>
      <c r="D63" s="1521">
        <v>16500</v>
      </c>
      <c r="E63" s="1521">
        <v>17330</v>
      </c>
      <c r="F63" s="1539"/>
    </row>
    <row r="64" spans="1:14" ht="14.25" customHeight="1" thickBot="1">
      <c r="A64" s="1527" t="s">
        <v>1142</v>
      </c>
      <c r="B64" s="1521" t="s">
        <v>1364</v>
      </c>
      <c r="C64" s="1521">
        <v>16590</v>
      </c>
      <c r="D64" s="1521">
        <v>15130</v>
      </c>
      <c r="E64" s="1521">
        <v>16420</v>
      </c>
      <c r="F64" s="1539"/>
    </row>
    <row r="65" spans="1:6" s="1515" customFormat="1" ht="14.25" customHeight="1" thickBot="1">
      <c r="A65" s="1527" t="s">
        <v>1142</v>
      </c>
      <c r="B65" s="1521" t="s">
        <v>1374</v>
      </c>
      <c r="C65" s="1521">
        <v>15220</v>
      </c>
      <c r="D65" s="1521">
        <v>14660</v>
      </c>
      <c r="E65" s="1521">
        <v>15060</v>
      </c>
      <c r="F65" s="1535"/>
    </row>
    <row r="66" spans="1:6" s="1515" customFormat="1" ht="14.25" customHeight="1" thickBot="1">
      <c r="A66" s="1527" t="s">
        <v>1142</v>
      </c>
      <c r="B66" s="1521" t="s">
        <v>1384</v>
      </c>
      <c r="C66" s="1521">
        <v>14720</v>
      </c>
      <c r="D66" s="1521">
        <v>15970</v>
      </c>
      <c r="E66" s="1521">
        <v>14610</v>
      </c>
      <c r="F66" s="1535"/>
    </row>
    <row r="67" spans="1:6" s="1515" customFormat="1" ht="14.25" customHeight="1" thickBot="1">
      <c r="A67" s="1527" t="s">
        <v>1142</v>
      </c>
      <c r="B67" s="1521" t="s">
        <v>1394</v>
      </c>
      <c r="C67" s="1521">
        <v>16080</v>
      </c>
      <c r="D67" s="1521">
        <v>14840</v>
      </c>
      <c r="E67" s="1521">
        <v>15630</v>
      </c>
      <c r="F67" s="1535"/>
    </row>
    <row r="68" spans="1:6" s="1515" customFormat="1" ht="14.25" customHeight="1" thickBot="1">
      <c r="A68" s="1527" t="s">
        <v>1142</v>
      </c>
      <c r="B68" s="1521" t="s">
        <v>1403</v>
      </c>
      <c r="C68" s="1521">
        <v>14940</v>
      </c>
      <c r="D68" s="1521">
        <v>18000</v>
      </c>
      <c r="E68" s="1521">
        <v>14040</v>
      </c>
      <c r="F68" s="1535"/>
    </row>
    <row r="69" spans="1:6" s="1515" customFormat="1" ht="14.25" customHeight="1" thickBot="1">
      <c r="A69" s="1527" t="s">
        <v>1142</v>
      </c>
      <c r="B69" s="1521" t="s">
        <v>1412</v>
      </c>
      <c r="C69" s="1521">
        <v>18810</v>
      </c>
      <c r="D69" s="1521">
        <v>15100</v>
      </c>
      <c r="E69" s="1521">
        <v>14710</v>
      </c>
      <c r="F69" s="1535"/>
    </row>
    <row r="70" spans="1:6" s="1515" customFormat="1" ht="14.25" customHeight="1" thickBot="1">
      <c r="A70" s="1527" t="s">
        <v>1142</v>
      </c>
      <c r="B70" s="1521" t="s">
        <v>1420</v>
      </c>
      <c r="C70" s="1521">
        <v>18270</v>
      </c>
      <c r="D70" s="1521"/>
      <c r="E70" s="1521"/>
      <c r="F70" s="1535"/>
    </row>
    <row r="71" spans="1:6" s="1515" customFormat="1" ht="14.25" customHeight="1" thickBot="1">
      <c r="A71" s="1527" t="s">
        <v>1142</v>
      </c>
      <c r="B71" s="1521" t="s">
        <v>1427</v>
      </c>
      <c r="C71" s="1521">
        <v>15230</v>
      </c>
      <c r="D71" s="1521"/>
      <c r="E71" s="1521"/>
      <c r="F71" s="1535"/>
    </row>
    <row r="72" spans="1:6" s="1515" customFormat="1" ht="14.25" customHeight="1" thickBot="1">
      <c r="A72" s="1527" t="s">
        <v>1142</v>
      </c>
      <c r="B72" s="1521" t="s">
        <v>1434</v>
      </c>
      <c r="C72" s="1521"/>
      <c r="D72" s="1521"/>
      <c r="E72" s="1521"/>
      <c r="F72" s="1535">
        <v>4120</v>
      </c>
    </row>
    <row r="73" spans="1:6" s="1515" customFormat="1" ht="14.25" customHeight="1" thickBot="1">
      <c r="A73" s="1527" t="s">
        <v>1142</v>
      </c>
      <c r="B73" s="1521" t="s">
        <v>1441</v>
      </c>
      <c r="C73" s="1521"/>
      <c r="D73" s="1521"/>
      <c r="E73" s="1521"/>
      <c r="F73" s="1535">
        <v>3930</v>
      </c>
    </row>
    <row r="74" spans="1:6" s="1515" customFormat="1" ht="14.25" customHeight="1" thickBot="1">
      <c r="A74" s="1527" t="s">
        <v>1142</v>
      </c>
      <c r="B74" s="1521" t="s">
        <v>1448</v>
      </c>
      <c r="C74" s="1521"/>
      <c r="D74" s="1521"/>
      <c r="E74" s="1521"/>
      <c r="F74" s="1535">
        <v>4060</v>
      </c>
    </row>
    <row r="75" spans="1:6" s="1515" customFormat="1" ht="14.25" customHeight="1" thickBot="1">
      <c r="A75" s="1527" t="s">
        <v>1142</v>
      </c>
      <c r="B75" s="1533" t="s">
        <v>1455</v>
      </c>
      <c r="C75" s="1533"/>
      <c r="D75" s="1533"/>
      <c r="E75" s="1533"/>
      <c r="F75" s="1538">
        <v>3750</v>
      </c>
    </row>
    <row r="76" spans="1:6" s="1515" customFormat="1" ht="14.25" customHeight="1" thickBot="1">
      <c r="A76" s="1527" t="s">
        <v>1542</v>
      </c>
      <c r="B76" s="1528" t="s">
        <v>1543</v>
      </c>
      <c r="C76" s="1528">
        <v>14690</v>
      </c>
      <c r="D76" s="1528">
        <v>14640</v>
      </c>
      <c r="E76" s="1528">
        <v>14590</v>
      </c>
      <c r="F76" s="1529">
        <v>3060</v>
      </c>
    </row>
    <row r="77" spans="1:6" s="1515" customFormat="1" ht="14.25" customHeight="1" thickBot="1">
      <c r="A77" s="1527" t="s">
        <v>1542</v>
      </c>
      <c r="B77" s="1521" t="s">
        <v>1210</v>
      </c>
      <c r="C77" s="1521">
        <v>12550</v>
      </c>
      <c r="D77" s="1521">
        <v>12480</v>
      </c>
      <c r="E77" s="1521">
        <v>12450</v>
      </c>
      <c r="F77" s="1535">
        <v>2590</v>
      </c>
    </row>
    <row r="78" spans="1:6" s="1515" customFormat="1" ht="14.25" customHeight="1" thickBot="1">
      <c r="A78" s="1527" t="s">
        <v>1542</v>
      </c>
      <c r="B78" s="1521" t="s">
        <v>1223</v>
      </c>
      <c r="C78" s="1521">
        <v>14360</v>
      </c>
      <c r="D78" s="1521">
        <v>14320</v>
      </c>
      <c r="E78" s="1521">
        <v>12510</v>
      </c>
      <c r="F78" s="1535">
        <v>2700</v>
      </c>
    </row>
    <row r="79" spans="1:6" s="1515" customFormat="1" ht="14.25" customHeight="1" thickBot="1">
      <c r="A79" s="1527" t="s">
        <v>1542</v>
      </c>
      <c r="B79" s="1521" t="s">
        <v>1236</v>
      </c>
      <c r="C79" s="1521">
        <v>12590</v>
      </c>
      <c r="D79" s="1521">
        <v>12540</v>
      </c>
      <c r="E79" s="1521">
        <v>12350</v>
      </c>
      <c r="F79" s="1535">
        <v>2740</v>
      </c>
    </row>
    <row r="80" spans="1:6" s="1515" customFormat="1" ht="14.25" customHeight="1" thickBot="1">
      <c r="A80" s="1527" t="s">
        <v>1542</v>
      </c>
      <c r="B80" s="1521" t="s">
        <v>1248</v>
      </c>
      <c r="C80" s="1521">
        <v>12450</v>
      </c>
      <c r="D80" s="1521">
        <v>12370</v>
      </c>
      <c r="E80" s="1521">
        <v>10790</v>
      </c>
      <c r="F80" s="1535">
        <v>2290</v>
      </c>
    </row>
    <row r="81" spans="1:6" s="1515" customFormat="1" ht="14.25" customHeight="1" thickBot="1">
      <c r="A81" s="1527" t="s">
        <v>1542</v>
      </c>
      <c r="B81" s="1521" t="s">
        <v>1259</v>
      </c>
      <c r="C81" s="1521">
        <v>14210</v>
      </c>
      <c r="D81" s="1521">
        <v>14150</v>
      </c>
      <c r="E81" s="1521">
        <v>12730</v>
      </c>
      <c r="F81" s="1535">
        <v>2240</v>
      </c>
    </row>
    <row r="82" spans="1:6" s="1515" customFormat="1" ht="14.25" customHeight="1" thickBot="1">
      <c r="A82" s="1527" t="s">
        <v>1542</v>
      </c>
      <c r="B82" s="1521" t="s">
        <v>1270</v>
      </c>
      <c r="C82" s="1521">
        <v>10860</v>
      </c>
      <c r="D82" s="1521">
        <v>10820</v>
      </c>
      <c r="E82" s="1521">
        <v>14720</v>
      </c>
      <c r="F82" s="1535">
        <v>2490</v>
      </c>
    </row>
    <row r="83" spans="1:6" s="1515" customFormat="1" ht="14.25" customHeight="1" thickBot="1">
      <c r="A83" s="1527" t="s">
        <v>1542</v>
      </c>
      <c r="B83" s="1521" t="s">
        <v>1281</v>
      </c>
      <c r="C83" s="1521">
        <v>12810</v>
      </c>
      <c r="D83" s="1521">
        <v>12760</v>
      </c>
      <c r="E83" s="1521">
        <v>14830</v>
      </c>
      <c r="F83" s="1535">
        <v>2450</v>
      </c>
    </row>
    <row r="84" spans="1:6" s="1515" customFormat="1" ht="14.25" customHeight="1" thickBot="1">
      <c r="A84" s="1527" t="s">
        <v>1542</v>
      </c>
      <c r="B84" s="1521" t="s">
        <v>1293</v>
      </c>
      <c r="C84" s="1521">
        <v>14950</v>
      </c>
      <c r="D84" s="1521">
        <v>14810</v>
      </c>
      <c r="E84" s="1521">
        <v>12590</v>
      </c>
      <c r="F84" s="1535">
        <v>2540</v>
      </c>
    </row>
    <row r="85" spans="1:6" s="1515" customFormat="1" ht="14.25" customHeight="1" thickBot="1">
      <c r="A85" s="1527" t="s">
        <v>1542</v>
      </c>
      <c r="B85" s="1521" t="s">
        <v>1303</v>
      </c>
      <c r="C85" s="1521">
        <v>14960</v>
      </c>
      <c r="D85" s="1521">
        <v>14890</v>
      </c>
      <c r="E85" s="1521">
        <v>12840</v>
      </c>
      <c r="F85" s="1535">
        <v>2840</v>
      </c>
    </row>
    <row r="86" spans="1:6" s="1515" customFormat="1" ht="14.25" customHeight="1" thickBot="1">
      <c r="A86" s="1527" t="s">
        <v>1542</v>
      </c>
      <c r="B86" s="1521" t="s">
        <v>1313</v>
      </c>
      <c r="C86" s="1521">
        <v>12730</v>
      </c>
      <c r="D86" s="1521">
        <v>12660</v>
      </c>
      <c r="E86" s="1521">
        <v>13310</v>
      </c>
      <c r="F86" s="1535">
        <v>3140</v>
      </c>
    </row>
    <row r="87" spans="1:6" s="1515" customFormat="1" ht="14.25" customHeight="1" thickBot="1">
      <c r="A87" s="1527" t="s">
        <v>1542</v>
      </c>
      <c r="B87" s="1521" t="s">
        <v>1323</v>
      </c>
      <c r="C87" s="1521">
        <v>12940</v>
      </c>
      <c r="D87" s="1521">
        <v>12890</v>
      </c>
      <c r="E87" s="1521">
        <v>11580</v>
      </c>
      <c r="F87" s="1539"/>
    </row>
    <row r="88" spans="1:6" s="1515" customFormat="1" ht="14.25" customHeight="1" thickBot="1">
      <c r="A88" s="1527" t="s">
        <v>1542</v>
      </c>
      <c r="B88" s="1521" t="s">
        <v>1333</v>
      </c>
      <c r="C88" s="1521">
        <v>13430</v>
      </c>
      <c r="D88" s="1521">
        <v>13360</v>
      </c>
      <c r="E88" s="1521">
        <v>12790</v>
      </c>
      <c r="F88" s="1539"/>
    </row>
    <row r="89" spans="1:6" s="1515" customFormat="1" ht="14.25" customHeight="1" thickBot="1">
      <c r="A89" s="1527" t="s">
        <v>1542</v>
      </c>
      <c r="B89" s="1521" t="s">
        <v>1344</v>
      </c>
      <c r="C89" s="1521">
        <v>11680</v>
      </c>
      <c r="D89" s="1521">
        <v>11630</v>
      </c>
      <c r="E89" s="1521">
        <v>11320</v>
      </c>
      <c r="F89" s="1539"/>
    </row>
    <row r="90" spans="1:6" s="1515" customFormat="1" ht="14.25" customHeight="1" thickBot="1">
      <c r="A90" s="1527" t="s">
        <v>1542</v>
      </c>
      <c r="B90" s="1521" t="s">
        <v>1355</v>
      </c>
      <c r="C90" s="1521">
        <v>12890</v>
      </c>
      <c r="D90" s="1521">
        <v>12820</v>
      </c>
      <c r="E90" s="1521">
        <v>12710</v>
      </c>
      <c r="F90" s="1539"/>
    </row>
    <row r="91" spans="1:6" s="1515" customFormat="1" ht="14.25" customHeight="1" thickBot="1">
      <c r="A91" s="1527" t="s">
        <v>1542</v>
      </c>
      <c r="B91" s="1521" t="s">
        <v>1365</v>
      </c>
      <c r="C91" s="1521">
        <v>11410</v>
      </c>
      <c r="D91" s="1521">
        <v>11360</v>
      </c>
      <c r="E91" s="1521">
        <v>12670</v>
      </c>
      <c r="F91" s="1539"/>
    </row>
    <row r="92" spans="1:6" s="1515" customFormat="1" ht="14.25" customHeight="1" thickBot="1">
      <c r="A92" s="1527" t="s">
        <v>1542</v>
      </c>
      <c r="B92" s="1521" t="s">
        <v>1375</v>
      </c>
      <c r="C92" s="1521">
        <v>12770</v>
      </c>
      <c r="D92" s="1521">
        <v>12740</v>
      </c>
      <c r="E92" s="1521">
        <v>11970</v>
      </c>
      <c r="F92" s="1539"/>
    </row>
    <row r="93" spans="1:6" s="1515" customFormat="1" ht="14.25" customHeight="1" thickBot="1">
      <c r="A93" s="1527" t="s">
        <v>1542</v>
      </c>
      <c r="B93" s="1521" t="s">
        <v>1385</v>
      </c>
      <c r="C93" s="1521">
        <v>12740</v>
      </c>
      <c r="D93" s="1521">
        <v>12700</v>
      </c>
      <c r="E93" s="1521">
        <v>12540</v>
      </c>
      <c r="F93" s="1539"/>
    </row>
    <row r="94" spans="1:6" s="1515" customFormat="1" ht="14.25" customHeight="1" thickBot="1">
      <c r="A94" s="1527" t="s">
        <v>1542</v>
      </c>
      <c r="B94" s="1521" t="s">
        <v>1395</v>
      </c>
      <c r="C94" s="1521">
        <v>12020</v>
      </c>
      <c r="D94" s="1521">
        <v>11990</v>
      </c>
      <c r="E94" s="1521">
        <v>13110</v>
      </c>
      <c r="F94" s="1539"/>
    </row>
    <row r="95" spans="1:6" s="1515" customFormat="1" ht="14.25" customHeight="1" thickBot="1">
      <c r="A95" s="1527" t="s">
        <v>1542</v>
      </c>
      <c r="B95" s="1521" t="s">
        <v>1404</v>
      </c>
      <c r="C95" s="1521">
        <v>12620</v>
      </c>
      <c r="D95" s="1521">
        <v>12580</v>
      </c>
      <c r="E95" s="1521">
        <v>13160</v>
      </c>
      <c r="F95" s="1535"/>
    </row>
    <row r="96" spans="1:6" s="1515" customFormat="1" ht="14.25" customHeight="1" thickBot="1">
      <c r="A96" s="1527" t="s">
        <v>1542</v>
      </c>
      <c r="B96" s="1521" t="s">
        <v>1413</v>
      </c>
      <c r="C96" s="1521">
        <v>13200</v>
      </c>
      <c r="D96" s="1521">
        <v>13150</v>
      </c>
      <c r="E96" s="1521">
        <v>12900</v>
      </c>
      <c r="F96" s="1535"/>
    </row>
    <row r="97" spans="1:6" s="1515" customFormat="1" ht="14.25" customHeight="1" thickBot="1">
      <c r="A97" s="1527" t="s">
        <v>1542</v>
      </c>
      <c r="B97" s="1521" t="s">
        <v>1421</v>
      </c>
      <c r="C97" s="1521">
        <v>13270</v>
      </c>
      <c r="D97" s="1521">
        <v>13210</v>
      </c>
      <c r="E97" s="1521">
        <v>11080</v>
      </c>
      <c r="F97" s="1535"/>
    </row>
    <row r="98" spans="1:6" s="1515" customFormat="1" ht="14.25" customHeight="1" thickBot="1">
      <c r="A98" s="1527" t="s">
        <v>1542</v>
      </c>
      <c r="B98" s="1521" t="s">
        <v>1428</v>
      </c>
      <c r="C98" s="1521">
        <v>13010</v>
      </c>
      <c r="D98" s="1521">
        <v>12930</v>
      </c>
      <c r="E98" s="1521">
        <v>12840</v>
      </c>
      <c r="F98" s="1535"/>
    </row>
    <row r="99" spans="1:6" s="1515" customFormat="1" ht="14.25" customHeight="1" thickBot="1">
      <c r="A99" s="1527" t="s">
        <v>1542</v>
      </c>
      <c r="B99" s="1521" t="s">
        <v>1435</v>
      </c>
      <c r="C99" s="1521">
        <v>11190</v>
      </c>
      <c r="D99" s="1521">
        <v>11130</v>
      </c>
      <c r="E99" s="1521"/>
      <c r="F99" s="1535"/>
    </row>
    <row r="100" spans="1:6" s="1515" customFormat="1" ht="14.25" customHeight="1" thickBot="1">
      <c r="A100" s="1527" t="s">
        <v>1542</v>
      </c>
      <c r="B100" s="1521" t="s">
        <v>1442</v>
      </c>
      <c r="C100" s="1521">
        <v>14280</v>
      </c>
      <c r="D100" s="1521">
        <v>14180</v>
      </c>
      <c r="E100" s="1521"/>
      <c r="F100" s="1535"/>
    </row>
    <row r="101" spans="1:6" s="1515" customFormat="1" ht="14.25" customHeight="1" thickBot="1">
      <c r="A101" s="1527" t="s">
        <v>1542</v>
      </c>
      <c r="B101" s="1521" t="s">
        <v>1449</v>
      </c>
      <c r="C101" s="1521">
        <v>12960</v>
      </c>
      <c r="D101" s="1521">
        <v>12890</v>
      </c>
      <c r="E101" s="1521"/>
      <c r="F101" s="1535"/>
    </row>
    <row r="102" spans="1:6" s="1515" customFormat="1" ht="14.25" customHeight="1" thickBot="1">
      <c r="A102" s="1527" t="s">
        <v>1542</v>
      </c>
      <c r="B102" s="1521" t="s">
        <v>1456</v>
      </c>
      <c r="C102" s="1521"/>
      <c r="D102" s="1521"/>
      <c r="E102" s="1521"/>
      <c r="F102" s="1535">
        <v>3100</v>
      </c>
    </row>
    <row r="103" spans="1:6" s="1515" customFormat="1" ht="14.25" customHeight="1" thickBot="1">
      <c r="A103" s="1527" t="s">
        <v>1542</v>
      </c>
      <c r="B103" s="1521" t="s">
        <v>1463</v>
      </c>
      <c r="C103" s="1521"/>
      <c r="D103" s="1521"/>
      <c r="E103" s="1521"/>
      <c r="F103" s="1535">
        <v>2320</v>
      </c>
    </row>
    <row r="104" spans="1:6" s="1515" customFormat="1" ht="14.25" customHeight="1" thickBot="1">
      <c r="A104" s="1527" t="s">
        <v>1542</v>
      </c>
      <c r="B104" s="1521" t="s">
        <v>1468</v>
      </c>
      <c r="C104" s="1521"/>
      <c r="D104" s="1521"/>
      <c r="E104" s="1521"/>
      <c r="F104" s="1535">
        <v>2320</v>
      </c>
    </row>
    <row r="105" spans="1:6" s="1515" customFormat="1" ht="14.25" customHeight="1" thickBot="1">
      <c r="A105" s="1527" t="s">
        <v>1542</v>
      </c>
      <c r="B105" s="1521" t="s">
        <v>1472</v>
      </c>
      <c r="C105" s="1521"/>
      <c r="D105" s="1521"/>
      <c r="E105" s="1521"/>
      <c r="F105" s="1535">
        <v>2320</v>
      </c>
    </row>
    <row r="106" spans="1:6" s="1515" customFormat="1" ht="14.25" customHeight="1" thickBot="1">
      <c r="A106" s="1527" t="s">
        <v>1542</v>
      </c>
      <c r="B106" s="1521" t="s">
        <v>1477</v>
      </c>
      <c r="C106" s="1521"/>
      <c r="D106" s="1521"/>
      <c r="E106" s="1521"/>
      <c r="F106" s="1535">
        <v>2320</v>
      </c>
    </row>
    <row r="107" spans="1:6" s="1515" customFormat="1" ht="14.25" customHeight="1" thickBot="1">
      <c r="A107" s="1527" t="s">
        <v>1542</v>
      </c>
      <c r="B107" s="1521" t="s">
        <v>1482</v>
      </c>
      <c r="C107" s="1521"/>
      <c r="D107" s="1521"/>
      <c r="E107" s="1521"/>
      <c r="F107" s="1535">
        <v>2280</v>
      </c>
    </row>
    <row r="108" spans="1:6" s="1515" customFormat="1" ht="14.25" customHeight="1" thickBot="1">
      <c r="A108" s="1527" t="s">
        <v>1542</v>
      </c>
      <c r="B108" s="1521" t="s">
        <v>1487</v>
      </c>
      <c r="C108" s="1521"/>
      <c r="D108" s="1521"/>
      <c r="E108" s="1521"/>
      <c r="F108" s="1535">
        <v>2280</v>
      </c>
    </row>
    <row r="109" spans="1:6" s="1515" customFormat="1" ht="14.25" customHeight="1" thickBot="1">
      <c r="A109" s="1527" t="s">
        <v>1542</v>
      </c>
      <c r="B109" s="1533" t="s">
        <v>1492</v>
      </c>
      <c r="C109" s="1533"/>
      <c r="D109" s="1533"/>
      <c r="E109" s="1533"/>
      <c r="F109" s="1538">
        <v>2280</v>
      </c>
    </row>
    <row r="110" spans="1:6" s="1515" customFormat="1" ht="14.25" customHeight="1" thickBot="1">
      <c r="A110" s="1527" t="s">
        <v>203</v>
      </c>
      <c r="B110" s="1528" t="s">
        <v>1544</v>
      </c>
      <c r="C110" s="1528">
        <v>10520</v>
      </c>
      <c r="D110" s="1528">
        <v>10490</v>
      </c>
      <c r="E110" s="1528">
        <v>10760</v>
      </c>
      <c r="F110" s="1529">
        <v>2160</v>
      </c>
    </row>
    <row r="111" spans="1:6" s="1515" customFormat="1" ht="14.25" customHeight="1" thickBot="1">
      <c r="A111" s="1527" t="s">
        <v>203</v>
      </c>
      <c r="B111" s="1521" t="s">
        <v>1211</v>
      </c>
      <c r="C111" s="1521">
        <v>10090</v>
      </c>
      <c r="D111" s="1521">
        <v>10060</v>
      </c>
      <c r="E111" s="1521">
        <v>10300</v>
      </c>
      <c r="F111" s="1535">
        <v>2010</v>
      </c>
    </row>
    <row r="112" spans="1:6" s="1515" customFormat="1" ht="14.25" customHeight="1" thickBot="1">
      <c r="A112" s="1527" t="s">
        <v>203</v>
      </c>
      <c r="B112" s="1521" t="s">
        <v>1224</v>
      </c>
      <c r="C112" s="1521">
        <v>9910</v>
      </c>
      <c r="D112" s="1521">
        <v>9850</v>
      </c>
      <c r="E112" s="1521">
        <v>9960</v>
      </c>
      <c r="F112" s="1535">
        <v>2090</v>
      </c>
    </row>
    <row r="113" spans="1:6" s="1515" customFormat="1" ht="14.25" customHeight="1" thickBot="1">
      <c r="A113" s="1527" t="s">
        <v>203</v>
      </c>
      <c r="B113" s="1521" t="s">
        <v>1237</v>
      </c>
      <c r="C113" s="1521">
        <v>11430</v>
      </c>
      <c r="D113" s="1521">
        <v>11400</v>
      </c>
      <c r="E113" s="1521">
        <v>11710</v>
      </c>
      <c r="F113" s="1535">
        <v>2050</v>
      </c>
    </row>
    <row r="114" spans="1:6" s="1515" customFormat="1" ht="14.25" customHeight="1" thickBot="1">
      <c r="A114" s="1527" t="s">
        <v>203</v>
      </c>
      <c r="B114" s="1521" t="s">
        <v>1249</v>
      </c>
      <c r="C114" s="1521">
        <v>11390</v>
      </c>
      <c r="D114" s="1521">
        <v>11350</v>
      </c>
      <c r="E114" s="1521">
        <v>11640</v>
      </c>
      <c r="F114" s="1535">
        <v>1620</v>
      </c>
    </row>
    <row r="115" spans="1:6" s="1515" customFormat="1" ht="14.25" customHeight="1" thickBot="1">
      <c r="A115" s="1527" t="s">
        <v>203</v>
      </c>
      <c r="B115" s="1521" t="s">
        <v>1260</v>
      </c>
      <c r="C115" s="1521">
        <v>9930</v>
      </c>
      <c r="D115" s="1521">
        <v>9900</v>
      </c>
      <c r="E115" s="1521">
        <v>10160</v>
      </c>
      <c r="F115" s="1535">
        <v>1580</v>
      </c>
    </row>
    <row r="116" spans="1:6" s="1515" customFormat="1" ht="14.25" customHeight="1" thickBot="1">
      <c r="A116" s="1527" t="s">
        <v>203</v>
      </c>
      <c r="B116" s="1521" t="s">
        <v>1271</v>
      </c>
      <c r="C116" s="1521">
        <v>9150</v>
      </c>
      <c r="D116" s="1521">
        <v>9120</v>
      </c>
      <c r="E116" s="1521">
        <v>9380</v>
      </c>
      <c r="F116" s="1535">
        <v>1750</v>
      </c>
    </row>
    <row r="117" spans="1:6" s="1515" customFormat="1" ht="14.25" customHeight="1" thickBot="1">
      <c r="A117" s="1527" t="s">
        <v>203</v>
      </c>
      <c r="B117" s="1521" t="s">
        <v>1282</v>
      </c>
      <c r="C117" s="1521">
        <v>10680</v>
      </c>
      <c r="D117" s="1521">
        <v>10650</v>
      </c>
      <c r="E117" s="1521">
        <v>10970</v>
      </c>
      <c r="F117" s="1535">
        <v>1730</v>
      </c>
    </row>
    <row r="118" spans="1:6" s="1515" customFormat="1" ht="14.25" customHeight="1" thickBot="1">
      <c r="A118" s="1527" t="s">
        <v>203</v>
      </c>
      <c r="B118" s="1521" t="s">
        <v>1294</v>
      </c>
      <c r="C118" s="1521">
        <v>10080</v>
      </c>
      <c r="D118" s="1521">
        <v>10050</v>
      </c>
      <c r="E118" s="1521">
        <v>10350</v>
      </c>
      <c r="F118" s="1535">
        <v>1920</v>
      </c>
    </row>
    <row r="119" spans="1:6" s="1515" customFormat="1" ht="14.25" customHeight="1" thickBot="1">
      <c r="A119" s="1527" t="s">
        <v>203</v>
      </c>
      <c r="B119" s="1521" t="s">
        <v>1304</v>
      </c>
      <c r="C119" s="1521">
        <v>9450</v>
      </c>
      <c r="D119" s="1521">
        <v>9410</v>
      </c>
      <c r="E119" s="1521">
        <v>9680</v>
      </c>
      <c r="F119" s="1535">
        <v>1880</v>
      </c>
    </row>
    <row r="120" spans="1:6" s="1515" customFormat="1" ht="14.25" customHeight="1" thickBot="1">
      <c r="A120" s="1527" t="s">
        <v>203</v>
      </c>
      <c r="B120" s="1521" t="s">
        <v>1314</v>
      </c>
      <c r="C120" s="1521">
        <v>8730</v>
      </c>
      <c r="D120" s="1521">
        <v>8700</v>
      </c>
      <c r="E120" s="1521">
        <v>8950</v>
      </c>
      <c r="F120" s="1535">
        <v>1830</v>
      </c>
    </row>
    <row r="121" spans="1:6" s="1515" customFormat="1" ht="14.25" customHeight="1" thickBot="1">
      <c r="A121" s="1527" t="s">
        <v>203</v>
      </c>
      <c r="B121" s="1521" t="s">
        <v>1324</v>
      </c>
      <c r="C121" s="1521">
        <v>10070</v>
      </c>
      <c r="D121" s="1521">
        <v>10040</v>
      </c>
      <c r="E121" s="1521">
        <v>10270</v>
      </c>
      <c r="F121" s="1535">
        <v>1960</v>
      </c>
    </row>
    <row r="122" spans="1:6" s="1515" customFormat="1" ht="14.25" customHeight="1" thickBot="1">
      <c r="A122" s="1527" t="s">
        <v>203</v>
      </c>
      <c r="B122" s="1521" t="s">
        <v>1334</v>
      </c>
      <c r="C122" s="1521">
        <v>10500</v>
      </c>
      <c r="D122" s="1521">
        <v>10470</v>
      </c>
      <c r="E122" s="1521">
        <v>10780</v>
      </c>
      <c r="F122" s="1535">
        <v>2180</v>
      </c>
    </row>
    <row r="123" spans="1:6" s="1515" customFormat="1" ht="14.25" customHeight="1" thickBot="1">
      <c r="A123" s="1527" t="s">
        <v>203</v>
      </c>
      <c r="B123" s="1521" t="s">
        <v>1345</v>
      </c>
      <c r="C123" s="1521">
        <v>10390</v>
      </c>
      <c r="D123" s="1521">
        <v>10360</v>
      </c>
      <c r="E123" s="1521">
        <v>10660</v>
      </c>
      <c r="F123" s="1535">
        <v>2040</v>
      </c>
    </row>
    <row r="124" spans="1:6" s="1515" customFormat="1" ht="14.25" customHeight="1" thickBot="1">
      <c r="A124" s="1527" t="s">
        <v>203</v>
      </c>
      <c r="B124" s="1521" t="s">
        <v>1356</v>
      </c>
      <c r="C124" s="1521">
        <v>10390</v>
      </c>
      <c r="D124" s="1521">
        <v>10360</v>
      </c>
      <c r="E124" s="1521">
        <v>10680</v>
      </c>
      <c r="F124" s="1539"/>
    </row>
    <row r="125" spans="1:6" s="1515" customFormat="1" ht="14.25" customHeight="1" thickBot="1">
      <c r="A125" s="1527" t="s">
        <v>203</v>
      </c>
      <c r="B125" s="1521" t="s">
        <v>1366</v>
      </c>
      <c r="C125" s="1521">
        <v>10440</v>
      </c>
      <c r="D125" s="1521">
        <v>10410</v>
      </c>
      <c r="E125" s="1521">
        <v>10710</v>
      </c>
      <c r="F125" s="1539"/>
    </row>
    <row r="126" spans="1:6" s="1515" customFormat="1" ht="14.25" customHeight="1" thickBot="1">
      <c r="A126" s="1527" t="s">
        <v>203</v>
      </c>
      <c r="B126" s="1521" t="s">
        <v>1376</v>
      </c>
      <c r="C126" s="1521">
        <v>10780</v>
      </c>
      <c r="D126" s="1521">
        <v>10750</v>
      </c>
      <c r="E126" s="1521">
        <v>11080</v>
      </c>
      <c r="F126" s="1539"/>
    </row>
    <row r="127" spans="1:6" s="1515" customFormat="1" ht="14.25" customHeight="1" thickBot="1">
      <c r="A127" s="1527" t="s">
        <v>203</v>
      </c>
      <c r="B127" s="1521" t="s">
        <v>1386</v>
      </c>
      <c r="C127" s="1521">
        <v>10100</v>
      </c>
      <c r="D127" s="1521">
        <v>10070</v>
      </c>
      <c r="E127" s="1521">
        <v>10350</v>
      </c>
      <c r="F127" s="1539"/>
    </row>
    <row r="128" spans="1:6" s="1515" customFormat="1" ht="14.25" customHeight="1" thickBot="1">
      <c r="A128" s="1527" t="s">
        <v>203</v>
      </c>
      <c r="B128" s="1521" t="s">
        <v>1396</v>
      </c>
      <c r="C128" s="1521">
        <v>9200</v>
      </c>
      <c r="D128" s="1521">
        <v>9160</v>
      </c>
      <c r="E128" s="1521">
        <v>9660</v>
      </c>
      <c r="F128" s="1539"/>
    </row>
    <row r="129" spans="1:6" s="1515" customFormat="1" ht="14.25" customHeight="1" thickBot="1">
      <c r="A129" s="1527" t="s">
        <v>203</v>
      </c>
      <c r="B129" s="1521" t="s">
        <v>1405</v>
      </c>
      <c r="C129" s="1521">
        <v>10340</v>
      </c>
      <c r="D129" s="1521">
        <v>10310</v>
      </c>
      <c r="E129" s="1521">
        <v>10580</v>
      </c>
      <c r="F129" s="1539"/>
    </row>
    <row r="130" spans="1:6" s="1515" customFormat="1" ht="14.25" customHeight="1" thickBot="1">
      <c r="A130" s="1527" t="s">
        <v>203</v>
      </c>
      <c r="B130" s="1521" t="s">
        <v>1414</v>
      </c>
      <c r="C130" s="1521">
        <v>9680</v>
      </c>
      <c r="D130" s="1521">
        <v>9660</v>
      </c>
      <c r="E130" s="1521">
        <v>9950</v>
      </c>
      <c r="F130" s="1539"/>
    </row>
    <row r="131" spans="1:6" s="1515" customFormat="1" ht="14.25" customHeight="1" thickBot="1">
      <c r="A131" s="1527" t="s">
        <v>203</v>
      </c>
      <c r="B131" s="1521" t="s">
        <v>1422</v>
      </c>
      <c r="C131" s="1521">
        <v>9540</v>
      </c>
      <c r="D131" s="1521">
        <v>9510</v>
      </c>
      <c r="E131" s="1521">
        <v>9790</v>
      </c>
      <c r="F131" s="1539"/>
    </row>
    <row r="132" spans="1:6" s="1515" customFormat="1" ht="14.25" customHeight="1" thickBot="1">
      <c r="A132" s="1527" t="s">
        <v>203</v>
      </c>
      <c r="B132" s="1521" t="s">
        <v>1429</v>
      </c>
      <c r="C132" s="1521">
        <v>9320</v>
      </c>
      <c r="D132" s="1521">
        <v>9290</v>
      </c>
      <c r="E132" s="1521">
        <v>9570</v>
      </c>
      <c r="F132" s="1539"/>
    </row>
    <row r="133" spans="1:6" s="1515" customFormat="1" ht="14.25" customHeight="1" thickBot="1">
      <c r="A133" s="1527" t="s">
        <v>203</v>
      </c>
      <c r="B133" s="1521" t="s">
        <v>1436</v>
      </c>
      <c r="C133" s="1521">
        <v>10310</v>
      </c>
      <c r="D133" s="1521">
        <v>10280</v>
      </c>
      <c r="E133" s="1521">
        <v>10530</v>
      </c>
      <c r="F133" s="1539"/>
    </row>
    <row r="134" spans="1:6" s="1515" customFormat="1" ht="14.25" customHeight="1" thickBot="1">
      <c r="A134" s="1527" t="s">
        <v>203</v>
      </c>
      <c r="B134" s="1521" t="s">
        <v>1443</v>
      </c>
      <c r="C134" s="1521">
        <v>10370</v>
      </c>
      <c r="D134" s="1521">
        <v>10310</v>
      </c>
      <c r="E134" s="1521">
        <v>10240</v>
      </c>
      <c r="F134" s="1535">
        <v>2060</v>
      </c>
    </row>
    <row r="135" spans="1:6" s="1515" customFormat="1" ht="14.25" customHeight="1" thickBot="1">
      <c r="A135" s="1527" t="s">
        <v>203</v>
      </c>
      <c r="B135" s="1521" t="s">
        <v>1450</v>
      </c>
      <c r="C135" s="1521">
        <v>9300</v>
      </c>
      <c r="D135" s="1521">
        <v>9270</v>
      </c>
      <c r="E135" s="1521">
        <v>9350</v>
      </c>
      <c r="F135" s="1539"/>
    </row>
    <row r="136" spans="1:6" s="1515" customFormat="1" ht="14.25" customHeight="1" thickBot="1">
      <c r="A136" s="1527" t="s">
        <v>203</v>
      </c>
      <c r="B136" s="1521" t="s">
        <v>1457</v>
      </c>
      <c r="C136" s="1521">
        <v>10160</v>
      </c>
      <c r="D136" s="1521">
        <v>10110</v>
      </c>
      <c r="E136" s="1521">
        <v>10080</v>
      </c>
      <c r="F136" s="1539"/>
    </row>
    <row r="137" spans="1:6" s="1515" customFormat="1" ht="14.25" customHeight="1" thickBot="1">
      <c r="A137" s="1527" t="s">
        <v>203</v>
      </c>
      <c r="B137" s="1521" t="s">
        <v>1464</v>
      </c>
      <c r="C137" s="1521">
        <v>9200</v>
      </c>
      <c r="D137" s="1521">
        <v>9170</v>
      </c>
      <c r="E137" s="1521">
        <v>9450</v>
      </c>
      <c r="F137" s="1539"/>
    </row>
    <row r="138" spans="1:6" s="1515" customFormat="1" ht="14.25" customHeight="1" thickBot="1">
      <c r="A138" s="1527" t="s">
        <v>203</v>
      </c>
      <c r="B138" s="1521" t="s">
        <v>1469</v>
      </c>
      <c r="C138" s="1521">
        <v>9690</v>
      </c>
      <c r="D138" s="1521">
        <v>9660</v>
      </c>
      <c r="E138" s="1521">
        <v>9840</v>
      </c>
      <c r="F138" s="1539"/>
    </row>
    <row r="139" spans="1:6" s="1515" customFormat="1" ht="14.25" customHeight="1" thickBot="1">
      <c r="A139" s="1527" t="s">
        <v>203</v>
      </c>
      <c r="B139" s="1521" t="s">
        <v>1473</v>
      </c>
      <c r="C139" s="1521">
        <v>10290</v>
      </c>
      <c r="D139" s="1521">
        <v>10260</v>
      </c>
      <c r="E139" s="1521">
        <v>10550</v>
      </c>
      <c r="F139" s="1535">
        <v>1700</v>
      </c>
    </row>
    <row r="140" spans="1:6" s="1515" customFormat="1" ht="14.25" customHeight="1" thickBot="1">
      <c r="A140" s="1527" t="s">
        <v>203</v>
      </c>
      <c r="B140" s="1521" t="s">
        <v>1478</v>
      </c>
      <c r="C140" s="1521">
        <v>9740</v>
      </c>
      <c r="D140" s="1521">
        <v>9710</v>
      </c>
      <c r="E140" s="1521">
        <v>10000</v>
      </c>
      <c r="F140" s="1535">
        <v>2000</v>
      </c>
    </row>
    <row r="141" spans="1:6" s="1515" customFormat="1" ht="14.25" customHeight="1" thickBot="1">
      <c r="A141" s="1527" t="s">
        <v>203</v>
      </c>
      <c r="B141" s="1521" t="s">
        <v>1483</v>
      </c>
      <c r="C141" s="1521">
        <v>9810</v>
      </c>
      <c r="D141" s="1521">
        <v>9770</v>
      </c>
      <c r="E141" s="1521">
        <v>10060</v>
      </c>
      <c r="F141" s="1539"/>
    </row>
    <row r="142" spans="1:6" s="1515" customFormat="1" ht="14.25" customHeight="1" thickBot="1">
      <c r="A142" s="1527" t="s">
        <v>203</v>
      </c>
      <c r="B142" s="1521" t="s">
        <v>1488</v>
      </c>
      <c r="C142" s="1521">
        <v>9300</v>
      </c>
      <c r="D142" s="1521">
        <v>9270</v>
      </c>
      <c r="E142" s="1521">
        <v>9530</v>
      </c>
      <c r="F142" s="1539"/>
    </row>
    <row r="143" spans="1:6" s="1515" customFormat="1" ht="14.25" customHeight="1" thickBot="1">
      <c r="A143" s="1527" t="s">
        <v>203</v>
      </c>
      <c r="B143" s="1521" t="s">
        <v>1493</v>
      </c>
      <c r="C143" s="1521">
        <v>10080</v>
      </c>
      <c r="D143" s="1521">
        <v>10050</v>
      </c>
      <c r="E143" s="1521">
        <v>10340</v>
      </c>
      <c r="F143" s="1539"/>
    </row>
    <row r="144" spans="1:6" s="1515" customFormat="1" ht="14.25" customHeight="1" thickBot="1">
      <c r="A144" s="1527" t="s">
        <v>203</v>
      </c>
      <c r="B144" s="1521" t="s">
        <v>1497</v>
      </c>
      <c r="C144" s="1521">
        <v>9820</v>
      </c>
      <c r="D144" s="1521">
        <v>9750</v>
      </c>
      <c r="E144" s="1521">
        <v>9900</v>
      </c>
      <c r="F144" s="1539"/>
    </row>
    <row r="145" spans="1:6" s="1515" customFormat="1" ht="14.25" customHeight="1" thickBot="1">
      <c r="A145" s="1527" t="s">
        <v>203</v>
      </c>
      <c r="B145" s="1521" t="s">
        <v>1501</v>
      </c>
      <c r="C145" s="1521"/>
      <c r="D145" s="1521"/>
      <c r="E145" s="1521"/>
      <c r="F145" s="1535">
        <v>1740</v>
      </c>
    </row>
    <row r="146" spans="1:6" s="1515" customFormat="1" ht="14.25" customHeight="1" thickBot="1">
      <c r="A146" s="1527" t="s">
        <v>203</v>
      </c>
      <c r="B146" s="1521" t="s">
        <v>1505</v>
      </c>
      <c r="C146" s="1521"/>
      <c r="D146" s="1521"/>
      <c r="E146" s="1521"/>
      <c r="F146" s="1535">
        <v>1740</v>
      </c>
    </row>
    <row r="147" spans="1:6" s="1515" customFormat="1" ht="14.25" customHeight="1" thickBot="1">
      <c r="A147" s="1527" t="s">
        <v>203</v>
      </c>
      <c r="B147" s="1521" t="s">
        <v>1509</v>
      </c>
      <c r="C147" s="1521"/>
      <c r="D147" s="1521"/>
      <c r="E147" s="1521"/>
      <c r="F147" s="1535">
        <v>1740</v>
      </c>
    </row>
    <row r="148" spans="1:6" s="1515" customFormat="1" ht="14.25" customHeight="1" thickBot="1">
      <c r="A148" s="1527" t="s">
        <v>203</v>
      </c>
      <c r="B148" s="1521" t="s">
        <v>1513</v>
      </c>
      <c r="C148" s="1521"/>
      <c r="D148" s="1521"/>
      <c r="E148" s="1521"/>
      <c r="F148" s="1535">
        <v>1740</v>
      </c>
    </row>
    <row r="149" spans="1:6" s="1515" customFormat="1" ht="14.25" customHeight="1" thickBot="1">
      <c r="A149" s="1527" t="s">
        <v>203</v>
      </c>
      <c r="B149" s="1521" t="s">
        <v>1517</v>
      </c>
      <c r="C149" s="1521"/>
      <c r="D149" s="1521"/>
      <c r="E149" s="1521"/>
      <c r="F149" s="1535">
        <v>1740</v>
      </c>
    </row>
    <row r="150" spans="1:6" s="1515" customFormat="1" ht="14.25" customHeight="1" thickBot="1">
      <c r="A150" s="1527" t="s">
        <v>203</v>
      </c>
      <c r="B150" s="1521" t="s">
        <v>1520</v>
      </c>
      <c r="C150" s="1521"/>
      <c r="D150" s="1521"/>
      <c r="E150" s="1521"/>
      <c r="F150" s="1535">
        <v>1610</v>
      </c>
    </row>
    <row r="151" spans="1:6" s="1515" customFormat="1" ht="14.25" customHeight="1" thickBot="1">
      <c r="A151" s="1527" t="s">
        <v>203</v>
      </c>
      <c r="B151" s="1521" t="s">
        <v>1523</v>
      </c>
      <c r="C151" s="1521"/>
      <c r="D151" s="1521"/>
      <c r="E151" s="1521"/>
      <c r="F151" s="1535">
        <v>1610</v>
      </c>
    </row>
    <row r="152" spans="1:6" s="1515" customFormat="1" ht="14.25" customHeight="1" thickBot="1">
      <c r="A152" s="1527" t="s">
        <v>203</v>
      </c>
      <c r="B152" s="1521" t="s">
        <v>1526</v>
      </c>
      <c r="C152" s="1521"/>
      <c r="D152" s="1521"/>
      <c r="E152" s="1521"/>
      <c r="F152" s="1535">
        <v>1610</v>
      </c>
    </row>
    <row r="153" spans="1:6" s="1515" customFormat="1" ht="14.25" customHeight="1" thickBot="1">
      <c r="A153" s="1527" t="s">
        <v>203</v>
      </c>
      <c r="B153" s="1521" t="s">
        <v>1529</v>
      </c>
      <c r="C153" s="1521"/>
      <c r="D153" s="1521"/>
      <c r="E153" s="1521"/>
      <c r="F153" s="1535">
        <v>1610</v>
      </c>
    </row>
    <row r="154" spans="1:6" s="1515" customFormat="1" ht="14.25" customHeight="1" thickBot="1">
      <c r="A154" s="1527" t="s">
        <v>203</v>
      </c>
      <c r="B154" s="1521" t="s">
        <v>1532</v>
      </c>
      <c r="C154" s="1521"/>
      <c r="D154" s="1521"/>
      <c r="E154" s="1521"/>
      <c r="F154" s="1535">
        <v>1610</v>
      </c>
    </row>
    <row r="155" spans="1:6" s="1515" customFormat="1" ht="14.25" customHeight="1" thickBot="1">
      <c r="A155" s="1527" t="s">
        <v>203</v>
      </c>
      <c r="B155" s="1521" t="s">
        <v>1535</v>
      </c>
      <c r="C155" s="1521"/>
      <c r="D155" s="1521"/>
      <c r="E155" s="1521"/>
      <c r="F155" s="1535">
        <v>1800</v>
      </c>
    </row>
    <row r="156" spans="1:6" s="1515" customFormat="1" ht="14.25" customHeight="1" thickBot="1">
      <c r="A156" s="1527" t="s">
        <v>203</v>
      </c>
      <c r="B156" s="1521" t="s">
        <v>1537</v>
      </c>
      <c r="C156" s="1521"/>
      <c r="D156" s="1521"/>
      <c r="E156" s="1521"/>
      <c r="F156" s="1535">
        <v>1910</v>
      </c>
    </row>
    <row r="157" spans="1:6" s="1515" customFormat="1" ht="14.25" customHeight="1" thickBot="1">
      <c r="A157" s="1527" t="s">
        <v>203</v>
      </c>
      <c r="B157" s="1533" t="s">
        <v>1540</v>
      </c>
      <c r="C157" s="1533"/>
      <c r="D157" s="1533"/>
      <c r="E157" s="1533"/>
      <c r="F157" s="1538">
        <v>1500</v>
      </c>
    </row>
    <row r="158" spans="1:6" s="1515" customFormat="1" ht="14.25" customHeight="1" thickBot="1">
      <c r="A158" s="1527" t="s">
        <v>1545</v>
      </c>
      <c r="B158" s="1528" t="s">
        <v>1546</v>
      </c>
      <c r="C158" s="1528">
        <v>8170</v>
      </c>
      <c r="D158" s="1528">
        <v>8140</v>
      </c>
      <c r="E158" s="1528">
        <v>8590</v>
      </c>
      <c r="F158" s="1529">
        <v>1450</v>
      </c>
    </row>
    <row r="159" spans="1:6" s="1515" customFormat="1" ht="14.25" customHeight="1" thickBot="1">
      <c r="A159" s="1527" t="s">
        <v>1545</v>
      </c>
      <c r="B159" s="1521" t="s">
        <v>1212</v>
      </c>
      <c r="C159" s="1521">
        <v>7410</v>
      </c>
      <c r="D159" s="1521">
        <v>7370</v>
      </c>
      <c r="E159" s="1521">
        <v>8030</v>
      </c>
      <c r="F159" s="1535">
        <v>1510</v>
      </c>
    </row>
    <row r="160" spans="1:6" s="1515" customFormat="1" ht="14.25" customHeight="1" thickBot="1">
      <c r="A160" s="1527" t="s">
        <v>1545</v>
      </c>
      <c r="B160" s="1521" t="s">
        <v>1225</v>
      </c>
      <c r="C160" s="1521">
        <v>7240</v>
      </c>
      <c r="D160" s="1521">
        <v>7210</v>
      </c>
      <c r="E160" s="1521">
        <v>7860</v>
      </c>
      <c r="F160" s="1535">
        <v>1370</v>
      </c>
    </row>
    <row r="161" spans="1:6" s="1515" customFormat="1" ht="14.25" customHeight="1" thickBot="1">
      <c r="A161" s="1527" t="s">
        <v>1545</v>
      </c>
      <c r="B161" s="1521" t="s">
        <v>1238</v>
      </c>
      <c r="C161" s="1521">
        <v>7720</v>
      </c>
      <c r="D161" s="1521">
        <v>7690</v>
      </c>
      <c r="E161" s="1521">
        <v>8200</v>
      </c>
      <c r="F161" s="1535">
        <v>1190</v>
      </c>
    </row>
    <row r="162" spans="1:6" s="1515" customFormat="1" ht="14.25" customHeight="1" thickBot="1">
      <c r="A162" s="1527" t="s">
        <v>1545</v>
      </c>
      <c r="B162" s="1521" t="s">
        <v>1250</v>
      </c>
      <c r="C162" s="1521">
        <v>6900</v>
      </c>
      <c r="D162" s="1521">
        <v>6870</v>
      </c>
      <c r="E162" s="1521">
        <v>7500</v>
      </c>
      <c r="F162" s="1535">
        <v>1390</v>
      </c>
    </row>
    <row r="163" spans="1:6" s="1515" customFormat="1" ht="14.25" customHeight="1" thickBot="1">
      <c r="A163" s="1527" t="s">
        <v>1545</v>
      </c>
      <c r="B163" s="1521" t="s">
        <v>1261</v>
      </c>
      <c r="C163" s="1521">
        <v>7120</v>
      </c>
      <c r="D163" s="1521">
        <v>7090</v>
      </c>
      <c r="E163" s="1521">
        <v>7690</v>
      </c>
      <c r="F163" s="1535">
        <v>1230</v>
      </c>
    </row>
    <row r="164" spans="1:6" s="1515" customFormat="1" ht="14.25" customHeight="1" thickBot="1">
      <c r="A164" s="1527" t="s">
        <v>1545</v>
      </c>
      <c r="B164" s="1521" t="s">
        <v>1272</v>
      </c>
      <c r="C164" s="1521">
        <v>6560</v>
      </c>
      <c r="D164" s="1521">
        <v>6530</v>
      </c>
      <c r="E164" s="1521">
        <v>7110</v>
      </c>
      <c r="F164" s="1535">
        <v>1340</v>
      </c>
    </row>
    <row r="165" spans="1:6" s="1515" customFormat="1" ht="14.25" customHeight="1" thickBot="1">
      <c r="A165" s="1527" t="s">
        <v>1545</v>
      </c>
      <c r="B165" s="1521" t="s">
        <v>1283</v>
      </c>
      <c r="C165" s="1521">
        <v>7450</v>
      </c>
      <c r="D165" s="1521">
        <v>7430</v>
      </c>
      <c r="E165" s="1521">
        <v>8110</v>
      </c>
      <c r="F165" s="1535">
        <v>1290</v>
      </c>
    </row>
    <row r="166" spans="1:6" s="1515" customFormat="1" ht="14.25" customHeight="1" thickBot="1">
      <c r="A166" s="1527" t="s">
        <v>1545</v>
      </c>
      <c r="B166" s="1521" t="s">
        <v>1295</v>
      </c>
      <c r="C166" s="1521">
        <v>7490</v>
      </c>
      <c r="D166" s="1521">
        <v>7460</v>
      </c>
      <c r="E166" s="1521">
        <v>8150</v>
      </c>
      <c r="F166" s="1535">
        <v>1350</v>
      </c>
    </row>
    <row r="167" spans="1:6" s="1515" customFormat="1" ht="14.25" customHeight="1" thickBot="1">
      <c r="A167" s="1527" t="s">
        <v>1545</v>
      </c>
      <c r="B167" s="1521" t="s">
        <v>1305</v>
      </c>
      <c r="C167" s="1521">
        <v>7540</v>
      </c>
      <c r="D167" s="1521">
        <v>7510</v>
      </c>
      <c r="E167" s="1521">
        <v>8030</v>
      </c>
      <c r="F167" s="1539"/>
    </row>
    <row r="168" spans="1:6" s="1515" customFormat="1" ht="14.25" customHeight="1" thickBot="1">
      <c r="A168" s="1527" t="s">
        <v>1545</v>
      </c>
      <c r="B168" s="1521" t="s">
        <v>1315</v>
      </c>
      <c r="C168" s="1521">
        <v>7210</v>
      </c>
      <c r="D168" s="1521">
        <v>7180</v>
      </c>
      <c r="E168" s="1521">
        <v>7830</v>
      </c>
      <c r="F168" s="1539"/>
    </row>
    <row r="169" spans="1:6" s="1515" customFormat="1" ht="14.25" customHeight="1" thickBot="1">
      <c r="A169" s="1527" t="s">
        <v>1545</v>
      </c>
      <c r="B169" s="1521" t="s">
        <v>1325</v>
      </c>
      <c r="C169" s="1521">
        <v>7040</v>
      </c>
      <c r="D169" s="1521">
        <v>7020</v>
      </c>
      <c r="E169" s="1521">
        <v>7670</v>
      </c>
      <c r="F169" s="1539"/>
    </row>
    <row r="170" spans="1:6" s="1515" customFormat="1" ht="14.25" customHeight="1" thickBot="1">
      <c r="A170" s="1527" t="s">
        <v>1545</v>
      </c>
      <c r="B170" s="1521" t="s">
        <v>1335</v>
      </c>
      <c r="C170" s="1521">
        <v>8040</v>
      </c>
      <c r="D170" s="1521">
        <v>7190</v>
      </c>
      <c r="E170" s="1521">
        <v>7850</v>
      </c>
      <c r="F170" s="1539"/>
    </row>
    <row r="171" spans="1:6" s="1515" customFormat="1" ht="14.25" customHeight="1" thickBot="1">
      <c r="A171" s="1527" t="s">
        <v>1545</v>
      </c>
      <c r="B171" s="1521" t="s">
        <v>1346</v>
      </c>
      <c r="C171" s="1521">
        <v>7860</v>
      </c>
      <c r="D171" s="1521">
        <v>7720</v>
      </c>
      <c r="E171" s="1521">
        <v>8150</v>
      </c>
      <c r="F171" s="1535">
        <v>1110</v>
      </c>
    </row>
    <row r="172" spans="1:6" s="1515" customFormat="1" ht="14.25" customHeight="1" thickBot="1">
      <c r="A172" s="1527" t="s">
        <v>1545</v>
      </c>
      <c r="B172" s="1521" t="s">
        <v>1357</v>
      </c>
      <c r="C172" s="1521">
        <v>7210</v>
      </c>
      <c r="D172" s="1521">
        <v>7170</v>
      </c>
      <c r="E172" s="1521">
        <v>7320</v>
      </c>
      <c r="F172" s="1539"/>
    </row>
    <row r="173" spans="1:6" s="1515" customFormat="1" ht="14.25" customHeight="1" thickBot="1">
      <c r="A173" s="1527" t="s">
        <v>1545</v>
      </c>
      <c r="B173" s="1521" t="s">
        <v>1367</v>
      </c>
      <c r="C173" s="1521">
        <v>6860</v>
      </c>
      <c r="D173" s="1521">
        <v>6810</v>
      </c>
      <c r="E173" s="1521">
        <v>7440</v>
      </c>
      <c r="F173" s="1539"/>
    </row>
    <row r="174" spans="1:6" s="1515" customFormat="1" ht="14.25" customHeight="1" thickBot="1">
      <c r="A174" s="1527" t="s">
        <v>1545</v>
      </c>
      <c r="B174" s="1521" t="s">
        <v>1377</v>
      </c>
      <c r="C174" s="1521">
        <v>7120</v>
      </c>
      <c r="D174" s="1521">
        <v>7090</v>
      </c>
      <c r="E174" s="1521">
        <v>7500</v>
      </c>
      <c r="F174" s="1535">
        <v>1490</v>
      </c>
    </row>
    <row r="175" spans="1:6" s="1515" customFormat="1" ht="14.25" customHeight="1" thickBot="1">
      <c r="A175" s="1527" t="s">
        <v>1545</v>
      </c>
      <c r="B175" s="1521" t="s">
        <v>1387</v>
      </c>
      <c r="C175" s="1521">
        <v>7850</v>
      </c>
      <c r="D175" s="1521">
        <v>7820</v>
      </c>
      <c r="E175" s="1521">
        <v>8120</v>
      </c>
      <c r="F175" s="1535">
        <v>1530</v>
      </c>
    </row>
    <row r="176" spans="1:6" s="1515" customFormat="1" ht="14.25" customHeight="1" thickBot="1">
      <c r="A176" s="1527" t="s">
        <v>1545</v>
      </c>
      <c r="B176" s="1521" t="s">
        <v>1397</v>
      </c>
      <c r="C176" s="1521">
        <v>7620</v>
      </c>
      <c r="D176" s="1521">
        <v>7570</v>
      </c>
      <c r="E176" s="1521">
        <v>7990</v>
      </c>
      <c r="F176" s="1535">
        <v>1480</v>
      </c>
    </row>
    <row r="177" spans="1:6" s="1515" customFormat="1" ht="14.25" customHeight="1" thickBot="1">
      <c r="A177" s="1527" t="s">
        <v>1545</v>
      </c>
      <c r="B177" s="1521" t="s">
        <v>1406</v>
      </c>
      <c r="C177" s="1521">
        <v>8590</v>
      </c>
      <c r="D177" s="1521">
        <v>8570</v>
      </c>
      <c r="E177" s="1521">
        <v>8740</v>
      </c>
      <c r="F177" s="1535">
        <v>1540</v>
      </c>
    </row>
    <row r="178" spans="1:6" s="1515" customFormat="1" ht="14.25" customHeight="1" thickBot="1">
      <c r="A178" s="1527" t="s">
        <v>1545</v>
      </c>
      <c r="B178" s="1521" t="s">
        <v>1415</v>
      </c>
      <c r="C178" s="1521">
        <v>7510</v>
      </c>
      <c r="D178" s="1521">
        <v>7470</v>
      </c>
      <c r="E178" s="1521">
        <v>8090</v>
      </c>
      <c r="F178" s="1535">
        <v>1320</v>
      </c>
    </row>
    <row r="179" spans="1:6" s="1515" customFormat="1" ht="14.25" customHeight="1" thickBot="1">
      <c r="A179" s="1527" t="s">
        <v>1545</v>
      </c>
      <c r="B179" s="1521" t="s">
        <v>1423</v>
      </c>
      <c r="C179" s="1521">
        <v>6380</v>
      </c>
      <c r="D179" s="1521">
        <v>6340</v>
      </c>
      <c r="E179" s="1521">
        <v>6810</v>
      </c>
      <c r="F179" s="1539"/>
    </row>
    <row r="180" spans="1:6" s="1515" customFormat="1" ht="14.25" customHeight="1" thickBot="1">
      <c r="A180" s="1527" t="s">
        <v>1545</v>
      </c>
      <c r="B180" s="1521" t="s">
        <v>1430</v>
      </c>
      <c r="C180" s="1521">
        <v>7830</v>
      </c>
      <c r="D180" s="1521">
        <v>7800</v>
      </c>
      <c r="E180" s="1521">
        <v>7780</v>
      </c>
      <c r="F180" s="1535">
        <v>1440</v>
      </c>
    </row>
    <row r="181" spans="1:6" s="1515" customFormat="1" ht="14.25" customHeight="1" thickBot="1">
      <c r="A181" s="1527" t="s">
        <v>1545</v>
      </c>
      <c r="B181" s="1521" t="s">
        <v>1437</v>
      </c>
      <c r="C181" s="1521">
        <v>7110</v>
      </c>
      <c r="D181" s="1521">
        <v>7080</v>
      </c>
      <c r="E181" s="1521">
        <v>7730</v>
      </c>
      <c r="F181" s="1535">
        <v>1350</v>
      </c>
    </row>
    <row r="182" spans="1:6" s="1515" customFormat="1" ht="14.25" customHeight="1" thickBot="1">
      <c r="A182" s="1527" t="s">
        <v>1545</v>
      </c>
      <c r="B182" s="1521" t="s">
        <v>1444</v>
      </c>
      <c r="C182" s="1521">
        <v>7310</v>
      </c>
      <c r="D182" s="1521">
        <v>7280</v>
      </c>
      <c r="E182" s="1521">
        <v>7950</v>
      </c>
      <c r="F182" s="1535">
        <v>1220</v>
      </c>
    </row>
    <row r="183" spans="1:6" s="1515" customFormat="1" ht="14.25" customHeight="1" thickBot="1">
      <c r="A183" s="1527" t="s">
        <v>1545</v>
      </c>
      <c r="B183" s="1521" t="s">
        <v>1451</v>
      </c>
      <c r="C183" s="1521">
        <v>7470</v>
      </c>
      <c r="D183" s="1521">
        <v>7440</v>
      </c>
      <c r="E183" s="1521">
        <v>7880</v>
      </c>
      <c r="F183" s="1539"/>
    </row>
    <row r="184" spans="1:6" s="1515" customFormat="1" ht="14.25" customHeight="1" thickBot="1">
      <c r="A184" s="1527" t="s">
        <v>1545</v>
      </c>
      <c r="B184" s="1521" t="s">
        <v>1458</v>
      </c>
      <c r="C184" s="1521">
        <v>6960</v>
      </c>
      <c r="D184" s="1521">
        <v>6930</v>
      </c>
      <c r="E184" s="1521">
        <v>7570</v>
      </c>
      <c r="F184" s="1539"/>
    </row>
    <row r="185" spans="1:6" s="1515" customFormat="1" ht="14.25" customHeight="1" thickBot="1">
      <c r="A185" s="1527" t="s">
        <v>1545</v>
      </c>
      <c r="B185" s="1521" t="s">
        <v>1465</v>
      </c>
      <c r="C185" s="1521">
        <v>7260</v>
      </c>
      <c r="D185" s="1521">
        <v>7230</v>
      </c>
      <c r="E185" s="1521">
        <v>7710</v>
      </c>
      <c r="F185" s="1535">
        <v>1360</v>
      </c>
    </row>
    <row r="186" spans="1:6" s="1515" customFormat="1" ht="14.25" customHeight="1" thickBot="1">
      <c r="A186" s="1527" t="s">
        <v>1545</v>
      </c>
      <c r="B186" s="1521" t="s">
        <v>1470</v>
      </c>
      <c r="C186" s="1521"/>
      <c r="D186" s="1521"/>
      <c r="E186" s="1521"/>
      <c r="F186" s="1535">
        <v>1560</v>
      </c>
    </row>
    <row r="187" spans="1:6" s="1515" customFormat="1" ht="14.25" customHeight="1" thickBot="1">
      <c r="A187" s="1527" t="s">
        <v>1545</v>
      </c>
      <c r="B187" s="1521" t="s">
        <v>1474</v>
      </c>
      <c r="C187" s="1521"/>
      <c r="D187" s="1521"/>
      <c r="E187" s="1521"/>
      <c r="F187" s="1535">
        <v>1560</v>
      </c>
    </row>
    <row r="188" spans="1:6" s="1515" customFormat="1" ht="14.25" customHeight="1" thickBot="1">
      <c r="A188" s="1527" t="s">
        <v>1545</v>
      </c>
      <c r="B188" s="1521" t="s">
        <v>1479</v>
      </c>
      <c r="C188" s="1521"/>
      <c r="D188" s="1521"/>
      <c r="E188" s="1521"/>
      <c r="F188" s="1535">
        <v>1560</v>
      </c>
    </row>
    <row r="189" spans="1:6" s="1515" customFormat="1" ht="14.25" customHeight="1" thickBot="1">
      <c r="A189" s="1527" t="s">
        <v>1545</v>
      </c>
      <c r="B189" s="1521" t="s">
        <v>1484</v>
      </c>
      <c r="C189" s="1521"/>
      <c r="D189" s="1521"/>
      <c r="E189" s="1521"/>
      <c r="F189" s="1535">
        <v>1320</v>
      </c>
    </row>
    <row r="190" spans="1:6" s="1515" customFormat="1" ht="14.25" customHeight="1" thickBot="1">
      <c r="A190" s="1527" t="s">
        <v>1545</v>
      </c>
      <c r="B190" s="1521" t="s">
        <v>1489</v>
      </c>
      <c r="C190" s="1521"/>
      <c r="D190" s="1521"/>
      <c r="E190" s="1521"/>
      <c r="F190" s="1535">
        <v>1320</v>
      </c>
    </row>
    <row r="191" spans="1:6" s="1515" customFormat="1" ht="14.25" customHeight="1" thickBot="1">
      <c r="A191" s="1527" t="s">
        <v>1545</v>
      </c>
      <c r="B191" s="1521" t="s">
        <v>1494</v>
      </c>
      <c r="C191" s="1521"/>
      <c r="D191" s="1521"/>
      <c r="E191" s="1521"/>
      <c r="F191" s="1535">
        <v>1320</v>
      </c>
    </row>
    <row r="192" spans="1:6" s="1515" customFormat="1" ht="14.25" customHeight="1" thickBot="1">
      <c r="A192" s="1527" t="s">
        <v>1545</v>
      </c>
      <c r="B192" s="1521" t="s">
        <v>1498</v>
      </c>
      <c r="C192" s="1521"/>
      <c r="D192" s="1521"/>
      <c r="E192" s="1521"/>
      <c r="F192" s="1535">
        <v>1100</v>
      </c>
    </row>
    <row r="193" spans="1:6" s="1515" customFormat="1" ht="14.25" customHeight="1" thickBot="1">
      <c r="A193" s="1527" t="s">
        <v>1545</v>
      </c>
      <c r="B193" s="1521" t="s">
        <v>1502</v>
      </c>
      <c r="C193" s="1521"/>
      <c r="D193" s="1521"/>
      <c r="E193" s="1521"/>
      <c r="F193" s="1535">
        <v>1100</v>
      </c>
    </row>
    <row r="194" spans="1:6" s="1515" customFormat="1" ht="14.25" customHeight="1" thickBot="1">
      <c r="A194" s="1527" t="s">
        <v>1545</v>
      </c>
      <c r="B194" s="1521" t="s">
        <v>1506</v>
      </c>
      <c r="C194" s="1521"/>
      <c r="D194" s="1521"/>
      <c r="E194" s="1521"/>
      <c r="F194" s="1535">
        <v>1080</v>
      </c>
    </row>
    <row r="195" spans="1:6" s="1515" customFormat="1" ht="14.25" customHeight="1" thickBot="1">
      <c r="A195" s="1527" t="s">
        <v>1545</v>
      </c>
      <c r="B195" s="1521" t="s">
        <v>1510</v>
      </c>
      <c r="C195" s="1521"/>
      <c r="D195" s="1521"/>
      <c r="E195" s="1521"/>
      <c r="F195" s="1535">
        <v>1270</v>
      </c>
    </row>
    <row r="196" spans="1:6" s="1515" customFormat="1" ht="14.25" customHeight="1" thickBot="1">
      <c r="A196" s="1527" t="s">
        <v>1545</v>
      </c>
      <c r="B196" s="1521" t="s">
        <v>1514</v>
      </c>
      <c r="C196" s="1521"/>
      <c r="D196" s="1521"/>
      <c r="E196" s="1521"/>
      <c r="F196" s="1535">
        <v>1150</v>
      </c>
    </row>
    <row r="197" spans="1:6" s="1515" customFormat="1" ht="14.25" customHeight="1" thickBot="1">
      <c r="A197" s="1527" t="s">
        <v>1545</v>
      </c>
      <c r="B197" s="1521" t="s">
        <v>1518</v>
      </c>
      <c r="C197" s="1521"/>
      <c r="D197" s="1521"/>
      <c r="E197" s="1521"/>
      <c r="F197" s="1535">
        <v>1330</v>
      </c>
    </row>
    <row r="198" spans="1:6" s="1515" customFormat="1" ht="14.25" customHeight="1" thickBot="1">
      <c r="A198" s="1527" t="s">
        <v>1545</v>
      </c>
      <c r="B198" s="1521" t="s">
        <v>1521</v>
      </c>
      <c r="C198" s="1521"/>
      <c r="D198" s="1521"/>
      <c r="E198" s="1521"/>
      <c r="F198" s="1535">
        <v>1170</v>
      </c>
    </row>
    <row r="199" spans="1:6" s="1515" customFormat="1" ht="14.25" customHeight="1" thickBot="1">
      <c r="A199" s="1527" t="s">
        <v>1545</v>
      </c>
      <c r="B199" s="1521" t="s">
        <v>1524</v>
      </c>
      <c r="C199" s="1521"/>
      <c r="D199" s="1521"/>
      <c r="E199" s="1521"/>
      <c r="F199" s="1535">
        <v>1120</v>
      </c>
    </row>
    <row r="200" spans="1:6" s="1515" customFormat="1" ht="14.25" customHeight="1" thickBot="1">
      <c r="A200" s="1527" t="s">
        <v>1545</v>
      </c>
      <c r="B200" s="1521" t="s">
        <v>1527</v>
      </c>
      <c r="C200" s="1521"/>
      <c r="D200" s="1521"/>
      <c r="E200" s="1521"/>
      <c r="F200" s="1535">
        <v>1120</v>
      </c>
    </row>
    <row r="201" spans="1:6" s="1515" customFormat="1" ht="14.25" customHeight="1" thickBot="1">
      <c r="A201" s="1527" t="s">
        <v>1545</v>
      </c>
      <c r="B201" s="1521" t="s">
        <v>1530</v>
      </c>
      <c r="C201" s="1521"/>
      <c r="D201" s="1521"/>
      <c r="E201" s="1521"/>
      <c r="F201" s="1535">
        <v>1540</v>
      </c>
    </row>
    <row r="202" spans="1:6" s="1515" customFormat="1" ht="14.25" customHeight="1" thickBot="1">
      <c r="A202" s="1527" t="s">
        <v>1545</v>
      </c>
      <c r="B202" s="1521" t="s">
        <v>1533</v>
      </c>
      <c r="C202" s="1521"/>
      <c r="D202" s="1521"/>
      <c r="E202" s="1521"/>
      <c r="F202" s="1535">
        <v>1310</v>
      </c>
    </row>
    <row r="203" spans="1:6" s="1515" customFormat="1" ht="14.25" customHeight="1" thickBot="1">
      <c r="A203" s="1527" t="s">
        <v>1545</v>
      </c>
      <c r="B203" s="1521" t="s">
        <v>1536</v>
      </c>
      <c r="C203" s="1521"/>
      <c r="D203" s="1521"/>
      <c r="E203" s="1521"/>
      <c r="F203" s="1535">
        <v>1310</v>
      </c>
    </row>
    <row r="204" spans="1:6" s="1515" customFormat="1" ht="14.25" customHeight="1" thickBot="1">
      <c r="A204" s="1527" t="s">
        <v>1545</v>
      </c>
      <c r="B204" s="1521" t="s">
        <v>1538</v>
      </c>
      <c r="C204" s="1521"/>
      <c r="D204" s="1521"/>
      <c r="E204" s="1521"/>
      <c r="F204" s="1535">
        <v>1080</v>
      </c>
    </row>
    <row r="205" spans="1:6" s="1515" customFormat="1" ht="14.25" customHeight="1" thickBot="1">
      <c r="A205" s="1527" t="s">
        <v>1545</v>
      </c>
      <c r="B205" s="1521" t="s">
        <v>1541</v>
      </c>
      <c r="C205" s="1521"/>
      <c r="D205" s="1521"/>
      <c r="E205" s="1521"/>
      <c r="F205" s="1535">
        <v>1080</v>
      </c>
    </row>
    <row r="206" spans="1:6" s="1515" customFormat="1" ht="14.25" customHeight="1" thickBot="1">
      <c r="A206" s="1527" t="s">
        <v>1547</v>
      </c>
      <c r="B206" s="1528" t="s">
        <v>1548</v>
      </c>
      <c r="C206" s="1528">
        <v>5450</v>
      </c>
      <c r="D206" s="1528">
        <v>5430</v>
      </c>
      <c r="E206" s="1528">
        <v>5700</v>
      </c>
      <c r="F206" s="1529">
        <v>1020</v>
      </c>
    </row>
    <row r="207" spans="1:6" s="1515" customFormat="1" ht="14.25" customHeight="1" thickBot="1">
      <c r="A207" s="1527" t="s">
        <v>1547</v>
      </c>
      <c r="B207" s="1521" t="s">
        <v>1213</v>
      </c>
      <c r="C207" s="1521">
        <v>5860</v>
      </c>
      <c r="D207" s="1521">
        <v>5820</v>
      </c>
      <c r="E207" s="1521">
        <v>6050</v>
      </c>
      <c r="F207" s="1535">
        <v>1080</v>
      </c>
    </row>
    <row r="208" spans="1:6" s="1515" customFormat="1" ht="14.25" customHeight="1" thickBot="1">
      <c r="A208" s="1527" t="s">
        <v>1547</v>
      </c>
      <c r="B208" s="1521" t="s">
        <v>1226</v>
      </c>
      <c r="C208" s="1521">
        <v>4630</v>
      </c>
      <c r="D208" s="1521">
        <v>4600</v>
      </c>
      <c r="E208" s="1521">
        <v>4840</v>
      </c>
      <c r="F208" s="1535">
        <v>900</v>
      </c>
    </row>
    <row r="209" spans="1:6" s="1515" customFormat="1" ht="14.25" customHeight="1" thickBot="1">
      <c r="A209" s="1527" t="s">
        <v>1547</v>
      </c>
      <c r="B209" s="1521" t="s">
        <v>1239</v>
      </c>
      <c r="C209" s="1521">
        <v>5320</v>
      </c>
      <c r="D209" s="1521">
        <v>5270</v>
      </c>
      <c r="E209" s="1521">
        <v>5540</v>
      </c>
      <c r="F209" s="1535">
        <v>980</v>
      </c>
    </row>
    <row r="210" spans="1:6" s="1515" customFormat="1" ht="14.25" customHeight="1" thickBot="1">
      <c r="A210" s="1527" t="s">
        <v>1547</v>
      </c>
      <c r="B210" s="1521" t="s">
        <v>1251</v>
      </c>
      <c r="C210" s="1521">
        <v>5760</v>
      </c>
      <c r="D210" s="1521">
        <v>5710</v>
      </c>
      <c r="E210" s="1521">
        <v>6010</v>
      </c>
      <c r="F210" s="1535">
        <v>870</v>
      </c>
    </row>
    <row r="211" spans="1:6" s="1515" customFormat="1" ht="14.25" customHeight="1" thickBot="1">
      <c r="A211" s="1527" t="s">
        <v>1547</v>
      </c>
      <c r="B211" s="1521" t="s">
        <v>1262</v>
      </c>
      <c r="C211" s="1521">
        <v>4160</v>
      </c>
      <c r="D211" s="1521">
        <v>4100</v>
      </c>
      <c r="E211" s="1521">
        <v>4270</v>
      </c>
      <c r="F211" s="1535">
        <v>790</v>
      </c>
    </row>
    <row r="212" spans="1:6" s="1515" customFormat="1" ht="14.25" customHeight="1" thickBot="1">
      <c r="A212" s="1527" t="s">
        <v>1547</v>
      </c>
      <c r="B212" s="1521" t="s">
        <v>1273</v>
      </c>
      <c r="C212" s="1521">
        <v>4880</v>
      </c>
      <c r="D212" s="1521">
        <v>4850</v>
      </c>
      <c r="E212" s="1521">
        <v>5110</v>
      </c>
      <c r="F212" s="1535">
        <v>940</v>
      </c>
    </row>
    <row r="213" spans="1:6" s="1515" customFormat="1" ht="14.25" customHeight="1" thickBot="1">
      <c r="A213" s="1527" t="s">
        <v>1547</v>
      </c>
      <c r="B213" s="1521" t="s">
        <v>1284</v>
      </c>
      <c r="C213" s="1521">
        <v>4640</v>
      </c>
      <c r="D213" s="1521">
        <v>4590</v>
      </c>
      <c r="E213" s="1521">
        <v>4700</v>
      </c>
      <c r="F213" s="1535">
        <v>1030</v>
      </c>
    </row>
    <row r="214" spans="1:6" s="1515" customFormat="1" ht="14.25" customHeight="1" thickBot="1">
      <c r="A214" s="1527" t="s">
        <v>1547</v>
      </c>
      <c r="B214" s="1521" t="s">
        <v>1296</v>
      </c>
      <c r="C214" s="1521">
        <v>4540</v>
      </c>
      <c r="D214" s="1521">
        <v>4490</v>
      </c>
      <c r="E214" s="1521">
        <v>4610</v>
      </c>
      <c r="F214" s="1539"/>
    </row>
    <row r="215" spans="1:6" s="1515" customFormat="1" ht="14.25" customHeight="1" thickBot="1">
      <c r="A215" s="1527" t="s">
        <v>1547</v>
      </c>
      <c r="B215" s="1521" t="s">
        <v>1306</v>
      </c>
      <c r="C215" s="1521">
        <v>5280</v>
      </c>
      <c r="D215" s="1521">
        <v>5250</v>
      </c>
      <c r="E215" s="1521">
        <v>5520</v>
      </c>
      <c r="F215" s="1535">
        <v>1000</v>
      </c>
    </row>
    <row r="216" spans="1:6" s="1515" customFormat="1" ht="14.25" customHeight="1" thickBot="1">
      <c r="A216" s="1527" t="s">
        <v>1547</v>
      </c>
      <c r="B216" s="1521" t="s">
        <v>1316</v>
      </c>
      <c r="C216" s="1521">
        <v>5100</v>
      </c>
      <c r="D216" s="1521">
        <v>5050</v>
      </c>
      <c r="E216" s="1521">
        <v>5300</v>
      </c>
      <c r="F216" s="1535">
        <v>950</v>
      </c>
    </row>
    <row r="217" spans="1:6" s="1515" customFormat="1" ht="14.25" customHeight="1" thickBot="1">
      <c r="A217" s="1527" t="s">
        <v>1547</v>
      </c>
      <c r="B217" s="1521" t="s">
        <v>1326</v>
      </c>
      <c r="C217" s="1521">
        <v>5370</v>
      </c>
      <c r="D217" s="1521">
        <v>5320</v>
      </c>
      <c r="E217" s="1521">
        <v>5410</v>
      </c>
      <c r="F217" s="1535">
        <v>950</v>
      </c>
    </row>
    <row r="218" spans="1:6" s="1515" customFormat="1" ht="14.25" customHeight="1" thickBot="1">
      <c r="A218" s="1527" t="s">
        <v>1547</v>
      </c>
      <c r="B218" s="1521" t="s">
        <v>1336</v>
      </c>
      <c r="C218" s="1521">
        <v>5540</v>
      </c>
      <c r="D218" s="1521">
        <v>5480</v>
      </c>
      <c r="E218" s="1521">
        <v>5740</v>
      </c>
      <c r="F218" s="1535">
        <v>1020</v>
      </c>
    </row>
    <row r="219" spans="1:6" s="1515" customFormat="1" ht="14.25" customHeight="1" thickBot="1">
      <c r="A219" s="1527" t="s">
        <v>1547</v>
      </c>
      <c r="B219" s="1521" t="s">
        <v>1347</v>
      </c>
      <c r="C219" s="1521">
        <v>5140</v>
      </c>
      <c r="D219" s="1521">
        <v>5100</v>
      </c>
      <c r="E219" s="1521">
        <v>5350</v>
      </c>
      <c r="F219" s="1535">
        <v>1120</v>
      </c>
    </row>
    <row r="220" spans="1:6" s="1515" customFormat="1" ht="14.25" customHeight="1" thickBot="1">
      <c r="A220" s="1527" t="s">
        <v>1547</v>
      </c>
      <c r="B220" s="1521" t="s">
        <v>1358</v>
      </c>
      <c r="C220" s="1521">
        <v>5040</v>
      </c>
      <c r="D220" s="1521">
        <v>5000</v>
      </c>
      <c r="E220" s="1521">
        <v>5240</v>
      </c>
      <c r="F220" s="1535">
        <v>980</v>
      </c>
    </row>
    <row r="221" spans="1:6" s="1515" customFormat="1" ht="14.25" customHeight="1" thickBot="1">
      <c r="A221" s="1527" t="s">
        <v>1547</v>
      </c>
      <c r="B221" s="1521" t="s">
        <v>1368</v>
      </c>
      <c r="C221" s="1540"/>
      <c r="D221" s="1540"/>
      <c r="E221" s="1540"/>
      <c r="F221" s="1535">
        <v>1070</v>
      </c>
    </row>
    <row r="222" spans="1:6" s="1515" customFormat="1" ht="14.25" customHeight="1" thickBot="1">
      <c r="A222" s="1527" t="s">
        <v>1547</v>
      </c>
      <c r="B222" s="1521" t="s">
        <v>1378</v>
      </c>
      <c r="C222" s="1540"/>
      <c r="D222" s="1540"/>
      <c r="E222" s="1540"/>
      <c r="F222" s="1535">
        <v>870</v>
      </c>
    </row>
    <row r="223" spans="1:6" s="1515" customFormat="1" ht="14.25" customHeight="1" thickBot="1">
      <c r="A223" s="1527" t="s">
        <v>1547</v>
      </c>
      <c r="B223" s="1521" t="s">
        <v>1388</v>
      </c>
      <c r="C223" s="1540"/>
      <c r="D223" s="1540"/>
      <c r="E223" s="1540"/>
      <c r="F223" s="1535">
        <v>940</v>
      </c>
    </row>
    <row r="224" spans="1:6" s="1515" customFormat="1" ht="14.25" customHeight="1" thickBot="1">
      <c r="A224" s="1527" t="s">
        <v>1547</v>
      </c>
      <c r="B224" s="1521" t="s">
        <v>1398</v>
      </c>
      <c r="C224" s="1540"/>
      <c r="D224" s="1540"/>
      <c r="E224" s="1540"/>
      <c r="F224" s="1535">
        <v>990</v>
      </c>
    </row>
    <row r="225" spans="1:6" s="1515" customFormat="1" ht="14.25" customHeight="1" thickBot="1">
      <c r="A225" s="1527" t="s">
        <v>1547</v>
      </c>
      <c r="B225" s="1521" t="s">
        <v>1407</v>
      </c>
      <c r="C225" s="1521">
        <v>5730</v>
      </c>
      <c r="D225" s="1521">
        <v>5680</v>
      </c>
      <c r="E225" s="1521">
        <v>6020</v>
      </c>
      <c r="F225" s="1535">
        <v>1000</v>
      </c>
    </row>
    <row r="226" spans="1:6" s="1515" customFormat="1" ht="14.25" customHeight="1" thickBot="1">
      <c r="A226" s="1527" t="s">
        <v>1547</v>
      </c>
      <c r="B226" s="1521" t="s">
        <v>1416</v>
      </c>
      <c r="C226" s="1521">
        <v>4970</v>
      </c>
      <c r="D226" s="1521">
        <v>4940</v>
      </c>
      <c r="E226" s="1521">
        <v>5180</v>
      </c>
      <c r="F226" s="1535">
        <v>960</v>
      </c>
    </row>
    <row r="227" spans="1:6" s="1515" customFormat="1" ht="14.25" customHeight="1" thickBot="1">
      <c r="A227" s="1527" t="s">
        <v>1547</v>
      </c>
      <c r="B227" s="1521" t="s">
        <v>1424</v>
      </c>
      <c r="C227" s="1521">
        <v>5550</v>
      </c>
      <c r="D227" s="1521">
        <v>5500</v>
      </c>
      <c r="E227" s="1521">
        <v>5780</v>
      </c>
      <c r="F227" s="1535">
        <v>940</v>
      </c>
    </row>
    <row r="228" spans="1:6" s="1515" customFormat="1" ht="14.25" customHeight="1" thickBot="1">
      <c r="A228" s="1527" t="s">
        <v>1547</v>
      </c>
      <c r="B228" s="1521" t="s">
        <v>1431</v>
      </c>
      <c r="C228" s="1521">
        <v>5460</v>
      </c>
      <c r="D228" s="1521">
        <v>5420</v>
      </c>
      <c r="E228" s="1521">
        <v>5690</v>
      </c>
      <c r="F228" s="1535">
        <v>910</v>
      </c>
    </row>
    <row r="229" spans="1:6" s="1515" customFormat="1" ht="14.25" customHeight="1" thickBot="1">
      <c r="A229" s="1527" t="s">
        <v>1547</v>
      </c>
      <c r="B229" s="1521" t="s">
        <v>1438</v>
      </c>
      <c r="C229" s="1521">
        <v>5310</v>
      </c>
      <c r="D229" s="1521">
        <v>5270</v>
      </c>
      <c r="E229" s="1521">
        <v>5510</v>
      </c>
      <c r="F229" s="1539"/>
    </row>
    <row r="230" spans="1:6" s="1515" customFormat="1" ht="14.25" customHeight="1" thickBot="1">
      <c r="A230" s="1527" t="s">
        <v>1547</v>
      </c>
      <c r="B230" s="1521" t="s">
        <v>1445</v>
      </c>
      <c r="C230" s="1521">
        <v>4540</v>
      </c>
      <c r="D230" s="1521">
        <v>4500</v>
      </c>
      <c r="E230" s="1521">
        <v>4730</v>
      </c>
      <c r="F230" s="1539"/>
    </row>
    <row r="231" spans="1:6" s="1515" customFormat="1" ht="14.25" customHeight="1" thickBot="1">
      <c r="A231" s="1527" t="s">
        <v>1547</v>
      </c>
      <c r="B231" s="1521" t="s">
        <v>1452</v>
      </c>
      <c r="C231" s="1521">
        <v>4480</v>
      </c>
      <c r="D231" s="1521">
        <v>4410</v>
      </c>
      <c r="E231" s="1521">
        <v>4640</v>
      </c>
      <c r="F231" s="1539"/>
    </row>
    <row r="232" spans="1:6" s="1515" customFormat="1" ht="14.25" customHeight="1" thickBot="1">
      <c r="A232" s="1527" t="s">
        <v>1547</v>
      </c>
      <c r="B232" s="1521" t="s">
        <v>1459</v>
      </c>
      <c r="C232" s="1521">
        <v>5670</v>
      </c>
      <c r="D232" s="1521">
        <v>5600</v>
      </c>
      <c r="E232" s="1521">
        <v>5890</v>
      </c>
      <c r="F232" s="1535">
        <v>1150</v>
      </c>
    </row>
    <row r="233" spans="1:6" s="1515" customFormat="1" ht="14.25" customHeight="1" thickBot="1">
      <c r="A233" s="1527" t="s">
        <v>1547</v>
      </c>
      <c r="B233" s="1521" t="s">
        <v>1466</v>
      </c>
      <c r="C233" s="1521">
        <v>4590</v>
      </c>
      <c r="D233" s="1521">
        <v>4500</v>
      </c>
      <c r="E233" s="1521">
        <v>4600</v>
      </c>
      <c r="F233" s="1539"/>
    </row>
    <row r="234" spans="1:6" s="1515" customFormat="1" ht="14.25" customHeight="1" thickBot="1">
      <c r="A234" s="1527" t="s">
        <v>1547</v>
      </c>
      <c r="B234" s="1521" t="s">
        <v>2504</v>
      </c>
      <c r="C234" s="1521">
        <v>3990</v>
      </c>
      <c r="D234" s="1521">
        <v>3950</v>
      </c>
      <c r="E234" s="1521">
        <v>4180</v>
      </c>
      <c r="F234" s="1539"/>
    </row>
    <row r="235" spans="1:6" s="1515" customFormat="1" ht="14.25" customHeight="1" thickBot="1">
      <c r="A235" s="1527" t="s">
        <v>1547</v>
      </c>
      <c r="B235" s="1521" t="s">
        <v>1475</v>
      </c>
      <c r="C235" s="1521">
        <v>5590</v>
      </c>
      <c r="D235" s="1521">
        <v>5540</v>
      </c>
      <c r="E235" s="1521">
        <v>5810</v>
      </c>
      <c r="F235" s="1535">
        <v>970</v>
      </c>
    </row>
    <row r="236" spans="1:6" s="1515" customFormat="1" ht="14.25" customHeight="1" thickBot="1">
      <c r="A236" s="1527" t="s">
        <v>1547</v>
      </c>
      <c r="B236" s="1521" t="s">
        <v>1480</v>
      </c>
      <c r="C236" s="1521"/>
      <c r="D236" s="1521"/>
      <c r="E236" s="1521"/>
      <c r="F236" s="1535">
        <v>1020</v>
      </c>
    </row>
    <row r="237" spans="1:6" s="1515" customFormat="1" ht="14.25" customHeight="1" thickBot="1">
      <c r="A237" s="1527" t="s">
        <v>1547</v>
      </c>
      <c r="B237" s="1521" t="s">
        <v>1485</v>
      </c>
      <c r="C237" s="1521"/>
      <c r="D237" s="1521"/>
      <c r="E237" s="1521"/>
      <c r="F237" s="1535">
        <v>960</v>
      </c>
    </row>
    <row r="238" spans="1:6" s="1515" customFormat="1" ht="14.25" customHeight="1" thickBot="1">
      <c r="A238" s="1527" t="s">
        <v>1547</v>
      </c>
      <c r="B238" s="1521" t="s">
        <v>1490</v>
      </c>
      <c r="C238" s="1521"/>
      <c r="D238" s="1521"/>
      <c r="E238" s="1521"/>
      <c r="F238" s="1535">
        <v>960</v>
      </c>
    </row>
    <row r="239" spans="1:6" s="1515" customFormat="1" ht="14.25" customHeight="1" thickBot="1">
      <c r="A239" s="1527" t="s">
        <v>1547</v>
      </c>
      <c r="B239" s="1521" t="s">
        <v>1495</v>
      </c>
      <c r="C239" s="1521"/>
      <c r="D239" s="1521"/>
      <c r="E239" s="1521"/>
      <c r="F239" s="1535">
        <v>960</v>
      </c>
    </row>
    <row r="240" spans="1:6" s="1515" customFormat="1" ht="14.25" customHeight="1" thickBot="1">
      <c r="A240" s="1527" t="s">
        <v>1547</v>
      </c>
      <c r="B240" s="1521" t="s">
        <v>1499</v>
      </c>
      <c r="C240" s="1521"/>
      <c r="D240" s="1521"/>
      <c r="E240" s="1521"/>
      <c r="F240" s="1535">
        <v>990</v>
      </c>
    </row>
    <row r="241" spans="1:6" s="1515" customFormat="1" ht="14.25" customHeight="1" thickBot="1">
      <c r="A241" s="1527" t="s">
        <v>1547</v>
      </c>
      <c r="B241" s="1521" t="s">
        <v>1503</v>
      </c>
      <c r="C241" s="1521"/>
      <c r="D241" s="1521"/>
      <c r="E241" s="1521"/>
      <c r="F241" s="1535">
        <v>1000</v>
      </c>
    </row>
    <row r="242" spans="1:6" s="1515" customFormat="1" ht="14.25" customHeight="1" thickBot="1">
      <c r="A242" s="1527" t="s">
        <v>1547</v>
      </c>
      <c r="B242" s="1521" t="s">
        <v>1507</v>
      </c>
      <c r="C242" s="1521"/>
      <c r="D242" s="1521"/>
      <c r="E242" s="1521"/>
      <c r="F242" s="1535">
        <v>980</v>
      </c>
    </row>
    <row r="243" spans="1:6" s="1515" customFormat="1" ht="14.25" customHeight="1" thickBot="1">
      <c r="A243" s="1527" t="s">
        <v>1547</v>
      </c>
      <c r="B243" s="1521" t="s">
        <v>1511</v>
      </c>
      <c r="C243" s="1521"/>
      <c r="D243" s="1521"/>
      <c r="E243" s="1521"/>
      <c r="F243" s="1535">
        <v>970</v>
      </c>
    </row>
    <row r="244" spans="1:6" s="1515" customFormat="1" ht="14.25" customHeight="1" thickBot="1">
      <c r="A244" s="1527" t="s">
        <v>1547</v>
      </c>
      <c r="B244" s="1533" t="s">
        <v>1515</v>
      </c>
      <c r="C244" s="1533"/>
      <c r="D244" s="1533"/>
      <c r="E244" s="1533"/>
      <c r="F244" s="1538">
        <v>970</v>
      </c>
    </row>
    <row r="245" spans="1:6" s="1515" customFormat="1" ht="14.25" customHeight="1" thickBot="1">
      <c r="A245" s="1527" t="s">
        <v>1549</v>
      </c>
      <c r="B245" s="1528" t="s">
        <v>1550</v>
      </c>
      <c r="C245" s="1528">
        <v>4050</v>
      </c>
      <c r="D245" s="1528">
        <v>4020</v>
      </c>
      <c r="E245" s="1528">
        <v>4160</v>
      </c>
      <c r="F245" s="1529">
        <v>840</v>
      </c>
    </row>
    <row r="246" spans="1:6" s="1515" customFormat="1" ht="14.25" customHeight="1" thickBot="1">
      <c r="A246" s="1527" t="s">
        <v>1549</v>
      </c>
      <c r="B246" s="1521" t="s">
        <v>1214</v>
      </c>
      <c r="C246" s="1521">
        <v>4010</v>
      </c>
      <c r="D246" s="1521">
        <v>3960</v>
      </c>
      <c r="E246" s="1521">
        <v>4130</v>
      </c>
      <c r="F246" s="1535">
        <v>840</v>
      </c>
    </row>
    <row r="247" spans="1:6" s="1515" customFormat="1" ht="14.25" customHeight="1" thickBot="1">
      <c r="A247" s="1527" t="s">
        <v>1549</v>
      </c>
      <c r="B247" s="1521" t="s">
        <v>1551</v>
      </c>
      <c r="C247" s="1521">
        <v>3170</v>
      </c>
      <c r="D247" s="1521">
        <v>3140</v>
      </c>
      <c r="E247" s="1521">
        <v>3270</v>
      </c>
      <c r="F247" s="1535">
        <v>640</v>
      </c>
    </row>
    <row r="248" spans="1:6" s="1515" customFormat="1" ht="14.25" customHeight="1" thickBot="1">
      <c r="A248" s="1527" t="s">
        <v>1549</v>
      </c>
      <c r="B248" s="1521" t="s">
        <v>1552</v>
      </c>
      <c r="C248" s="1521">
        <v>3140</v>
      </c>
      <c r="D248" s="1521">
        <v>3120</v>
      </c>
      <c r="E248" s="1521">
        <v>3240</v>
      </c>
      <c r="F248" s="1535">
        <v>620</v>
      </c>
    </row>
    <row r="249" spans="1:6" s="1515" customFormat="1" ht="14.25" customHeight="1" thickBot="1">
      <c r="A249" s="1527" t="s">
        <v>1549</v>
      </c>
      <c r="B249" s="1521" t="s">
        <v>1252</v>
      </c>
      <c r="C249" s="1521">
        <v>3200</v>
      </c>
      <c r="D249" s="1521">
        <v>3100</v>
      </c>
      <c r="E249" s="1521">
        <v>3230</v>
      </c>
      <c r="F249" s="1535">
        <v>750</v>
      </c>
    </row>
    <row r="250" spans="1:6" s="1515" customFormat="1" ht="14.25" customHeight="1" thickBot="1">
      <c r="A250" s="1527" t="s">
        <v>1549</v>
      </c>
      <c r="B250" s="1521" t="s">
        <v>1263</v>
      </c>
      <c r="C250" s="1521">
        <v>4060</v>
      </c>
      <c r="D250" s="1521">
        <v>4000</v>
      </c>
      <c r="E250" s="1521">
        <v>4140</v>
      </c>
      <c r="F250" s="1535">
        <v>790</v>
      </c>
    </row>
    <row r="251" spans="1:6" s="1515" customFormat="1" ht="14.25" customHeight="1" thickBot="1">
      <c r="A251" s="1527" t="s">
        <v>1549</v>
      </c>
      <c r="B251" s="1521" t="s">
        <v>1274</v>
      </c>
      <c r="C251" s="1521">
        <v>3990</v>
      </c>
      <c r="D251" s="1521">
        <v>3970</v>
      </c>
      <c r="E251" s="1521">
        <v>4110</v>
      </c>
      <c r="F251" s="1535">
        <v>730</v>
      </c>
    </row>
    <row r="252" spans="1:6" s="1515" customFormat="1" ht="14.25" customHeight="1" thickBot="1">
      <c r="A252" s="1527" t="s">
        <v>1549</v>
      </c>
      <c r="B252" s="1521" t="s">
        <v>1285</v>
      </c>
      <c r="C252" s="1521">
        <v>3560</v>
      </c>
      <c r="D252" s="1521">
        <v>3530</v>
      </c>
      <c r="E252" s="1521">
        <v>3650</v>
      </c>
      <c r="F252" s="1535">
        <v>750</v>
      </c>
    </row>
    <row r="253" spans="1:6" s="1515" customFormat="1" ht="14.25" customHeight="1" thickBot="1">
      <c r="A253" s="1527" t="s">
        <v>1549</v>
      </c>
      <c r="B253" s="1521" t="s">
        <v>1297</v>
      </c>
      <c r="C253" s="1521">
        <v>3780</v>
      </c>
      <c r="D253" s="1521">
        <v>3750</v>
      </c>
      <c r="E253" s="1521">
        <v>3870</v>
      </c>
      <c r="F253" s="1535">
        <v>770</v>
      </c>
    </row>
    <row r="254" spans="1:6" s="1515" customFormat="1" ht="14.25" customHeight="1" thickBot="1">
      <c r="A254" s="1527" t="s">
        <v>1549</v>
      </c>
      <c r="B254" s="1521" t="s">
        <v>1307</v>
      </c>
      <c r="C254" s="1540"/>
      <c r="D254" s="1540"/>
      <c r="E254" s="1540"/>
      <c r="F254" s="1535">
        <v>740</v>
      </c>
    </row>
    <row r="255" spans="1:6" s="1515" customFormat="1" ht="14.25" customHeight="1" thickBot="1">
      <c r="A255" s="1527" t="s">
        <v>1549</v>
      </c>
      <c r="B255" s="1521" t="s">
        <v>1317</v>
      </c>
      <c r="C255" s="1540"/>
      <c r="D255" s="1540"/>
      <c r="E255" s="1540"/>
      <c r="F255" s="1535">
        <v>760</v>
      </c>
    </row>
    <row r="256" spans="1:6" s="1515" customFormat="1" ht="14.25" customHeight="1" thickBot="1">
      <c r="A256" s="1527" t="s">
        <v>1549</v>
      </c>
      <c r="B256" s="1521" t="s">
        <v>1327</v>
      </c>
      <c r="C256" s="1521">
        <v>3760</v>
      </c>
      <c r="D256" s="1521">
        <v>3730</v>
      </c>
      <c r="E256" s="1521">
        <v>3870</v>
      </c>
      <c r="F256" s="1535">
        <v>830</v>
      </c>
    </row>
    <row r="257" spans="1:6" s="1515" customFormat="1" ht="14.25" customHeight="1" thickBot="1">
      <c r="A257" s="1527" t="s">
        <v>1549</v>
      </c>
      <c r="B257" s="1521" t="s">
        <v>1337</v>
      </c>
      <c r="C257" s="1521">
        <v>3570</v>
      </c>
      <c r="D257" s="1521">
        <v>3540</v>
      </c>
      <c r="E257" s="1521">
        <v>3650</v>
      </c>
      <c r="F257" s="1535">
        <v>790</v>
      </c>
    </row>
    <row r="258" spans="1:6" s="1515" customFormat="1" ht="14.25" customHeight="1" thickBot="1">
      <c r="A258" s="1527" t="s">
        <v>1549</v>
      </c>
      <c r="B258" s="1521" t="s">
        <v>1348</v>
      </c>
      <c r="C258" s="1521">
        <v>3410</v>
      </c>
      <c r="D258" s="1521">
        <v>3380</v>
      </c>
      <c r="E258" s="1521">
        <v>3500</v>
      </c>
      <c r="F258" s="1535">
        <v>830</v>
      </c>
    </row>
    <row r="259" spans="1:6" s="1515" customFormat="1" ht="14.25" customHeight="1" thickBot="1">
      <c r="A259" s="1527" t="s">
        <v>1549</v>
      </c>
      <c r="B259" s="1521" t="s">
        <v>1359</v>
      </c>
      <c r="C259" s="1521">
        <v>3870</v>
      </c>
      <c r="D259" s="1521">
        <v>3840</v>
      </c>
      <c r="E259" s="1521">
        <v>3970</v>
      </c>
      <c r="F259" s="1535">
        <v>830</v>
      </c>
    </row>
    <row r="260" spans="1:6" s="1515" customFormat="1" ht="14.25" customHeight="1" thickBot="1">
      <c r="A260" s="1527" t="s">
        <v>1549</v>
      </c>
      <c r="B260" s="1521" t="s">
        <v>1369</v>
      </c>
      <c r="C260" s="1521">
        <v>3700</v>
      </c>
      <c r="D260" s="1521">
        <v>3660</v>
      </c>
      <c r="E260" s="1521">
        <v>3810</v>
      </c>
      <c r="F260" s="1535">
        <v>790</v>
      </c>
    </row>
    <row r="261" spans="1:6" s="1515" customFormat="1" ht="14.25" customHeight="1" thickBot="1">
      <c r="A261" s="1527" t="s">
        <v>1549</v>
      </c>
      <c r="B261" s="1521" t="s">
        <v>1379</v>
      </c>
      <c r="C261" s="1521">
        <v>3470</v>
      </c>
      <c r="D261" s="1521">
        <v>3430</v>
      </c>
      <c r="E261" s="1521">
        <v>3640</v>
      </c>
      <c r="F261" s="1535">
        <v>760</v>
      </c>
    </row>
    <row r="262" spans="1:6" s="1515" customFormat="1" ht="14.25" customHeight="1" thickBot="1">
      <c r="A262" s="1527" t="s">
        <v>1549</v>
      </c>
      <c r="B262" s="1521" t="s">
        <v>1389</v>
      </c>
      <c r="C262" s="1521">
        <v>3510</v>
      </c>
      <c r="D262" s="1521">
        <v>3470</v>
      </c>
      <c r="E262" s="1521">
        <v>3680</v>
      </c>
      <c r="F262" s="1539"/>
    </row>
    <row r="263" spans="1:6" s="1515" customFormat="1" ht="14.25" customHeight="1" thickBot="1">
      <c r="A263" s="1527" t="s">
        <v>1549</v>
      </c>
      <c r="B263" s="1521" t="s">
        <v>1399</v>
      </c>
      <c r="C263" s="1521">
        <v>3960</v>
      </c>
      <c r="D263" s="1521">
        <v>3930</v>
      </c>
      <c r="E263" s="1521">
        <v>4070</v>
      </c>
      <c r="F263" s="1535">
        <v>830</v>
      </c>
    </row>
    <row r="264" spans="1:6" s="1515" customFormat="1" ht="14.25" customHeight="1" thickBot="1">
      <c r="A264" s="1527" t="s">
        <v>1549</v>
      </c>
      <c r="B264" s="1521" t="s">
        <v>1408</v>
      </c>
      <c r="C264" s="1521">
        <v>4010</v>
      </c>
      <c r="D264" s="1521">
        <v>3980</v>
      </c>
      <c r="E264" s="1521">
        <v>4150</v>
      </c>
      <c r="F264" s="1535">
        <v>760</v>
      </c>
    </row>
    <row r="265" spans="1:6" s="1515" customFormat="1" ht="14.25" customHeight="1" thickBot="1">
      <c r="A265" s="1527" t="s">
        <v>1549</v>
      </c>
      <c r="B265" s="1521" t="s">
        <v>1417</v>
      </c>
      <c r="C265" s="1521">
        <v>3910</v>
      </c>
      <c r="D265" s="1521">
        <v>3890</v>
      </c>
      <c r="E265" s="1521">
        <v>4040</v>
      </c>
      <c r="F265" s="1535">
        <v>780</v>
      </c>
    </row>
    <row r="266" spans="1:6" s="1515" customFormat="1" ht="14.25" customHeight="1" thickBot="1">
      <c r="A266" s="1527" t="s">
        <v>1549</v>
      </c>
      <c r="B266" s="1521" t="s">
        <v>1425</v>
      </c>
      <c r="C266" s="1521">
        <v>3930</v>
      </c>
      <c r="D266" s="1521">
        <v>3900</v>
      </c>
      <c r="E266" s="1521">
        <v>4080</v>
      </c>
      <c r="F266" s="1535">
        <v>770</v>
      </c>
    </row>
    <row r="267" spans="1:6" s="1515" customFormat="1" ht="14.25" customHeight="1" thickBot="1">
      <c r="A267" s="1527" t="s">
        <v>1549</v>
      </c>
      <c r="B267" s="1521" t="s">
        <v>1432</v>
      </c>
      <c r="C267" s="1521">
        <v>3800</v>
      </c>
      <c r="D267" s="1521">
        <v>3780</v>
      </c>
      <c r="E267" s="1521">
        <v>3930</v>
      </c>
      <c r="F267" s="1539"/>
    </row>
    <row r="268" spans="1:6" s="1515" customFormat="1" ht="14.25" customHeight="1" thickBot="1">
      <c r="A268" s="1527" t="s">
        <v>1549</v>
      </c>
      <c r="B268" s="1521" t="s">
        <v>1439</v>
      </c>
      <c r="C268" s="1521">
        <v>3460</v>
      </c>
      <c r="D268" s="1521">
        <v>3430</v>
      </c>
      <c r="E268" s="1521">
        <v>3560</v>
      </c>
      <c r="F268" s="1535">
        <v>840</v>
      </c>
    </row>
    <row r="269" spans="1:6" s="1515" customFormat="1" ht="14.25" customHeight="1" thickBot="1">
      <c r="A269" s="1527" t="s">
        <v>1549</v>
      </c>
      <c r="B269" s="1521" t="s">
        <v>1446</v>
      </c>
      <c r="C269" s="1521">
        <v>3210</v>
      </c>
      <c r="D269" s="1521">
        <v>3190</v>
      </c>
      <c r="E269" s="1521">
        <v>3310</v>
      </c>
      <c r="F269" s="1535">
        <v>730</v>
      </c>
    </row>
    <row r="270" spans="1:6" s="1515" customFormat="1" ht="14.25" customHeight="1" thickBot="1">
      <c r="A270" s="1527" t="s">
        <v>1549</v>
      </c>
      <c r="B270" s="1521" t="s">
        <v>1453</v>
      </c>
      <c r="C270" s="1521">
        <v>3240</v>
      </c>
      <c r="D270" s="1521">
        <v>3210</v>
      </c>
      <c r="E270" s="1521">
        <v>3390</v>
      </c>
      <c r="F270" s="1535">
        <v>820</v>
      </c>
    </row>
    <row r="271" spans="1:6" s="1515" customFormat="1" ht="14.25" customHeight="1" thickBot="1">
      <c r="A271" s="1527" t="s">
        <v>1549</v>
      </c>
      <c r="B271" s="1521" t="s">
        <v>1460</v>
      </c>
      <c r="C271" s="1521">
        <v>3300</v>
      </c>
      <c r="D271" s="1521">
        <v>3270</v>
      </c>
      <c r="E271" s="1521">
        <v>3380</v>
      </c>
      <c r="F271" s="1535">
        <v>750</v>
      </c>
    </row>
    <row r="272" spans="1:6" s="1515" customFormat="1" ht="14.25" customHeight="1" thickBot="1">
      <c r="A272" s="1527" t="s">
        <v>1549</v>
      </c>
      <c r="B272" s="1521" t="s">
        <v>1467</v>
      </c>
      <c r="C272" s="1540"/>
      <c r="D272" s="1540"/>
      <c r="E272" s="1540"/>
      <c r="F272" s="1535">
        <v>740</v>
      </c>
    </row>
    <row r="273" spans="1:6" s="1515" customFormat="1" ht="14.25" customHeight="1" thickBot="1">
      <c r="A273" s="1527" t="s">
        <v>1549</v>
      </c>
      <c r="B273" s="1521" t="s">
        <v>1471</v>
      </c>
      <c r="C273" s="1521">
        <v>3130</v>
      </c>
      <c r="D273" s="1521">
        <v>3100</v>
      </c>
      <c r="E273" s="1521">
        <v>3230</v>
      </c>
      <c r="F273" s="1535">
        <v>700</v>
      </c>
    </row>
    <row r="274" spans="1:6" s="1515" customFormat="1" ht="14.25" customHeight="1" thickBot="1">
      <c r="A274" s="1527" t="s">
        <v>1549</v>
      </c>
      <c r="B274" s="1521" t="s">
        <v>1476</v>
      </c>
      <c r="C274" s="1521">
        <v>3460</v>
      </c>
      <c r="D274" s="1521">
        <v>3430</v>
      </c>
      <c r="E274" s="1521">
        <v>3560</v>
      </c>
      <c r="F274" s="1535">
        <v>690</v>
      </c>
    </row>
    <row r="275" spans="1:6" s="1515" customFormat="1" ht="14.25" customHeight="1" thickBot="1">
      <c r="A275" s="1527" t="s">
        <v>1549</v>
      </c>
      <c r="B275" s="1521" t="s">
        <v>1481</v>
      </c>
      <c r="C275" s="1521">
        <v>4040</v>
      </c>
      <c r="D275" s="1521">
        <v>4020</v>
      </c>
      <c r="E275" s="1521">
        <v>4160</v>
      </c>
      <c r="F275" s="1535">
        <v>820</v>
      </c>
    </row>
    <row r="276" spans="1:6" s="1515" customFormat="1" ht="14.25" customHeight="1" thickBot="1">
      <c r="A276" s="1527" t="s">
        <v>1549</v>
      </c>
      <c r="B276" s="1521" t="s">
        <v>1486</v>
      </c>
      <c r="C276" s="1521">
        <v>3270</v>
      </c>
      <c r="D276" s="1521">
        <v>3240</v>
      </c>
      <c r="E276" s="1521">
        <v>3350</v>
      </c>
      <c r="F276" s="1535">
        <v>680</v>
      </c>
    </row>
    <row r="277" spans="1:6" s="1515" customFormat="1" ht="14.25" customHeight="1" thickBot="1">
      <c r="A277" s="1527" t="s">
        <v>1549</v>
      </c>
      <c r="B277" s="1521" t="s">
        <v>1491</v>
      </c>
      <c r="C277" s="1521">
        <v>2930</v>
      </c>
      <c r="D277" s="1521">
        <v>2900</v>
      </c>
      <c r="E277" s="1521">
        <v>3000</v>
      </c>
      <c r="F277" s="1535">
        <v>640</v>
      </c>
    </row>
    <row r="278" spans="1:6" s="1515" customFormat="1" ht="14.25" customHeight="1" thickBot="1">
      <c r="A278" s="1527" t="s">
        <v>1549</v>
      </c>
      <c r="B278" s="1521" t="s">
        <v>1496</v>
      </c>
      <c r="C278" s="1521">
        <v>4080</v>
      </c>
      <c r="D278" s="1521">
        <v>4030</v>
      </c>
      <c r="E278" s="1521">
        <v>4140</v>
      </c>
      <c r="F278" s="1535">
        <v>850</v>
      </c>
    </row>
    <row r="279" spans="1:6" s="1515" customFormat="1" ht="14.25" customHeight="1" thickBot="1">
      <c r="A279" s="1527" t="s">
        <v>1549</v>
      </c>
      <c r="B279" s="1521" t="s">
        <v>1500</v>
      </c>
      <c r="C279" s="1521"/>
      <c r="D279" s="1521"/>
      <c r="E279" s="1521"/>
      <c r="F279" s="1535">
        <v>760</v>
      </c>
    </row>
    <row r="280" spans="1:6" s="1515" customFormat="1" ht="14.25" customHeight="1" thickBot="1">
      <c r="A280" s="1527" t="s">
        <v>1549</v>
      </c>
      <c r="B280" s="1521" t="s">
        <v>1504</v>
      </c>
      <c r="C280" s="1521"/>
      <c r="D280" s="1521"/>
      <c r="E280" s="1521"/>
      <c r="F280" s="1535">
        <v>760</v>
      </c>
    </row>
    <row r="281" spans="1:6" s="1515" customFormat="1" ht="14.25" customHeight="1" thickBot="1">
      <c r="A281" s="1527" t="s">
        <v>1549</v>
      </c>
      <c r="B281" s="1521" t="s">
        <v>1508</v>
      </c>
      <c r="C281" s="1521"/>
      <c r="D281" s="1521"/>
      <c r="E281" s="1521"/>
      <c r="F281" s="1535">
        <v>780</v>
      </c>
    </row>
    <row r="282" spans="1:6" s="1515" customFormat="1" ht="14.25" customHeight="1" thickBot="1">
      <c r="A282" s="1527" t="s">
        <v>1549</v>
      </c>
      <c r="B282" s="1521" t="s">
        <v>1512</v>
      </c>
      <c r="C282" s="1521"/>
      <c r="D282" s="1521"/>
      <c r="E282" s="1521"/>
      <c r="F282" s="1535">
        <v>730</v>
      </c>
    </row>
    <row r="283" spans="1:6" s="1515" customFormat="1" ht="14.25" customHeight="1" thickBot="1">
      <c r="A283" s="1527" t="s">
        <v>1549</v>
      </c>
      <c r="B283" s="1521" t="s">
        <v>1516</v>
      </c>
      <c r="C283" s="1521"/>
      <c r="D283" s="1521"/>
      <c r="E283" s="1521"/>
      <c r="F283" s="1535">
        <v>770</v>
      </c>
    </row>
    <row r="284" spans="1:6" s="1515" customFormat="1" ht="14.25" customHeight="1" thickBot="1">
      <c r="A284" s="1527" t="s">
        <v>1549</v>
      </c>
      <c r="B284" s="1521" t="s">
        <v>1519</v>
      </c>
      <c r="C284" s="1521"/>
      <c r="D284" s="1521"/>
      <c r="E284" s="1521"/>
      <c r="F284" s="1535">
        <v>640</v>
      </c>
    </row>
    <row r="285" spans="1:6" s="1515" customFormat="1" ht="14.25" customHeight="1" thickBot="1">
      <c r="A285" s="1527" t="s">
        <v>1549</v>
      </c>
      <c r="B285" s="1521" t="s">
        <v>1522</v>
      </c>
      <c r="C285" s="1521"/>
      <c r="D285" s="1521"/>
      <c r="E285" s="1521"/>
      <c r="F285" s="1535">
        <v>640</v>
      </c>
    </row>
    <row r="286" spans="1:6" s="1515" customFormat="1" ht="14.25" customHeight="1" thickBot="1">
      <c r="A286" s="1527" t="s">
        <v>1549</v>
      </c>
      <c r="B286" s="1521" t="s">
        <v>1525</v>
      </c>
      <c r="C286" s="1521"/>
      <c r="D286" s="1521"/>
      <c r="E286" s="1521"/>
      <c r="F286" s="1535">
        <v>850</v>
      </c>
    </row>
    <row r="287" spans="1:6" s="1515" customFormat="1" ht="14.25" customHeight="1" thickBot="1">
      <c r="A287" s="1527" t="s">
        <v>1549</v>
      </c>
      <c r="B287" s="1521" t="s">
        <v>1528</v>
      </c>
      <c r="C287" s="1521"/>
      <c r="D287" s="1521"/>
      <c r="E287" s="1521"/>
      <c r="F287" s="1535">
        <v>760</v>
      </c>
    </row>
    <row r="288" spans="1:6" s="1515" customFormat="1" ht="14.25" customHeight="1" thickBot="1">
      <c r="A288" s="1527" t="s">
        <v>1549</v>
      </c>
      <c r="B288" s="1521" t="s">
        <v>1531</v>
      </c>
      <c r="C288" s="1521"/>
      <c r="D288" s="1521"/>
      <c r="E288" s="1521"/>
      <c r="F288" s="1535">
        <v>830</v>
      </c>
    </row>
    <row r="289" spans="1:6" s="1515" customFormat="1" ht="14.25" customHeight="1" thickBot="1">
      <c r="A289" s="1527" t="s">
        <v>1549</v>
      </c>
      <c r="B289" s="1533" t="s">
        <v>1534</v>
      </c>
      <c r="C289" s="1533"/>
      <c r="D289" s="1533"/>
      <c r="E289" s="1533"/>
      <c r="F289" s="1538">
        <v>680</v>
      </c>
    </row>
    <row r="290" spans="1:6" s="1515" customFormat="1" ht="14.25" customHeight="1" thickBot="1">
      <c r="A290" s="1527" t="s">
        <v>1553</v>
      </c>
      <c r="B290" s="1528" t="s">
        <v>1554</v>
      </c>
      <c r="C290" s="1528">
        <v>2770</v>
      </c>
      <c r="D290" s="1528">
        <v>2740</v>
      </c>
      <c r="E290" s="1528">
        <v>2720</v>
      </c>
      <c r="F290" s="1541"/>
    </row>
    <row r="291" spans="1:6" s="1515" customFormat="1" ht="14.25" customHeight="1" thickBot="1">
      <c r="A291" s="1527" t="s">
        <v>1553</v>
      </c>
      <c r="B291" s="1521" t="s">
        <v>1215</v>
      </c>
      <c r="C291" s="1521">
        <v>2670</v>
      </c>
      <c r="D291" s="1521">
        <v>2640</v>
      </c>
      <c r="E291" s="1521">
        <v>2620</v>
      </c>
      <c r="F291" s="1539"/>
    </row>
    <row r="292" spans="1:6" s="1515" customFormat="1" ht="14.25" customHeight="1" thickBot="1">
      <c r="A292" s="1527" t="s">
        <v>1553</v>
      </c>
      <c r="B292" s="1521" t="s">
        <v>1555</v>
      </c>
      <c r="C292" s="1521">
        <v>2180</v>
      </c>
      <c r="D292" s="1521">
        <v>2140</v>
      </c>
      <c r="E292" s="1521">
        <v>2120</v>
      </c>
      <c r="F292" s="1535">
        <v>490</v>
      </c>
    </row>
    <row r="293" spans="1:6" s="1515" customFormat="1" ht="14.25" customHeight="1" thickBot="1">
      <c r="A293" s="1527" t="s">
        <v>1553</v>
      </c>
      <c r="B293" s="1521" t="s">
        <v>1556</v>
      </c>
      <c r="C293" s="1521"/>
      <c r="D293" s="1521"/>
      <c r="E293" s="1521"/>
      <c r="F293" s="1535">
        <v>470</v>
      </c>
    </row>
    <row r="294" spans="1:6" s="1515" customFormat="1" ht="14.25" customHeight="1" thickBot="1">
      <c r="A294" s="1527" t="s">
        <v>1553</v>
      </c>
      <c r="B294" s="1521" t="s">
        <v>1557</v>
      </c>
      <c r="C294" s="1521">
        <v>2730</v>
      </c>
      <c r="D294" s="1521">
        <v>2700</v>
      </c>
      <c r="E294" s="1521">
        <v>2680</v>
      </c>
      <c r="F294" s="1535">
        <v>490</v>
      </c>
    </row>
    <row r="295" spans="1:6" s="1515" customFormat="1" ht="14.25" customHeight="1" thickBot="1">
      <c r="A295" s="1527" t="s">
        <v>1553</v>
      </c>
      <c r="B295" s="1521" t="s">
        <v>1253</v>
      </c>
      <c r="C295" s="1521">
        <v>2380</v>
      </c>
      <c r="D295" s="1521">
        <v>2350</v>
      </c>
      <c r="E295" s="1521">
        <v>2330</v>
      </c>
      <c r="F295" s="1535">
        <v>530</v>
      </c>
    </row>
    <row r="296" spans="1:6" s="1515" customFormat="1" ht="14.25" customHeight="1" thickBot="1">
      <c r="A296" s="1527" t="s">
        <v>1553</v>
      </c>
      <c r="B296" s="1521" t="s">
        <v>1264</v>
      </c>
      <c r="C296" s="1521">
        <v>2650</v>
      </c>
      <c r="D296" s="1521">
        <v>2620</v>
      </c>
      <c r="E296" s="1521">
        <v>2590</v>
      </c>
      <c r="F296" s="1535">
        <v>590</v>
      </c>
    </row>
    <row r="297" spans="1:6" s="1515" customFormat="1" ht="14.25" customHeight="1" thickBot="1">
      <c r="A297" s="1527" t="s">
        <v>1553</v>
      </c>
      <c r="B297" s="1521" t="s">
        <v>1275</v>
      </c>
      <c r="C297" s="1521">
        <v>2700</v>
      </c>
      <c r="D297" s="1521">
        <v>2670</v>
      </c>
      <c r="E297" s="1521">
        <v>2650</v>
      </c>
      <c r="F297" s="1535">
        <v>630</v>
      </c>
    </row>
    <row r="298" spans="1:6" s="1515" customFormat="1" ht="14.25" customHeight="1" thickBot="1">
      <c r="A298" s="1527" t="s">
        <v>1553</v>
      </c>
      <c r="B298" s="1521" t="s">
        <v>1286</v>
      </c>
      <c r="C298" s="1521">
        <v>2650</v>
      </c>
      <c r="D298" s="1521">
        <v>2620</v>
      </c>
      <c r="E298" s="1521">
        <v>2590</v>
      </c>
      <c r="F298" s="1535">
        <v>640</v>
      </c>
    </row>
    <row r="299" spans="1:6" s="1515" customFormat="1" ht="14.25" customHeight="1" thickBot="1">
      <c r="A299" s="1527" t="s">
        <v>1553</v>
      </c>
      <c r="B299" s="1521" t="s">
        <v>1298</v>
      </c>
      <c r="C299" s="1521">
        <v>2500</v>
      </c>
      <c r="D299" s="1521">
        <v>2480</v>
      </c>
      <c r="E299" s="1521">
        <v>2460</v>
      </c>
      <c r="F299" s="1539"/>
    </row>
    <row r="300" spans="1:6" s="1515" customFormat="1" ht="14.25" customHeight="1" thickBot="1">
      <c r="A300" s="1527" t="s">
        <v>1553</v>
      </c>
      <c r="B300" s="1521" t="s">
        <v>1308</v>
      </c>
      <c r="C300" s="1521">
        <v>2760</v>
      </c>
      <c r="D300" s="1521">
        <v>2730</v>
      </c>
      <c r="E300" s="1521">
        <v>2700</v>
      </c>
      <c r="F300" s="1535">
        <v>630</v>
      </c>
    </row>
    <row r="301" spans="1:6" s="1515" customFormat="1" ht="14.25" customHeight="1" thickBot="1">
      <c r="A301" s="1527" t="s">
        <v>1553</v>
      </c>
      <c r="B301" s="1521" t="s">
        <v>1318</v>
      </c>
      <c r="C301" s="1521">
        <v>2510</v>
      </c>
      <c r="D301" s="1521">
        <v>2480</v>
      </c>
      <c r="E301" s="1521">
        <v>2460</v>
      </c>
      <c r="F301" s="1539"/>
    </row>
    <row r="302" spans="1:6" s="1515" customFormat="1" ht="14.25" customHeight="1" thickBot="1">
      <c r="A302" s="1527" t="s">
        <v>1553</v>
      </c>
      <c r="B302" s="1521" t="s">
        <v>1328</v>
      </c>
      <c r="C302" s="1521">
        <v>2480</v>
      </c>
      <c r="D302" s="1521">
        <v>2450</v>
      </c>
      <c r="E302" s="1521">
        <v>2420</v>
      </c>
      <c r="F302" s="1535">
        <v>600</v>
      </c>
    </row>
    <row r="303" spans="1:6" s="1515" customFormat="1" ht="14.25" customHeight="1" thickBot="1">
      <c r="A303" s="1527" t="s">
        <v>1553</v>
      </c>
      <c r="B303" s="1521" t="s">
        <v>1338</v>
      </c>
      <c r="C303" s="1521">
        <v>2270</v>
      </c>
      <c r="D303" s="1521">
        <v>2240</v>
      </c>
      <c r="E303" s="1521">
        <v>2210</v>
      </c>
      <c r="F303" s="1535">
        <v>540</v>
      </c>
    </row>
    <row r="304" spans="1:6" s="1515" customFormat="1" ht="14.25" customHeight="1" thickBot="1">
      <c r="A304" s="1527" t="s">
        <v>1553</v>
      </c>
      <c r="B304" s="1521" t="s">
        <v>1349</v>
      </c>
      <c r="C304" s="1521">
        <v>2310</v>
      </c>
      <c r="D304" s="1521">
        <v>2290</v>
      </c>
      <c r="E304" s="1521">
        <v>2270</v>
      </c>
      <c r="F304" s="1539"/>
    </row>
    <row r="305" spans="1:6" s="1515" customFormat="1" ht="14.25" customHeight="1" thickBot="1">
      <c r="A305" s="1527" t="s">
        <v>1553</v>
      </c>
      <c r="B305" s="1521" t="s">
        <v>1360</v>
      </c>
      <c r="C305" s="1521">
        <v>2490</v>
      </c>
      <c r="D305" s="1521">
        <v>2470</v>
      </c>
      <c r="E305" s="1521">
        <v>2440</v>
      </c>
      <c r="F305" s="1535">
        <v>560</v>
      </c>
    </row>
    <row r="306" spans="1:6" s="1515" customFormat="1" ht="14.25" customHeight="1" thickBot="1">
      <c r="A306" s="1527" t="s">
        <v>1553</v>
      </c>
      <c r="B306" s="1521" t="s">
        <v>1370</v>
      </c>
      <c r="C306" s="1521">
        <v>2420</v>
      </c>
      <c r="D306" s="1521">
        <v>2400</v>
      </c>
      <c r="E306" s="1521">
        <v>2380</v>
      </c>
      <c r="F306" s="1539"/>
    </row>
    <row r="307" spans="1:6" s="1515" customFormat="1" ht="14.25" customHeight="1" thickBot="1">
      <c r="A307" s="1527" t="s">
        <v>1553</v>
      </c>
      <c r="B307" s="1521" t="s">
        <v>1380</v>
      </c>
      <c r="C307" s="1521">
        <v>2770</v>
      </c>
      <c r="D307" s="1521">
        <v>2740</v>
      </c>
      <c r="E307" s="1521">
        <v>2710</v>
      </c>
      <c r="F307" s="1535">
        <v>650</v>
      </c>
    </row>
    <row r="308" spans="1:6" s="1515" customFormat="1" ht="14.25" customHeight="1" thickBot="1">
      <c r="A308" s="1527" t="s">
        <v>1553</v>
      </c>
      <c r="B308" s="1521" t="s">
        <v>1390</v>
      </c>
      <c r="C308" s="1521">
        <v>2610</v>
      </c>
      <c r="D308" s="1521">
        <v>2580</v>
      </c>
      <c r="E308" s="1521">
        <v>2550</v>
      </c>
      <c r="F308" s="1535">
        <v>580</v>
      </c>
    </row>
    <row r="309" spans="1:6" s="1515" customFormat="1" ht="14.25" customHeight="1" thickBot="1">
      <c r="A309" s="1527" t="s">
        <v>1553</v>
      </c>
      <c r="B309" s="1521" t="s">
        <v>1400</v>
      </c>
      <c r="C309" s="1521">
        <v>2690</v>
      </c>
      <c r="D309" s="1521">
        <v>2670</v>
      </c>
      <c r="E309" s="1521">
        <v>2650</v>
      </c>
      <c r="F309" s="1539"/>
    </row>
    <row r="310" spans="1:6" s="1515" customFormat="1" ht="14.25" customHeight="1" thickBot="1">
      <c r="A310" s="1527" t="s">
        <v>1553</v>
      </c>
      <c r="B310" s="1521" t="s">
        <v>1409</v>
      </c>
      <c r="C310" s="1521">
        <v>2360</v>
      </c>
      <c r="D310" s="1521">
        <v>2330</v>
      </c>
      <c r="E310" s="1521">
        <v>2310</v>
      </c>
      <c r="F310" s="1535">
        <v>560</v>
      </c>
    </row>
    <row r="311" spans="1:6" s="1515" customFormat="1" ht="14.25" customHeight="1" thickBot="1">
      <c r="A311" s="1527" t="s">
        <v>1553</v>
      </c>
      <c r="B311" s="1521" t="s">
        <v>1418</v>
      </c>
      <c r="C311" s="1521">
        <v>1970</v>
      </c>
      <c r="D311" s="1521">
        <v>1950</v>
      </c>
      <c r="E311" s="1521">
        <v>1920</v>
      </c>
      <c r="F311" s="1535">
        <v>470</v>
      </c>
    </row>
    <row r="312" spans="1:6" s="1515" customFormat="1" ht="14.25" customHeight="1" thickBot="1">
      <c r="A312" s="1527" t="s">
        <v>1553</v>
      </c>
      <c r="B312" s="1521" t="s">
        <v>1426</v>
      </c>
      <c r="C312" s="1521">
        <v>2230</v>
      </c>
      <c r="D312" s="1521">
        <v>2200</v>
      </c>
      <c r="E312" s="1521">
        <v>2170</v>
      </c>
      <c r="F312" s="1535">
        <v>460</v>
      </c>
    </row>
    <row r="313" spans="1:6" s="1515" customFormat="1" ht="14.25" customHeight="1" thickBot="1">
      <c r="A313" s="1527" t="s">
        <v>1553</v>
      </c>
      <c r="B313" s="1521" t="s">
        <v>1433</v>
      </c>
      <c r="C313" s="1521">
        <v>2770</v>
      </c>
      <c r="D313" s="1521">
        <v>2740</v>
      </c>
      <c r="E313" s="1521">
        <v>2710</v>
      </c>
      <c r="F313" s="1535">
        <v>610</v>
      </c>
    </row>
    <row r="314" spans="1:6" s="1515" customFormat="1" ht="14.25" customHeight="1" thickBot="1">
      <c r="A314" s="1527" t="s">
        <v>1553</v>
      </c>
      <c r="B314" s="1521" t="s">
        <v>1440</v>
      </c>
      <c r="C314" s="1521"/>
      <c r="D314" s="1521"/>
      <c r="E314" s="1521"/>
      <c r="F314" s="1535">
        <v>490</v>
      </c>
    </row>
    <row r="315" spans="1:6" s="1515" customFormat="1" ht="14.25" customHeight="1" thickBot="1">
      <c r="A315" s="1527" t="s">
        <v>1553</v>
      </c>
      <c r="B315" s="1521" t="s">
        <v>1447</v>
      </c>
      <c r="C315" s="1521"/>
      <c r="D315" s="1521"/>
      <c r="E315" s="1521"/>
      <c r="F315" s="1535">
        <v>520</v>
      </c>
    </row>
    <row r="316" spans="1:6" s="1515" customFormat="1" ht="14.25" customHeight="1" thickBot="1">
      <c r="A316" s="1527" t="s">
        <v>1553</v>
      </c>
      <c r="B316" s="1533" t="s">
        <v>1454</v>
      </c>
      <c r="C316" s="1533"/>
      <c r="D316" s="1533"/>
      <c r="E316" s="1533"/>
      <c r="F316" s="1538">
        <v>460</v>
      </c>
    </row>
    <row r="317" spans="1:6" s="1515" customFormat="1" ht="14.25" customHeight="1" thickBot="1">
      <c r="A317" s="1527" t="s">
        <v>1340</v>
      </c>
      <c r="B317" s="1528" t="s">
        <v>1558</v>
      </c>
      <c r="C317" s="1528">
        <v>1200</v>
      </c>
      <c r="D317" s="1528">
        <v>1180</v>
      </c>
      <c r="E317" s="1528">
        <v>1160</v>
      </c>
      <c r="F317" s="1529">
        <v>370</v>
      </c>
    </row>
    <row r="318" spans="1:6" s="1515" customFormat="1" ht="14.25" customHeight="1" thickBot="1">
      <c r="A318" s="1527" t="s">
        <v>1340</v>
      </c>
      <c r="B318" s="1521" t="s">
        <v>1559</v>
      </c>
      <c r="C318" s="1521">
        <v>1090</v>
      </c>
      <c r="D318" s="1521">
        <v>1060</v>
      </c>
      <c r="E318" s="1521">
        <v>1040</v>
      </c>
      <c r="F318" s="1539"/>
    </row>
    <row r="319" spans="1:6" s="1515" customFormat="1" ht="14.25" customHeight="1" thickBot="1">
      <c r="A319" s="1527" t="s">
        <v>1340</v>
      </c>
      <c r="B319" s="1521" t="s">
        <v>1560</v>
      </c>
      <c r="C319" s="1521">
        <v>1520</v>
      </c>
      <c r="D319" s="1521">
        <v>1470</v>
      </c>
      <c r="E319" s="1521">
        <v>1440</v>
      </c>
      <c r="F319" s="1535">
        <v>370</v>
      </c>
    </row>
    <row r="320" spans="1:6" s="1515" customFormat="1" ht="14.25" customHeight="1" thickBot="1">
      <c r="A320" s="1527" t="s">
        <v>1340</v>
      </c>
      <c r="B320" s="1521" t="s">
        <v>1242</v>
      </c>
      <c r="C320" s="1521">
        <v>1360</v>
      </c>
      <c r="D320" s="1521">
        <v>1300</v>
      </c>
      <c r="E320" s="1521">
        <v>1270</v>
      </c>
      <c r="F320" s="1539"/>
    </row>
    <row r="321" spans="1:6" s="1515" customFormat="1" ht="14.25" customHeight="1" thickBot="1">
      <c r="A321" s="1527" t="s">
        <v>1340</v>
      </c>
      <c r="B321" s="1521" t="s">
        <v>1254</v>
      </c>
      <c r="C321" s="1521">
        <v>1750</v>
      </c>
      <c r="D321" s="1521">
        <v>1690</v>
      </c>
      <c r="E321" s="1521">
        <v>1660</v>
      </c>
      <c r="F321" s="1539"/>
    </row>
    <row r="322" spans="1:6" s="1515" customFormat="1" ht="14.25" customHeight="1" thickBot="1">
      <c r="A322" s="1527" t="s">
        <v>1340</v>
      </c>
      <c r="B322" s="1521" t="s">
        <v>1265</v>
      </c>
      <c r="C322" s="1521">
        <v>1650</v>
      </c>
      <c r="D322" s="1521">
        <v>1610</v>
      </c>
      <c r="E322" s="1521">
        <v>1580</v>
      </c>
      <c r="F322" s="1535">
        <v>500</v>
      </c>
    </row>
    <row r="323" spans="1:6" s="1515" customFormat="1" ht="14.25" customHeight="1" thickBot="1">
      <c r="A323" s="1527" t="s">
        <v>1340</v>
      </c>
      <c r="B323" s="1521" t="s">
        <v>1276</v>
      </c>
      <c r="C323" s="1521">
        <v>1780</v>
      </c>
      <c r="D323" s="1521">
        <v>1740</v>
      </c>
      <c r="E323" s="1521">
        <v>1720</v>
      </c>
      <c r="F323" s="1539"/>
    </row>
    <row r="324" spans="1:6" s="1515" customFormat="1" ht="14.25" customHeight="1" thickBot="1">
      <c r="A324" s="1527" t="s">
        <v>1340</v>
      </c>
      <c r="B324" s="1521" t="s">
        <v>1287</v>
      </c>
      <c r="C324" s="1521">
        <v>1650</v>
      </c>
      <c r="D324" s="1521">
        <v>1610</v>
      </c>
      <c r="E324" s="1521">
        <v>1580</v>
      </c>
      <c r="F324" s="1539"/>
    </row>
    <row r="325" spans="1:6" s="1515" customFormat="1" ht="14.25" customHeight="1" thickBot="1">
      <c r="A325" s="1527" t="s">
        <v>1340</v>
      </c>
      <c r="B325" s="1521" t="s">
        <v>1299</v>
      </c>
      <c r="C325" s="1521">
        <v>1330</v>
      </c>
      <c r="D325" s="1521">
        <v>1270</v>
      </c>
      <c r="E325" s="1521">
        <v>1240</v>
      </c>
      <c r="F325" s="1535">
        <v>430</v>
      </c>
    </row>
    <row r="326" spans="1:6" s="1515" customFormat="1" ht="14.25" customHeight="1" thickBot="1">
      <c r="A326" s="1527" t="s">
        <v>1340</v>
      </c>
      <c r="B326" s="1521" t="s">
        <v>1309</v>
      </c>
      <c r="C326" s="1521">
        <v>1470</v>
      </c>
      <c r="D326" s="1521">
        <v>1430</v>
      </c>
      <c r="E326" s="1521">
        <v>1400</v>
      </c>
      <c r="F326" s="1539"/>
    </row>
    <row r="327" spans="1:6" s="1515" customFormat="1" ht="14.25" customHeight="1" thickBot="1">
      <c r="A327" s="1527" t="s">
        <v>1340</v>
      </c>
      <c r="B327" s="1521" t="s">
        <v>1319</v>
      </c>
      <c r="C327" s="1521">
        <v>1420</v>
      </c>
      <c r="D327" s="1521">
        <v>1380</v>
      </c>
      <c r="E327" s="1521">
        <v>1360</v>
      </c>
      <c r="F327" s="1535">
        <v>420</v>
      </c>
    </row>
    <row r="328" spans="1:6" s="1515" customFormat="1" ht="14.25" customHeight="1" thickBot="1">
      <c r="A328" s="1527" t="s">
        <v>1340</v>
      </c>
      <c r="B328" s="1521" t="s">
        <v>1329</v>
      </c>
      <c r="C328" s="1521">
        <v>1400</v>
      </c>
      <c r="D328" s="1521">
        <v>1360</v>
      </c>
      <c r="E328" s="1521">
        <v>1330</v>
      </c>
      <c r="F328" s="1535">
        <v>460</v>
      </c>
    </row>
    <row r="329" spans="1:6" s="1515" customFormat="1" ht="14.25" customHeight="1" thickBot="1">
      <c r="A329" s="1527" t="s">
        <v>1340</v>
      </c>
      <c r="B329" s="1521" t="s">
        <v>1339</v>
      </c>
      <c r="C329" s="1521">
        <v>1640</v>
      </c>
      <c r="D329" s="1521">
        <v>1610</v>
      </c>
      <c r="E329" s="1521">
        <v>1580</v>
      </c>
      <c r="F329" s="1535">
        <v>410</v>
      </c>
    </row>
    <row r="330" spans="1:6" s="1515" customFormat="1" ht="14.25" customHeight="1" thickBot="1">
      <c r="A330" s="1527" t="s">
        <v>1340</v>
      </c>
      <c r="B330" s="1521" t="s">
        <v>1350</v>
      </c>
      <c r="C330" s="1521">
        <v>1260</v>
      </c>
      <c r="D330" s="1521">
        <v>1220</v>
      </c>
      <c r="E330" s="1521">
        <v>1200</v>
      </c>
      <c r="F330" s="1539"/>
    </row>
    <row r="331" spans="1:6" s="1515" customFormat="1" ht="14.25" customHeight="1" thickBot="1">
      <c r="A331" s="1527" t="s">
        <v>1340</v>
      </c>
      <c r="B331" s="1521" t="s">
        <v>1361</v>
      </c>
      <c r="C331" s="1521">
        <v>1620</v>
      </c>
      <c r="D331" s="1521">
        <v>1560</v>
      </c>
      <c r="E331" s="1521">
        <v>1530</v>
      </c>
      <c r="F331" s="1535">
        <v>490</v>
      </c>
    </row>
    <row r="332" spans="1:6" s="1515" customFormat="1" ht="14.25" customHeight="1" thickBot="1">
      <c r="A332" s="1527" t="s">
        <v>1340</v>
      </c>
      <c r="B332" s="1521" t="s">
        <v>1371</v>
      </c>
      <c r="C332" s="1521">
        <v>1520</v>
      </c>
      <c r="D332" s="1521">
        <v>1470</v>
      </c>
      <c r="E332" s="1521">
        <v>1440</v>
      </c>
      <c r="F332" s="1535">
        <v>440</v>
      </c>
    </row>
    <row r="333" spans="1:6" s="1515" customFormat="1" ht="14.25" customHeight="1" thickBot="1">
      <c r="A333" s="1527" t="s">
        <v>1340</v>
      </c>
      <c r="B333" s="1521" t="s">
        <v>1381</v>
      </c>
      <c r="C333" s="1521">
        <v>1370</v>
      </c>
      <c r="D333" s="1521">
        <v>1320</v>
      </c>
      <c r="E333" s="1521">
        <v>1300</v>
      </c>
      <c r="F333" s="1535">
        <v>460</v>
      </c>
    </row>
    <row r="334" spans="1:6" s="1515" customFormat="1" ht="14.25" customHeight="1" thickBot="1">
      <c r="A334" s="1527" t="s">
        <v>1340</v>
      </c>
      <c r="B334" s="1521" t="s">
        <v>1391</v>
      </c>
      <c r="C334" s="1521">
        <v>1410</v>
      </c>
      <c r="D334" s="1521">
        <v>1340</v>
      </c>
      <c r="E334" s="1521">
        <v>1310</v>
      </c>
      <c r="F334" s="1535">
        <v>410</v>
      </c>
    </row>
    <row r="335" spans="1:6" s="1515" customFormat="1" ht="14.25" customHeight="1" thickBot="1">
      <c r="A335" s="1527" t="s">
        <v>1340</v>
      </c>
      <c r="B335" s="1521" t="s">
        <v>1401</v>
      </c>
      <c r="C335" s="1521">
        <v>1260</v>
      </c>
      <c r="D335" s="1521">
        <v>1220</v>
      </c>
      <c r="E335" s="1521">
        <v>1200</v>
      </c>
      <c r="F335" s="1539"/>
    </row>
    <row r="336" spans="1:6" s="1515" customFormat="1" ht="14.25" customHeight="1" thickBot="1">
      <c r="A336" s="1527" t="s">
        <v>1340</v>
      </c>
      <c r="B336" s="1521" t="s">
        <v>1410</v>
      </c>
      <c r="C336" s="1521">
        <v>1160</v>
      </c>
      <c r="D336" s="1521">
        <v>1140</v>
      </c>
      <c r="E336" s="1521">
        <v>1120</v>
      </c>
      <c r="F336" s="1535">
        <v>430</v>
      </c>
    </row>
    <row r="337" spans="1:6" s="1515" customFormat="1" ht="14.25" customHeight="1" thickBot="1">
      <c r="A337" s="1527" t="s">
        <v>1340</v>
      </c>
      <c r="B337" s="1533" t="s">
        <v>1419</v>
      </c>
      <c r="C337" s="1533"/>
      <c r="D337" s="1533"/>
      <c r="E337" s="1533"/>
      <c r="F337" s="1538">
        <v>380</v>
      </c>
    </row>
    <row r="338" spans="1:6" s="1515" customFormat="1" ht="14.25" customHeight="1" thickBot="1">
      <c r="A338" s="1527" t="s">
        <v>1351</v>
      </c>
      <c r="B338" s="1528" t="s">
        <v>1561</v>
      </c>
      <c r="C338" s="1528">
        <v>880</v>
      </c>
      <c r="D338" s="1528">
        <v>850</v>
      </c>
      <c r="E338" s="1528">
        <v>830</v>
      </c>
      <c r="F338" s="1541"/>
    </row>
    <row r="339" spans="1:6" s="1515" customFormat="1" ht="14.25" customHeight="1" thickBot="1">
      <c r="A339" s="1527" t="s">
        <v>1351</v>
      </c>
      <c r="B339" s="1521" t="s">
        <v>1562</v>
      </c>
      <c r="C339" s="1521">
        <v>830</v>
      </c>
      <c r="D339" s="1521">
        <v>800</v>
      </c>
      <c r="E339" s="1521">
        <v>780</v>
      </c>
      <c r="F339" s="1539"/>
    </row>
    <row r="340" spans="1:6" s="1515" customFormat="1" ht="14.25" customHeight="1" thickBot="1">
      <c r="A340" s="1527" t="s">
        <v>1351</v>
      </c>
      <c r="B340" s="1521" t="s">
        <v>1563</v>
      </c>
      <c r="C340" s="1521">
        <v>980</v>
      </c>
      <c r="D340" s="1521">
        <v>950</v>
      </c>
      <c r="E340" s="1521">
        <v>920</v>
      </c>
      <c r="F340" s="1539"/>
    </row>
    <row r="341" spans="1:6" s="1515" customFormat="1" ht="14.25" customHeight="1" thickBot="1">
      <c r="A341" s="1527" t="s">
        <v>1351</v>
      </c>
      <c r="B341" s="1521" t="s">
        <v>1564</v>
      </c>
      <c r="C341" s="1521">
        <v>760</v>
      </c>
      <c r="D341" s="1521">
        <v>720</v>
      </c>
      <c r="E341" s="1521">
        <v>690</v>
      </c>
      <c r="F341" s="1535">
        <v>350</v>
      </c>
    </row>
    <row r="342" spans="1:6" s="1515" customFormat="1" ht="14.25" customHeight="1" thickBot="1">
      <c r="A342" s="1527" t="s">
        <v>1351</v>
      </c>
      <c r="B342" s="1521" t="s">
        <v>1255</v>
      </c>
      <c r="C342" s="1521">
        <v>910</v>
      </c>
      <c r="D342" s="1521">
        <v>870</v>
      </c>
      <c r="E342" s="1521">
        <v>850</v>
      </c>
      <c r="F342" s="1535">
        <v>370</v>
      </c>
    </row>
    <row r="343" spans="1:6" s="1515" customFormat="1" ht="14.25" customHeight="1" thickBot="1">
      <c r="A343" s="1527" t="s">
        <v>1351</v>
      </c>
      <c r="B343" s="1521" t="s">
        <v>1266</v>
      </c>
      <c r="C343" s="1521">
        <v>800</v>
      </c>
      <c r="D343" s="1521">
        <v>760</v>
      </c>
      <c r="E343" s="1521">
        <v>730</v>
      </c>
      <c r="F343" s="1535">
        <v>340</v>
      </c>
    </row>
    <row r="344" spans="1:6" s="1515" customFormat="1" ht="14.25" customHeight="1" thickBot="1">
      <c r="A344" s="1527" t="s">
        <v>1351</v>
      </c>
      <c r="B344" s="1533" t="s">
        <v>1277</v>
      </c>
      <c r="C344" s="1533">
        <v>720</v>
      </c>
      <c r="D344" s="1533">
        <v>690</v>
      </c>
      <c r="E344" s="1533">
        <v>660</v>
      </c>
      <c r="F344" s="1538">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1542" customWidth="1"/>
    <col min="2" max="2" width="10.25" style="1487" customWidth="1"/>
  </cols>
  <sheetData>
    <row r="1" spans="1:6">
      <c r="A1" s="3810" t="s">
        <v>2140</v>
      </c>
      <c r="B1" s="3810"/>
    </row>
    <row r="2" spans="1:6" ht="14.25" thickBot="1">
      <c r="A2" s="2108"/>
      <c r="B2" s="2108"/>
    </row>
    <row r="3" spans="1:6" ht="14.25" thickBot="1">
      <c r="A3" s="2108"/>
      <c r="B3" s="2108"/>
      <c r="C3" s="2112" t="s">
        <v>2143</v>
      </c>
      <c r="D3" s="2112" t="s">
        <v>2144</v>
      </c>
      <c r="E3" s="2112" t="s">
        <v>2145</v>
      </c>
      <c r="F3" s="2112" t="s">
        <v>2146</v>
      </c>
    </row>
    <row r="4" spans="1:6" ht="14.25" thickBot="1">
      <c r="A4" s="2110" t="s">
        <v>2141</v>
      </c>
      <c r="B4" s="2111" t="s">
        <v>2142</v>
      </c>
      <c r="C4" s="2112"/>
      <c r="D4" s="2112"/>
      <c r="E4" s="2112"/>
      <c r="F4" s="2112"/>
    </row>
    <row r="5" spans="1:6" ht="14.25" thickBot="1">
      <c r="A5" s="1527" t="s">
        <v>2147</v>
      </c>
      <c r="B5" s="1528" t="s">
        <v>2148</v>
      </c>
      <c r="C5" s="2113">
        <v>8.8999999999999996E-2</v>
      </c>
      <c r="D5" s="2113">
        <v>7.3999999999999996E-2</v>
      </c>
      <c r="E5" s="2113">
        <v>7.4999999999999997E-2</v>
      </c>
      <c r="F5" s="2114">
        <v>0.1</v>
      </c>
    </row>
    <row r="6" spans="1:6" ht="14.25" thickBot="1">
      <c r="A6" s="1527" t="s">
        <v>1231</v>
      </c>
      <c r="B6" s="1521" t="s">
        <v>2149</v>
      </c>
      <c r="C6" s="2115">
        <v>0.1</v>
      </c>
      <c r="D6" s="2115">
        <v>9.0999999999999998E-2</v>
      </c>
      <c r="E6" s="2115">
        <v>9.0999999999999998E-2</v>
      </c>
      <c r="F6" s="2116">
        <v>0.1</v>
      </c>
    </row>
    <row r="7" spans="1:6" ht="14.25" thickBot="1">
      <c r="A7" s="1527" t="s">
        <v>1231</v>
      </c>
      <c r="B7" s="1531" t="s">
        <v>1220</v>
      </c>
      <c r="C7" s="2115">
        <v>8.5999999999999993E-2</v>
      </c>
      <c r="D7" s="2115">
        <v>9.6000000000000002E-2</v>
      </c>
      <c r="E7" s="2115">
        <v>7.5999999999999998E-2</v>
      </c>
      <c r="F7" s="2116">
        <v>0.1</v>
      </c>
    </row>
    <row r="8" spans="1:6" ht="14.25" thickBot="1">
      <c r="A8" s="1527" t="s">
        <v>1231</v>
      </c>
      <c r="B8" s="1521" t="s">
        <v>1232</v>
      </c>
      <c r="C8" s="2115">
        <v>9.9000000000000005E-2</v>
      </c>
      <c r="D8" s="2115">
        <v>9.8000000000000004E-2</v>
      </c>
      <c r="E8" s="2115">
        <v>9.8000000000000004E-2</v>
      </c>
      <c r="F8" s="2116">
        <v>0.1</v>
      </c>
    </row>
    <row r="9" spans="1:6" ht="14.25" thickBot="1">
      <c r="A9" s="1537" t="s">
        <v>1231</v>
      </c>
      <c r="B9" s="1532" t="s">
        <v>1244</v>
      </c>
      <c r="C9" s="2117">
        <v>0.05</v>
      </c>
      <c r="D9" s="2125"/>
      <c r="E9" s="2125"/>
      <c r="F9" s="2126"/>
    </row>
    <row r="10" spans="1:6" ht="14.25" thickBot="1">
      <c r="A10" s="1527" t="s">
        <v>1288</v>
      </c>
      <c r="B10" s="1528" t="s">
        <v>2150</v>
      </c>
      <c r="C10" s="2113">
        <v>8.8999999999999996E-2</v>
      </c>
      <c r="D10" s="2113">
        <v>7.2999999999999995E-2</v>
      </c>
      <c r="E10" s="2113">
        <v>8.2000000000000003E-2</v>
      </c>
      <c r="F10" s="2114">
        <v>0.1</v>
      </c>
    </row>
    <row r="11" spans="1:6" ht="14.25" thickBot="1">
      <c r="A11" s="1527" t="s">
        <v>1288</v>
      </c>
      <c r="B11" s="1531" t="s">
        <v>1207</v>
      </c>
      <c r="C11" s="2115">
        <v>8.8999999999999996E-2</v>
      </c>
      <c r="D11" s="2115">
        <v>7.2999999999999995E-2</v>
      </c>
      <c r="E11" s="2115">
        <v>8.2000000000000003E-2</v>
      </c>
      <c r="F11" s="2116">
        <v>0.1</v>
      </c>
    </row>
    <row r="12" spans="1:6" ht="14.25" thickBot="1">
      <c r="A12" s="1527" t="s">
        <v>1288</v>
      </c>
      <c r="B12" s="1531" t="s">
        <v>1143</v>
      </c>
      <c r="C12" s="2115">
        <v>6.0999999999999999E-2</v>
      </c>
      <c r="D12" s="2115">
        <v>7.0999999999999994E-2</v>
      </c>
      <c r="E12" s="2115">
        <v>9.6000000000000002E-2</v>
      </c>
      <c r="F12" s="2116">
        <v>0.1</v>
      </c>
    </row>
    <row r="13" spans="1:6" ht="14.25" thickBot="1">
      <c r="A13" s="1527" t="s">
        <v>1288</v>
      </c>
      <c r="B13" s="1531" t="s">
        <v>1233</v>
      </c>
      <c r="C13" s="2115">
        <v>6.9000000000000006E-2</v>
      </c>
      <c r="D13" s="2115">
        <v>6.5000000000000002E-2</v>
      </c>
      <c r="E13" s="2115">
        <v>6.6000000000000003E-2</v>
      </c>
      <c r="F13" s="2116">
        <v>0.1</v>
      </c>
    </row>
    <row r="14" spans="1:6" ht="14.25" thickBot="1">
      <c r="A14" s="1527" t="s">
        <v>1288</v>
      </c>
      <c r="B14" s="1531" t="s">
        <v>1245</v>
      </c>
      <c r="C14" s="2115">
        <v>0.1</v>
      </c>
      <c r="D14" s="2115">
        <v>6.5000000000000002E-2</v>
      </c>
      <c r="E14" s="2115">
        <v>7.0000000000000007E-2</v>
      </c>
      <c r="F14" s="2116">
        <v>0.1</v>
      </c>
    </row>
    <row r="15" spans="1:6" ht="14.25" thickBot="1">
      <c r="A15" s="1527" t="s">
        <v>1288</v>
      </c>
      <c r="B15" s="1531" t="s">
        <v>1256</v>
      </c>
      <c r="C15" s="2115">
        <v>9.8000000000000004E-2</v>
      </c>
      <c r="D15" s="2115">
        <v>8.8999999999999996E-2</v>
      </c>
      <c r="E15" s="2115">
        <v>8.8999999999999996E-2</v>
      </c>
      <c r="F15" s="2116">
        <v>0.1</v>
      </c>
    </row>
    <row r="16" spans="1:6" ht="14.25" thickBot="1">
      <c r="A16" s="1527" t="s">
        <v>1288</v>
      </c>
      <c r="B16" s="1531" t="s">
        <v>1267</v>
      </c>
      <c r="C16" s="2115">
        <v>7.0000000000000007E-2</v>
      </c>
      <c r="D16" s="2115">
        <v>9.2999999999999999E-2</v>
      </c>
      <c r="E16" s="2115">
        <v>9.6000000000000002E-2</v>
      </c>
      <c r="F16" s="2116">
        <v>0.1</v>
      </c>
    </row>
    <row r="17" spans="1:6" ht="14.25" thickBot="1">
      <c r="A17" s="1527" t="s">
        <v>1288</v>
      </c>
      <c r="B17" s="1531" t="s">
        <v>1278</v>
      </c>
      <c r="C17" s="2115">
        <v>9.5000000000000001E-2</v>
      </c>
      <c r="D17" s="2115">
        <v>0.1</v>
      </c>
      <c r="E17" s="2115">
        <v>0.1</v>
      </c>
      <c r="F17" s="2127"/>
    </row>
    <row r="18" spans="1:6" ht="14.25" thickBot="1">
      <c r="A18" s="1527" t="s">
        <v>1288</v>
      </c>
      <c r="B18" s="1531" t="s">
        <v>1290</v>
      </c>
      <c r="C18" s="2115">
        <v>7.3999999999999996E-2</v>
      </c>
      <c r="D18" s="2115">
        <v>9.9000000000000005E-2</v>
      </c>
      <c r="E18" s="2115">
        <v>0.1</v>
      </c>
      <c r="F18" s="2127"/>
    </row>
    <row r="19" spans="1:6" ht="14.25" thickBot="1">
      <c r="A19" s="1527" t="s">
        <v>1288</v>
      </c>
      <c r="B19" s="1531" t="s">
        <v>1300</v>
      </c>
      <c r="C19" s="2115">
        <v>9.9000000000000005E-2</v>
      </c>
      <c r="D19" s="2115">
        <v>7.5999999999999998E-2</v>
      </c>
      <c r="E19" s="2115">
        <v>8.6999999999999994E-2</v>
      </c>
      <c r="F19" s="2127"/>
    </row>
    <row r="20" spans="1:6" ht="14.25" thickBot="1">
      <c r="A20" s="1527" t="s">
        <v>1288</v>
      </c>
      <c r="B20" s="1531" t="s">
        <v>1310</v>
      </c>
      <c r="C20" s="2115">
        <v>9.8000000000000004E-2</v>
      </c>
      <c r="D20" s="2115">
        <v>8.5000000000000006E-2</v>
      </c>
      <c r="E20" s="2115">
        <v>8.2000000000000003E-2</v>
      </c>
      <c r="F20" s="2127"/>
    </row>
    <row r="21" spans="1:6" ht="14.25" thickBot="1">
      <c r="A21" s="1527" t="s">
        <v>1288</v>
      </c>
      <c r="B21" s="1531" t="s">
        <v>1320</v>
      </c>
      <c r="C21" s="2115">
        <v>6.6000000000000003E-2</v>
      </c>
      <c r="D21" s="2115">
        <v>6.4000000000000001E-2</v>
      </c>
      <c r="E21" s="2115">
        <v>6.5000000000000002E-2</v>
      </c>
      <c r="F21" s="2127"/>
    </row>
    <row r="22" spans="1:6" ht="14.25" thickBot="1">
      <c r="A22" s="1527" t="s">
        <v>1288</v>
      </c>
      <c r="B22" s="1531" t="s">
        <v>2151</v>
      </c>
      <c r="C22" s="2115">
        <v>0.08</v>
      </c>
      <c r="D22" s="2115">
        <v>9.8000000000000004E-2</v>
      </c>
      <c r="E22" s="2115">
        <v>9.8000000000000004E-2</v>
      </c>
      <c r="F22" s="2127"/>
    </row>
    <row r="23" spans="1:6" ht="14.25" thickBot="1">
      <c r="A23" s="1527" t="s">
        <v>1288</v>
      </c>
      <c r="B23" s="1531" t="s">
        <v>1341</v>
      </c>
      <c r="C23" s="2115">
        <v>9.9000000000000005E-2</v>
      </c>
      <c r="D23" s="2115">
        <v>9.8000000000000004E-2</v>
      </c>
      <c r="E23" s="2115">
        <v>9.0999999999999998E-2</v>
      </c>
      <c r="F23" s="2127"/>
    </row>
    <row r="24" spans="1:6" ht="14.25" thickBot="1">
      <c r="A24" s="1527" t="s">
        <v>1288</v>
      </c>
      <c r="B24" s="1531" t="s">
        <v>1352</v>
      </c>
      <c r="C24" s="2115">
        <v>8.8999999999999996E-2</v>
      </c>
      <c r="D24" s="2115">
        <v>9.7000000000000003E-2</v>
      </c>
      <c r="E24" s="2115">
        <v>7.0000000000000007E-2</v>
      </c>
      <c r="F24" s="2127"/>
    </row>
    <row r="25" spans="1:6" ht="14.25" thickBot="1">
      <c r="A25" s="1527" t="s">
        <v>1288</v>
      </c>
      <c r="B25" s="1531" t="s">
        <v>1362</v>
      </c>
      <c r="C25" s="2115">
        <v>8.8999999999999996E-2</v>
      </c>
      <c r="D25" s="2115">
        <v>0.1</v>
      </c>
      <c r="E25" s="2115">
        <v>8.1000000000000003E-2</v>
      </c>
      <c r="F25" s="2127"/>
    </row>
    <row r="26" spans="1:6" ht="14.25" thickBot="1">
      <c r="A26" s="1527" t="s">
        <v>1288</v>
      </c>
      <c r="B26" s="1531" t="s">
        <v>1372</v>
      </c>
      <c r="C26" s="2128"/>
      <c r="D26" s="2115">
        <v>9.6000000000000002E-2</v>
      </c>
      <c r="E26" s="2115">
        <v>9.2999999999999999E-2</v>
      </c>
      <c r="F26" s="2127"/>
    </row>
    <row r="27" spans="1:6" ht="14.25" thickBot="1">
      <c r="A27" s="1527" t="s">
        <v>1288</v>
      </c>
      <c r="B27" s="1531" t="s">
        <v>1382</v>
      </c>
      <c r="C27" s="2128"/>
      <c r="D27" s="2115">
        <v>7.5999999999999998E-2</v>
      </c>
      <c r="E27" s="2115">
        <v>9.1999999999999998E-2</v>
      </c>
      <c r="F27" s="2127"/>
    </row>
    <row r="28" spans="1:6" ht="14.25" thickBot="1">
      <c r="A28" s="1537" t="s">
        <v>1288</v>
      </c>
      <c r="B28" s="1532" t="s">
        <v>1392</v>
      </c>
      <c r="C28" s="2125"/>
      <c r="D28" s="2117">
        <v>7.5999999999999998E-2</v>
      </c>
      <c r="E28" s="2117">
        <v>9.1999999999999998E-2</v>
      </c>
      <c r="F28" s="2126"/>
    </row>
    <row r="29" spans="1:6" ht="14.25" thickBot="1">
      <c r="A29" s="1527" t="s">
        <v>1461</v>
      </c>
      <c r="B29" s="1528" t="s">
        <v>2152</v>
      </c>
      <c r="C29" s="2113">
        <v>6.4000000000000001E-2</v>
      </c>
      <c r="D29" s="2113">
        <v>6.5000000000000002E-2</v>
      </c>
      <c r="E29" s="2113">
        <v>6.9000000000000006E-2</v>
      </c>
      <c r="F29" s="2114">
        <v>0.1</v>
      </c>
    </row>
    <row r="30" spans="1:6" ht="14.25" thickBot="1">
      <c r="A30" s="1527" t="s">
        <v>1461</v>
      </c>
      <c r="B30" s="1531" t="s">
        <v>1208</v>
      </c>
      <c r="C30" s="2115">
        <v>6.4000000000000001E-2</v>
      </c>
      <c r="D30" s="2115">
        <v>9.9000000000000005E-2</v>
      </c>
      <c r="E30" s="2115">
        <v>0.1</v>
      </c>
      <c r="F30" s="2116">
        <v>0.1</v>
      </c>
    </row>
    <row r="31" spans="1:6" ht="14.25" thickBot="1">
      <c r="A31" s="1527" t="s">
        <v>1461</v>
      </c>
      <c r="B31" s="1531" t="s">
        <v>1221</v>
      </c>
      <c r="C31" s="2115">
        <v>0.1</v>
      </c>
      <c r="D31" s="2115">
        <v>9.5000000000000001E-2</v>
      </c>
      <c r="E31" s="2115">
        <v>8.8999999999999996E-2</v>
      </c>
      <c r="F31" s="2116">
        <v>0.1</v>
      </c>
    </row>
    <row r="32" spans="1:6" ht="14.25" thickBot="1">
      <c r="A32" s="1527" t="s">
        <v>1461</v>
      </c>
      <c r="B32" s="1531" t="s">
        <v>1234</v>
      </c>
      <c r="C32" s="2115">
        <v>0.05</v>
      </c>
      <c r="D32" s="2115">
        <v>0.05</v>
      </c>
      <c r="E32" s="2115">
        <v>8.7999999999999995E-2</v>
      </c>
      <c r="F32" s="2116">
        <v>0.1</v>
      </c>
    </row>
    <row r="33" spans="1:6" ht="14.25" thickBot="1">
      <c r="A33" s="1527" t="s">
        <v>1461</v>
      </c>
      <c r="B33" s="1531" t="s">
        <v>1246</v>
      </c>
      <c r="C33" s="2115">
        <v>7.4999999999999997E-2</v>
      </c>
      <c r="D33" s="2115">
        <v>9.4E-2</v>
      </c>
      <c r="E33" s="2115">
        <v>9.7000000000000003E-2</v>
      </c>
      <c r="F33" s="2116">
        <v>0.1</v>
      </c>
    </row>
    <row r="34" spans="1:6" ht="14.25" thickBot="1">
      <c r="A34" s="1527" t="s">
        <v>1461</v>
      </c>
      <c r="B34" s="1531" t="s">
        <v>1257</v>
      </c>
      <c r="C34" s="2115">
        <v>9.8000000000000004E-2</v>
      </c>
      <c r="D34" s="2115">
        <v>8.5999999999999993E-2</v>
      </c>
      <c r="E34" s="2115">
        <v>9.7000000000000003E-2</v>
      </c>
      <c r="F34" s="2116">
        <v>0.1</v>
      </c>
    </row>
    <row r="35" spans="1:6" ht="14.25" thickBot="1">
      <c r="A35" s="1527" t="s">
        <v>1461</v>
      </c>
      <c r="B35" s="1531" t="s">
        <v>1268</v>
      </c>
      <c r="C35" s="2115">
        <v>5.8999999999999997E-2</v>
      </c>
      <c r="D35" s="2115">
        <v>6.5000000000000002E-2</v>
      </c>
      <c r="E35" s="2115">
        <v>7.0000000000000007E-2</v>
      </c>
      <c r="F35" s="2116">
        <v>0.1</v>
      </c>
    </row>
    <row r="36" spans="1:6" ht="14.25" thickBot="1">
      <c r="A36" s="1527" t="s">
        <v>1461</v>
      </c>
      <c r="B36" s="1531" t="s">
        <v>1279</v>
      </c>
      <c r="C36" s="2115">
        <v>6.3E-2</v>
      </c>
      <c r="D36" s="2115">
        <v>0.1</v>
      </c>
      <c r="E36" s="2115">
        <v>0.1</v>
      </c>
      <c r="F36" s="2116">
        <v>0.1</v>
      </c>
    </row>
    <row r="37" spans="1:6" ht="14.25" thickBot="1">
      <c r="A37" s="1527" t="s">
        <v>1461</v>
      </c>
      <c r="B37" s="1531" t="s">
        <v>1291</v>
      </c>
      <c r="C37" s="2115">
        <v>7.3999999999999996E-2</v>
      </c>
      <c r="D37" s="2115">
        <v>0.1</v>
      </c>
      <c r="E37" s="2115">
        <v>0.1</v>
      </c>
      <c r="F37" s="2116">
        <v>0.1</v>
      </c>
    </row>
    <row r="38" spans="1:6" ht="14.25" thickBot="1">
      <c r="A38" s="1527" t="s">
        <v>1461</v>
      </c>
      <c r="B38" s="1531" t="s">
        <v>1301</v>
      </c>
      <c r="C38" s="2115">
        <v>0.1</v>
      </c>
      <c r="D38" s="2115">
        <v>9.6000000000000002E-2</v>
      </c>
      <c r="E38" s="2115">
        <v>9.6000000000000002E-2</v>
      </c>
      <c r="F38" s="2127"/>
    </row>
    <row r="39" spans="1:6" ht="14.25" thickBot="1">
      <c r="A39" s="1527" t="s">
        <v>1461</v>
      </c>
      <c r="B39" s="1531" t="s">
        <v>1311</v>
      </c>
      <c r="C39" s="2115">
        <v>0.1</v>
      </c>
      <c r="D39" s="2115">
        <v>9.6000000000000002E-2</v>
      </c>
      <c r="E39" s="2115">
        <v>9.6000000000000002E-2</v>
      </c>
      <c r="F39" s="2127"/>
    </row>
    <row r="40" spans="1:6" ht="14.25" thickBot="1">
      <c r="A40" s="1527" t="s">
        <v>1461</v>
      </c>
      <c r="B40" s="1531" t="s">
        <v>1321</v>
      </c>
      <c r="C40" s="2115">
        <v>9.6000000000000002E-2</v>
      </c>
      <c r="D40" s="2115">
        <v>0.1</v>
      </c>
      <c r="E40" s="2115">
        <v>9.9000000000000005E-2</v>
      </c>
      <c r="F40" s="2127"/>
    </row>
    <row r="41" spans="1:6" ht="14.25" thickBot="1">
      <c r="A41" s="1527" t="s">
        <v>1461</v>
      </c>
      <c r="B41" s="1531" t="s">
        <v>1331</v>
      </c>
      <c r="C41" s="2115">
        <v>9.6000000000000002E-2</v>
      </c>
      <c r="D41" s="2115">
        <v>9.8000000000000004E-2</v>
      </c>
      <c r="E41" s="2115">
        <v>9.8000000000000004E-2</v>
      </c>
      <c r="F41" s="2127"/>
    </row>
    <row r="42" spans="1:6" ht="14.25" thickBot="1">
      <c r="A42" s="1527" t="s">
        <v>1461</v>
      </c>
      <c r="B42" s="1531" t="s">
        <v>1342</v>
      </c>
      <c r="C42" s="2115">
        <v>0.1</v>
      </c>
      <c r="D42" s="2115">
        <v>8.7999999999999995E-2</v>
      </c>
      <c r="E42" s="2115">
        <v>0.1</v>
      </c>
      <c r="F42" s="2127"/>
    </row>
    <row r="43" spans="1:6" ht="14.25" thickBot="1">
      <c r="A43" s="1527" t="s">
        <v>1461</v>
      </c>
      <c r="B43" s="1531" t="s">
        <v>1353</v>
      </c>
      <c r="C43" s="2115">
        <v>9.8000000000000004E-2</v>
      </c>
      <c r="D43" s="2115">
        <v>9.7000000000000003E-2</v>
      </c>
      <c r="E43" s="2115">
        <v>9.6000000000000002E-2</v>
      </c>
      <c r="F43" s="2127"/>
    </row>
    <row r="44" spans="1:6" ht="14.25" thickBot="1">
      <c r="A44" s="1527" t="s">
        <v>1461</v>
      </c>
      <c r="B44" s="1531" t="s">
        <v>1363</v>
      </c>
      <c r="C44" s="2115">
        <v>8.5999999999999993E-2</v>
      </c>
      <c r="D44" s="2115">
        <v>7.9000000000000001E-2</v>
      </c>
      <c r="E44" s="2115">
        <v>7.0999999999999994E-2</v>
      </c>
      <c r="F44" s="2127"/>
    </row>
    <row r="45" spans="1:6" ht="14.25" thickBot="1">
      <c r="A45" s="1527" t="s">
        <v>1461</v>
      </c>
      <c r="B45" s="1531" t="s">
        <v>1373</v>
      </c>
      <c r="C45" s="2115">
        <v>9.8000000000000004E-2</v>
      </c>
      <c r="D45" s="2115">
        <v>9.6000000000000002E-2</v>
      </c>
      <c r="E45" s="2115">
        <v>9.6000000000000002E-2</v>
      </c>
      <c r="F45" s="2127"/>
    </row>
    <row r="46" spans="1:6" ht="14.25" thickBot="1">
      <c r="A46" s="1527" t="s">
        <v>1461</v>
      </c>
      <c r="B46" s="1531" t="s">
        <v>1383</v>
      </c>
      <c r="C46" s="2115">
        <v>8.5999999999999993E-2</v>
      </c>
      <c r="D46" s="2115">
        <v>9.8000000000000004E-2</v>
      </c>
      <c r="E46" s="2115">
        <v>8.7999999999999995E-2</v>
      </c>
      <c r="F46" s="2127"/>
    </row>
    <row r="47" spans="1:6" ht="14.25" thickBot="1">
      <c r="A47" s="1527" t="s">
        <v>1461</v>
      </c>
      <c r="B47" s="1531" t="s">
        <v>1393</v>
      </c>
      <c r="C47" s="2115">
        <v>9.6000000000000002E-2</v>
      </c>
      <c r="D47" s="2128"/>
      <c r="E47" s="2115">
        <v>6.9000000000000006E-2</v>
      </c>
      <c r="F47" s="2127"/>
    </row>
    <row r="48" spans="1:6" ht="14.25" thickBot="1">
      <c r="A48" s="1537" t="s">
        <v>1461</v>
      </c>
      <c r="B48" s="1532" t="s">
        <v>1402</v>
      </c>
      <c r="C48" s="2117">
        <v>9.8000000000000004E-2</v>
      </c>
      <c r="D48" s="2125"/>
      <c r="E48" s="2117">
        <v>9.5000000000000001E-2</v>
      </c>
      <c r="F48" s="2126"/>
    </row>
    <row r="49" spans="1:6" ht="14.25" thickBot="1">
      <c r="A49" s="1527" t="s">
        <v>1142</v>
      </c>
      <c r="B49" s="1528" t="s">
        <v>2153</v>
      </c>
      <c r="C49" s="2113">
        <v>9.7000000000000003E-2</v>
      </c>
      <c r="D49" s="2113">
        <v>9.5000000000000001E-2</v>
      </c>
      <c r="E49" s="2113">
        <v>9.7000000000000003E-2</v>
      </c>
      <c r="F49" s="2114">
        <v>0.1</v>
      </c>
    </row>
    <row r="50" spans="1:6" ht="14.25" thickBot="1">
      <c r="A50" s="1527" t="s">
        <v>1142</v>
      </c>
      <c r="B50" s="1521" t="s">
        <v>1209</v>
      </c>
      <c r="C50" s="2115">
        <v>7.4999999999999997E-2</v>
      </c>
      <c r="D50" s="2115">
        <v>9.5000000000000001E-2</v>
      </c>
      <c r="E50" s="2115">
        <v>0.1</v>
      </c>
      <c r="F50" s="2116">
        <v>0.1</v>
      </c>
    </row>
    <row r="51" spans="1:6" ht="14.25" thickBot="1">
      <c r="A51" s="1527" t="s">
        <v>1142</v>
      </c>
      <c r="B51" s="1521" t="s">
        <v>1222</v>
      </c>
      <c r="C51" s="2115">
        <v>9.8000000000000004E-2</v>
      </c>
      <c r="D51" s="2115">
        <v>8.8999999999999996E-2</v>
      </c>
      <c r="E51" s="2115">
        <v>0.1</v>
      </c>
      <c r="F51" s="2116">
        <v>0.1</v>
      </c>
    </row>
    <row r="52" spans="1:6" ht="14.25" thickBot="1">
      <c r="A52" s="1527" t="s">
        <v>1142</v>
      </c>
      <c r="B52" s="1521" t="s">
        <v>1235</v>
      </c>
      <c r="C52" s="2115">
        <v>9.8000000000000004E-2</v>
      </c>
      <c r="D52" s="2115">
        <v>9.7000000000000003E-2</v>
      </c>
      <c r="E52" s="2115">
        <v>8.1000000000000003E-2</v>
      </c>
      <c r="F52" s="2116">
        <v>0.1</v>
      </c>
    </row>
    <row r="53" spans="1:6" ht="14.25" thickBot="1">
      <c r="A53" s="1527" t="s">
        <v>1142</v>
      </c>
      <c r="B53" s="1521" t="s">
        <v>1247</v>
      </c>
      <c r="C53" s="2115">
        <v>9.7000000000000003E-2</v>
      </c>
      <c r="D53" s="2115">
        <v>7.5999999999999998E-2</v>
      </c>
      <c r="E53" s="2115">
        <v>7.0999999999999994E-2</v>
      </c>
      <c r="F53" s="2116">
        <v>0.1</v>
      </c>
    </row>
    <row r="54" spans="1:6" ht="14.25" thickBot="1">
      <c r="A54" s="1527" t="s">
        <v>1142</v>
      </c>
      <c r="B54" s="1521" t="s">
        <v>1258</v>
      </c>
      <c r="C54" s="2115">
        <v>7.5999999999999998E-2</v>
      </c>
      <c r="D54" s="2115">
        <v>0.1</v>
      </c>
      <c r="E54" s="2115">
        <v>9.9000000000000005E-2</v>
      </c>
      <c r="F54" s="2116">
        <v>0.1</v>
      </c>
    </row>
    <row r="55" spans="1:6" ht="14.25" thickBot="1">
      <c r="A55" s="1527" t="s">
        <v>1142</v>
      </c>
      <c r="B55" s="1521" t="s">
        <v>1269</v>
      </c>
      <c r="C55" s="2115">
        <v>0.1</v>
      </c>
      <c r="D55" s="2115">
        <v>0.1</v>
      </c>
      <c r="E55" s="2115">
        <v>9.6000000000000002E-2</v>
      </c>
      <c r="F55" s="2116">
        <v>0.1</v>
      </c>
    </row>
    <row r="56" spans="1:6" ht="14.25" thickBot="1">
      <c r="A56" s="1527" t="s">
        <v>1142</v>
      </c>
      <c r="B56" s="1521" t="s">
        <v>1280</v>
      </c>
      <c r="C56" s="2115">
        <v>0.1</v>
      </c>
      <c r="D56" s="2115">
        <v>9.6000000000000002E-2</v>
      </c>
      <c r="E56" s="2115">
        <v>5.1999999999999998E-2</v>
      </c>
      <c r="F56" s="2116">
        <v>0.1</v>
      </c>
    </row>
    <row r="57" spans="1:6" ht="14.25" thickBot="1">
      <c r="A57" s="1527" t="s">
        <v>1142</v>
      </c>
      <c r="B57" s="1521" t="s">
        <v>1292</v>
      </c>
      <c r="C57" s="2115">
        <v>9.7000000000000003E-2</v>
      </c>
      <c r="D57" s="2115">
        <v>9.6000000000000002E-2</v>
      </c>
      <c r="E57" s="2115">
        <v>9.6000000000000002E-2</v>
      </c>
      <c r="F57" s="2116">
        <v>0.1</v>
      </c>
    </row>
    <row r="58" spans="1:6" ht="14.25" thickBot="1">
      <c r="A58" s="1527" t="s">
        <v>1142</v>
      </c>
      <c r="B58" s="1521" t="s">
        <v>1302</v>
      </c>
      <c r="C58" s="2115">
        <v>9.6000000000000002E-2</v>
      </c>
      <c r="D58" s="2115">
        <v>9.9000000000000005E-2</v>
      </c>
      <c r="E58" s="2115">
        <v>9.6000000000000002E-2</v>
      </c>
      <c r="F58" s="2116">
        <v>0.1</v>
      </c>
    </row>
    <row r="59" spans="1:6" ht="14.25" thickBot="1">
      <c r="A59" s="1527" t="s">
        <v>1142</v>
      </c>
      <c r="B59" s="1521" t="s">
        <v>1312</v>
      </c>
      <c r="C59" s="2115">
        <v>7.1999999999999995E-2</v>
      </c>
      <c r="D59" s="2115">
        <v>9.6000000000000002E-2</v>
      </c>
      <c r="E59" s="2115">
        <v>7.0999999999999994E-2</v>
      </c>
      <c r="F59" s="2116">
        <v>0.1</v>
      </c>
    </row>
    <row r="60" spans="1:6" ht="14.25" thickBot="1">
      <c r="A60" s="1527" t="s">
        <v>1142</v>
      </c>
      <c r="B60" s="1521" t="s">
        <v>1322</v>
      </c>
      <c r="C60" s="2115">
        <v>9.6000000000000002E-2</v>
      </c>
      <c r="D60" s="2115">
        <v>8.8999999999999996E-2</v>
      </c>
      <c r="E60" s="2115">
        <v>9.6000000000000002E-2</v>
      </c>
      <c r="F60" s="2116">
        <v>0.1</v>
      </c>
    </row>
    <row r="61" spans="1:6" ht="14.25" thickBot="1">
      <c r="A61" s="1527" t="s">
        <v>1142</v>
      </c>
      <c r="B61" s="1521" t="s">
        <v>1332</v>
      </c>
      <c r="C61" s="2115">
        <v>8.8999999999999996E-2</v>
      </c>
      <c r="D61" s="2115">
        <v>9.8000000000000004E-2</v>
      </c>
      <c r="E61" s="2115">
        <v>8.7999999999999995E-2</v>
      </c>
      <c r="F61" s="2127"/>
    </row>
    <row r="62" spans="1:6" ht="14.25" thickBot="1">
      <c r="A62" s="1527" t="s">
        <v>1142</v>
      </c>
      <c r="B62" s="1521" t="s">
        <v>1343</v>
      </c>
      <c r="C62" s="2115">
        <v>9.8000000000000004E-2</v>
      </c>
      <c r="D62" s="2115">
        <v>9.2999999999999999E-2</v>
      </c>
      <c r="E62" s="2115">
        <v>9.7000000000000003E-2</v>
      </c>
      <c r="F62" s="2127"/>
    </row>
    <row r="63" spans="1:6" ht="14.25" thickBot="1">
      <c r="A63" s="1527" t="s">
        <v>1142</v>
      </c>
      <c r="B63" s="1521" t="s">
        <v>1354</v>
      </c>
      <c r="C63" s="2115">
        <v>9.6000000000000002E-2</v>
      </c>
      <c r="D63" s="2115">
        <v>9.8000000000000004E-2</v>
      </c>
      <c r="E63" s="2115">
        <v>0.09</v>
      </c>
      <c r="F63" s="2127"/>
    </row>
    <row r="64" spans="1:6" ht="14.25" thickBot="1">
      <c r="A64" s="1527" t="s">
        <v>1142</v>
      </c>
      <c r="B64" s="1521" t="s">
        <v>1364</v>
      </c>
      <c r="C64" s="2115">
        <v>9.9000000000000005E-2</v>
      </c>
      <c r="D64" s="2115">
        <v>9.7000000000000003E-2</v>
      </c>
      <c r="E64" s="2115">
        <v>9.9000000000000005E-2</v>
      </c>
      <c r="F64" s="2127"/>
    </row>
    <row r="65" spans="1:6" ht="14.25" thickBot="1">
      <c r="A65" s="1527" t="s">
        <v>1142</v>
      </c>
      <c r="B65" s="1521" t="s">
        <v>1374</v>
      </c>
      <c r="C65" s="2115">
        <v>9.8000000000000004E-2</v>
      </c>
      <c r="D65" s="2115">
        <v>9.6000000000000002E-2</v>
      </c>
      <c r="E65" s="2115">
        <v>9.6000000000000002E-2</v>
      </c>
      <c r="F65" s="2127"/>
    </row>
    <row r="66" spans="1:6" ht="14.25" thickBot="1">
      <c r="A66" s="1527" t="s">
        <v>1142</v>
      </c>
      <c r="B66" s="1521" t="s">
        <v>1384</v>
      </c>
      <c r="C66" s="2115">
        <v>9.6000000000000002E-2</v>
      </c>
      <c r="D66" s="2115">
        <v>9.1999999999999998E-2</v>
      </c>
      <c r="E66" s="2115">
        <v>9.6000000000000002E-2</v>
      </c>
      <c r="F66" s="2127"/>
    </row>
    <row r="67" spans="1:6" ht="14.25" thickBot="1">
      <c r="A67" s="1527" t="s">
        <v>1142</v>
      </c>
      <c r="B67" s="1521" t="s">
        <v>1394</v>
      </c>
      <c r="C67" s="2115">
        <v>9.4E-2</v>
      </c>
      <c r="D67" s="2115">
        <v>0.1</v>
      </c>
      <c r="E67" s="2115">
        <v>8.7999999999999995E-2</v>
      </c>
      <c r="F67" s="2127"/>
    </row>
    <row r="68" spans="1:6" ht="14.25" thickBot="1">
      <c r="A68" s="1527" t="s">
        <v>1142</v>
      </c>
      <c r="B68" s="1521" t="s">
        <v>1403</v>
      </c>
      <c r="C68" s="2115">
        <v>0.1</v>
      </c>
      <c r="D68" s="2115">
        <v>8.7999999999999995E-2</v>
      </c>
      <c r="E68" s="2115">
        <v>9.7000000000000003E-2</v>
      </c>
      <c r="F68" s="2127"/>
    </row>
    <row r="69" spans="1:6" ht="14.25" thickBot="1">
      <c r="A69" s="1527" t="s">
        <v>1142</v>
      </c>
      <c r="B69" s="1521" t="s">
        <v>1412</v>
      </c>
      <c r="C69" s="2115">
        <v>6.4000000000000001E-2</v>
      </c>
      <c r="D69" s="2115">
        <v>0.1</v>
      </c>
      <c r="E69" s="2115">
        <v>0.1</v>
      </c>
      <c r="F69" s="2127"/>
    </row>
    <row r="70" spans="1:6" ht="14.25" thickBot="1">
      <c r="A70" s="1527" t="s">
        <v>1142</v>
      </c>
      <c r="B70" s="1521" t="s">
        <v>1420</v>
      </c>
      <c r="C70" s="2115">
        <v>9.0999999999999998E-2</v>
      </c>
      <c r="D70" s="2128"/>
      <c r="E70" s="2128"/>
      <c r="F70" s="2127"/>
    </row>
    <row r="71" spans="1:6" ht="14.25" thickBot="1">
      <c r="A71" s="1527" t="s">
        <v>1142</v>
      </c>
      <c r="B71" s="1521" t="s">
        <v>1427</v>
      </c>
      <c r="C71" s="2115">
        <v>0.1</v>
      </c>
      <c r="D71" s="2128"/>
      <c r="E71" s="2128"/>
      <c r="F71" s="2127"/>
    </row>
    <row r="72" spans="1:6" ht="14.25" thickBot="1">
      <c r="A72" s="1527" t="s">
        <v>1142</v>
      </c>
      <c r="B72" s="1521" t="s">
        <v>2154</v>
      </c>
      <c r="C72" s="2128"/>
      <c r="D72" s="2128"/>
      <c r="E72" s="2128"/>
      <c r="F72" s="2116">
        <v>0.05</v>
      </c>
    </row>
    <row r="73" spans="1:6" ht="14.25" thickBot="1">
      <c r="A73" s="1527" t="s">
        <v>1142</v>
      </c>
      <c r="B73" s="1521" t="s">
        <v>2155</v>
      </c>
      <c r="C73" s="2128"/>
      <c r="D73" s="2128"/>
      <c r="E73" s="2128"/>
      <c r="F73" s="2116">
        <v>0.05</v>
      </c>
    </row>
    <row r="74" spans="1:6" ht="14.25" thickBot="1">
      <c r="A74" s="1527" t="s">
        <v>1142</v>
      </c>
      <c r="B74" s="1521" t="s">
        <v>2156</v>
      </c>
      <c r="C74" s="2128"/>
      <c r="D74" s="2128"/>
      <c r="E74" s="2128"/>
      <c r="F74" s="2116">
        <v>0.05</v>
      </c>
    </row>
    <row r="75" spans="1:6" ht="14.25" thickBot="1">
      <c r="A75" s="1537" t="s">
        <v>1142</v>
      </c>
      <c r="B75" s="1533" t="s">
        <v>2157</v>
      </c>
      <c r="C75" s="2125"/>
      <c r="D75" s="2125"/>
      <c r="E75" s="2125"/>
      <c r="F75" s="2118">
        <v>0.05</v>
      </c>
    </row>
    <row r="76" spans="1:6" ht="14.25" thickBot="1">
      <c r="A76" s="1527" t="s">
        <v>1542</v>
      </c>
      <c r="B76" s="1528" t="s">
        <v>2158</v>
      </c>
      <c r="C76" s="2113">
        <v>0.1</v>
      </c>
      <c r="D76" s="2113">
        <v>0.1</v>
      </c>
      <c r="E76" s="2113">
        <v>0.1</v>
      </c>
      <c r="F76" s="2114">
        <v>0.1</v>
      </c>
    </row>
    <row r="77" spans="1:6" ht="14.25" thickBot="1">
      <c r="A77" s="1527" t="s">
        <v>1542</v>
      </c>
      <c r="B77" s="1521" t="s">
        <v>1210</v>
      </c>
      <c r="C77" s="2115">
        <v>8.7999999999999995E-2</v>
      </c>
      <c r="D77" s="2115">
        <v>8.6999999999999994E-2</v>
      </c>
      <c r="E77" s="2115">
        <v>7.9000000000000001E-2</v>
      </c>
      <c r="F77" s="2116">
        <v>0.1</v>
      </c>
    </row>
    <row r="78" spans="1:6" ht="14.25" thickBot="1">
      <c r="A78" s="1527" t="s">
        <v>1542</v>
      </c>
      <c r="B78" s="1521" t="s">
        <v>1223</v>
      </c>
      <c r="C78" s="2115">
        <v>8.6999999999999994E-2</v>
      </c>
      <c r="D78" s="2115">
        <v>8.4000000000000005E-2</v>
      </c>
      <c r="E78" s="2115">
        <v>9.6000000000000002E-2</v>
      </c>
      <c r="F78" s="2116">
        <v>0.1</v>
      </c>
    </row>
    <row r="79" spans="1:6" ht="14.25" thickBot="1">
      <c r="A79" s="1527" t="s">
        <v>1542</v>
      </c>
      <c r="B79" s="1521" t="s">
        <v>1236</v>
      </c>
      <c r="C79" s="2115">
        <v>9.8000000000000004E-2</v>
      </c>
      <c r="D79" s="2115">
        <v>9.8000000000000004E-2</v>
      </c>
      <c r="E79" s="2115">
        <v>9.0999999999999998E-2</v>
      </c>
      <c r="F79" s="2116">
        <v>0.1</v>
      </c>
    </row>
    <row r="80" spans="1:6" ht="14.25" thickBot="1">
      <c r="A80" s="1527" t="s">
        <v>1542</v>
      </c>
      <c r="B80" s="1521" t="s">
        <v>1248</v>
      </c>
      <c r="C80" s="2115">
        <v>9.6000000000000002E-2</v>
      </c>
      <c r="D80" s="2115">
        <v>9.6000000000000002E-2</v>
      </c>
      <c r="E80" s="2115">
        <v>0.1</v>
      </c>
      <c r="F80" s="2116">
        <v>0.1</v>
      </c>
    </row>
    <row r="81" spans="1:6" ht="14.25" thickBot="1">
      <c r="A81" s="1527" t="s">
        <v>1542</v>
      </c>
      <c r="B81" s="1521" t="s">
        <v>1259</v>
      </c>
      <c r="C81" s="2115">
        <v>9.9000000000000005E-2</v>
      </c>
      <c r="D81" s="2115">
        <v>9.9000000000000005E-2</v>
      </c>
      <c r="E81" s="2115">
        <v>9.8000000000000004E-2</v>
      </c>
      <c r="F81" s="2116">
        <v>0.1</v>
      </c>
    </row>
    <row r="82" spans="1:6" ht="14.25" thickBot="1">
      <c r="A82" s="1527" t="s">
        <v>1542</v>
      </c>
      <c r="B82" s="1521" t="s">
        <v>1270</v>
      </c>
      <c r="C82" s="2115">
        <v>9.9000000000000005E-2</v>
      </c>
      <c r="D82" s="2115">
        <v>9.9000000000000005E-2</v>
      </c>
      <c r="E82" s="2115">
        <v>9.7000000000000003E-2</v>
      </c>
      <c r="F82" s="2116">
        <v>0.1</v>
      </c>
    </row>
    <row r="83" spans="1:6" ht="14.25" thickBot="1">
      <c r="A83" s="1527" t="s">
        <v>1542</v>
      </c>
      <c r="B83" s="1521" t="s">
        <v>1281</v>
      </c>
      <c r="C83" s="2115">
        <v>9.8000000000000004E-2</v>
      </c>
      <c r="D83" s="2115">
        <v>9.8000000000000004E-2</v>
      </c>
      <c r="E83" s="2115">
        <v>9.8000000000000004E-2</v>
      </c>
      <c r="F83" s="2116">
        <v>0.1</v>
      </c>
    </row>
    <row r="84" spans="1:6" ht="14.25" thickBot="1">
      <c r="A84" s="1527" t="s">
        <v>1542</v>
      </c>
      <c r="B84" s="1521" t="s">
        <v>1293</v>
      </c>
      <c r="C84" s="2115">
        <v>9.9000000000000005E-2</v>
      </c>
      <c r="D84" s="2115">
        <v>9.9000000000000005E-2</v>
      </c>
      <c r="E84" s="2115">
        <v>9.9000000000000005E-2</v>
      </c>
      <c r="F84" s="2116">
        <v>0.1</v>
      </c>
    </row>
    <row r="85" spans="1:6" ht="14.25" thickBot="1">
      <c r="A85" s="1527" t="s">
        <v>1542</v>
      </c>
      <c r="B85" s="1521" t="s">
        <v>1303</v>
      </c>
      <c r="C85" s="2115">
        <v>9.9000000000000005E-2</v>
      </c>
      <c r="D85" s="2115">
        <v>9.9000000000000005E-2</v>
      </c>
      <c r="E85" s="2115">
        <v>9.9000000000000005E-2</v>
      </c>
      <c r="F85" s="2116">
        <v>0.1</v>
      </c>
    </row>
    <row r="86" spans="1:6" ht="14.25" thickBot="1">
      <c r="A86" s="1527" t="s">
        <v>1542</v>
      </c>
      <c r="B86" s="1521" t="s">
        <v>1313</v>
      </c>
      <c r="C86" s="2115">
        <v>0.1</v>
      </c>
      <c r="D86" s="2115">
        <v>0.1</v>
      </c>
      <c r="E86" s="2115">
        <v>7.6999999999999999E-2</v>
      </c>
      <c r="F86" s="2116">
        <v>0.1</v>
      </c>
    </row>
    <row r="87" spans="1:6" ht="14.25" thickBot="1">
      <c r="A87" s="1527" t="s">
        <v>1542</v>
      </c>
      <c r="B87" s="1521" t="s">
        <v>1323</v>
      </c>
      <c r="C87" s="2115">
        <v>0.1</v>
      </c>
      <c r="D87" s="2115">
        <v>0.1</v>
      </c>
      <c r="E87" s="2115">
        <v>9.8000000000000004E-2</v>
      </c>
      <c r="F87" s="2127"/>
    </row>
    <row r="88" spans="1:6" ht="14.25" thickBot="1">
      <c r="A88" s="1527" t="s">
        <v>1542</v>
      </c>
      <c r="B88" s="1521" t="s">
        <v>1333</v>
      </c>
      <c r="C88" s="2115">
        <v>9.1999999999999998E-2</v>
      </c>
      <c r="D88" s="2115">
        <v>8.5000000000000006E-2</v>
      </c>
      <c r="E88" s="2115">
        <v>9.6000000000000002E-2</v>
      </c>
      <c r="F88" s="2127"/>
    </row>
    <row r="89" spans="1:6" ht="14.25" thickBot="1">
      <c r="A89" s="1527" t="s">
        <v>1542</v>
      </c>
      <c r="B89" s="1521" t="s">
        <v>1344</v>
      </c>
      <c r="C89" s="2115">
        <v>0.1</v>
      </c>
      <c r="D89" s="2115">
        <v>0.1</v>
      </c>
      <c r="E89" s="2115">
        <v>9.7000000000000003E-2</v>
      </c>
      <c r="F89" s="2127"/>
    </row>
    <row r="90" spans="1:6" ht="14.25" thickBot="1">
      <c r="A90" s="1527" t="s">
        <v>1542</v>
      </c>
      <c r="B90" s="1521" t="s">
        <v>1355</v>
      </c>
      <c r="C90" s="2115">
        <v>9.8000000000000004E-2</v>
      </c>
      <c r="D90" s="2115">
        <v>9.8000000000000004E-2</v>
      </c>
      <c r="E90" s="2115">
        <v>8.7999999999999995E-2</v>
      </c>
      <c r="F90" s="2127"/>
    </row>
    <row r="91" spans="1:6" ht="14.25" thickBot="1">
      <c r="A91" s="1527" t="s">
        <v>1542</v>
      </c>
      <c r="B91" s="1521" t="s">
        <v>1365</v>
      </c>
      <c r="C91" s="2115">
        <v>9.9000000000000005E-2</v>
      </c>
      <c r="D91" s="2115">
        <v>9.9000000000000005E-2</v>
      </c>
      <c r="E91" s="2115">
        <v>9.0999999999999998E-2</v>
      </c>
      <c r="F91" s="2127"/>
    </row>
    <row r="92" spans="1:6" ht="14.25" thickBot="1">
      <c r="A92" s="1527" t="s">
        <v>1542</v>
      </c>
      <c r="B92" s="1521" t="s">
        <v>1375</v>
      </c>
      <c r="C92" s="2115">
        <v>9.6000000000000002E-2</v>
      </c>
      <c r="D92" s="2115">
        <v>9.6000000000000002E-2</v>
      </c>
      <c r="E92" s="2115">
        <v>7.2999999999999995E-2</v>
      </c>
      <c r="F92" s="2127"/>
    </row>
    <row r="93" spans="1:6" ht="14.25" thickBot="1">
      <c r="A93" s="1527" t="s">
        <v>1542</v>
      </c>
      <c r="B93" s="1521" t="s">
        <v>1385</v>
      </c>
      <c r="C93" s="2115">
        <v>9.6000000000000002E-2</v>
      </c>
      <c r="D93" s="2115">
        <v>9.6000000000000002E-2</v>
      </c>
      <c r="E93" s="2115">
        <v>9.9000000000000005E-2</v>
      </c>
      <c r="F93" s="2127"/>
    </row>
    <row r="94" spans="1:6" ht="14.25" thickBot="1">
      <c r="A94" s="1527" t="s">
        <v>1542</v>
      </c>
      <c r="B94" s="1521" t="s">
        <v>1395</v>
      </c>
      <c r="C94" s="2115">
        <v>7.5999999999999998E-2</v>
      </c>
      <c r="D94" s="2115">
        <v>7.3999999999999996E-2</v>
      </c>
      <c r="E94" s="2115">
        <v>9.7000000000000003E-2</v>
      </c>
      <c r="F94" s="2127"/>
    </row>
    <row r="95" spans="1:6" ht="14.25" thickBot="1">
      <c r="A95" s="1527" t="s">
        <v>1542</v>
      </c>
      <c r="B95" s="1521" t="s">
        <v>1404</v>
      </c>
      <c r="C95" s="2115">
        <v>9.9000000000000005E-2</v>
      </c>
      <c r="D95" s="2115">
        <v>9.4E-2</v>
      </c>
      <c r="E95" s="2115">
        <v>9.6000000000000002E-2</v>
      </c>
      <c r="F95" s="2127"/>
    </row>
    <row r="96" spans="1:6" ht="14.25" thickBot="1">
      <c r="A96" s="1527" t="s">
        <v>1542</v>
      </c>
      <c r="B96" s="1521" t="s">
        <v>1413</v>
      </c>
      <c r="C96" s="2115">
        <v>9.9000000000000005E-2</v>
      </c>
      <c r="D96" s="2115">
        <v>9.9000000000000005E-2</v>
      </c>
      <c r="E96" s="2115">
        <v>9.9000000000000005E-2</v>
      </c>
      <c r="F96" s="2127"/>
    </row>
    <row r="97" spans="1:6" ht="14.25" thickBot="1">
      <c r="A97" s="1527" t="s">
        <v>1542</v>
      </c>
      <c r="B97" s="1521" t="s">
        <v>1421</v>
      </c>
      <c r="C97" s="2115">
        <v>9.8000000000000004E-2</v>
      </c>
      <c r="D97" s="2115">
        <v>9.8000000000000004E-2</v>
      </c>
      <c r="E97" s="2115">
        <v>9.7000000000000003E-2</v>
      </c>
      <c r="F97" s="2127"/>
    </row>
    <row r="98" spans="1:6" ht="14.25" thickBot="1">
      <c r="A98" s="1527" t="s">
        <v>1542</v>
      </c>
      <c r="B98" s="1521" t="s">
        <v>1428</v>
      </c>
      <c r="C98" s="2115">
        <v>0.1</v>
      </c>
      <c r="D98" s="2115">
        <v>0.1</v>
      </c>
      <c r="E98" s="2115">
        <v>9.7000000000000003E-2</v>
      </c>
      <c r="F98" s="2127"/>
    </row>
    <row r="99" spans="1:6" ht="14.25" thickBot="1">
      <c r="A99" s="1527" t="s">
        <v>1542</v>
      </c>
      <c r="B99" s="1521" t="s">
        <v>1435</v>
      </c>
      <c r="C99" s="2115">
        <v>0.1</v>
      </c>
      <c r="D99" s="2115">
        <v>0.1</v>
      </c>
      <c r="E99" s="2128"/>
      <c r="F99" s="2127"/>
    </row>
    <row r="100" spans="1:6" ht="14.25" thickBot="1">
      <c r="A100" s="1527" t="s">
        <v>1542</v>
      </c>
      <c r="B100" s="1521" t="s">
        <v>1442</v>
      </c>
      <c r="C100" s="2115">
        <v>0.09</v>
      </c>
      <c r="D100" s="2115">
        <v>8.8999999999999996E-2</v>
      </c>
      <c r="E100" s="2128"/>
      <c r="F100" s="2127"/>
    </row>
    <row r="101" spans="1:6" ht="14.25" thickBot="1">
      <c r="A101" s="1527" t="s">
        <v>1542</v>
      </c>
      <c r="B101" s="1521" t="s">
        <v>1449</v>
      </c>
      <c r="C101" s="2115">
        <v>9.8000000000000004E-2</v>
      </c>
      <c r="D101" s="2115">
        <v>9.7000000000000003E-2</v>
      </c>
      <c r="E101" s="2128"/>
      <c r="F101" s="2127"/>
    </row>
    <row r="102" spans="1:6" ht="14.25" thickBot="1">
      <c r="A102" s="1527" t="s">
        <v>1542</v>
      </c>
      <c r="B102" s="1521" t="s">
        <v>2159</v>
      </c>
      <c r="C102" s="2128"/>
      <c r="D102" s="2128"/>
      <c r="E102" s="2128"/>
      <c r="F102" s="2116">
        <v>0.05</v>
      </c>
    </row>
    <row r="103" spans="1:6" ht="24.75" thickBot="1">
      <c r="A103" s="1527" t="s">
        <v>1542</v>
      </c>
      <c r="B103" s="1521" t="s">
        <v>2160</v>
      </c>
      <c r="C103" s="2128"/>
      <c r="D103" s="2128"/>
      <c r="E103" s="2128"/>
      <c r="F103" s="2116">
        <v>0.05</v>
      </c>
    </row>
    <row r="104" spans="1:6" ht="14.25" thickBot="1">
      <c r="A104" s="1527" t="s">
        <v>1542</v>
      </c>
      <c r="B104" s="1521" t="s">
        <v>2161</v>
      </c>
      <c r="C104" s="2128"/>
      <c r="D104" s="2128"/>
      <c r="E104" s="2128"/>
      <c r="F104" s="2116">
        <v>0.05</v>
      </c>
    </row>
    <row r="105" spans="1:6" ht="14.25" thickBot="1">
      <c r="A105" s="1527" t="s">
        <v>1542</v>
      </c>
      <c r="B105" s="1521" t="s">
        <v>2162</v>
      </c>
      <c r="C105" s="2128"/>
      <c r="D105" s="2128"/>
      <c r="E105" s="2128"/>
      <c r="F105" s="2116">
        <v>0.05</v>
      </c>
    </row>
    <row r="106" spans="1:6" ht="14.25" thickBot="1">
      <c r="A106" s="1527" t="s">
        <v>1542</v>
      </c>
      <c r="B106" s="1521" t="s">
        <v>2163</v>
      </c>
      <c r="C106" s="2128"/>
      <c r="D106" s="2128"/>
      <c r="E106" s="2128"/>
      <c r="F106" s="2116">
        <v>0.05</v>
      </c>
    </row>
    <row r="107" spans="1:6" ht="24.75" thickBot="1">
      <c r="A107" s="1527" t="s">
        <v>1542</v>
      </c>
      <c r="B107" s="1521" t="s">
        <v>2164</v>
      </c>
      <c r="C107" s="2128"/>
      <c r="D107" s="2128"/>
      <c r="E107" s="2128"/>
      <c r="F107" s="2116">
        <v>0.05</v>
      </c>
    </row>
    <row r="108" spans="1:6" ht="24.75" thickBot="1">
      <c r="A108" s="1527" t="s">
        <v>1542</v>
      </c>
      <c r="B108" s="1521" t="s">
        <v>2165</v>
      </c>
      <c r="C108" s="2128"/>
      <c r="D108" s="2128"/>
      <c r="E108" s="2128"/>
      <c r="F108" s="2116">
        <v>0.05</v>
      </c>
    </row>
    <row r="109" spans="1:6" ht="24.75" thickBot="1">
      <c r="A109" s="1537" t="s">
        <v>1542</v>
      </c>
      <c r="B109" s="1533" t="s">
        <v>2166</v>
      </c>
      <c r="C109" s="2125"/>
      <c r="D109" s="2125"/>
      <c r="E109" s="2125"/>
      <c r="F109" s="2118">
        <v>0.05</v>
      </c>
    </row>
    <row r="110" spans="1:6" ht="14.25" thickBot="1">
      <c r="A110" s="1527" t="s">
        <v>203</v>
      </c>
      <c r="B110" s="1528" t="s">
        <v>2167</v>
      </c>
      <c r="C110" s="2113">
        <v>0.129</v>
      </c>
      <c r="D110" s="2113">
        <v>0.129</v>
      </c>
      <c r="E110" s="2113">
        <v>0.126</v>
      </c>
      <c r="F110" s="2114">
        <v>0.13</v>
      </c>
    </row>
    <row r="111" spans="1:6" ht="14.25" thickBot="1">
      <c r="A111" s="1527" t="s">
        <v>203</v>
      </c>
      <c r="B111" s="1521" t="s">
        <v>1211</v>
      </c>
      <c r="C111" s="2115">
        <v>0.11</v>
      </c>
      <c r="D111" s="2115">
        <v>0.11</v>
      </c>
      <c r="E111" s="2115">
        <v>9.9000000000000005E-2</v>
      </c>
      <c r="F111" s="2116">
        <v>0.128</v>
      </c>
    </row>
    <row r="112" spans="1:6" ht="14.25" thickBot="1">
      <c r="A112" s="1527" t="s">
        <v>203</v>
      </c>
      <c r="B112" s="1521" t="s">
        <v>1224</v>
      </c>
      <c r="C112" s="2115">
        <v>0.125</v>
      </c>
      <c r="D112" s="2115">
        <v>0.125</v>
      </c>
      <c r="E112" s="2115">
        <v>0.12</v>
      </c>
      <c r="F112" s="2116">
        <v>0.125</v>
      </c>
    </row>
    <row r="113" spans="1:6" ht="14.25" thickBot="1">
      <c r="A113" s="1527" t="s">
        <v>203</v>
      </c>
      <c r="B113" s="1521" t="s">
        <v>1237</v>
      </c>
      <c r="C113" s="2115">
        <v>0.13</v>
      </c>
      <c r="D113" s="2115">
        <v>0.13</v>
      </c>
      <c r="E113" s="2115">
        <v>0.13</v>
      </c>
      <c r="F113" s="2116">
        <v>0.13</v>
      </c>
    </row>
    <row r="114" spans="1:6" ht="14.25" thickBot="1">
      <c r="A114" s="1527" t="s">
        <v>203</v>
      </c>
      <c r="B114" s="1521" t="s">
        <v>1249</v>
      </c>
      <c r="C114" s="2115">
        <v>0.123</v>
      </c>
      <c r="D114" s="2115">
        <v>0.123</v>
      </c>
      <c r="E114" s="2115">
        <v>0.12</v>
      </c>
      <c r="F114" s="2116">
        <v>0.13</v>
      </c>
    </row>
    <row r="115" spans="1:6" ht="14.25" thickBot="1">
      <c r="A115" s="1527" t="s">
        <v>203</v>
      </c>
      <c r="B115" s="1521" t="s">
        <v>1260</v>
      </c>
      <c r="C115" s="2115">
        <v>0.125</v>
      </c>
      <c r="D115" s="2115">
        <v>0.125</v>
      </c>
      <c r="E115" s="2115">
        <v>0.11700000000000001</v>
      </c>
      <c r="F115" s="2116">
        <v>0.13</v>
      </c>
    </row>
    <row r="116" spans="1:6" ht="14.25" thickBot="1">
      <c r="A116" s="1527" t="s">
        <v>203</v>
      </c>
      <c r="B116" s="1521" t="s">
        <v>1271</v>
      </c>
      <c r="C116" s="2115">
        <v>0.11700000000000001</v>
      </c>
      <c r="D116" s="2115">
        <v>0.11700000000000001</v>
      </c>
      <c r="E116" s="2115">
        <v>8.7999999999999995E-2</v>
      </c>
      <c r="F116" s="2116">
        <v>0.13</v>
      </c>
    </row>
    <row r="117" spans="1:6" ht="14.25" thickBot="1">
      <c r="A117" s="1527" t="s">
        <v>203</v>
      </c>
      <c r="B117" s="1521" t="s">
        <v>1282</v>
      </c>
      <c r="C117" s="2115">
        <v>0.13</v>
      </c>
      <c r="D117" s="2115">
        <v>0.13</v>
      </c>
      <c r="E117" s="2115">
        <v>0.129</v>
      </c>
      <c r="F117" s="2116">
        <v>0.13</v>
      </c>
    </row>
    <row r="118" spans="1:6" ht="14.25" thickBot="1">
      <c r="A118" s="1527" t="s">
        <v>203</v>
      </c>
      <c r="B118" s="1521" t="s">
        <v>1294</v>
      </c>
      <c r="C118" s="2115">
        <v>0.123</v>
      </c>
      <c r="D118" s="2115">
        <v>0.123</v>
      </c>
      <c r="E118" s="2115">
        <v>0.11600000000000001</v>
      </c>
      <c r="F118" s="2116">
        <v>0.13</v>
      </c>
    </row>
    <row r="119" spans="1:6" ht="14.25" thickBot="1">
      <c r="A119" s="1527" t="s">
        <v>203</v>
      </c>
      <c r="B119" s="1521" t="s">
        <v>1304</v>
      </c>
      <c r="C119" s="2115">
        <v>0.127</v>
      </c>
      <c r="D119" s="2115">
        <v>0.127</v>
      </c>
      <c r="E119" s="2115">
        <v>0.124</v>
      </c>
      <c r="F119" s="2116">
        <v>0.13</v>
      </c>
    </row>
    <row r="120" spans="1:6" ht="14.25" thickBot="1">
      <c r="A120" s="1527" t="s">
        <v>203</v>
      </c>
      <c r="B120" s="1521" t="s">
        <v>1314</v>
      </c>
      <c r="C120" s="2115">
        <v>0.125</v>
      </c>
      <c r="D120" s="2115">
        <v>0.125</v>
      </c>
      <c r="E120" s="2115">
        <v>0.122</v>
      </c>
      <c r="F120" s="2116">
        <v>0.13</v>
      </c>
    </row>
    <row r="121" spans="1:6" ht="14.25" thickBot="1">
      <c r="A121" s="1527" t="s">
        <v>203</v>
      </c>
      <c r="B121" s="1521" t="s">
        <v>1324</v>
      </c>
      <c r="C121" s="2115">
        <v>0.13</v>
      </c>
      <c r="D121" s="2115">
        <v>0.13</v>
      </c>
      <c r="E121" s="2115">
        <v>0.13</v>
      </c>
      <c r="F121" s="2116">
        <v>0.13</v>
      </c>
    </row>
    <row r="122" spans="1:6" ht="14.25" thickBot="1">
      <c r="A122" s="1527" t="s">
        <v>203</v>
      </c>
      <c r="B122" s="1521" t="s">
        <v>1334</v>
      </c>
      <c r="C122" s="2115">
        <v>0.13</v>
      </c>
      <c r="D122" s="2115">
        <v>0.13</v>
      </c>
      <c r="E122" s="2115">
        <v>0.125</v>
      </c>
      <c r="F122" s="2116">
        <v>0.13</v>
      </c>
    </row>
    <row r="123" spans="1:6" ht="14.25" thickBot="1">
      <c r="A123" s="1527" t="s">
        <v>203</v>
      </c>
      <c r="B123" s="1521" t="s">
        <v>1345</v>
      </c>
      <c r="C123" s="2115">
        <v>0.129</v>
      </c>
      <c r="D123" s="2115">
        <v>0.129</v>
      </c>
      <c r="E123" s="2115">
        <v>0.123</v>
      </c>
      <c r="F123" s="2116">
        <v>0.13</v>
      </c>
    </row>
    <row r="124" spans="1:6" ht="14.25" thickBot="1">
      <c r="A124" s="1527" t="s">
        <v>203</v>
      </c>
      <c r="B124" s="1521" t="s">
        <v>1356</v>
      </c>
      <c r="C124" s="2115">
        <v>0.10199999999999999</v>
      </c>
      <c r="D124" s="2115">
        <v>0.10100000000000001</v>
      </c>
      <c r="E124" s="2115">
        <v>0.08</v>
      </c>
      <c r="F124" s="2127"/>
    </row>
    <row r="125" spans="1:6" ht="14.25" thickBot="1">
      <c r="A125" s="1527" t="s">
        <v>203</v>
      </c>
      <c r="B125" s="1521" t="s">
        <v>1366</v>
      </c>
      <c r="C125" s="2115">
        <v>0.13</v>
      </c>
      <c r="D125" s="2115">
        <v>0.13</v>
      </c>
      <c r="E125" s="2115">
        <v>0.129</v>
      </c>
      <c r="F125" s="2127"/>
    </row>
    <row r="126" spans="1:6" ht="14.25" thickBot="1">
      <c r="A126" s="1527" t="s">
        <v>203</v>
      </c>
      <c r="B126" s="1521" t="s">
        <v>1376</v>
      </c>
      <c r="C126" s="2115">
        <v>0.13</v>
      </c>
      <c r="D126" s="2115">
        <v>0.13</v>
      </c>
      <c r="E126" s="2115">
        <v>0.126</v>
      </c>
      <c r="F126" s="2127"/>
    </row>
    <row r="127" spans="1:6" ht="14.25" thickBot="1">
      <c r="A127" s="1527" t="s">
        <v>203</v>
      </c>
      <c r="B127" s="1521" t="s">
        <v>1386</v>
      </c>
      <c r="C127" s="2115">
        <v>0.125</v>
      </c>
      <c r="D127" s="2115">
        <v>0.125</v>
      </c>
      <c r="E127" s="2115">
        <v>0.121</v>
      </c>
      <c r="F127" s="2127"/>
    </row>
    <row r="128" spans="1:6" ht="14.25" thickBot="1">
      <c r="A128" s="1527" t="s">
        <v>203</v>
      </c>
      <c r="B128" s="1521" t="s">
        <v>1396</v>
      </c>
      <c r="C128" s="2115">
        <v>0.12</v>
      </c>
      <c r="D128" s="2115">
        <v>0.12</v>
      </c>
      <c r="E128" s="2115">
        <v>0.105</v>
      </c>
      <c r="F128" s="2127"/>
    </row>
    <row r="129" spans="1:6" ht="14.25" thickBot="1">
      <c r="A129" s="1527" t="s">
        <v>203</v>
      </c>
      <c r="B129" s="1521" t="s">
        <v>1405</v>
      </c>
      <c r="C129" s="2115">
        <v>0.13</v>
      </c>
      <c r="D129" s="2115">
        <v>0.13</v>
      </c>
      <c r="E129" s="2115">
        <v>0.126</v>
      </c>
      <c r="F129" s="2127"/>
    </row>
    <row r="130" spans="1:6" ht="14.25" thickBot="1">
      <c r="A130" s="1527" t="s">
        <v>203</v>
      </c>
      <c r="B130" s="1521" t="s">
        <v>1414</v>
      </c>
      <c r="C130" s="2115">
        <v>0.125</v>
      </c>
      <c r="D130" s="2115">
        <v>0.125</v>
      </c>
      <c r="E130" s="2115">
        <v>0.122</v>
      </c>
      <c r="F130" s="2127"/>
    </row>
    <row r="131" spans="1:6" ht="14.25" thickBot="1">
      <c r="A131" s="1527" t="s">
        <v>203</v>
      </c>
      <c r="B131" s="1521" t="s">
        <v>1422</v>
      </c>
      <c r="C131" s="2115">
        <v>0.127</v>
      </c>
      <c r="D131" s="2115">
        <v>0.126</v>
      </c>
      <c r="E131" s="2115">
        <v>0.123</v>
      </c>
      <c r="F131" s="2127"/>
    </row>
    <row r="132" spans="1:6" ht="14.25" thickBot="1">
      <c r="A132" s="1527" t="s">
        <v>203</v>
      </c>
      <c r="B132" s="1521" t="s">
        <v>1429</v>
      </c>
      <c r="C132" s="2115">
        <v>9.0999999999999998E-2</v>
      </c>
      <c r="D132" s="2115">
        <v>0.121</v>
      </c>
      <c r="E132" s="2115">
        <v>9.9000000000000005E-2</v>
      </c>
      <c r="F132" s="2127"/>
    </row>
    <row r="133" spans="1:6" ht="14.25" thickBot="1">
      <c r="A133" s="1527" t="s">
        <v>203</v>
      </c>
      <c r="B133" s="1521" t="s">
        <v>1436</v>
      </c>
      <c r="C133" s="2115">
        <v>0.13</v>
      </c>
      <c r="D133" s="2115">
        <v>0.13</v>
      </c>
      <c r="E133" s="2115">
        <v>0.129</v>
      </c>
      <c r="F133" s="2127"/>
    </row>
    <row r="134" spans="1:6" ht="14.25" thickBot="1">
      <c r="A134" s="1527" t="s">
        <v>203</v>
      </c>
      <c r="B134" s="1521" t="s">
        <v>2168</v>
      </c>
      <c r="C134" s="2115">
        <v>6.8000000000000005E-2</v>
      </c>
      <c r="D134" s="2115">
        <v>6.5000000000000002E-2</v>
      </c>
      <c r="E134" s="2115">
        <v>6.5000000000000002E-2</v>
      </c>
      <c r="F134" s="2116">
        <v>0.13</v>
      </c>
    </row>
    <row r="135" spans="1:6" ht="14.25" thickBot="1">
      <c r="A135" s="1527" t="s">
        <v>203</v>
      </c>
      <c r="B135" s="1521" t="s">
        <v>1450</v>
      </c>
      <c r="C135" s="2115">
        <v>0.123</v>
      </c>
      <c r="D135" s="2115">
        <v>0.123</v>
      </c>
      <c r="E135" s="2115">
        <v>0.11</v>
      </c>
      <c r="F135" s="2127"/>
    </row>
    <row r="136" spans="1:6" ht="14.25" thickBot="1">
      <c r="A136" s="1527" t="s">
        <v>203</v>
      </c>
      <c r="B136" s="1521" t="s">
        <v>1457</v>
      </c>
      <c r="C136" s="2115">
        <v>0.13</v>
      </c>
      <c r="D136" s="2115">
        <v>0.13</v>
      </c>
      <c r="E136" s="2115">
        <v>0.125</v>
      </c>
      <c r="F136" s="2127"/>
    </row>
    <row r="137" spans="1:6" ht="14.25" thickBot="1">
      <c r="A137" s="1527" t="s">
        <v>203</v>
      </c>
      <c r="B137" s="1521" t="s">
        <v>1464</v>
      </c>
      <c r="C137" s="2115">
        <v>0.121</v>
      </c>
      <c r="D137" s="2115">
        <v>0.122</v>
      </c>
      <c r="E137" s="2115">
        <v>0.115</v>
      </c>
      <c r="F137" s="2127"/>
    </row>
    <row r="138" spans="1:6" ht="14.25" thickBot="1">
      <c r="A138" s="1527" t="s">
        <v>203</v>
      </c>
      <c r="B138" s="1521" t="s">
        <v>2169</v>
      </c>
      <c r="C138" s="2115">
        <v>0.105</v>
      </c>
      <c r="D138" s="2115">
        <v>0.125</v>
      </c>
      <c r="E138" s="2115">
        <v>0.112</v>
      </c>
      <c r="F138" s="2127"/>
    </row>
    <row r="139" spans="1:6" ht="14.25" thickBot="1">
      <c r="A139" s="1527" t="s">
        <v>203</v>
      </c>
      <c r="B139" s="1521" t="s">
        <v>2170</v>
      </c>
      <c r="C139" s="2115">
        <v>0.127</v>
      </c>
      <c r="D139" s="2115">
        <v>0.127</v>
      </c>
      <c r="E139" s="2115">
        <v>0.122</v>
      </c>
      <c r="F139" s="2116">
        <v>0.13</v>
      </c>
    </row>
    <row r="140" spans="1:6" ht="14.25" thickBot="1">
      <c r="A140" s="1527" t="s">
        <v>203</v>
      </c>
      <c r="B140" s="1521" t="s">
        <v>2171</v>
      </c>
      <c r="C140" s="2115">
        <v>0.125</v>
      </c>
      <c r="D140" s="2115">
        <v>0.125</v>
      </c>
      <c r="E140" s="2115">
        <v>0.11899999999999999</v>
      </c>
      <c r="F140" s="2116">
        <v>0.13</v>
      </c>
    </row>
    <row r="141" spans="1:6" ht="14.25" thickBot="1">
      <c r="A141" s="1527" t="s">
        <v>203</v>
      </c>
      <c r="B141" s="1521" t="s">
        <v>1483</v>
      </c>
      <c r="C141" s="2115">
        <v>0.125</v>
      </c>
      <c r="D141" s="2115">
        <v>0.125</v>
      </c>
      <c r="E141" s="2115">
        <v>0.11700000000000001</v>
      </c>
      <c r="F141" s="2127"/>
    </row>
    <row r="142" spans="1:6" ht="14.25" thickBot="1">
      <c r="A142" s="1527" t="s">
        <v>203</v>
      </c>
      <c r="B142" s="1521" t="s">
        <v>1488</v>
      </c>
      <c r="C142" s="2115">
        <v>0.125</v>
      </c>
      <c r="D142" s="2115">
        <v>0.125</v>
      </c>
      <c r="E142" s="2115">
        <v>0.115</v>
      </c>
      <c r="F142" s="2127"/>
    </row>
    <row r="143" spans="1:6" ht="14.25" thickBot="1">
      <c r="A143" s="1527" t="s">
        <v>203</v>
      </c>
      <c r="B143" s="1521" t="s">
        <v>1493</v>
      </c>
      <c r="C143" s="2115">
        <v>0.121</v>
      </c>
      <c r="D143" s="2115">
        <v>0.121</v>
      </c>
      <c r="E143" s="2115">
        <v>0.108</v>
      </c>
      <c r="F143" s="2127"/>
    </row>
    <row r="144" spans="1:6" ht="14.25" thickBot="1">
      <c r="A144" s="1527" t="s">
        <v>203</v>
      </c>
      <c r="B144" s="2119" t="s">
        <v>2172</v>
      </c>
      <c r="C144" s="2120">
        <v>0.126</v>
      </c>
      <c r="D144" s="2120">
        <v>0.126</v>
      </c>
      <c r="E144" s="2120">
        <v>0.121</v>
      </c>
      <c r="F144" s="2127"/>
    </row>
    <row r="145" spans="1:6" ht="14.25" thickBot="1">
      <c r="A145" s="1537" t="s">
        <v>203</v>
      </c>
      <c r="B145" s="2121" t="s">
        <v>2173</v>
      </c>
      <c r="C145" s="2129"/>
      <c r="D145" s="2129"/>
      <c r="E145" s="2129"/>
      <c r="F145" s="2122">
        <v>0.05</v>
      </c>
    </row>
    <row r="146" spans="1:6" ht="24.75" thickBot="1">
      <c r="A146" s="2123" t="s">
        <v>203</v>
      </c>
      <c r="B146" s="1531" t="s">
        <v>2174</v>
      </c>
      <c r="C146" s="2128"/>
      <c r="D146" s="2128"/>
      <c r="E146" s="2128"/>
      <c r="F146" s="2124">
        <v>0.05</v>
      </c>
    </row>
    <row r="147" spans="1:6" ht="24.75" thickBot="1">
      <c r="A147" s="1527" t="s">
        <v>203</v>
      </c>
      <c r="B147" s="1521" t="s">
        <v>2175</v>
      </c>
      <c r="C147" s="2128"/>
      <c r="D147" s="2128"/>
      <c r="E147" s="2128"/>
      <c r="F147" s="2116">
        <v>0.05</v>
      </c>
    </row>
    <row r="148" spans="1:6" ht="24.75" thickBot="1">
      <c r="A148" s="1527" t="s">
        <v>203</v>
      </c>
      <c r="B148" s="1521" t="s">
        <v>2176</v>
      </c>
      <c r="C148" s="2128"/>
      <c r="D148" s="2128"/>
      <c r="E148" s="2128"/>
      <c r="F148" s="2116">
        <v>0.05</v>
      </c>
    </row>
    <row r="149" spans="1:6" ht="24.75" thickBot="1">
      <c r="A149" s="1527" t="s">
        <v>203</v>
      </c>
      <c r="B149" s="1521" t="s">
        <v>2177</v>
      </c>
      <c r="C149" s="2128"/>
      <c r="D149" s="2128"/>
      <c r="E149" s="2128"/>
      <c r="F149" s="2116">
        <v>0.05</v>
      </c>
    </row>
    <row r="150" spans="1:6" ht="24.75" thickBot="1">
      <c r="A150" s="1527" t="s">
        <v>203</v>
      </c>
      <c r="B150" s="1521" t="s">
        <v>2178</v>
      </c>
      <c r="C150" s="2128"/>
      <c r="D150" s="2128"/>
      <c r="E150" s="2128"/>
      <c r="F150" s="2116">
        <v>0.05</v>
      </c>
    </row>
    <row r="151" spans="1:6" ht="24.75" thickBot="1">
      <c r="A151" s="1527" t="s">
        <v>203</v>
      </c>
      <c r="B151" s="1521" t="s">
        <v>2179</v>
      </c>
      <c r="C151" s="2128"/>
      <c r="D151" s="2128"/>
      <c r="E151" s="2128"/>
      <c r="F151" s="2116">
        <v>0.05</v>
      </c>
    </row>
    <row r="152" spans="1:6" ht="24.75" thickBot="1">
      <c r="A152" s="1527" t="s">
        <v>203</v>
      </c>
      <c r="B152" s="1521" t="s">
        <v>1526</v>
      </c>
      <c r="C152" s="2128"/>
      <c r="D152" s="2128"/>
      <c r="E152" s="2128"/>
      <c r="F152" s="2116">
        <v>0.05</v>
      </c>
    </row>
    <row r="153" spans="1:6" ht="14.25" thickBot="1">
      <c r="A153" s="1527" t="s">
        <v>203</v>
      </c>
      <c r="B153" s="1521" t="s">
        <v>2180</v>
      </c>
      <c r="C153" s="2128"/>
      <c r="D153" s="2128"/>
      <c r="E153" s="2128"/>
      <c r="F153" s="2116">
        <v>0.05</v>
      </c>
    </row>
    <row r="154" spans="1:6" ht="14.25" thickBot="1">
      <c r="A154" s="1527" t="s">
        <v>203</v>
      </c>
      <c r="B154" s="1521" t="s">
        <v>2181</v>
      </c>
      <c r="C154" s="2128"/>
      <c r="D154" s="2128"/>
      <c r="E154" s="2128"/>
      <c r="F154" s="2116">
        <v>0.05</v>
      </c>
    </row>
    <row r="155" spans="1:6" ht="24.75" thickBot="1">
      <c r="A155" s="1527" t="s">
        <v>203</v>
      </c>
      <c r="B155" s="1521" t="s">
        <v>2182</v>
      </c>
      <c r="C155" s="2128"/>
      <c r="D155" s="2128"/>
      <c r="E155" s="2128"/>
      <c r="F155" s="2116">
        <v>0.05</v>
      </c>
    </row>
    <row r="156" spans="1:6" ht="24.75" thickBot="1">
      <c r="A156" s="1527" t="s">
        <v>203</v>
      </c>
      <c r="B156" s="1521" t="s">
        <v>2183</v>
      </c>
      <c r="C156" s="2128"/>
      <c r="D156" s="2128"/>
      <c r="E156" s="2128"/>
      <c r="F156" s="2116">
        <v>0.05</v>
      </c>
    </row>
    <row r="157" spans="1:6" ht="14.25" thickBot="1">
      <c r="A157" s="1537" t="s">
        <v>203</v>
      </c>
      <c r="B157" s="1533" t="s">
        <v>2184</v>
      </c>
      <c r="C157" s="2125"/>
      <c r="D157" s="2125"/>
      <c r="E157" s="2125"/>
      <c r="F157" s="2118">
        <v>0.05</v>
      </c>
    </row>
    <row r="158" spans="1:6" ht="14.25" thickBot="1">
      <c r="A158" s="1527" t="s">
        <v>1545</v>
      </c>
      <c r="B158" s="1528" t="s">
        <v>2185</v>
      </c>
      <c r="C158" s="2113">
        <v>0.13</v>
      </c>
      <c r="D158" s="2113">
        <v>0.13</v>
      </c>
      <c r="E158" s="2113">
        <v>0.13</v>
      </c>
      <c r="F158" s="2114">
        <v>0.13</v>
      </c>
    </row>
    <row r="159" spans="1:6" ht="14.25" thickBot="1">
      <c r="A159" s="1527" t="s">
        <v>1545</v>
      </c>
      <c r="B159" s="1521" t="s">
        <v>1212</v>
      </c>
      <c r="C159" s="2115">
        <v>0.13</v>
      </c>
      <c r="D159" s="2115">
        <v>0.13</v>
      </c>
      <c r="E159" s="2115">
        <v>0.13</v>
      </c>
      <c r="F159" s="2116">
        <v>0.13</v>
      </c>
    </row>
    <row r="160" spans="1:6" ht="14.25" thickBot="1">
      <c r="A160" s="1527" t="s">
        <v>1545</v>
      </c>
      <c r="B160" s="1521" t="s">
        <v>1225</v>
      </c>
      <c r="C160" s="2115">
        <v>0.13</v>
      </c>
      <c r="D160" s="2115">
        <v>0.13</v>
      </c>
      <c r="E160" s="2115">
        <v>0.129</v>
      </c>
      <c r="F160" s="2116">
        <v>0.13</v>
      </c>
    </row>
    <row r="161" spans="1:6" ht="14.25" thickBot="1">
      <c r="A161" s="1527" t="s">
        <v>1545</v>
      </c>
      <c r="B161" s="1521" t="s">
        <v>1238</v>
      </c>
      <c r="C161" s="2115">
        <v>0.128</v>
      </c>
      <c r="D161" s="2115">
        <v>0.128</v>
      </c>
      <c r="E161" s="2115">
        <v>0.125</v>
      </c>
      <c r="F161" s="2116">
        <v>0.13</v>
      </c>
    </row>
    <row r="162" spans="1:6" ht="14.25" thickBot="1">
      <c r="A162" s="1527" t="s">
        <v>1545</v>
      </c>
      <c r="B162" s="1521" t="s">
        <v>1250</v>
      </c>
      <c r="C162" s="2115">
        <v>0.122</v>
      </c>
      <c r="D162" s="2115">
        <v>0.122</v>
      </c>
      <c r="E162" s="2115">
        <v>0.126</v>
      </c>
      <c r="F162" s="2116">
        <v>0.122</v>
      </c>
    </row>
    <row r="163" spans="1:6" ht="14.25" thickBot="1">
      <c r="A163" s="1527" t="s">
        <v>1545</v>
      </c>
      <c r="B163" s="1521" t="s">
        <v>1261</v>
      </c>
      <c r="C163" s="2115">
        <v>0.13</v>
      </c>
      <c r="D163" s="2115">
        <v>0.13</v>
      </c>
      <c r="E163" s="2115">
        <v>0.125</v>
      </c>
      <c r="F163" s="2116">
        <v>0.13</v>
      </c>
    </row>
    <row r="164" spans="1:6" ht="14.25" thickBot="1">
      <c r="A164" s="1527" t="s">
        <v>1545</v>
      </c>
      <c r="B164" s="1521" t="s">
        <v>1272</v>
      </c>
      <c r="C164" s="2115">
        <v>0.13</v>
      </c>
      <c r="D164" s="2115">
        <v>0.13</v>
      </c>
      <c r="E164" s="2115">
        <v>0.13</v>
      </c>
      <c r="F164" s="2116">
        <v>0.13</v>
      </c>
    </row>
    <row r="165" spans="1:6" ht="14.25" thickBot="1">
      <c r="A165" s="1527" t="s">
        <v>1545</v>
      </c>
      <c r="B165" s="1521" t="s">
        <v>1283</v>
      </c>
      <c r="C165" s="2115">
        <v>0.13</v>
      </c>
      <c r="D165" s="2115">
        <v>0.13</v>
      </c>
      <c r="E165" s="2115">
        <v>0.124</v>
      </c>
      <c r="F165" s="2116">
        <v>0.13</v>
      </c>
    </row>
    <row r="166" spans="1:6" ht="14.25" thickBot="1">
      <c r="A166" s="1527" t="s">
        <v>1545</v>
      </c>
      <c r="B166" s="1521" t="s">
        <v>1295</v>
      </c>
      <c r="C166" s="2115">
        <v>0.13</v>
      </c>
      <c r="D166" s="2115">
        <v>0.13</v>
      </c>
      <c r="E166" s="2115">
        <v>0.13</v>
      </c>
      <c r="F166" s="2116">
        <v>0.13</v>
      </c>
    </row>
    <row r="167" spans="1:6" ht="14.25" thickBot="1">
      <c r="A167" s="1527" t="s">
        <v>1545</v>
      </c>
      <c r="B167" s="1521" t="s">
        <v>1305</v>
      </c>
      <c r="C167" s="2115">
        <v>0.125</v>
      </c>
      <c r="D167" s="2115">
        <v>0.125</v>
      </c>
      <c r="E167" s="2115">
        <v>0.121</v>
      </c>
      <c r="F167" s="2127"/>
    </row>
    <row r="168" spans="1:6" ht="14.25" thickBot="1">
      <c r="A168" s="1527" t="s">
        <v>1545</v>
      </c>
      <c r="B168" s="1521" t="s">
        <v>1315</v>
      </c>
      <c r="C168" s="2115">
        <v>0.13</v>
      </c>
      <c r="D168" s="2115">
        <v>0.13</v>
      </c>
      <c r="E168" s="2115">
        <v>0.126</v>
      </c>
      <c r="F168" s="2127"/>
    </row>
    <row r="169" spans="1:6" ht="14.25" thickBot="1">
      <c r="A169" s="1527" t="s">
        <v>1545</v>
      </c>
      <c r="B169" s="1521" t="s">
        <v>1325</v>
      </c>
      <c r="C169" s="2115">
        <v>0.128</v>
      </c>
      <c r="D169" s="2115">
        <v>0.129</v>
      </c>
      <c r="E169" s="2115">
        <v>0.13</v>
      </c>
      <c r="F169" s="2127"/>
    </row>
    <row r="170" spans="1:6" ht="14.25" thickBot="1">
      <c r="A170" s="1527" t="s">
        <v>1545</v>
      </c>
      <c r="B170" s="1521" t="s">
        <v>1335</v>
      </c>
      <c r="C170" s="2115">
        <v>0.14099999999999999</v>
      </c>
      <c r="D170" s="2115">
        <v>0.13</v>
      </c>
      <c r="E170" s="2115">
        <v>0.125</v>
      </c>
      <c r="F170" s="2127"/>
    </row>
    <row r="171" spans="1:6" ht="14.25" thickBot="1">
      <c r="A171" s="1527" t="s">
        <v>1545</v>
      </c>
      <c r="B171" s="1521" t="s">
        <v>2186</v>
      </c>
      <c r="C171" s="2115">
        <v>0.127</v>
      </c>
      <c r="D171" s="2115">
        <v>0.126</v>
      </c>
      <c r="E171" s="2115">
        <v>0.126</v>
      </c>
      <c r="F171" s="2116">
        <v>0.11799999999999999</v>
      </c>
    </row>
    <row r="172" spans="1:6" ht="14.25" thickBot="1">
      <c r="A172" s="1527" t="s">
        <v>1545</v>
      </c>
      <c r="B172" s="1521" t="s">
        <v>2187</v>
      </c>
      <c r="C172" s="2115">
        <v>0.13</v>
      </c>
      <c r="D172" s="2115">
        <v>0.13</v>
      </c>
      <c r="E172" s="2115">
        <v>0.13</v>
      </c>
      <c r="F172" s="2127"/>
    </row>
    <row r="173" spans="1:6" ht="14.25" thickBot="1">
      <c r="A173" s="1527" t="s">
        <v>1545</v>
      </c>
      <c r="B173" s="1521" t="s">
        <v>1367</v>
      </c>
      <c r="C173" s="2115">
        <v>0.13</v>
      </c>
      <c r="D173" s="2115">
        <v>0.13</v>
      </c>
      <c r="E173" s="2115">
        <v>0.13</v>
      </c>
      <c r="F173" s="2127"/>
    </row>
    <row r="174" spans="1:6" ht="14.25" thickBot="1">
      <c r="A174" s="1527" t="s">
        <v>1545</v>
      </c>
      <c r="B174" s="1521" t="s">
        <v>2188</v>
      </c>
      <c r="C174" s="2115">
        <v>0.13</v>
      </c>
      <c r="D174" s="2115">
        <v>0.13</v>
      </c>
      <c r="E174" s="2115">
        <v>0.13</v>
      </c>
      <c r="F174" s="2116">
        <v>0.13</v>
      </c>
    </row>
    <row r="175" spans="1:6" ht="14.25" thickBot="1">
      <c r="A175" s="1527" t="s">
        <v>1545</v>
      </c>
      <c r="B175" s="1521" t="s">
        <v>2189</v>
      </c>
      <c r="C175" s="2115">
        <v>0.13</v>
      </c>
      <c r="D175" s="2115">
        <v>0.13</v>
      </c>
      <c r="E175" s="2115">
        <v>0.13</v>
      </c>
      <c r="F175" s="2116">
        <v>0.13</v>
      </c>
    </row>
    <row r="176" spans="1:6" ht="14.25" thickBot="1">
      <c r="A176" s="1527" t="s">
        <v>1545</v>
      </c>
      <c r="B176" s="1521" t="s">
        <v>1397</v>
      </c>
      <c r="C176" s="2115">
        <v>0.13</v>
      </c>
      <c r="D176" s="2115">
        <v>0.13</v>
      </c>
      <c r="E176" s="2115">
        <v>0.13</v>
      </c>
      <c r="F176" s="2116">
        <v>0.13</v>
      </c>
    </row>
    <row r="177" spans="1:6" ht="14.25" thickBot="1">
      <c r="A177" s="1527" t="s">
        <v>1545</v>
      </c>
      <c r="B177" s="1521" t="s">
        <v>2190</v>
      </c>
      <c r="C177" s="2115">
        <v>0.13</v>
      </c>
      <c r="D177" s="2115">
        <v>0.13</v>
      </c>
      <c r="E177" s="2115">
        <v>0.13</v>
      </c>
      <c r="F177" s="2116">
        <v>0.13</v>
      </c>
    </row>
    <row r="178" spans="1:6" ht="14.25" thickBot="1">
      <c r="A178" s="1527" t="s">
        <v>1545</v>
      </c>
      <c r="B178" s="1521" t="s">
        <v>1415</v>
      </c>
      <c r="C178" s="2115">
        <v>0.13</v>
      </c>
      <c r="D178" s="2115">
        <v>0.13</v>
      </c>
      <c r="E178" s="2115">
        <v>0.13</v>
      </c>
      <c r="F178" s="2116">
        <v>0.127</v>
      </c>
    </row>
    <row r="179" spans="1:6" ht="14.25" thickBot="1">
      <c r="A179" s="1527" t="s">
        <v>1545</v>
      </c>
      <c r="B179" s="1521" t="s">
        <v>1423</v>
      </c>
      <c r="C179" s="2115">
        <v>0.13</v>
      </c>
      <c r="D179" s="2115">
        <v>0.13</v>
      </c>
      <c r="E179" s="2115">
        <v>0.13</v>
      </c>
      <c r="F179" s="2127"/>
    </row>
    <row r="180" spans="1:6" ht="14.25" thickBot="1">
      <c r="A180" s="1527" t="s">
        <v>1545</v>
      </c>
      <c r="B180" s="1521" t="s">
        <v>2191</v>
      </c>
      <c r="C180" s="2115">
        <v>0.13</v>
      </c>
      <c r="D180" s="2115">
        <v>0.13</v>
      </c>
      <c r="E180" s="2115">
        <v>0.125</v>
      </c>
      <c r="F180" s="2116">
        <v>0.13</v>
      </c>
    </row>
    <row r="181" spans="1:6" ht="14.25" thickBot="1">
      <c r="A181" s="1527" t="s">
        <v>1545</v>
      </c>
      <c r="B181" s="1521" t="s">
        <v>1437</v>
      </c>
      <c r="C181" s="2115">
        <v>0.122</v>
      </c>
      <c r="D181" s="2115">
        <v>0.123</v>
      </c>
      <c r="E181" s="2115">
        <v>0.126</v>
      </c>
      <c r="F181" s="2116">
        <v>0.121</v>
      </c>
    </row>
    <row r="182" spans="1:6" ht="14.25" thickBot="1">
      <c r="A182" s="1527" t="s">
        <v>1545</v>
      </c>
      <c r="B182" s="1521" t="s">
        <v>1444</v>
      </c>
      <c r="C182" s="2115">
        <v>0.125</v>
      </c>
      <c r="D182" s="2115">
        <v>0.125</v>
      </c>
      <c r="E182" s="2115">
        <v>0.11700000000000001</v>
      </c>
      <c r="F182" s="2116">
        <v>0.13</v>
      </c>
    </row>
    <row r="183" spans="1:6" ht="14.25" thickBot="1">
      <c r="A183" s="1527" t="s">
        <v>1545</v>
      </c>
      <c r="B183" s="1521" t="s">
        <v>1451</v>
      </c>
      <c r="C183" s="2115">
        <v>0.127</v>
      </c>
      <c r="D183" s="2115">
        <v>0.127</v>
      </c>
      <c r="E183" s="2115">
        <v>0.128</v>
      </c>
      <c r="F183" s="2127"/>
    </row>
    <row r="184" spans="1:6" ht="14.25" thickBot="1">
      <c r="A184" s="1527" t="s">
        <v>1545</v>
      </c>
      <c r="B184" s="1521" t="s">
        <v>1458</v>
      </c>
      <c r="C184" s="2115">
        <v>0.125</v>
      </c>
      <c r="D184" s="2115">
        <v>0.125</v>
      </c>
      <c r="E184" s="2115">
        <v>0.127</v>
      </c>
      <c r="F184" s="2127"/>
    </row>
    <row r="185" spans="1:6" ht="14.25" thickBot="1">
      <c r="A185" s="1527" t="s">
        <v>1545</v>
      </c>
      <c r="B185" s="1521" t="s">
        <v>2192</v>
      </c>
      <c r="C185" s="2115">
        <v>0.127</v>
      </c>
      <c r="D185" s="2115">
        <v>0.127</v>
      </c>
      <c r="E185" s="2115">
        <v>0.128</v>
      </c>
      <c r="F185" s="2116">
        <v>0.13</v>
      </c>
    </row>
    <row r="186" spans="1:6" ht="24.75" thickBot="1">
      <c r="A186" s="1527" t="s">
        <v>1545</v>
      </c>
      <c r="B186" s="1521" t="s">
        <v>2193</v>
      </c>
      <c r="C186" s="2128"/>
      <c r="D186" s="2128"/>
      <c r="E186" s="2128"/>
      <c r="F186" s="2116">
        <v>0.05</v>
      </c>
    </row>
    <row r="187" spans="1:6" ht="14.25" thickBot="1">
      <c r="A187" s="1527" t="s">
        <v>1545</v>
      </c>
      <c r="B187" s="1521" t="s">
        <v>2194</v>
      </c>
      <c r="C187" s="2128"/>
      <c r="D187" s="2128"/>
      <c r="E187" s="2128"/>
      <c r="F187" s="2116">
        <v>0.05</v>
      </c>
    </row>
    <row r="188" spans="1:6" ht="14.25" thickBot="1">
      <c r="A188" s="1527" t="s">
        <v>1545</v>
      </c>
      <c r="B188" s="1521" t="s">
        <v>2195</v>
      </c>
      <c r="C188" s="2128"/>
      <c r="D188" s="2128"/>
      <c r="E188" s="2128"/>
      <c r="F188" s="2116">
        <v>0.05</v>
      </c>
    </row>
    <row r="189" spans="1:6" ht="24.75" thickBot="1">
      <c r="A189" s="1527" t="s">
        <v>1545</v>
      </c>
      <c r="B189" s="1521" t="s">
        <v>2196</v>
      </c>
      <c r="C189" s="2128"/>
      <c r="D189" s="2128"/>
      <c r="E189" s="2128"/>
      <c r="F189" s="2116">
        <v>0.05</v>
      </c>
    </row>
    <row r="190" spans="1:6" ht="24.75" thickBot="1">
      <c r="A190" s="1527" t="s">
        <v>1545</v>
      </c>
      <c r="B190" s="1521" t="s">
        <v>2197</v>
      </c>
      <c r="C190" s="2128"/>
      <c r="D190" s="2128"/>
      <c r="E190" s="2128"/>
      <c r="F190" s="2116">
        <v>0.05</v>
      </c>
    </row>
    <row r="191" spans="1:6" ht="24.75" thickBot="1">
      <c r="A191" s="1527" t="s">
        <v>1545</v>
      </c>
      <c r="B191" s="1521" t="s">
        <v>2198</v>
      </c>
      <c r="C191" s="2128"/>
      <c r="D191" s="2128"/>
      <c r="E191" s="2128"/>
      <c r="F191" s="2116">
        <v>0.05</v>
      </c>
    </row>
    <row r="192" spans="1:6" ht="24.75" thickBot="1">
      <c r="A192" s="1527" t="s">
        <v>1545</v>
      </c>
      <c r="B192" s="1521" t="s">
        <v>2199</v>
      </c>
      <c r="C192" s="2128"/>
      <c r="D192" s="2128"/>
      <c r="E192" s="2128"/>
      <c r="F192" s="2116">
        <v>0.05</v>
      </c>
    </row>
    <row r="193" spans="1:6" ht="24.75" thickBot="1">
      <c r="A193" s="1527" t="s">
        <v>1545</v>
      </c>
      <c r="B193" s="1521" t="s">
        <v>2200</v>
      </c>
      <c r="C193" s="2128"/>
      <c r="D193" s="2128"/>
      <c r="E193" s="2128"/>
      <c r="F193" s="2116">
        <v>0.05</v>
      </c>
    </row>
    <row r="194" spans="1:6" ht="24.75" thickBot="1">
      <c r="A194" s="1527" t="s">
        <v>1545</v>
      </c>
      <c r="B194" s="1521" t="s">
        <v>2201</v>
      </c>
      <c r="C194" s="2128"/>
      <c r="D194" s="2128"/>
      <c r="E194" s="2128"/>
      <c r="F194" s="2116">
        <v>0.05</v>
      </c>
    </row>
    <row r="195" spans="1:6" ht="14.25" thickBot="1">
      <c r="A195" s="1527" t="s">
        <v>1545</v>
      </c>
      <c r="B195" s="1521" t="s">
        <v>2202</v>
      </c>
      <c r="C195" s="2128"/>
      <c r="D195" s="2128"/>
      <c r="E195" s="2128"/>
      <c r="F195" s="2116">
        <v>0.05</v>
      </c>
    </row>
    <row r="196" spans="1:6" ht="24.75" thickBot="1">
      <c r="A196" s="1527" t="s">
        <v>1545</v>
      </c>
      <c r="B196" s="1521" t="s">
        <v>2203</v>
      </c>
      <c r="C196" s="2128"/>
      <c r="D196" s="2128"/>
      <c r="E196" s="2128"/>
      <c r="F196" s="2116">
        <v>0.05</v>
      </c>
    </row>
    <row r="197" spans="1:6" ht="24.75" thickBot="1">
      <c r="A197" s="1527" t="s">
        <v>1545</v>
      </c>
      <c r="B197" s="1521" t="s">
        <v>2204</v>
      </c>
      <c r="C197" s="2128"/>
      <c r="D197" s="2128"/>
      <c r="E197" s="2128"/>
      <c r="F197" s="2116">
        <v>0.05</v>
      </c>
    </row>
    <row r="198" spans="1:6" ht="24.75" thickBot="1">
      <c r="A198" s="1527" t="s">
        <v>1545</v>
      </c>
      <c r="B198" s="1521" t="s">
        <v>2205</v>
      </c>
      <c r="C198" s="2128"/>
      <c r="D198" s="2128"/>
      <c r="E198" s="2128"/>
      <c r="F198" s="2116">
        <v>0.05</v>
      </c>
    </row>
    <row r="199" spans="1:6" ht="24.75" thickBot="1">
      <c r="A199" s="1527" t="s">
        <v>1545</v>
      </c>
      <c r="B199" s="1521" t="s">
        <v>2206</v>
      </c>
      <c r="C199" s="2128"/>
      <c r="D199" s="2128"/>
      <c r="E199" s="2128"/>
      <c r="F199" s="2116">
        <v>0.05</v>
      </c>
    </row>
    <row r="200" spans="1:6" ht="24.75" thickBot="1">
      <c r="A200" s="1527" t="s">
        <v>1545</v>
      </c>
      <c r="B200" s="1521" t="s">
        <v>2207</v>
      </c>
      <c r="C200" s="2128"/>
      <c r="D200" s="2128"/>
      <c r="E200" s="2128"/>
      <c r="F200" s="2116">
        <v>0.05</v>
      </c>
    </row>
    <row r="201" spans="1:6" ht="24.75" thickBot="1">
      <c r="A201" s="1527" t="s">
        <v>1545</v>
      </c>
      <c r="B201" s="1521" t="s">
        <v>2208</v>
      </c>
      <c r="C201" s="2128"/>
      <c r="D201" s="2128"/>
      <c r="E201" s="2128"/>
      <c r="F201" s="2116">
        <v>0.05</v>
      </c>
    </row>
    <row r="202" spans="1:6" ht="24.75" thickBot="1">
      <c r="A202" s="1527" t="s">
        <v>1545</v>
      </c>
      <c r="B202" s="1521" t="s">
        <v>2209</v>
      </c>
      <c r="C202" s="2128"/>
      <c r="D202" s="2128"/>
      <c r="E202" s="2128"/>
      <c r="F202" s="2116">
        <v>0.05</v>
      </c>
    </row>
    <row r="203" spans="1:6" ht="24.75" thickBot="1">
      <c r="A203" s="1527" t="s">
        <v>1545</v>
      </c>
      <c r="B203" s="1521" t="s">
        <v>2210</v>
      </c>
      <c r="C203" s="2128"/>
      <c r="D203" s="2128"/>
      <c r="E203" s="2128"/>
      <c r="F203" s="2116">
        <v>0.05</v>
      </c>
    </row>
    <row r="204" spans="1:6" ht="14.25" thickBot="1">
      <c r="A204" s="1527" t="s">
        <v>1545</v>
      </c>
      <c r="B204" s="1521" t="s">
        <v>2211</v>
      </c>
      <c r="C204" s="2128"/>
      <c r="D204" s="2128"/>
      <c r="E204" s="2128"/>
      <c r="F204" s="2116">
        <v>0.05</v>
      </c>
    </row>
    <row r="205" spans="1:6" ht="14.25" thickBot="1">
      <c r="A205" s="1537" t="s">
        <v>1545</v>
      </c>
      <c r="B205" s="1533" t="s">
        <v>2212</v>
      </c>
      <c r="C205" s="2125"/>
      <c r="D205" s="2125"/>
      <c r="E205" s="2125"/>
      <c r="F205" s="2118">
        <v>0.05</v>
      </c>
    </row>
    <row r="206" spans="1:6" ht="14.25" thickBot="1">
      <c r="A206" s="1527" t="s">
        <v>1547</v>
      </c>
      <c r="B206" s="1528" t="s">
        <v>2213</v>
      </c>
      <c r="C206" s="2113">
        <v>0.15</v>
      </c>
      <c r="D206" s="2113">
        <v>0.15</v>
      </c>
      <c r="E206" s="2113">
        <v>0.15</v>
      </c>
      <c r="F206" s="2114">
        <v>0.15</v>
      </c>
    </row>
    <row r="207" spans="1:6" ht="14.25" thickBot="1">
      <c r="A207" s="1527" t="s">
        <v>1547</v>
      </c>
      <c r="B207" s="1521" t="s">
        <v>1213</v>
      </c>
      <c r="C207" s="2115">
        <v>0.15</v>
      </c>
      <c r="D207" s="2115">
        <v>0.15</v>
      </c>
      <c r="E207" s="2115">
        <v>0.15</v>
      </c>
      <c r="F207" s="2116">
        <v>0.14399999999999999</v>
      </c>
    </row>
    <row r="208" spans="1:6" ht="14.25" thickBot="1">
      <c r="A208" s="1527" t="s">
        <v>1547</v>
      </c>
      <c r="B208" s="1521" t="s">
        <v>1226</v>
      </c>
      <c r="C208" s="2115">
        <v>0.15</v>
      </c>
      <c r="D208" s="2115">
        <v>0.15</v>
      </c>
      <c r="E208" s="2115">
        <v>0.15</v>
      </c>
      <c r="F208" s="2116">
        <v>0.15</v>
      </c>
    </row>
    <row r="209" spans="1:6" ht="14.25" thickBot="1">
      <c r="A209" s="1527" t="s">
        <v>1547</v>
      </c>
      <c r="B209" s="1521" t="s">
        <v>1239</v>
      </c>
      <c r="C209" s="2115">
        <v>0.13700000000000001</v>
      </c>
      <c r="D209" s="2115">
        <v>0.13700000000000001</v>
      </c>
      <c r="E209" s="2115">
        <v>0.14000000000000001</v>
      </c>
      <c r="F209" s="2116">
        <v>0.11700000000000001</v>
      </c>
    </row>
    <row r="210" spans="1:6" ht="14.25" thickBot="1">
      <c r="A210" s="1527" t="s">
        <v>1547</v>
      </c>
      <c r="B210" s="1521" t="s">
        <v>2214</v>
      </c>
      <c r="C210" s="2115">
        <v>0.15</v>
      </c>
      <c r="D210" s="2115">
        <v>0.15</v>
      </c>
      <c r="E210" s="2115">
        <v>0.15</v>
      </c>
      <c r="F210" s="2116">
        <v>0.13800000000000001</v>
      </c>
    </row>
    <row r="211" spans="1:6" ht="14.25" thickBot="1">
      <c r="A211" s="1527" t="s">
        <v>1547</v>
      </c>
      <c r="B211" s="1521" t="s">
        <v>2215</v>
      </c>
      <c r="C211" s="2115">
        <v>0.13700000000000001</v>
      </c>
      <c r="D211" s="2115">
        <v>0.13500000000000001</v>
      </c>
      <c r="E211" s="2115">
        <v>0.13600000000000001</v>
      </c>
      <c r="F211" s="2116">
        <v>0.1</v>
      </c>
    </row>
    <row r="212" spans="1:6" ht="14.25" thickBot="1">
      <c r="A212" s="1527" t="s">
        <v>1547</v>
      </c>
      <c r="B212" s="1521" t="s">
        <v>2216</v>
      </c>
      <c r="C212" s="2115">
        <v>0.15</v>
      </c>
      <c r="D212" s="2115">
        <v>0.15</v>
      </c>
      <c r="E212" s="2115">
        <v>0.14799999999999999</v>
      </c>
      <c r="F212" s="2116">
        <v>0.13600000000000001</v>
      </c>
    </row>
    <row r="213" spans="1:6" ht="14.25" thickBot="1">
      <c r="A213" s="1527" t="s">
        <v>1547</v>
      </c>
      <c r="B213" s="1521" t="s">
        <v>1284</v>
      </c>
      <c r="C213" s="2115">
        <v>0.15</v>
      </c>
      <c r="D213" s="2115">
        <v>0.15</v>
      </c>
      <c r="E213" s="2115">
        <v>0.15</v>
      </c>
      <c r="F213" s="2116">
        <v>0.13800000000000001</v>
      </c>
    </row>
    <row r="214" spans="1:6" ht="14.25" thickBot="1">
      <c r="A214" s="1527" t="s">
        <v>1547</v>
      </c>
      <c r="B214" s="1521" t="s">
        <v>1296</v>
      </c>
      <c r="C214" s="2115">
        <v>9.0999999999999998E-2</v>
      </c>
      <c r="D214" s="2115">
        <v>0.09</v>
      </c>
      <c r="E214" s="2115">
        <v>9.1999999999999998E-2</v>
      </c>
      <c r="F214" s="2127"/>
    </row>
    <row r="215" spans="1:6" ht="14.25" thickBot="1">
      <c r="A215" s="1527" t="s">
        <v>1547</v>
      </c>
      <c r="B215" s="1521" t="s">
        <v>2217</v>
      </c>
      <c r="C215" s="2115">
        <v>0.15</v>
      </c>
      <c r="D215" s="2115">
        <v>0.15</v>
      </c>
      <c r="E215" s="2115">
        <v>0.15</v>
      </c>
      <c r="F215" s="2116">
        <v>0.15</v>
      </c>
    </row>
    <row r="216" spans="1:6" ht="14.25" thickBot="1">
      <c r="A216" s="1527" t="s">
        <v>1547</v>
      </c>
      <c r="B216" s="1521" t="s">
        <v>1316</v>
      </c>
      <c r="C216" s="2115">
        <v>0.14699999999999999</v>
      </c>
      <c r="D216" s="2115">
        <v>0.14699999999999999</v>
      </c>
      <c r="E216" s="2115">
        <v>0.15</v>
      </c>
      <c r="F216" s="2116">
        <v>0.14000000000000001</v>
      </c>
    </row>
    <row r="217" spans="1:6" ht="14.25" thickBot="1">
      <c r="A217" s="1527" t="s">
        <v>1547</v>
      </c>
      <c r="B217" s="1521" t="s">
        <v>1326</v>
      </c>
      <c r="C217" s="2115">
        <v>0.15</v>
      </c>
      <c r="D217" s="2115">
        <v>0.15</v>
      </c>
      <c r="E217" s="2115">
        <v>0.15</v>
      </c>
      <c r="F217" s="2116">
        <v>0.15</v>
      </c>
    </row>
    <row r="218" spans="1:6" ht="14.25" thickBot="1">
      <c r="A218" s="1527" t="s">
        <v>1547</v>
      </c>
      <c r="B218" s="1521" t="s">
        <v>2218</v>
      </c>
      <c r="C218" s="2115">
        <v>0.15</v>
      </c>
      <c r="D218" s="2115">
        <v>0.15</v>
      </c>
      <c r="E218" s="2115">
        <v>0.15</v>
      </c>
      <c r="F218" s="2116">
        <v>0.15</v>
      </c>
    </row>
    <row r="219" spans="1:6" ht="14.25" thickBot="1">
      <c r="A219" s="1527" t="s">
        <v>1547</v>
      </c>
      <c r="B219" s="1521" t="s">
        <v>1347</v>
      </c>
      <c r="C219" s="2115">
        <v>0.15</v>
      </c>
      <c r="D219" s="2115">
        <v>0.15</v>
      </c>
      <c r="E219" s="2115">
        <v>0.15</v>
      </c>
      <c r="F219" s="2116">
        <v>0.14799999999999999</v>
      </c>
    </row>
    <row r="220" spans="1:6" ht="14.25" thickBot="1">
      <c r="A220" s="1527" t="s">
        <v>1547</v>
      </c>
      <c r="B220" s="1521" t="s">
        <v>2219</v>
      </c>
      <c r="C220" s="2115">
        <v>0.15</v>
      </c>
      <c r="D220" s="2115">
        <v>0.15</v>
      </c>
      <c r="E220" s="2115">
        <v>0.15</v>
      </c>
      <c r="F220" s="2116">
        <v>0.15</v>
      </c>
    </row>
    <row r="221" spans="1:6" ht="14.25" thickBot="1">
      <c r="A221" s="1527" t="s">
        <v>1547</v>
      </c>
      <c r="B221" s="1521" t="s">
        <v>1368</v>
      </c>
      <c r="C221" s="2115"/>
      <c r="D221" s="2128"/>
      <c r="E221" s="2128"/>
      <c r="F221" s="2116">
        <v>0.14799999999999999</v>
      </c>
    </row>
    <row r="222" spans="1:6" ht="14.25" thickBot="1">
      <c r="A222" s="1527" t="s">
        <v>1547</v>
      </c>
      <c r="B222" s="1521" t="s">
        <v>1378</v>
      </c>
      <c r="C222" s="2115"/>
      <c r="D222" s="2128"/>
      <c r="E222" s="2128"/>
      <c r="F222" s="2116">
        <v>0.1</v>
      </c>
    </row>
    <row r="223" spans="1:6" ht="14.25" thickBot="1">
      <c r="A223" s="1527" t="s">
        <v>1547</v>
      </c>
      <c r="B223" s="1521" t="s">
        <v>1388</v>
      </c>
      <c r="C223" s="2115"/>
      <c r="D223" s="2128"/>
      <c r="E223" s="2128"/>
      <c r="F223" s="2116">
        <v>0.15</v>
      </c>
    </row>
    <row r="224" spans="1:6" ht="14.25" thickBot="1">
      <c r="A224" s="1527" t="s">
        <v>1547</v>
      </c>
      <c r="B224" s="1521" t="s">
        <v>1398</v>
      </c>
      <c r="C224" s="2115"/>
      <c r="D224" s="2128"/>
      <c r="E224" s="2128"/>
      <c r="F224" s="2116">
        <v>0.15</v>
      </c>
    </row>
    <row r="225" spans="1:6" ht="14.25" thickBot="1">
      <c r="A225" s="1527" t="s">
        <v>1547</v>
      </c>
      <c r="B225" s="1521" t="s">
        <v>2220</v>
      </c>
      <c r="C225" s="2115">
        <v>0.15</v>
      </c>
      <c r="D225" s="2115">
        <v>0.15</v>
      </c>
      <c r="E225" s="2115">
        <v>0.15</v>
      </c>
      <c r="F225" s="2116">
        <v>0.15</v>
      </c>
    </row>
    <row r="226" spans="1:6" ht="14.25" thickBot="1">
      <c r="A226" s="1527" t="s">
        <v>1547</v>
      </c>
      <c r="B226" s="1521" t="s">
        <v>1416</v>
      </c>
      <c r="C226" s="2115">
        <v>0.15</v>
      </c>
      <c r="D226" s="2115">
        <v>0.15</v>
      </c>
      <c r="E226" s="2115">
        <v>0.15</v>
      </c>
      <c r="F226" s="2116">
        <v>0.14799999999999999</v>
      </c>
    </row>
    <row r="227" spans="1:6" ht="14.25" thickBot="1">
      <c r="A227" s="1527" t="s">
        <v>1547</v>
      </c>
      <c r="B227" s="1521" t="s">
        <v>2221</v>
      </c>
      <c r="C227" s="2115">
        <v>0.15</v>
      </c>
      <c r="D227" s="2115">
        <v>0.15</v>
      </c>
      <c r="E227" s="2115">
        <v>0.15</v>
      </c>
      <c r="F227" s="2116">
        <v>0.15</v>
      </c>
    </row>
    <row r="228" spans="1:6" ht="14.25" thickBot="1">
      <c r="A228" s="1527" t="s">
        <v>1547</v>
      </c>
      <c r="B228" s="1521" t="s">
        <v>1431</v>
      </c>
      <c r="C228" s="2115">
        <v>0.15</v>
      </c>
      <c r="D228" s="2115">
        <v>0.15</v>
      </c>
      <c r="E228" s="2115">
        <v>0.15</v>
      </c>
      <c r="F228" s="2116">
        <v>0.15</v>
      </c>
    </row>
    <row r="229" spans="1:6" ht="14.25" thickBot="1">
      <c r="A229" s="1527" t="s">
        <v>1547</v>
      </c>
      <c r="B229" s="1521" t="s">
        <v>1438</v>
      </c>
      <c r="C229" s="2115">
        <v>0.15</v>
      </c>
      <c r="D229" s="2115">
        <v>0.15</v>
      </c>
      <c r="E229" s="2115">
        <v>0.15</v>
      </c>
      <c r="F229" s="2127"/>
    </row>
    <row r="230" spans="1:6" ht="14.25" thickBot="1">
      <c r="A230" s="1527" t="s">
        <v>1547</v>
      </c>
      <c r="B230" s="1521" t="s">
        <v>1445</v>
      </c>
      <c r="C230" s="2115">
        <v>0.14499999999999999</v>
      </c>
      <c r="D230" s="2115">
        <v>0.14499999999999999</v>
      </c>
      <c r="E230" s="2115">
        <v>0.14399999999999999</v>
      </c>
      <c r="F230" s="2127"/>
    </row>
    <row r="231" spans="1:6" ht="14.25" thickBot="1">
      <c r="A231" s="1527" t="s">
        <v>1547</v>
      </c>
      <c r="B231" s="1521" t="s">
        <v>2222</v>
      </c>
      <c r="C231" s="2115">
        <v>0.128</v>
      </c>
      <c r="D231" s="2115">
        <v>0.125</v>
      </c>
      <c r="E231" s="2115">
        <v>0.13200000000000001</v>
      </c>
      <c r="F231" s="2127"/>
    </row>
    <row r="232" spans="1:6" ht="14.25" thickBot="1">
      <c r="A232" s="1527" t="s">
        <v>1547</v>
      </c>
      <c r="B232" s="1521" t="s">
        <v>2223</v>
      </c>
      <c r="C232" s="2115">
        <v>0.14499999999999999</v>
      </c>
      <c r="D232" s="2115">
        <v>0.14399999999999999</v>
      </c>
      <c r="E232" s="2115">
        <v>0.14599999999999999</v>
      </c>
      <c r="F232" s="2116">
        <v>0.13800000000000001</v>
      </c>
    </row>
    <row r="233" spans="1:6" ht="14.25" thickBot="1">
      <c r="A233" s="1527" t="s">
        <v>1547</v>
      </c>
      <c r="B233" s="1521" t="s">
        <v>2224</v>
      </c>
      <c r="C233" s="2115">
        <v>0.14499999999999999</v>
      </c>
      <c r="D233" s="2115">
        <v>0.14299999999999999</v>
      </c>
      <c r="E233" s="2115">
        <v>0.14199999999999999</v>
      </c>
      <c r="F233" s="2127"/>
    </row>
    <row r="234" spans="1:6" ht="14.25" thickBot="1">
      <c r="A234" s="1527" t="s">
        <v>1547</v>
      </c>
      <c r="B234" s="1521" t="s">
        <v>2225</v>
      </c>
      <c r="C234" s="2115">
        <v>0.14000000000000001</v>
      </c>
      <c r="D234" s="2115">
        <v>0.14000000000000001</v>
      </c>
      <c r="E234" s="2115">
        <v>0.14399999999999999</v>
      </c>
      <c r="F234" s="2127"/>
    </row>
    <row r="235" spans="1:6" ht="14.25" thickBot="1">
      <c r="A235" s="1527" t="s">
        <v>1547</v>
      </c>
      <c r="B235" s="1521" t="s">
        <v>2226</v>
      </c>
      <c r="C235" s="2115">
        <v>0.14099999999999999</v>
      </c>
      <c r="D235" s="2115">
        <v>0.14199999999999999</v>
      </c>
      <c r="E235" s="2115">
        <v>0.14499999999999999</v>
      </c>
      <c r="F235" s="2116">
        <v>0.15</v>
      </c>
    </row>
    <row r="236" spans="1:6" ht="14.25" thickBot="1">
      <c r="A236" s="1527" t="s">
        <v>1547</v>
      </c>
      <c r="B236" s="1521" t="s">
        <v>1480</v>
      </c>
      <c r="C236" s="2128"/>
      <c r="D236" s="2128"/>
      <c r="E236" s="2128"/>
      <c r="F236" s="2116">
        <v>0.14299999999999999</v>
      </c>
    </row>
    <row r="237" spans="1:6" ht="24.75" thickBot="1">
      <c r="A237" s="1527" t="s">
        <v>1547</v>
      </c>
      <c r="B237" s="1521" t="s">
        <v>2227</v>
      </c>
      <c r="C237" s="2128"/>
      <c r="D237" s="2128"/>
      <c r="E237" s="2128"/>
      <c r="F237" s="2116">
        <v>0.05</v>
      </c>
    </row>
    <row r="238" spans="1:6" ht="24.75" thickBot="1">
      <c r="A238" s="1527" t="s">
        <v>1547</v>
      </c>
      <c r="B238" s="1521" t="s">
        <v>2228</v>
      </c>
      <c r="C238" s="2128"/>
      <c r="D238" s="2128"/>
      <c r="E238" s="2128"/>
      <c r="F238" s="2116">
        <v>0.05</v>
      </c>
    </row>
    <row r="239" spans="1:6" ht="24.75" thickBot="1">
      <c r="A239" s="1527" t="s">
        <v>1547</v>
      </c>
      <c r="B239" s="1521" t="s">
        <v>2229</v>
      </c>
      <c r="C239" s="2128"/>
      <c r="D239" s="2128"/>
      <c r="E239" s="2128"/>
      <c r="F239" s="2116">
        <v>0.05</v>
      </c>
    </row>
    <row r="240" spans="1:6" ht="24.75" thickBot="1">
      <c r="A240" s="1527" t="s">
        <v>1547</v>
      </c>
      <c r="B240" s="1521" t="s">
        <v>2230</v>
      </c>
      <c r="C240" s="2128"/>
      <c r="D240" s="2128"/>
      <c r="E240" s="2128"/>
      <c r="F240" s="2116">
        <v>0.05</v>
      </c>
    </row>
    <row r="241" spans="1:6" ht="24.75" thickBot="1">
      <c r="A241" s="1527" t="s">
        <v>1547</v>
      </c>
      <c r="B241" s="1521" t="s">
        <v>2231</v>
      </c>
      <c r="C241" s="2128"/>
      <c r="D241" s="2128"/>
      <c r="E241" s="2128"/>
      <c r="F241" s="2116">
        <v>0.05</v>
      </c>
    </row>
    <row r="242" spans="1:6" ht="24.75" thickBot="1">
      <c r="A242" s="1527" t="s">
        <v>1547</v>
      </c>
      <c r="B242" s="1521" t="s">
        <v>2232</v>
      </c>
      <c r="C242" s="2128"/>
      <c r="D242" s="2128"/>
      <c r="E242" s="2128"/>
      <c r="F242" s="2116">
        <v>0.05</v>
      </c>
    </row>
    <row r="243" spans="1:6" ht="24.75" thickBot="1">
      <c r="A243" s="1527" t="s">
        <v>1547</v>
      </c>
      <c r="B243" s="1521" t="s">
        <v>2233</v>
      </c>
      <c r="C243" s="2128"/>
      <c r="D243" s="2128"/>
      <c r="E243" s="2128"/>
      <c r="F243" s="2116">
        <v>0.05</v>
      </c>
    </row>
    <row r="244" spans="1:6" ht="24.75" thickBot="1">
      <c r="A244" s="1537" t="s">
        <v>1547</v>
      </c>
      <c r="B244" s="1533" t="s">
        <v>2234</v>
      </c>
      <c r="C244" s="2125"/>
      <c r="D244" s="2125"/>
      <c r="E244" s="2125"/>
      <c r="F244" s="2118">
        <v>0.05</v>
      </c>
    </row>
    <row r="245" spans="1:6" ht="14.25" thickBot="1">
      <c r="A245" s="1527" t="s">
        <v>1549</v>
      </c>
      <c r="B245" s="1528" t="s">
        <v>2235</v>
      </c>
      <c r="C245" s="2113">
        <v>0.15</v>
      </c>
      <c r="D245" s="2113">
        <v>0.15</v>
      </c>
      <c r="E245" s="2113">
        <v>0.15</v>
      </c>
      <c r="F245" s="2114">
        <v>0.14299999999999999</v>
      </c>
    </row>
    <row r="246" spans="1:6" ht="14.25" thickBot="1">
      <c r="A246" s="1527" t="s">
        <v>1549</v>
      </c>
      <c r="B246" s="1521" t="s">
        <v>1214</v>
      </c>
      <c r="C246" s="2115">
        <v>0.15</v>
      </c>
      <c r="D246" s="2115">
        <v>0.15</v>
      </c>
      <c r="E246" s="2115">
        <v>0.15</v>
      </c>
      <c r="F246" s="2116">
        <v>0.114</v>
      </c>
    </row>
    <row r="247" spans="1:6" ht="14.25" thickBot="1">
      <c r="A247" s="1527" t="s">
        <v>1549</v>
      </c>
      <c r="B247" s="1521" t="s">
        <v>2236</v>
      </c>
      <c r="C247" s="2115">
        <v>0.15</v>
      </c>
      <c r="D247" s="2115">
        <v>0.15</v>
      </c>
      <c r="E247" s="2115">
        <v>0.15</v>
      </c>
      <c r="F247" s="2116">
        <v>0.15</v>
      </c>
    </row>
    <row r="248" spans="1:6" ht="14.25" thickBot="1">
      <c r="A248" s="1527" t="s">
        <v>1549</v>
      </c>
      <c r="B248" s="1521" t="s">
        <v>2237</v>
      </c>
      <c r="C248" s="2115">
        <v>0.15</v>
      </c>
      <c r="D248" s="2115">
        <v>0.15</v>
      </c>
      <c r="E248" s="2115">
        <v>0.15</v>
      </c>
      <c r="F248" s="2116">
        <v>0.14000000000000001</v>
      </c>
    </row>
    <row r="249" spans="1:6" ht="14.25" thickBot="1">
      <c r="A249" s="1527" t="s">
        <v>1549</v>
      </c>
      <c r="B249" s="1521" t="s">
        <v>2238</v>
      </c>
      <c r="C249" s="2115">
        <v>0.15</v>
      </c>
      <c r="D249" s="2115">
        <v>0.14899999999999999</v>
      </c>
      <c r="E249" s="2115">
        <v>0.15</v>
      </c>
      <c r="F249" s="2116">
        <v>0.1</v>
      </c>
    </row>
    <row r="250" spans="1:6" ht="14.25" thickBot="1">
      <c r="A250" s="1527" t="s">
        <v>1549</v>
      </c>
      <c r="B250" s="1521" t="s">
        <v>2239</v>
      </c>
      <c r="C250" s="2115">
        <v>0.15</v>
      </c>
      <c r="D250" s="2115">
        <v>0.15</v>
      </c>
      <c r="E250" s="2115">
        <v>0.15</v>
      </c>
      <c r="F250" s="2116">
        <v>0.14399999999999999</v>
      </c>
    </row>
    <row r="251" spans="1:6" ht="14.25" thickBot="1">
      <c r="A251" s="1527" t="s">
        <v>1549</v>
      </c>
      <c r="B251" s="1521" t="s">
        <v>1274</v>
      </c>
      <c r="C251" s="2115">
        <v>0.15</v>
      </c>
      <c r="D251" s="2115">
        <v>0.15</v>
      </c>
      <c r="E251" s="2115">
        <v>0.15</v>
      </c>
      <c r="F251" s="2116">
        <v>0.14299999999999999</v>
      </c>
    </row>
    <row r="252" spans="1:6" ht="14.25" thickBot="1">
      <c r="A252" s="1527" t="s">
        <v>1549</v>
      </c>
      <c r="B252" s="1521" t="s">
        <v>1285</v>
      </c>
      <c r="C252" s="2115">
        <v>0.15</v>
      </c>
      <c r="D252" s="2115">
        <v>0.15</v>
      </c>
      <c r="E252" s="2115">
        <v>0.15</v>
      </c>
      <c r="F252" s="2116">
        <v>0.1</v>
      </c>
    </row>
    <row r="253" spans="1:6" ht="14.25" thickBot="1">
      <c r="A253" s="1527" t="s">
        <v>1549</v>
      </c>
      <c r="B253" s="1521" t="s">
        <v>1297</v>
      </c>
      <c r="C253" s="2115">
        <v>0.15</v>
      </c>
      <c r="D253" s="2115">
        <v>0.15</v>
      </c>
      <c r="E253" s="2115">
        <v>0.15</v>
      </c>
      <c r="F253" s="2116">
        <v>0.1</v>
      </c>
    </row>
    <row r="254" spans="1:6" ht="14.25" thickBot="1">
      <c r="A254" s="1527" t="s">
        <v>1549</v>
      </c>
      <c r="B254" s="1521" t="s">
        <v>1307</v>
      </c>
      <c r="C254" s="2128"/>
      <c r="D254" s="2128"/>
      <c r="E254" s="2128"/>
      <c r="F254" s="2116">
        <v>0.15</v>
      </c>
    </row>
    <row r="255" spans="1:6" ht="14.25" thickBot="1">
      <c r="A255" s="1527" t="s">
        <v>1549</v>
      </c>
      <c r="B255" s="1521" t="s">
        <v>1317</v>
      </c>
      <c r="C255" s="2128"/>
      <c r="D255" s="2128"/>
      <c r="E255" s="2128"/>
      <c r="F255" s="2116">
        <v>0.14299999999999999</v>
      </c>
    </row>
    <row r="256" spans="1:6" ht="14.25" thickBot="1">
      <c r="A256" s="1527" t="s">
        <v>1549</v>
      </c>
      <c r="B256" s="1521" t="s">
        <v>2240</v>
      </c>
      <c r="C256" s="2115">
        <v>0.14599999999999999</v>
      </c>
      <c r="D256" s="2115">
        <v>0.14699999999999999</v>
      </c>
      <c r="E256" s="2115">
        <v>0.15</v>
      </c>
      <c r="F256" s="2116">
        <v>0.13200000000000001</v>
      </c>
    </row>
    <row r="257" spans="1:6" ht="14.25" thickBot="1">
      <c r="A257" s="1527" t="s">
        <v>1549</v>
      </c>
      <c r="B257" s="1521" t="s">
        <v>1337</v>
      </c>
      <c r="C257" s="2115">
        <v>0.15</v>
      </c>
      <c r="D257" s="2115">
        <v>0.15</v>
      </c>
      <c r="E257" s="2115">
        <v>0.15</v>
      </c>
      <c r="F257" s="2116">
        <v>0.13900000000000001</v>
      </c>
    </row>
    <row r="258" spans="1:6" ht="14.25" thickBot="1">
      <c r="A258" s="1527" t="s">
        <v>1549</v>
      </c>
      <c r="B258" s="1521" t="s">
        <v>1348</v>
      </c>
      <c r="C258" s="2115">
        <v>0.15</v>
      </c>
      <c r="D258" s="2115">
        <v>0.15</v>
      </c>
      <c r="E258" s="2115">
        <v>0.15</v>
      </c>
      <c r="F258" s="2116">
        <v>0.13</v>
      </c>
    </row>
    <row r="259" spans="1:6" ht="14.25" thickBot="1">
      <c r="A259" s="1527" t="s">
        <v>1549</v>
      </c>
      <c r="B259" s="1521" t="s">
        <v>2241</v>
      </c>
      <c r="C259" s="2115">
        <v>0.14799999999999999</v>
      </c>
      <c r="D259" s="2115">
        <v>0.14899999999999999</v>
      </c>
      <c r="E259" s="2115">
        <v>0.15</v>
      </c>
      <c r="F259" s="2116">
        <v>0.13700000000000001</v>
      </c>
    </row>
    <row r="260" spans="1:6" ht="14.25" thickBot="1">
      <c r="A260" s="1527" t="s">
        <v>1549</v>
      </c>
      <c r="B260" s="1521" t="s">
        <v>1369</v>
      </c>
      <c r="C260" s="2115">
        <v>0.15</v>
      </c>
      <c r="D260" s="2115">
        <v>0.15</v>
      </c>
      <c r="E260" s="2115">
        <v>0.15</v>
      </c>
      <c r="F260" s="2116">
        <v>0.14199999999999999</v>
      </c>
    </row>
    <row r="261" spans="1:6" ht="14.25" thickBot="1">
      <c r="A261" s="1527" t="s">
        <v>1549</v>
      </c>
      <c r="B261" s="1521" t="s">
        <v>1379</v>
      </c>
      <c r="C261" s="2115">
        <v>0.15</v>
      </c>
      <c r="D261" s="2115">
        <v>0.15</v>
      </c>
      <c r="E261" s="2115">
        <v>0.14899999999999999</v>
      </c>
      <c r="F261" s="2116">
        <v>0.14799999999999999</v>
      </c>
    </row>
    <row r="262" spans="1:6" ht="14.25" thickBot="1">
      <c r="A262" s="1527" t="s">
        <v>1549</v>
      </c>
      <c r="B262" s="1521" t="s">
        <v>1389</v>
      </c>
      <c r="C262" s="2115">
        <v>0.15</v>
      </c>
      <c r="D262" s="2115">
        <v>0.15</v>
      </c>
      <c r="E262" s="2115">
        <v>0.15</v>
      </c>
      <c r="F262" s="2127"/>
    </row>
    <row r="263" spans="1:6" ht="14.25" thickBot="1">
      <c r="A263" s="1527" t="s">
        <v>1549</v>
      </c>
      <c r="B263" s="1521" t="s">
        <v>2242</v>
      </c>
      <c r="C263" s="2115">
        <v>0.14899999999999999</v>
      </c>
      <c r="D263" s="2115">
        <v>0.14899999999999999</v>
      </c>
      <c r="E263" s="2115">
        <v>0.15</v>
      </c>
      <c r="F263" s="2116">
        <v>0.13</v>
      </c>
    </row>
    <row r="264" spans="1:6" ht="14.25" thickBot="1">
      <c r="A264" s="1527" t="s">
        <v>1549</v>
      </c>
      <c r="B264" s="1521" t="s">
        <v>1408</v>
      </c>
      <c r="C264" s="2115">
        <v>0.14799999999999999</v>
      </c>
      <c r="D264" s="2115">
        <v>0.14699999999999999</v>
      </c>
      <c r="E264" s="2115">
        <v>0.15</v>
      </c>
      <c r="F264" s="2116">
        <v>7.8E-2</v>
      </c>
    </row>
    <row r="265" spans="1:6" ht="14.25" thickBot="1">
      <c r="A265" s="1527" t="s">
        <v>1549</v>
      </c>
      <c r="B265" s="1521" t="s">
        <v>1417</v>
      </c>
      <c r="C265" s="2115">
        <v>0.15</v>
      </c>
      <c r="D265" s="2115">
        <v>0.15</v>
      </c>
      <c r="E265" s="2115">
        <v>0.15</v>
      </c>
      <c r="F265" s="2116">
        <v>7.3999999999999996E-2</v>
      </c>
    </row>
    <row r="266" spans="1:6" ht="14.25" thickBot="1">
      <c r="A266" s="1527" t="s">
        <v>1549</v>
      </c>
      <c r="B266" s="1521" t="s">
        <v>1425</v>
      </c>
      <c r="C266" s="2115">
        <v>0.14699999999999999</v>
      </c>
      <c r="D266" s="2115">
        <v>0.14699999999999999</v>
      </c>
      <c r="E266" s="2115">
        <v>0.15</v>
      </c>
      <c r="F266" s="2116">
        <v>0.14299999999999999</v>
      </c>
    </row>
    <row r="267" spans="1:6" ht="14.25" thickBot="1">
      <c r="A267" s="1527" t="s">
        <v>1549</v>
      </c>
      <c r="B267" s="1521" t="s">
        <v>1432</v>
      </c>
      <c r="C267" s="2115">
        <v>0.14199999999999999</v>
      </c>
      <c r="D267" s="2115">
        <v>0.14299999999999999</v>
      </c>
      <c r="E267" s="2115">
        <v>0.15</v>
      </c>
      <c r="F267" s="2127"/>
    </row>
    <row r="268" spans="1:6" ht="14.25" thickBot="1">
      <c r="A268" s="1527" t="s">
        <v>1549</v>
      </c>
      <c r="B268" s="1521" t="s">
        <v>2243</v>
      </c>
      <c r="C268" s="2115">
        <v>0.15</v>
      </c>
      <c r="D268" s="2115">
        <v>0.15</v>
      </c>
      <c r="E268" s="2115">
        <v>0.15</v>
      </c>
      <c r="F268" s="2116">
        <v>0.13</v>
      </c>
    </row>
    <row r="269" spans="1:6" ht="14.25" thickBot="1">
      <c r="A269" s="1527" t="s">
        <v>1549</v>
      </c>
      <c r="B269" s="1521" t="s">
        <v>1446</v>
      </c>
      <c r="C269" s="2115">
        <v>0.15</v>
      </c>
      <c r="D269" s="2115">
        <v>0.15</v>
      </c>
      <c r="E269" s="2115">
        <v>0.15</v>
      </c>
      <c r="F269" s="2116">
        <v>0.14299999999999999</v>
      </c>
    </row>
    <row r="270" spans="1:6" ht="14.25" thickBot="1">
      <c r="A270" s="1527" t="s">
        <v>1549</v>
      </c>
      <c r="B270" s="1521" t="s">
        <v>1453</v>
      </c>
      <c r="C270" s="2115">
        <v>0.14499999999999999</v>
      </c>
      <c r="D270" s="2115">
        <v>0.14499999999999999</v>
      </c>
      <c r="E270" s="2115">
        <v>0.15</v>
      </c>
      <c r="F270" s="2116">
        <v>0.14699999999999999</v>
      </c>
    </row>
    <row r="271" spans="1:6" ht="14.25" thickBot="1">
      <c r="A271" s="1527" t="s">
        <v>1549</v>
      </c>
      <c r="B271" s="1521" t="s">
        <v>1460</v>
      </c>
      <c r="C271" s="2115">
        <v>0.15</v>
      </c>
      <c r="D271" s="2115">
        <v>0.15</v>
      </c>
      <c r="E271" s="2115">
        <v>0.15</v>
      </c>
      <c r="F271" s="2116">
        <v>0.13800000000000001</v>
      </c>
    </row>
    <row r="272" spans="1:6" ht="14.25" thickBot="1">
      <c r="A272" s="1527" t="s">
        <v>1549</v>
      </c>
      <c r="B272" s="1521" t="s">
        <v>1467</v>
      </c>
      <c r="C272" s="2128"/>
      <c r="D272" s="2128"/>
      <c r="E272" s="2128"/>
      <c r="F272" s="2116">
        <v>0.14000000000000001</v>
      </c>
    </row>
    <row r="273" spans="1:6" ht="14.25" thickBot="1">
      <c r="A273" s="1527" t="s">
        <v>1549</v>
      </c>
      <c r="B273" s="1521" t="s">
        <v>2244</v>
      </c>
      <c r="C273" s="2115">
        <v>0.14199999999999999</v>
      </c>
      <c r="D273" s="2115">
        <v>0.14299999999999999</v>
      </c>
      <c r="E273" s="2115">
        <v>0.15</v>
      </c>
      <c r="F273" s="2116">
        <v>0.1</v>
      </c>
    </row>
    <row r="274" spans="1:6" ht="14.25" thickBot="1">
      <c r="A274" s="1527" t="s">
        <v>1549</v>
      </c>
      <c r="B274" s="1521" t="s">
        <v>2245</v>
      </c>
      <c r="C274" s="2115">
        <v>0.14799999999999999</v>
      </c>
      <c r="D274" s="2115">
        <v>0.14799999999999999</v>
      </c>
      <c r="E274" s="2115">
        <v>0.15</v>
      </c>
      <c r="F274" s="2116">
        <v>6.7000000000000004E-2</v>
      </c>
    </row>
    <row r="275" spans="1:6" ht="14.25" thickBot="1">
      <c r="A275" s="1527" t="s">
        <v>1549</v>
      </c>
      <c r="B275" s="1521" t="s">
        <v>2246</v>
      </c>
      <c r="C275" s="2115">
        <v>0.15</v>
      </c>
      <c r="D275" s="2115">
        <v>0.15</v>
      </c>
      <c r="E275" s="2115">
        <v>0.15</v>
      </c>
      <c r="F275" s="2116">
        <v>0.15</v>
      </c>
    </row>
    <row r="276" spans="1:6" ht="14.25" thickBot="1">
      <c r="A276" s="1527" t="s">
        <v>1549</v>
      </c>
      <c r="B276" s="1521" t="s">
        <v>2247</v>
      </c>
      <c r="C276" s="2115">
        <v>0.14499999999999999</v>
      </c>
      <c r="D276" s="2115">
        <v>0.14299999999999999</v>
      </c>
      <c r="E276" s="2115">
        <v>0.15</v>
      </c>
      <c r="F276" s="2116">
        <v>5.8999999999999997E-2</v>
      </c>
    </row>
    <row r="277" spans="1:6" ht="14.25" thickBot="1">
      <c r="A277" s="1527" t="s">
        <v>1549</v>
      </c>
      <c r="B277" s="1521" t="s">
        <v>2248</v>
      </c>
      <c r="C277" s="2115">
        <v>0.15</v>
      </c>
      <c r="D277" s="2115">
        <v>0.15</v>
      </c>
      <c r="E277" s="2115">
        <v>0.15</v>
      </c>
      <c r="F277" s="2116">
        <v>0.121</v>
      </c>
    </row>
    <row r="278" spans="1:6" ht="14.25" thickBot="1">
      <c r="A278" s="1527" t="s">
        <v>1549</v>
      </c>
      <c r="B278" s="1521" t="s">
        <v>2249</v>
      </c>
      <c r="C278" s="2115">
        <v>0.15</v>
      </c>
      <c r="D278" s="2115">
        <v>0.15</v>
      </c>
      <c r="E278" s="2115">
        <v>0.15</v>
      </c>
      <c r="F278" s="2116">
        <v>0.13800000000000001</v>
      </c>
    </row>
    <row r="279" spans="1:6" ht="24.75" thickBot="1">
      <c r="A279" s="1527" t="s">
        <v>1549</v>
      </c>
      <c r="B279" s="1521" t="s">
        <v>2250</v>
      </c>
      <c r="C279" s="2128"/>
      <c r="D279" s="2128"/>
      <c r="E279" s="2128"/>
      <c r="F279" s="2116">
        <v>0.05</v>
      </c>
    </row>
    <row r="280" spans="1:6" ht="24.75" thickBot="1">
      <c r="A280" s="1527" t="s">
        <v>1549</v>
      </c>
      <c r="B280" s="1521" t="s">
        <v>2251</v>
      </c>
      <c r="C280" s="2128"/>
      <c r="D280" s="2128"/>
      <c r="E280" s="2128"/>
      <c r="F280" s="2116">
        <v>0.05</v>
      </c>
    </row>
    <row r="281" spans="1:6" ht="24.75" thickBot="1">
      <c r="A281" s="1527" t="s">
        <v>1549</v>
      </c>
      <c r="B281" s="1521" t="s">
        <v>2252</v>
      </c>
      <c r="C281" s="2128"/>
      <c r="D281" s="2128"/>
      <c r="E281" s="2128"/>
      <c r="F281" s="2116">
        <v>0.05</v>
      </c>
    </row>
    <row r="282" spans="1:6" ht="24.75" thickBot="1">
      <c r="A282" s="1527" t="s">
        <v>1549</v>
      </c>
      <c r="B282" s="1521" t="s">
        <v>2253</v>
      </c>
      <c r="C282" s="2128"/>
      <c r="D282" s="2128"/>
      <c r="E282" s="2128"/>
      <c r="F282" s="2116">
        <v>0.05</v>
      </c>
    </row>
    <row r="283" spans="1:6" ht="24.75" thickBot="1">
      <c r="A283" s="1527" t="s">
        <v>1549</v>
      </c>
      <c r="B283" s="1521" t="s">
        <v>2254</v>
      </c>
      <c r="C283" s="2128"/>
      <c r="D283" s="2128"/>
      <c r="E283" s="2128"/>
      <c r="F283" s="2116">
        <v>0.05</v>
      </c>
    </row>
    <row r="284" spans="1:6" ht="24.75" thickBot="1">
      <c r="A284" s="1527" t="s">
        <v>1549</v>
      </c>
      <c r="B284" s="1521" t="s">
        <v>2255</v>
      </c>
      <c r="C284" s="2128"/>
      <c r="D284" s="2128"/>
      <c r="E284" s="2128"/>
      <c r="F284" s="2116">
        <v>0.05</v>
      </c>
    </row>
    <row r="285" spans="1:6" ht="24.75" thickBot="1">
      <c r="A285" s="1527" t="s">
        <v>1549</v>
      </c>
      <c r="B285" s="1521" t="s">
        <v>2256</v>
      </c>
      <c r="C285" s="2128"/>
      <c r="D285" s="2128"/>
      <c r="E285" s="2128"/>
      <c r="F285" s="2116">
        <v>0.05</v>
      </c>
    </row>
    <row r="286" spans="1:6" ht="24.75" thickBot="1">
      <c r="A286" s="1527" t="s">
        <v>1549</v>
      </c>
      <c r="B286" s="1521" t="s">
        <v>2257</v>
      </c>
      <c r="C286" s="2128"/>
      <c r="D286" s="2128"/>
      <c r="E286" s="2128"/>
      <c r="F286" s="2116">
        <v>0.05</v>
      </c>
    </row>
    <row r="287" spans="1:6" ht="24.75" thickBot="1">
      <c r="A287" s="1527" t="s">
        <v>1549</v>
      </c>
      <c r="B287" s="1521" t="s">
        <v>2258</v>
      </c>
      <c r="C287" s="2128"/>
      <c r="D287" s="2128"/>
      <c r="E287" s="2128"/>
      <c r="F287" s="2116">
        <v>0.05</v>
      </c>
    </row>
    <row r="288" spans="1:6" ht="24.75" thickBot="1">
      <c r="A288" s="1527" t="s">
        <v>1549</v>
      </c>
      <c r="B288" s="1521" t="s">
        <v>2259</v>
      </c>
      <c r="C288" s="2128"/>
      <c r="D288" s="2128"/>
      <c r="E288" s="2128"/>
      <c r="F288" s="2116">
        <v>0.05</v>
      </c>
    </row>
    <row r="289" spans="1:6" ht="24.75" thickBot="1">
      <c r="A289" s="1537" t="s">
        <v>1549</v>
      </c>
      <c r="B289" s="1533" t="s">
        <v>2260</v>
      </c>
      <c r="C289" s="2125"/>
      <c r="D289" s="2125"/>
      <c r="E289" s="2125"/>
      <c r="F289" s="2118">
        <v>0.05</v>
      </c>
    </row>
    <row r="290" spans="1:6" ht="14.25" thickBot="1">
      <c r="A290" s="1527" t="s">
        <v>1553</v>
      </c>
      <c r="B290" s="1528" t="s">
        <v>2261</v>
      </c>
      <c r="C290" s="2113">
        <v>0.15</v>
      </c>
      <c r="D290" s="2113">
        <v>0.15</v>
      </c>
      <c r="E290" s="2113">
        <v>0.15</v>
      </c>
      <c r="F290" s="2130"/>
    </row>
    <row r="291" spans="1:6" ht="14.25" thickBot="1">
      <c r="A291" s="1527" t="s">
        <v>1553</v>
      </c>
      <c r="B291" s="1521" t="s">
        <v>1215</v>
      </c>
      <c r="C291" s="2115">
        <v>0.15</v>
      </c>
      <c r="D291" s="2115">
        <v>0.15</v>
      </c>
      <c r="E291" s="2115">
        <v>0.15</v>
      </c>
      <c r="F291" s="2127"/>
    </row>
    <row r="292" spans="1:6" ht="14.25" thickBot="1">
      <c r="A292" s="1527" t="s">
        <v>1553</v>
      </c>
      <c r="B292" s="1521" t="s">
        <v>2262</v>
      </c>
      <c r="C292" s="2115">
        <v>0.15</v>
      </c>
      <c r="D292" s="2115">
        <v>0.15</v>
      </c>
      <c r="E292" s="2115">
        <v>0.15</v>
      </c>
      <c r="F292" s="2116">
        <v>0.14699999999999999</v>
      </c>
    </row>
    <row r="293" spans="1:6" ht="14.25" thickBot="1">
      <c r="A293" s="1527" t="s">
        <v>1553</v>
      </c>
      <c r="B293" s="1521" t="s">
        <v>2263</v>
      </c>
      <c r="C293" s="2128"/>
      <c r="D293" s="2128"/>
      <c r="E293" s="2128"/>
      <c r="F293" s="2116">
        <v>0.1</v>
      </c>
    </row>
    <row r="294" spans="1:6" ht="14.25" thickBot="1">
      <c r="A294" s="1527" t="s">
        <v>1553</v>
      </c>
      <c r="B294" s="1521" t="s">
        <v>2264</v>
      </c>
      <c r="C294" s="2115">
        <v>0.15</v>
      </c>
      <c r="D294" s="2115">
        <v>0.15</v>
      </c>
      <c r="E294" s="2115">
        <v>0.15</v>
      </c>
      <c r="F294" s="2116">
        <v>0.15</v>
      </c>
    </row>
    <row r="295" spans="1:6" ht="14.25" thickBot="1">
      <c r="A295" s="1527" t="s">
        <v>1553</v>
      </c>
      <c r="B295" s="1521" t="s">
        <v>1253</v>
      </c>
      <c r="C295" s="2115">
        <v>0.15</v>
      </c>
      <c r="D295" s="2115">
        <v>0.15</v>
      </c>
      <c r="E295" s="2115">
        <v>0.15</v>
      </c>
      <c r="F295" s="2116">
        <v>0.15</v>
      </c>
    </row>
    <row r="296" spans="1:6" ht="14.25" thickBot="1">
      <c r="A296" s="1527" t="s">
        <v>1553</v>
      </c>
      <c r="B296" s="1521" t="s">
        <v>2265</v>
      </c>
      <c r="C296" s="2115">
        <v>0.15</v>
      </c>
      <c r="D296" s="2115">
        <v>0.15</v>
      </c>
      <c r="E296" s="2115">
        <v>0.15</v>
      </c>
      <c r="F296" s="2116">
        <v>0.15</v>
      </c>
    </row>
    <row r="297" spans="1:6" ht="14.25" thickBot="1">
      <c r="A297" s="1527" t="s">
        <v>1553</v>
      </c>
      <c r="B297" s="1521" t="s">
        <v>2266</v>
      </c>
      <c r="C297" s="2115">
        <v>0.14799999999999999</v>
      </c>
      <c r="D297" s="2115">
        <v>0.14899999999999999</v>
      </c>
      <c r="E297" s="2115">
        <v>0.15</v>
      </c>
      <c r="F297" s="2116">
        <v>0.13700000000000001</v>
      </c>
    </row>
    <row r="298" spans="1:6" ht="14.25" thickBot="1">
      <c r="A298" s="1527" t="s">
        <v>1553</v>
      </c>
      <c r="B298" s="1521" t="s">
        <v>1286</v>
      </c>
      <c r="C298" s="2115">
        <v>0.13400000000000001</v>
      </c>
      <c r="D298" s="2115">
        <v>0.13400000000000001</v>
      </c>
      <c r="E298" s="2115">
        <v>0.14499999999999999</v>
      </c>
      <c r="F298" s="2116">
        <v>0.14799999999999999</v>
      </c>
    </row>
    <row r="299" spans="1:6" ht="14.25" thickBot="1">
      <c r="A299" s="1527" t="s">
        <v>1553</v>
      </c>
      <c r="B299" s="1521" t="s">
        <v>1298</v>
      </c>
      <c r="C299" s="2115">
        <v>0.15</v>
      </c>
      <c r="D299" s="2115">
        <v>0.15</v>
      </c>
      <c r="E299" s="2115">
        <v>0.15</v>
      </c>
      <c r="F299" s="2127"/>
    </row>
    <row r="300" spans="1:6" ht="14.25" thickBot="1">
      <c r="A300" s="1527" t="s">
        <v>1553</v>
      </c>
      <c r="B300" s="1521" t="s">
        <v>2267</v>
      </c>
      <c r="C300" s="2115">
        <v>0.15</v>
      </c>
      <c r="D300" s="2115">
        <v>0.15</v>
      </c>
      <c r="E300" s="2115">
        <v>0.15</v>
      </c>
      <c r="F300" s="2116">
        <v>0.15</v>
      </c>
    </row>
    <row r="301" spans="1:6" ht="14.25" thickBot="1">
      <c r="A301" s="1527" t="s">
        <v>1553</v>
      </c>
      <c r="B301" s="1521" t="s">
        <v>1318</v>
      </c>
      <c r="C301" s="2115">
        <v>0.15</v>
      </c>
      <c r="D301" s="2115">
        <v>0.15</v>
      </c>
      <c r="E301" s="2115">
        <v>0.15</v>
      </c>
      <c r="F301" s="2127"/>
    </row>
    <row r="302" spans="1:6" ht="14.25" thickBot="1">
      <c r="A302" s="1527" t="s">
        <v>1553</v>
      </c>
      <c r="B302" s="1521" t="s">
        <v>2268</v>
      </c>
      <c r="C302" s="2115">
        <v>0.15</v>
      </c>
      <c r="D302" s="2115">
        <v>0.15</v>
      </c>
      <c r="E302" s="2115">
        <v>0.15</v>
      </c>
      <c r="F302" s="2116">
        <v>0.15</v>
      </c>
    </row>
    <row r="303" spans="1:6" ht="14.25" thickBot="1">
      <c r="A303" s="1527" t="s">
        <v>1553</v>
      </c>
      <c r="B303" s="1521" t="s">
        <v>1338</v>
      </c>
      <c r="C303" s="2115">
        <v>0.15</v>
      </c>
      <c r="D303" s="2115">
        <v>0.15</v>
      </c>
      <c r="E303" s="2115">
        <v>0.15</v>
      </c>
      <c r="F303" s="2116">
        <v>0.15</v>
      </c>
    </row>
    <row r="304" spans="1:6" ht="14.25" thickBot="1">
      <c r="A304" s="1527" t="s">
        <v>1553</v>
      </c>
      <c r="B304" s="1521" t="s">
        <v>1349</v>
      </c>
      <c r="C304" s="2115">
        <v>0.15</v>
      </c>
      <c r="D304" s="2115">
        <v>0.15</v>
      </c>
      <c r="E304" s="2115">
        <v>0.15</v>
      </c>
      <c r="F304" s="2127"/>
    </row>
    <row r="305" spans="1:6" ht="14.25" thickBot="1">
      <c r="A305" s="1527" t="s">
        <v>1553</v>
      </c>
      <c r="B305" s="1521" t="s">
        <v>2269</v>
      </c>
      <c r="C305" s="2115">
        <v>0.15</v>
      </c>
      <c r="D305" s="2115">
        <v>0.15</v>
      </c>
      <c r="E305" s="2115">
        <v>0.15</v>
      </c>
      <c r="F305" s="2116">
        <v>0.14000000000000001</v>
      </c>
    </row>
    <row r="306" spans="1:6" ht="14.25" thickBot="1">
      <c r="A306" s="1527" t="s">
        <v>1553</v>
      </c>
      <c r="B306" s="1521" t="s">
        <v>1370</v>
      </c>
      <c r="C306" s="2115">
        <v>0.15</v>
      </c>
      <c r="D306" s="2115">
        <v>0.15</v>
      </c>
      <c r="E306" s="2115">
        <v>0.15</v>
      </c>
      <c r="F306" s="2127"/>
    </row>
    <row r="307" spans="1:6" ht="14.25" thickBot="1">
      <c r="A307" s="1527" t="s">
        <v>1553</v>
      </c>
      <c r="B307" s="1521" t="s">
        <v>2270</v>
      </c>
      <c r="C307" s="2115">
        <v>0.15</v>
      </c>
      <c r="D307" s="2115">
        <v>0.15</v>
      </c>
      <c r="E307" s="2115">
        <v>0.15</v>
      </c>
      <c r="F307" s="2116">
        <v>0.14299999999999999</v>
      </c>
    </row>
    <row r="308" spans="1:6" ht="14.25" thickBot="1">
      <c r="A308" s="1527" t="s">
        <v>1553</v>
      </c>
      <c r="B308" s="1521" t="s">
        <v>1390</v>
      </c>
      <c r="C308" s="2115">
        <v>0.15</v>
      </c>
      <c r="D308" s="2115">
        <v>0.15</v>
      </c>
      <c r="E308" s="2115">
        <v>0.15</v>
      </c>
      <c r="F308" s="2116">
        <v>0.15</v>
      </c>
    </row>
    <row r="309" spans="1:6" ht="14.25" thickBot="1">
      <c r="A309" s="1527" t="s">
        <v>1553</v>
      </c>
      <c r="B309" s="1521" t="s">
        <v>1400</v>
      </c>
      <c r="C309" s="2115">
        <v>0.15</v>
      </c>
      <c r="D309" s="2115">
        <v>0.15</v>
      </c>
      <c r="E309" s="2115">
        <v>0.15</v>
      </c>
      <c r="F309" s="2127"/>
    </row>
    <row r="310" spans="1:6" ht="14.25" thickBot="1">
      <c r="A310" s="1527" t="s">
        <v>1553</v>
      </c>
      <c r="B310" s="1521" t="s">
        <v>2271</v>
      </c>
      <c r="C310" s="2115">
        <v>0.15</v>
      </c>
      <c r="D310" s="2115">
        <v>0.15</v>
      </c>
      <c r="E310" s="2115">
        <v>0.15</v>
      </c>
      <c r="F310" s="2116">
        <v>0.13700000000000001</v>
      </c>
    </row>
    <row r="311" spans="1:6" ht="14.25" thickBot="1">
      <c r="A311" s="1527" t="s">
        <v>1553</v>
      </c>
      <c r="B311" s="1521" t="s">
        <v>2272</v>
      </c>
      <c r="C311" s="2115">
        <v>0.15</v>
      </c>
      <c r="D311" s="2115">
        <v>0.15</v>
      </c>
      <c r="E311" s="2115">
        <v>0.15</v>
      </c>
      <c r="F311" s="2116">
        <v>0.15</v>
      </c>
    </row>
    <row r="312" spans="1:6" ht="14.25" thickBot="1">
      <c r="A312" s="1527" t="s">
        <v>1553</v>
      </c>
      <c r="B312" s="1521" t="s">
        <v>1426</v>
      </c>
      <c r="C312" s="2115">
        <v>0.15</v>
      </c>
      <c r="D312" s="2115">
        <v>0.15</v>
      </c>
      <c r="E312" s="2115">
        <v>0.15</v>
      </c>
      <c r="F312" s="2116">
        <v>0.1</v>
      </c>
    </row>
    <row r="313" spans="1:6" ht="14.25" thickBot="1">
      <c r="A313" s="1527" t="s">
        <v>1553</v>
      </c>
      <c r="B313" s="1521" t="s">
        <v>2273</v>
      </c>
      <c r="C313" s="2115">
        <v>0.15</v>
      </c>
      <c r="D313" s="2115">
        <v>0.15</v>
      </c>
      <c r="E313" s="2115">
        <v>0.15</v>
      </c>
      <c r="F313" s="2116">
        <v>0.15</v>
      </c>
    </row>
    <row r="314" spans="1:6" ht="24.75" thickBot="1">
      <c r="A314" s="1527" t="s">
        <v>1553</v>
      </c>
      <c r="B314" s="1521" t="s">
        <v>2274</v>
      </c>
      <c r="C314" s="2128"/>
      <c r="D314" s="2128"/>
      <c r="E314" s="2128"/>
      <c r="F314" s="2116">
        <v>0.05</v>
      </c>
    </row>
    <row r="315" spans="1:6" ht="24.75" thickBot="1">
      <c r="A315" s="1527" t="s">
        <v>1553</v>
      </c>
      <c r="B315" s="1521" t="s">
        <v>2275</v>
      </c>
      <c r="C315" s="2128"/>
      <c r="D315" s="2128"/>
      <c r="E315" s="2128"/>
      <c r="F315" s="2116">
        <v>0.05</v>
      </c>
    </row>
    <row r="316" spans="1:6" ht="24.75" thickBot="1">
      <c r="A316" s="1537" t="s">
        <v>1553</v>
      </c>
      <c r="B316" s="1533" t="s">
        <v>2276</v>
      </c>
      <c r="C316" s="2125"/>
      <c r="D316" s="2125"/>
      <c r="E316" s="2125"/>
      <c r="F316" s="2118">
        <v>0.05</v>
      </c>
    </row>
    <row r="317" spans="1:6" ht="14.25" thickBot="1">
      <c r="A317" s="1527" t="s">
        <v>2277</v>
      </c>
      <c r="B317" s="1528" t="s">
        <v>2278</v>
      </c>
      <c r="C317" s="2113">
        <v>0.15</v>
      </c>
      <c r="D317" s="2113">
        <v>0.15</v>
      </c>
      <c r="E317" s="2113">
        <v>0.15</v>
      </c>
      <c r="F317" s="2114">
        <v>0.15</v>
      </c>
    </row>
    <row r="318" spans="1:6" ht="14.25" thickBot="1">
      <c r="A318" s="1527" t="s">
        <v>2277</v>
      </c>
      <c r="B318" s="1521" t="s">
        <v>2279</v>
      </c>
      <c r="C318" s="2115">
        <v>0.107</v>
      </c>
      <c r="D318" s="2115">
        <v>0.11</v>
      </c>
      <c r="E318" s="2115">
        <v>0.112</v>
      </c>
      <c r="F318" s="2127"/>
    </row>
    <row r="319" spans="1:6" ht="14.25" thickBot="1">
      <c r="A319" s="1527" t="s">
        <v>2277</v>
      </c>
      <c r="B319" s="1521" t="s">
        <v>2280</v>
      </c>
      <c r="C319" s="2115">
        <v>0.15</v>
      </c>
      <c r="D319" s="2115">
        <v>0.15</v>
      </c>
      <c r="E319" s="2115">
        <v>0.15</v>
      </c>
      <c r="F319" s="2116">
        <v>0.15</v>
      </c>
    </row>
    <row r="320" spans="1:6" ht="14.25" thickBot="1">
      <c r="A320" s="1527" t="s">
        <v>2277</v>
      </c>
      <c r="B320" s="1521" t="s">
        <v>1242</v>
      </c>
      <c r="C320" s="2115">
        <v>0.15</v>
      </c>
      <c r="D320" s="2115">
        <v>0.15</v>
      </c>
      <c r="E320" s="2115">
        <v>0.15</v>
      </c>
      <c r="F320" s="2127"/>
    </row>
    <row r="321" spans="1:6" ht="14.25" thickBot="1">
      <c r="A321" s="1527" t="s">
        <v>2277</v>
      </c>
      <c r="B321" s="1521" t="s">
        <v>2281</v>
      </c>
      <c r="C321" s="2115">
        <v>0.15</v>
      </c>
      <c r="D321" s="2115">
        <v>0.15</v>
      </c>
      <c r="E321" s="2115">
        <v>0.15</v>
      </c>
      <c r="F321" s="2127"/>
    </row>
    <row r="322" spans="1:6" ht="14.25" thickBot="1">
      <c r="A322" s="1527" t="s">
        <v>2277</v>
      </c>
      <c r="B322" s="1521" t="s">
        <v>2282</v>
      </c>
      <c r="C322" s="2115">
        <v>0.15</v>
      </c>
      <c r="D322" s="2115">
        <v>0.15</v>
      </c>
      <c r="E322" s="2115">
        <v>0.15</v>
      </c>
      <c r="F322" s="2116">
        <v>0.15</v>
      </c>
    </row>
    <row r="323" spans="1:6" ht="14.25" thickBot="1">
      <c r="A323" s="1527" t="s">
        <v>2277</v>
      </c>
      <c r="B323" s="1521" t="s">
        <v>2283</v>
      </c>
      <c r="C323" s="2115">
        <v>0.15</v>
      </c>
      <c r="D323" s="2115">
        <v>0.15</v>
      </c>
      <c r="E323" s="2115">
        <v>0.15</v>
      </c>
      <c r="F323" s="2127"/>
    </row>
    <row r="324" spans="1:6" ht="14.25" thickBot="1">
      <c r="A324" s="1527" t="s">
        <v>2277</v>
      </c>
      <c r="B324" s="1521" t="s">
        <v>2284</v>
      </c>
      <c r="C324" s="2115">
        <v>0.15</v>
      </c>
      <c r="D324" s="2115">
        <v>0.15</v>
      </c>
      <c r="E324" s="2115">
        <v>0.15</v>
      </c>
      <c r="F324" s="2127"/>
    </row>
    <row r="325" spans="1:6" ht="14.25" thickBot="1">
      <c r="A325" s="1527" t="s">
        <v>2277</v>
      </c>
      <c r="B325" s="1521" t="s">
        <v>2285</v>
      </c>
      <c r="C325" s="2115">
        <v>0.15</v>
      </c>
      <c r="D325" s="2115">
        <v>0.15</v>
      </c>
      <c r="E325" s="2115">
        <v>0.15</v>
      </c>
      <c r="F325" s="2116">
        <v>0.14699999999999999</v>
      </c>
    </row>
    <row r="326" spans="1:6" ht="14.25" thickBot="1">
      <c r="A326" s="1527" t="s">
        <v>2277</v>
      </c>
      <c r="B326" s="1521" t="s">
        <v>1309</v>
      </c>
      <c r="C326" s="2115">
        <v>0.15</v>
      </c>
      <c r="D326" s="2115">
        <v>0.15</v>
      </c>
      <c r="E326" s="2115">
        <v>0.15</v>
      </c>
      <c r="F326" s="2127"/>
    </row>
    <row r="327" spans="1:6" ht="14.25" thickBot="1">
      <c r="A327" s="1527" t="s">
        <v>2277</v>
      </c>
      <c r="B327" s="1521" t="s">
        <v>2286</v>
      </c>
      <c r="C327" s="2115">
        <v>0.15</v>
      </c>
      <c r="D327" s="2115">
        <v>0.15</v>
      </c>
      <c r="E327" s="2115">
        <v>0.15</v>
      </c>
      <c r="F327" s="2116">
        <v>0.15</v>
      </c>
    </row>
    <row r="328" spans="1:6" ht="14.25" thickBot="1">
      <c r="A328" s="1527" t="s">
        <v>2277</v>
      </c>
      <c r="B328" s="1521" t="s">
        <v>1329</v>
      </c>
      <c r="C328" s="2115">
        <v>0.15</v>
      </c>
      <c r="D328" s="2115">
        <v>0.15</v>
      </c>
      <c r="E328" s="2115">
        <v>0.15</v>
      </c>
      <c r="F328" s="2116">
        <v>0.14099999999999999</v>
      </c>
    </row>
    <row r="329" spans="1:6" ht="14.25" thickBot="1">
      <c r="A329" s="1527" t="s">
        <v>2277</v>
      </c>
      <c r="B329" s="1521" t="s">
        <v>1339</v>
      </c>
      <c r="C329" s="2115">
        <v>0.15</v>
      </c>
      <c r="D329" s="2115">
        <v>0.15</v>
      </c>
      <c r="E329" s="2115">
        <v>0.15</v>
      </c>
      <c r="F329" s="2116">
        <v>0.15</v>
      </c>
    </row>
    <row r="330" spans="1:6" ht="14.25" thickBot="1">
      <c r="A330" s="1527" t="s">
        <v>2277</v>
      </c>
      <c r="B330" s="1521" t="s">
        <v>1350</v>
      </c>
      <c r="C330" s="2115">
        <v>0.15</v>
      </c>
      <c r="D330" s="2115">
        <v>0.15</v>
      </c>
      <c r="E330" s="2115">
        <v>0.15</v>
      </c>
      <c r="F330" s="2127"/>
    </row>
    <row r="331" spans="1:6" ht="14.25" thickBot="1">
      <c r="A331" s="1527" t="s">
        <v>2277</v>
      </c>
      <c r="B331" s="1521" t="s">
        <v>2287</v>
      </c>
      <c r="C331" s="2115">
        <v>0.15</v>
      </c>
      <c r="D331" s="2115">
        <v>0.15</v>
      </c>
      <c r="E331" s="2115">
        <v>0.15</v>
      </c>
      <c r="F331" s="2116">
        <v>0.15</v>
      </c>
    </row>
    <row r="332" spans="1:6" ht="14.25" thickBot="1">
      <c r="A332" s="1527" t="s">
        <v>2277</v>
      </c>
      <c r="B332" s="1521" t="s">
        <v>1371</v>
      </c>
      <c r="C332" s="2115">
        <v>0.15</v>
      </c>
      <c r="D332" s="2115">
        <v>0.15</v>
      </c>
      <c r="E332" s="2115">
        <v>0.15</v>
      </c>
      <c r="F332" s="2116">
        <v>0.15</v>
      </c>
    </row>
    <row r="333" spans="1:6" ht="14.25" thickBot="1">
      <c r="A333" s="1527" t="s">
        <v>2277</v>
      </c>
      <c r="B333" s="1521" t="s">
        <v>2288</v>
      </c>
      <c r="C333" s="2115">
        <v>0.15</v>
      </c>
      <c r="D333" s="2115">
        <v>0.15</v>
      </c>
      <c r="E333" s="2115">
        <v>0.15</v>
      </c>
      <c r="F333" s="2116">
        <v>0.14099999999999999</v>
      </c>
    </row>
    <row r="334" spans="1:6" ht="14.25" thickBot="1">
      <c r="A334" s="1527" t="s">
        <v>2277</v>
      </c>
      <c r="B334" s="1521" t="s">
        <v>1391</v>
      </c>
      <c r="C334" s="2115">
        <v>0.15</v>
      </c>
      <c r="D334" s="2115">
        <v>0.15</v>
      </c>
      <c r="E334" s="2115">
        <v>0.15</v>
      </c>
      <c r="F334" s="2116">
        <v>0.15</v>
      </c>
    </row>
    <row r="335" spans="1:6" ht="14.25" thickBot="1">
      <c r="A335" s="1527" t="s">
        <v>2277</v>
      </c>
      <c r="B335" s="1521" t="s">
        <v>1401</v>
      </c>
      <c r="C335" s="2115">
        <v>0.15</v>
      </c>
      <c r="D335" s="2115">
        <v>0.15</v>
      </c>
      <c r="E335" s="2115">
        <v>0.15</v>
      </c>
      <c r="F335" s="2127"/>
    </row>
    <row r="336" spans="1:6" ht="14.25" thickBot="1">
      <c r="A336" s="1527" t="s">
        <v>2277</v>
      </c>
      <c r="B336" s="1521" t="s">
        <v>2289</v>
      </c>
      <c r="C336" s="2115">
        <v>0.15</v>
      </c>
      <c r="D336" s="2115">
        <v>0.15</v>
      </c>
      <c r="E336" s="2115">
        <v>0.15</v>
      </c>
      <c r="F336" s="2116">
        <v>0.11799999999999999</v>
      </c>
    </row>
    <row r="337" spans="1:6" ht="14.25" thickBot="1">
      <c r="A337" s="1537" t="s">
        <v>2277</v>
      </c>
      <c r="B337" s="1533" t="s">
        <v>1419</v>
      </c>
      <c r="C337" s="2125"/>
      <c r="D337" s="2125"/>
      <c r="E337" s="2125"/>
      <c r="F337" s="2118">
        <v>0.14299999999999999</v>
      </c>
    </row>
    <row r="338" spans="1:6" ht="14.25" thickBot="1">
      <c r="A338" s="1527" t="s">
        <v>2290</v>
      </c>
      <c r="B338" s="1528" t="s">
        <v>2291</v>
      </c>
      <c r="C338" s="2113">
        <v>0.15</v>
      </c>
      <c r="D338" s="2113">
        <v>0.15</v>
      </c>
      <c r="E338" s="2113">
        <v>0.15</v>
      </c>
      <c r="F338" s="2130"/>
    </row>
    <row r="339" spans="1:6" ht="14.25" thickBot="1">
      <c r="A339" s="1527" t="s">
        <v>2290</v>
      </c>
      <c r="B339" s="1521" t="s">
        <v>2292</v>
      </c>
      <c r="C339" s="2115">
        <v>0.15</v>
      </c>
      <c r="D339" s="2115">
        <v>0.15</v>
      </c>
      <c r="E339" s="2115">
        <v>0.15</v>
      </c>
      <c r="F339" s="2127"/>
    </row>
    <row r="340" spans="1:6" ht="14.25" thickBot="1">
      <c r="A340" s="1527" t="s">
        <v>2290</v>
      </c>
      <c r="B340" s="1521" t="s">
        <v>2293</v>
      </c>
      <c r="C340" s="2115">
        <v>0.15</v>
      </c>
      <c r="D340" s="2115">
        <v>0.15</v>
      </c>
      <c r="E340" s="2115">
        <v>0.15</v>
      </c>
      <c r="F340" s="2127"/>
    </row>
    <row r="341" spans="1:6" ht="14.25" thickBot="1">
      <c r="A341" s="1527" t="s">
        <v>2290</v>
      </c>
      <c r="B341" s="1521" t="s">
        <v>2294</v>
      </c>
      <c r="C341" s="2115">
        <v>0.15</v>
      </c>
      <c r="D341" s="2115">
        <v>0.15</v>
      </c>
      <c r="E341" s="2115">
        <v>0.15</v>
      </c>
      <c r="F341" s="2116">
        <v>0.15</v>
      </c>
    </row>
    <row r="342" spans="1:6" ht="14.25" thickBot="1">
      <c r="A342" s="1527" t="s">
        <v>2290</v>
      </c>
      <c r="B342" s="1521" t="s">
        <v>2295</v>
      </c>
      <c r="C342" s="2115">
        <v>0.15</v>
      </c>
      <c r="D342" s="2115">
        <v>0.15</v>
      </c>
      <c r="E342" s="2115">
        <v>0.15</v>
      </c>
      <c r="F342" s="2116">
        <v>0.15</v>
      </c>
    </row>
    <row r="343" spans="1:6" ht="14.25" thickBot="1">
      <c r="A343" s="1527" t="s">
        <v>2290</v>
      </c>
      <c r="B343" s="1521" t="s">
        <v>2296</v>
      </c>
      <c r="C343" s="2115">
        <v>0.15</v>
      </c>
      <c r="D343" s="2115">
        <v>0.15</v>
      </c>
      <c r="E343" s="2115">
        <v>0.15</v>
      </c>
      <c r="F343" s="2116">
        <v>0.15</v>
      </c>
    </row>
    <row r="344" spans="1:6" ht="14.25" thickBot="1">
      <c r="A344" s="1537" t="s">
        <v>2290</v>
      </c>
      <c r="B344" s="1533" t="s">
        <v>2297</v>
      </c>
      <c r="C344" s="2117">
        <v>0.15</v>
      </c>
      <c r="D344" s="2117">
        <v>0.15</v>
      </c>
      <c r="E344" s="2117">
        <v>0.15</v>
      </c>
      <c r="F344" s="2118">
        <v>0.15</v>
      </c>
    </row>
  </sheetData>
  <sheetProtection password="C66D" sheet="1" objects="1" scenarios="1"/>
  <mergeCells count="1">
    <mergeCell ref="A1:B1"/>
  </mergeCells>
  <phoneticPr fontId="1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3137" customWidth="1"/>
    <col min="2" max="2" width="13.25" style="3143" customWidth="1"/>
    <col min="3" max="3" width="15.625" style="3143" customWidth="1"/>
    <col min="4" max="4" width="9.375" style="3143" bestFit="1" customWidth="1"/>
    <col min="5" max="5" width="13.5" style="3143" customWidth="1"/>
    <col min="6" max="6" width="9" style="3143"/>
    <col min="7" max="7" width="9.375" style="3143" bestFit="1" customWidth="1"/>
    <col min="8" max="8" width="12.25" style="3143" customWidth="1"/>
    <col min="9" max="9" width="9" style="3143"/>
    <col min="10" max="10" width="9.375" style="3143" bestFit="1" customWidth="1"/>
    <col min="11" max="11" width="4" style="3137" customWidth="1"/>
    <col min="12" max="12" width="5.125" style="3143" customWidth="1"/>
    <col min="13" max="13" width="13.75" style="3143" customWidth="1"/>
    <col min="14" max="256" width="9" style="3143"/>
    <col min="257" max="257" width="4.875" style="3134" customWidth="1"/>
    <col min="258" max="258" width="13.25" style="3134" customWidth="1"/>
    <col min="259" max="259" width="15.625" style="3134" customWidth="1"/>
    <col min="260" max="260" width="9.375" style="3134" bestFit="1" customWidth="1"/>
    <col min="261" max="261" width="13.5" style="3134" customWidth="1"/>
    <col min="262" max="262" width="9" style="3134"/>
    <col min="263" max="263" width="9.375" style="3134" bestFit="1" customWidth="1"/>
    <col min="264" max="265" width="9" style="3134"/>
    <col min="266" max="266" width="9.375" style="3134" bestFit="1" customWidth="1"/>
    <col min="267" max="267" width="4" style="3134" customWidth="1"/>
    <col min="268" max="268" width="5.125" style="3134" customWidth="1"/>
    <col min="269" max="269" width="13.75" style="3134" customWidth="1"/>
    <col min="270" max="512" width="9" style="3134"/>
    <col min="513" max="513" width="4.875" style="3134" customWidth="1"/>
    <col min="514" max="514" width="13.25" style="3134" customWidth="1"/>
    <col min="515" max="515" width="15.625" style="3134" customWidth="1"/>
    <col min="516" max="516" width="9.375" style="3134" bestFit="1" customWidth="1"/>
    <col min="517" max="517" width="13.5" style="3134" customWidth="1"/>
    <col min="518" max="518" width="9" style="3134"/>
    <col min="519" max="519" width="9.375" style="3134" bestFit="1" customWidth="1"/>
    <col min="520" max="521" width="9" style="3134"/>
    <col min="522" max="522" width="9.375" style="3134" bestFit="1" customWidth="1"/>
    <col min="523" max="523" width="4" style="3134" customWidth="1"/>
    <col min="524" max="524" width="5.125" style="3134" customWidth="1"/>
    <col min="525" max="525" width="13.75" style="3134" customWidth="1"/>
    <col min="526" max="768" width="9" style="3134"/>
    <col min="769" max="769" width="4.875" style="3134" customWidth="1"/>
    <col min="770" max="770" width="13.25" style="3134" customWidth="1"/>
    <col min="771" max="771" width="15.625" style="3134" customWidth="1"/>
    <col min="772" max="772" width="9.375" style="3134" bestFit="1" customWidth="1"/>
    <col min="773" max="773" width="13.5" style="3134" customWidth="1"/>
    <col min="774" max="774" width="9" style="3134"/>
    <col min="775" max="775" width="9.375" style="3134" bestFit="1" customWidth="1"/>
    <col min="776" max="777" width="9" style="3134"/>
    <col min="778" max="778" width="9.375" style="3134" bestFit="1" customWidth="1"/>
    <col min="779" max="779" width="4" style="3134" customWidth="1"/>
    <col min="780" max="780" width="5.125" style="3134" customWidth="1"/>
    <col min="781" max="781" width="13.75" style="3134" customWidth="1"/>
    <col min="782" max="1024" width="9" style="3134"/>
    <col min="1025" max="1025" width="4.875" style="3134" customWidth="1"/>
    <col min="1026" max="1026" width="13.25" style="3134" customWidth="1"/>
    <col min="1027" max="1027" width="15.625" style="3134" customWidth="1"/>
    <col min="1028" max="1028" width="9.375" style="3134" bestFit="1" customWidth="1"/>
    <col min="1029" max="1029" width="13.5" style="3134" customWidth="1"/>
    <col min="1030" max="1030" width="9" style="3134"/>
    <col min="1031" max="1031" width="9.375" style="3134" bestFit="1" customWidth="1"/>
    <col min="1032" max="1033" width="9" style="3134"/>
    <col min="1034" max="1034" width="9.375" style="3134" bestFit="1" customWidth="1"/>
    <col min="1035" max="1035" width="4" style="3134" customWidth="1"/>
    <col min="1036" max="1036" width="5.125" style="3134" customWidth="1"/>
    <col min="1037" max="1037" width="13.75" style="3134" customWidth="1"/>
    <col min="1038" max="1280" width="9" style="3134"/>
    <col min="1281" max="1281" width="4.875" style="3134" customWidth="1"/>
    <col min="1282" max="1282" width="13.25" style="3134" customWidth="1"/>
    <col min="1283" max="1283" width="15.625" style="3134" customWidth="1"/>
    <col min="1284" max="1284" width="9.375" style="3134" bestFit="1" customWidth="1"/>
    <col min="1285" max="1285" width="13.5" style="3134" customWidth="1"/>
    <col min="1286" max="1286" width="9" style="3134"/>
    <col min="1287" max="1287" width="9.375" style="3134" bestFit="1" customWidth="1"/>
    <col min="1288" max="1289" width="9" style="3134"/>
    <col min="1290" max="1290" width="9.375" style="3134" bestFit="1" customWidth="1"/>
    <col min="1291" max="1291" width="4" style="3134" customWidth="1"/>
    <col min="1292" max="1292" width="5.125" style="3134" customWidth="1"/>
    <col min="1293" max="1293" width="13.75" style="3134" customWidth="1"/>
    <col min="1294" max="1536" width="9" style="3134"/>
    <col min="1537" max="1537" width="4.875" style="3134" customWidth="1"/>
    <col min="1538" max="1538" width="13.25" style="3134" customWidth="1"/>
    <col min="1539" max="1539" width="15.625" style="3134" customWidth="1"/>
    <col min="1540" max="1540" width="9.375" style="3134" bestFit="1" customWidth="1"/>
    <col min="1541" max="1541" width="13.5" style="3134" customWidth="1"/>
    <col min="1542" max="1542" width="9" style="3134"/>
    <col min="1543" max="1543" width="9.375" style="3134" bestFit="1" customWidth="1"/>
    <col min="1544" max="1545" width="9" style="3134"/>
    <col min="1546" max="1546" width="9.375" style="3134" bestFit="1" customWidth="1"/>
    <col min="1547" max="1547" width="4" style="3134" customWidth="1"/>
    <col min="1548" max="1548" width="5.125" style="3134" customWidth="1"/>
    <col min="1549" max="1549" width="13.75" style="3134" customWidth="1"/>
    <col min="1550" max="1792" width="9" style="3134"/>
    <col min="1793" max="1793" width="4.875" style="3134" customWidth="1"/>
    <col min="1794" max="1794" width="13.25" style="3134" customWidth="1"/>
    <col min="1795" max="1795" width="15.625" style="3134" customWidth="1"/>
    <col min="1796" max="1796" width="9.375" style="3134" bestFit="1" customWidth="1"/>
    <col min="1797" max="1797" width="13.5" style="3134" customWidth="1"/>
    <col min="1798" max="1798" width="9" style="3134"/>
    <col min="1799" max="1799" width="9.375" style="3134" bestFit="1" customWidth="1"/>
    <col min="1800" max="1801" width="9" style="3134"/>
    <col min="1802" max="1802" width="9.375" style="3134" bestFit="1" customWidth="1"/>
    <col min="1803" max="1803" width="4" style="3134" customWidth="1"/>
    <col min="1804" max="1804" width="5.125" style="3134" customWidth="1"/>
    <col min="1805" max="1805" width="13.75" style="3134" customWidth="1"/>
    <col min="1806" max="2048" width="9" style="3134"/>
    <col min="2049" max="2049" width="4.875" style="3134" customWidth="1"/>
    <col min="2050" max="2050" width="13.25" style="3134" customWidth="1"/>
    <col min="2051" max="2051" width="15.625" style="3134" customWidth="1"/>
    <col min="2052" max="2052" width="9.375" style="3134" bestFit="1" customWidth="1"/>
    <col min="2053" max="2053" width="13.5" style="3134" customWidth="1"/>
    <col min="2054" max="2054" width="9" style="3134"/>
    <col min="2055" max="2055" width="9.375" style="3134" bestFit="1" customWidth="1"/>
    <col min="2056" max="2057" width="9" style="3134"/>
    <col min="2058" max="2058" width="9.375" style="3134" bestFit="1" customWidth="1"/>
    <col min="2059" max="2059" width="4" style="3134" customWidth="1"/>
    <col min="2060" max="2060" width="5.125" style="3134" customWidth="1"/>
    <col min="2061" max="2061" width="13.75" style="3134" customWidth="1"/>
    <col min="2062" max="2304" width="9" style="3134"/>
    <col min="2305" max="2305" width="4.875" style="3134" customWidth="1"/>
    <col min="2306" max="2306" width="13.25" style="3134" customWidth="1"/>
    <col min="2307" max="2307" width="15.625" style="3134" customWidth="1"/>
    <col min="2308" max="2308" width="9.375" style="3134" bestFit="1" customWidth="1"/>
    <col min="2309" max="2309" width="13.5" style="3134" customWidth="1"/>
    <col min="2310" max="2310" width="9" style="3134"/>
    <col min="2311" max="2311" width="9.375" style="3134" bestFit="1" customWidth="1"/>
    <col min="2312" max="2313" width="9" style="3134"/>
    <col min="2314" max="2314" width="9.375" style="3134" bestFit="1" customWidth="1"/>
    <col min="2315" max="2315" width="4" style="3134" customWidth="1"/>
    <col min="2316" max="2316" width="5.125" style="3134" customWidth="1"/>
    <col min="2317" max="2317" width="13.75" style="3134" customWidth="1"/>
    <col min="2318" max="2560" width="9" style="3134"/>
    <col min="2561" max="2561" width="4.875" style="3134" customWidth="1"/>
    <col min="2562" max="2562" width="13.25" style="3134" customWidth="1"/>
    <col min="2563" max="2563" width="15.625" style="3134" customWidth="1"/>
    <col min="2564" max="2564" width="9.375" style="3134" bestFit="1" customWidth="1"/>
    <col min="2565" max="2565" width="13.5" style="3134" customWidth="1"/>
    <col min="2566" max="2566" width="9" style="3134"/>
    <col min="2567" max="2567" width="9.375" style="3134" bestFit="1" customWidth="1"/>
    <col min="2568" max="2569" width="9" style="3134"/>
    <col min="2570" max="2570" width="9.375" style="3134" bestFit="1" customWidth="1"/>
    <col min="2571" max="2571" width="4" style="3134" customWidth="1"/>
    <col min="2572" max="2572" width="5.125" style="3134" customWidth="1"/>
    <col min="2573" max="2573" width="13.75" style="3134" customWidth="1"/>
    <col min="2574" max="2816" width="9" style="3134"/>
    <col min="2817" max="2817" width="4.875" style="3134" customWidth="1"/>
    <col min="2818" max="2818" width="13.25" style="3134" customWidth="1"/>
    <col min="2819" max="2819" width="15.625" style="3134" customWidth="1"/>
    <col min="2820" max="2820" width="9.375" style="3134" bestFit="1" customWidth="1"/>
    <col min="2821" max="2821" width="13.5" style="3134" customWidth="1"/>
    <col min="2822" max="2822" width="9" style="3134"/>
    <col min="2823" max="2823" width="9.375" style="3134" bestFit="1" customWidth="1"/>
    <col min="2824" max="2825" width="9" style="3134"/>
    <col min="2826" max="2826" width="9.375" style="3134" bestFit="1" customWidth="1"/>
    <col min="2827" max="2827" width="4" style="3134" customWidth="1"/>
    <col min="2828" max="2828" width="5.125" style="3134" customWidth="1"/>
    <col min="2829" max="2829" width="13.75" style="3134" customWidth="1"/>
    <col min="2830" max="3072" width="9" style="3134"/>
    <col min="3073" max="3073" width="4.875" style="3134" customWidth="1"/>
    <col min="3074" max="3074" width="13.25" style="3134" customWidth="1"/>
    <col min="3075" max="3075" width="15.625" style="3134" customWidth="1"/>
    <col min="3076" max="3076" width="9.375" style="3134" bestFit="1" customWidth="1"/>
    <col min="3077" max="3077" width="13.5" style="3134" customWidth="1"/>
    <col min="3078" max="3078" width="9" style="3134"/>
    <col min="3079" max="3079" width="9.375" style="3134" bestFit="1" customWidth="1"/>
    <col min="3080" max="3081" width="9" style="3134"/>
    <col min="3082" max="3082" width="9.375" style="3134" bestFit="1" customWidth="1"/>
    <col min="3083" max="3083" width="4" style="3134" customWidth="1"/>
    <col min="3084" max="3084" width="5.125" style="3134" customWidth="1"/>
    <col min="3085" max="3085" width="13.75" style="3134" customWidth="1"/>
    <col min="3086" max="3328" width="9" style="3134"/>
    <col min="3329" max="3329" width="4.875" style="3134" customWidth="1"/>
    <col min="3330" max="3330" width="13.25" style="3134" customWidth="1"/>
    <col min="3331" max="3331" width="15.625" style="3134" customWidth="1"/>
    <col min="3332" max="3332" width="9.375" style="3134" bestFit="1" customWidth="1"/>
    <col min="3333" max="3333" width="13.5" style="3134" customWidth="1"/>
    <col min="3334" max="3334" width="9" style="3134"/>
    <col min="3335" max="3335" width="9.375" style="3134" bestFit="1" customWidth="1"/>
    <col min="3336" max="3337" width="9" style="3134"/>
    <col min="3338" max="3338" width="9.375" style="3134" bestFit="1" customWidth="1"/>
    <col min="3339" max="3339" width="4" style="3134" customWidth="1"/>
    <col min="3340" max="3340" width="5.125" style="3134" customWidth="1"/>
    <col min="3341" max="3341" width="13.75" style="3134" customWidth="1"/>
    <col min="3342" max="3584" width="9" style="3134"/>
    <col min="3585" max="3585" width="4.875" style="3134" customWidth="1"/>
    <col min="3586" max="3586" width="13.25" style="3134" customWidth="1"/>
    <col min="3587" max="3587" width="15.625" style="3134" customWidth="1"/>
    <col min="3588" max="3588" width="9.375" style="3134" bestFit="1" customWidth="1"/>
    <col min="3589" max="3589" width="13.5" style="3134" customWidth="1"/>
    <col min="3590" max="3590" width="9" style="3134"/>
    <col min="3591" max="3591" width="9.375" style="3134" bestFit="1" customWidth="1"/>
    <col min="3592" max="3593" width="9" style="3134"/>
    <col min="3594" max="3594" width="9.375" style="3134" bestFit="1" customWidth="1"/>
    <col min="3595" max="3595" width="4" style="3134" customWidth="1"/>
    <col min="3596" max="3596" width="5.125" style="3134" customWidth="1"/>
    <col min="3597" max="3597" width="13.75" style="3134" customWidth="1"/>
    <col min="3598" max="3840" width="9" style="3134"/>
    <col min="3841" max="3841" width="4.875" style="3134" customWidth="1"/>
    <col min="3842" max="3842" width="13.25" style="3134" customWidth="1"/>
    <col min="3843" max="3843" width="15.625" style="3134" customWidth="1"/>
    <col min="3844" max="3844" width="9.375" style="3134" bestFit="1" customWidth="1"/>
    <col min="3845" max="3845" width="13.5" style="3134" customWidth="1"/>
    <col min="3846" max="3846" width="9" style="3134"/>
    <col min="3847" max="3847" width="9.375" style="3134" bestFit="1" customWidth="1"/>
    <col min="3848" max="3849" width="9" style="3134"/>
    <col min="3850" max="3850" width="9.375" style="3134" bestFit="1" customWidth="1"/>
    <col min="3851" max="3851" width="4" style="3134" customWidth="1"/>
    <col min="3852" max="3852" width="5.125" style="3134" customWidth="1"/>
    <col min="3853" max="3853" width="13.75" style="3134" customWidth="1"/>
    <col min="3854" max="4096" width="9" style="3134"/>
    <col min="4097" max="4097" width="4.875" style="3134" customWidth="1"/>
    <col min="4098" max="4098" width="13.25" style="3134" customWidth="1"/>
    <col min="4099" max="4099" width="15.625" style="3134" customWidth="1"/>
    <col min="4100" max="4100" width="9.375" style="3134" bestFit="1" customWidth="1"/>
    <col min="4101" max="4101" width="13.5" style="3134" customWidth="1"/>
    <col min="4102" max="4102" width="9" style="3134"/>
    <col min="4103" max="4103" width="9.375" style="3134" bestFit="1" customWidth="1"/>
    <col min="4104" max="4105" width="9" style="3134"/>
    <col min="4106" max="4106" width="9.375" style="3134" bestFit="1" customWidth="1"/>
    <col min="4107" max="4107" width="4" style="3134" customWidth="1"/>
    <col min="4108" max="4108" width="5.125" style="3134" customWidth="1"/>
    <col min="4109" max="4109" width="13.75" style="3134" customWidth="1"/>
    <col min="4110" max="4352" width="9" style="3134"/>
    <col min="4353" max="4353" width="4.875" style="3134" customWidth="1"/>
    <col min="4354" max="4354" width="13.25" style="3134" customWidth="1"/>
    <col min="4355" max="4355" width="15.625" style="3134" customWidth="1"/>
    <col min="4356" max="4356" width="9.375" style="3134" bestFit="1" customWidth="1"/>
    <col min="4357" max="4357" width="13.5" style="3134" customWidth="1"/>
    <col min="4358" max="4358" width="9" style="3134"/>
    <col min="4359" max="4359" width="9.375" style="3134" bestFit="1" customWidth="1"/>
    <col min="4360" max="4361" width="9" style="3134"/>
    <col min="4362" max="4362" width="9.375" style="3134" bestFit="1" customWidth="1"/>
    <col min="4363" max="4363" width="4" style="3134" customWidth="1"/>
    <col min="4364" max="4364" width="5.125" style="3134" customWidth="1"/>
    <col min="4365" max="4365" width="13.75" style="3134" customWidth="1"/>
    <col min="4366" max="4608" width="9" style="3134"/>
    <col min="4609" max="4609" width="4.875" style="3134" customWidth="1"/>
    <col min="4610" max="4610" width="13.25" style="3134" customWidth="1"/>
    <col min="4611" max="4611" width="15.625" style="3134" customWidth="1"/>
    <col min="4612" max="4612" width="9.375" style="3134" bestFit="1" customWidth="1"/>
    <col min="4613" max="4613" width="13.5" style="3134" customWidth="1"/>
    <col min="4614" max="4614" width="9" style="3134"/>
    <col min="4615" max="4615" width="9.375" style="3134" bestFit="1" customWidth="1"/>
    <col min="4616" max="4617" width="9" style="3134"/>
    <col min="4618" max="4618" width="9.375" style="3134" bestFit="1" customWidth="1"/>
    <col min="4619" max="4619" width="4" style="3134" customWidth="1"/>
    <col min="4620" max="4620" width="5.125" style="3134" customWidth="1"/>
    <col min="4621" max="4621" width="13.75" style="3134" customWidth="1"/>
    <col min="4622" max="4864" width="9" style="3134"/>
    <col min="4865" max="4865" width="4.875" style="3134" customWidth="1"/>
    <col min="4866" max="4866" width="13.25" style="3134" customWidth="1"/>
    <col min="4867" max="4867" width="15.625" style="3134" customWidth="1"/>
    <col min="4868" max="4868" width="9.375" style="3134" bestFit="1" customWidth="1"/>
    <col min="4869" max="4869" width="13.5" style="3134" customWidth="1"/>
    <col min="4870" max="4870" width="9" style="3134"/>
    <col min="4871" max="4871" width="9.375" style="3134" bestFit="1" customWidth="1"/>
    <col min="4872" max="4873" width="9" style="3134"/>
    <col min="4874" max="4874" width="9.375" style="3134" bestFit="1" customWidth="1"/>
    <col min="4875" max="4875" width="4" style="3134" customWidth="1"/>
    <col min="4876" max="4876" width="5.125" style="3134" customWidth="1"/>
    <col min="4877" max="4877" width="13.75" style="3134" customWidth="1"/>
    <col min="4878" max="5120" width="9" style="3134"/>
    <col min="5121" max="5121" width="4.875" style="3134" customWidth="1"/>
    <col min="5122" max="5122" width="13.25" style="3134" customWidth="1"/>
    <col min="5123" max="5123" width="15.625" style="3134" customWidth="1"/>
    <col min="5124" max="5124" width="9.375" style="3134" bestFit="1" customWidth="1"/>
    <col min="5125" max="5125" width="13.5" style="3134" customWidth="1"/>
    <col min="5126" max="5126" width="9" style="3134"/>
    <col min="5127" max="5127" width="9.375" style="3134" bestFit="1" customWidth="1"/>
    <col min="5128" max="5129" width="9" style="3134"/>
    <col min="5130" max="5130" width="9.375" style="3134" bestFit="1" customWidth="1"/>
    <col min="5131" max="5131" width="4" style="3134" customWidth="1"/>
    <col min="5132" max="5132" width="5.125" style="3134" customWidth="1"/>
    <col min="5133" max="5133" width="13.75" style="3134" customWidth="1"/>
    <col min="5134" max="5376" width="9" style="3134"/>
    <col min="5377" max="5377" width="4.875" style="3134" customWidth="1"/>
    <col min="5378" max="5378" width="13.25" style="3134" customWidth="1"/>
    <col min="5379" max="5379" width="15.625" style="3134" customWidth="1"/>
    <col min="5380" max="5380" width="9.375" style="3134" bestFit="1" customWidth="1"/>
    <col min="5381" max="5381" width="13.5" style="3134" customWidth="1"/>
    <col min="5382" max="5382" width="9" style="3134"/>
    <col min="5383" max="5383" width="9.375" style="3134" bestFit="1" customWidth="1"/>
    <col min="5384" max="5385" width="9" style="3134"/>
    <col min="5386" max="5386" width="9.375" style="3134" bestFit="1" customWidth="1"/>
    <col min="5387" max="5387" width="4" style="3134" customWidth="1"/>
    <col min="5388" max="5388" width="5.125" style="3134" customWidth="1"/>
    <col min="5389" max="5389" width="13.75" style="3134" customWidth="1"/>
    <col min="5390" max="5632" width="9" style="3134"/>
    <col min="5633" max="5633" width="4.875" style="3134" customWidth="1"/>
    <col min="5634" max="5634" width="13.25" style="3134" customWidth="1"/>
    <col min="5635" max="5635" width="15.625" style="3134" customWidth="1"/>
    <col min="5636" max="5636" width="9.375" style="3134" bestFit="1" customWidth="1"/>
    <col min="5637" max="5637" width="13.5" style="3134" customWidth="1"/>
    <col min="5638" max="5638" width="9" style="3134"/>
    <col min="5639" max="5639" width="9.375" style="3134" bestFit="1" customWidth="1"/>
    <col min="5640" max="5641" width="9" style="3134"/>
    <col min="5642" max="5642" width="9.375" style="3134" bestFit="1" customWidth="1"/>
    <col min="5643" max="5643" width="4" style="3134" customWidth="1"/>
    <col min="5644" max="5644" width="5.125" style="3134" customWidth="1"/>
    <col min="5645" max="5645" width="13.75" style="3134" customWidth="1"/>
    <col min="5646" max="5888" width="9" style="3134"/>
    <col min="5889" max="5889" width="4.875" style="3134" customWidth="1"/>
    <col min="5890" max="5890" width="13.25" style="3134" customWidth="1"/>
    <col min="5891" max="5891" width="15.625" style="3134" customWidth="1"/>
    <col min="5892" max="5892" width="9.375" style="3134" bestFit="1" customWidth="1"/>
    <col min="5893" max="5893" width="13.5" style="3134" customWidth="1"/>
    <col min="5894" max="5894" width="9" style="3134"/>
    <col min="5895" max="5895" width="9.375" style="3134" bestFit="1" customWidth="1"/>
    <col min="5896" max="5897" width="9" style="3134"/>
    <col min="5898" max="5898" width="9.375" style="3134" bestFit="1" customWidth="1"/>
    <col min="5899" max="5899" width="4" style="3134" customWidth="1"/>
    <col min="5900" max="5900" width="5.125" style="3134" customWidth="1"/>
    <col min="5901" max="5901" width="13.75" style="3134" customWidth="1"/>
    <col min="5902" max="6144" width="9" style="3134"/>
    <col min="6145" max="6145" width="4.875" style="3134" customWidth="1"/>
    <col min="6146" max="6146" width="13.25" style="3134" customWidth="1"/>
    <col min="6147" max="6147" width="15.625" style="3134" customWidth="1"/>
    <col min="6148" max="6148" width="9.375" style="3134" bestFit="1" customWidth="1"/>
    <col min="6149" max="6149" width="13.5" style="3134" customWidth="1"/>
    <col min="6150" max="6150" width="9" style="3134"/>
    <col min="6151" max="6151" width="9.375" style="3134" bestFit="1" customWidth="1"/>
    <col min="6152" max="6153" width="9" style="3134"/>
    <col min="6154" max="6154" width="9.375" style="3134" bestFit="1" customWidth="1"/>
    <col min="6155" max="6155" width="4" style="3134" customWidth="1"/>
    <col min="6156" max="6156" width="5.125" style="3134" customWidth="1"/>
    <col min="6157" max="6157" width="13.75" style="3134" customWidth="1"/>
    <col min="6158" max="6400" width="9" style="3134"/>
    <col min="6401" max="6401" width="4.875" style="3134" customWidth="1"/>
    <col min="6402" max="6402" width="13.25" style="3134" customWidth="1"/>
    <col min="6403" max="6403" width="15.625" style="3134" customWidth="1"/>
    <col min="6404" max="6404" width="9.375" style="3134" bestFit="1" customWidth="1"/>
    <col min="6405" max="6405" width="13.5" style="3134" customWidth="1"/>
    <col min="6406" max="6406" width="9" style="3134"/>
    <col min="6407" max="6407" width="9.375" style="3134" bestFit="1" customWidth="1"/>
    <col min="6408" max="6409" width="9" style="3134"/>
    <col min="6410" max="6410" width="9.375" style="3134" bestFit="1" customWidth="1"/>
    <col min="6411" max="6411" width="4" style="3134" customWidth="1"/>
    <col min="6412" max="6412" width="5.125" style="3134" customWidth="1"/>
    <col min="6413" max="6413" width="13.75" style="3134" customWidth="1"/>
    <col min="6414" max="6656" width="9" style="3134"/>
    <col min="6657" max="6657" width="4.875" style="3134" customWidth="1"/>
    <col min="6658" max="6658" width="13.25" style="3134" customWidth="1"/>
    <col min="6659" max="6659" width="15.625" style="3134" customWidth="1"/>
    <col min="6660" max="6660" width="9.375" style="3134" bestFit="1" customWidth="1"/>
    <col min="6661" max="6661" width="13.5" style="3134" customWidth="1"/>
    <col min="6662" max="6662" width="9" style="3134"/>
    <col min="6663" max="6663" width="9.375" style="3134" bestFit="1" customWidth="1"/>
    <col min="6664" max="6665" width="9" style="3134"/>
    <col min="6666" max="6666" width="9.375" style="3134" bestFit="1" customWidth="1"/>
    <col min="6667" max="6667" width="4" style="3134" customWidth="1"/>
    <col min="6668" max="6668" width="5.125" style="3134" customWidth="1"/>
    <col min="6669" max="6669" width="13.75" style="3134" customWidth="1"/>
    <col min="6670" max="6912" width="9" style="3134"/>
    <col min="6913" max="6913" width="4.875" style="3134" customWidth="1"/>
    <col min="6914" max="6914" width="13.25" style="3134" customWidth="1"/>
    <col min="6915" max="6915" width="15.625" style="3134" customWidth="1"/>
    <col min="6916" max="6916" width="9.375" style="3134" bestFit="1" customWidth="1"/>
    <col min="6917" max="6917" width="13.5" style="3134" customWidth="1"/>
    <col min="6918" max="6918" width="9" style="3134"/>
    <col min="6919" max="6919" width="9.375" style="3134" bestFit="1" customWidth="1"/>
    <col min="6920" max="6921" width="9" style="3134"/>
    <col min="6922" max="6922" width="9.375" style="3134" bestFit="1" customWidth="1"/>
    <col min="6923" max="6923" width="4" style="3134" customWidth="1"/>
    <col min="6924" max="6924" width="5.125" style="3134" customWidth="1"/>
    <col min="6925" max="6925" width="13.75" style="3134" customWidth="1"/>
    <col min="6926" max="7168" width="9" style="3134"/>
    <col min="7169" max="7169" width="4.875" style="3134" customWidth="1"/>
    <col min="7170" max="7170" width="13.25" style="3134" customWidth="1"/>
    <col min="7171" max="7171" width="15.625" style="3134" customWidth="1"/>
    <col min="7172" max="7172" width="9.375" style="3134" bestFit="1" customWidth="1"/>
    <col min="7173" max="7173" width="13.5" style="3134" customWidth="1"/>
    <col min="7174" max="7174" width="9" style="3134"/>
    <col min="7175" max="7175" width="9.375" style="3134" bestFit="1" customWidth="1"/>
    <col min="7176" max="7177" width="9" style="3134"/>
    <col min="7178" max="7178" width="9.375" style="3134" bestFit="1" customWidth="1"/>
    <col min="7179" max="7179" width="4" style="3134" customWidth="1"/>
    <col min="7180" max="7180" width="5.125" style="3134" customWidth="1"/>
    <col min="7181" max="7181" width="13.75" style="3134" customWidth="1"/>
    <col min="7182" max="7424" width="9" style="3134"/>
    <col min="7425" max="7425" width="4.875" style="3134" customWidth="1"/>
    <col min="7426" max="7426" width="13.25" style="3134" customWidth="1"/>
    <col min="7427" max="7427" width="15.625" style="3134" customWidth="1"/>
    <col min="7428" max="7428" width="9.375" style="3134" bestFit="1" customWidth="1"/>
    <col min="7429" max="7429" width="13.5" style="3134" customWidth="1"/>
    <col min="7430" max="7430" width="9" style="3134"/>
    <col min="7431" max="7431" width="9.375" style="3134" bestFit="1" customWidth="1"/>
    <col min="7432" max="7433" width="9" style="3134"/>
    <col min="7434" max="7434" width="9.375" style="3134" bestFit="1" customWidth="1"/>
    <col min="7435" max="7435" width="4" style="3134" customWidth="1"/>
    <col min="7436" max="7436" width="5.125" style="3134" customWidth="1"/>
    <col min="7437" max="7437" width="13.75" style="3134" customWidth="1"/>
    <col min="7438" max="7680" width="9" style="3134"/>
    <col min="7681" max="7681" width="4.875" style="3134" customWidth="1"/>
    <col min="7682" max="7682" width="13.25" style="3134" customWidth="1"/>
    <col min="7683" max="7683" width="15.625" style="3134" customWidth="1"/>
    <col min="7684" max="7684" width="9.375" style="3134" bestFit="1" customWidth="1"/>
    <col min="7685" max="7685" width="13.5" style="3134" customWidth="1"/>
    <col min="7686" max="7686" width="9" style="3134"/>
    <col min="7687" max="7687" width="9.375" style="3134" bestFit="1" customWidth="1"/>
    <col min="7688" max="7689" width="9" style="3134"/>
    <col min="7690" max="7690" width="9.375" style="3134" bestFit="1" customWidth="1"/>
    <col min="7691" max="7691" width="4" style="3134" customWidth="1"/>
    <col min="7692" max="7692" width="5.125" style="3134" customWidth="1"/>
    <col min="7693" max="7693" width="13.75" style="3134" customWidth="1"/>
    <col min="7694" max="7936" width="9" style="3134"/>
    <col min="7937" max="7937" width="4.875" style="3134" customWidth="1"/>
    <col min="7938" max="7938" width="13.25" style="3134" customWidth="1"/>
    <col min="7939" max="7939" width="15.625" style="3134" customWidth="1"/>
    <col min="7940" max="7940" width="9.375" style="3134" bestFit="1" customWidth="1"/>
    <col min="7941" max="7941" width="13.5" style="3134" customWidth="1"/>
    <col min="7942" max="7942" width="9" style="3134"/>
    <col min="7943" max="7943" width="9.375" style="3134" bestFit="1" customWidth="1"/>
    <col min="7944" max="7945" width="9" style="3134"/>
    <col min="7946" max="7946" width="9.375" style="3134" bestFit="1" customWidth="1"/>
    <col min="7947" max="7947" width="4" style="3134" customWidth="1"/>
    <col min="7948" max="7948" width="5.125" style="3134" customWidth="1"/>
    <col min="7949" max="7949" width="13.75" style="3134" customWidth="1"/>
    <col min="7950" max="8192" width="9" style="3134"/>
    <col min="8193" max="8193" width="4.875" style="3134" customWidth="1"/>
    <col min="8194" max="8194" width="13.25" style="3134" customWidth="1"/>
    <col min="8195" max="8195" width="15.625" style="3134" customWidth="1"/>
    <col min="8196" max="8196" width="9.375" style="3134" bestFit="1" customWidth="1"/>
    <col min="8197" max="8197" width="13.5" style="3134" customWidth="1"/>
    <col min="8198" max="8198" width="9" style="3134"/>
    <col min="8199" max="8199" width="9.375" style="3134" bestFit="1" customWidth="1"/>
    <col min="8200" max="8201" width="9" style="3134"/>
    <col min="8202" max="8202" width="9.375" style="3134" bestFit="1" customWidth="1"/>
    <col min="8203" max="8203" width="4" style="3134" customWidth="1"/>
    <col min="8204" max="8204" width="5.125" style="3134" customWidth="1"/>
    <col min="8205" max="8205" width="13.75" style="3134" customWidth="1"/>
    <col min="8206" max="8448" width="9" style="3134"/>
    <col min="8449" max="8449" width="4.875" style="3134" customWidth="1"/>
    <col min="8450" max="8450" width="13.25" style="3134" customWidth="1"/>
    <col min="8451" max="8451" width="15.625" style="3134" customWidth="1"/>
    <col min="8452" max="8452" width="9.375" style="3134" bestFit="1" customWidth="1"/>
    <col min="8453" max="8453" width="13.5" style="3134" customWidth="1"/>
    <col min="8454" max="8454" width="9" style="3134"/>
    <col min="8455" max="8455" width="9.375" style="3134" bestFit="1" customWidth="1"/>
    <col min="8456" max="8457" width="9" style="3134"/>
    <col min="8458" max="8458" width="9.375" style="3134" bestFit="1" customWidth="1"/>
    <col min="8459" max="8459" width="4" style="3134" customWidth="1"/>
    <col min="8460" max="8460" width="5.125" style="3134" customWidth="1"/>
    <col min="8461" max="8461" width="13.75" style="3134" customWidth="1"/>
    <col min="8462" max="8704" width="9" style="3134"/>
    <col min="8705" max="8705" width="4.875" style="3134" customWidth="1"/>
    <col min="8706" max="8706" width="13.25" style="3134" customWidth="1"/>
    <col min="8707" max="8707" width="15.625" style="3134" customWidth="1"/>
    <col min="8708" max="8708" width="9.375" style="3134" bestFit="1" customWidth="1"/>
    <col min="8709" max="8709" width="13.5" style="3134" customWidth="1"/>
    <col min="8710" max="8710" width="9" style="3134"/>
    <col min="8711" max="8711" width="9.375" style="3134" bestFit="1" customWidth="1"/>
    <col min="8712" max="8713" width="9" style="3134"/>
    <col min="8714" max="8714" width="9.375" style="3134" bestFit="1" customWidth="1"/>
    <col min="8715" max="8715" width="4" style="3134" customWidth="1"/>
    <col min="8716" max="8716" width="5.125" style="3134" customWidth="1"/>
    <col min="8717" max="8717" width="13.75" style="3134" customWidth="1"/>
    <col min="8718" max="8960" width="9" style="3134"/>
    <col min="8961" max="8961" width="4.875" style="3134" customWidth="1"/>
    <col min="8962" max="8962" width="13.25" style="3134" customWidth="1"/>
    <col min="8963" max="8963" width="15.625" style="3134" customWidth="1"/>
    <col min="8964" max="8964" width="9.375" style="3134" bestFit="1" customWidth="1"/>
    <col min="8965" max="8965" width="13.5" style="3134" customWidth="1"/>
    <col min="8966" max="8966" width="9" style="3134"/>
    <col min="8967" max="8967" width="9.375" style="3134" bestFit="1" customWidth="1"/>
    <col min="8968" max="8969" width="9" style="3134"/>
    <col min="8970" max="8970" width="9.375" style="3134" bestFit="1" customWidth="1"/>
    <col min="8971" max="8971" width="4" style="3134" customWidth="1"/>
    <col min="8972" max="8972" width="5.125" style="3134" customWidth="1"/>
    <col min="8973" max="8973" width="13.75" style="3134" customWidth="1"/>
    <col min="8974" max="9216" width="9" style="3134"/>
    <col min="9217" max="9217" width="4.875" style="3134" customWidth="1"/>
    <col min="9218" max="9218" width="13.25" style="3134" customWidth="1"/>
    <col min="9219" max="9219" width="15.625" style="3134" customWidth="1"/>
    <col min="9220" max="9220" width="9.375" style="3134" bestFit="1" customWidth="1"/>
    <col min="9221" max="9221" width="13.5" style="3134" customWidth="1"/>
    <col min="9222" max="9222" width="9" style="3134"/>
    <col min="9223" max="9223" width="9.375" style="3134" bestFit="1" customWidth="1"/>
    <col min="9224" max="9225" width="9" style="3134"/>
    <col min="9226" max="9226" width="9.375" style="3134" bestFit="1" customWidth="1"/>
    <col min="9227" max="9227" width="4" style="3134" customWidth="1"/>
    <col min="9228" max="9228" width="5.125" style="3134" customWidth="1"/>
    <col min="9229" max="9229" width="13.75" style="3134" customWidth="1"/>
    <col min="9230" max="9472" width="9" style="3134"/>
    <col min="9473" max="9473" width="4.875" style="3134" customWidth="1"/>
    <col min="9474" max="9474" width="13.25" style="3134" customWidth="1"/>
    <col min="9475" max="9475" width="15.625" style="3134" customWidth="1"/>
    <col min="9476" max="9476" width="9.375" style="3134" bestFit="1" customWidth="1"/>
    <col min="9477" max="9477" width="13.5" style="3134" customWidth="1"/>
    <col min="9478" max="9478" width="9" style="3134"/>
    <col min="9479" max="9479" width="9.375" style="3134" bestFit="1" customWidth="1"/>
    <col min="9480" max="9481" width="9" style="3134"/>
    <col min="9482" max="9482" width="9.375" style="3134" bestFit="1" customWidth="1"/>
    <col min="9483" max="9483" width="4" style="3134" customWidth="1"/>
    <col min="9484" max="9484" width="5.125" style="3134" customWidth="1"/>
    <col min="9485" max="9485" width="13.75" style="3134" customWidth="1"/>
    <col min="9486" max="9728" width="9" style="3134"/>
    <col min="9729" max="9729" width="4.875" style="3134" customWidth="1"/>
    <col min="9730" max="9730" width="13.25" style="3134" customWidth="1"/>
    <col min="9731" max="9731" width="15.625" style="3134" customWidth="1"/>
    <col min="9732" max="9732" width="9.375" style="3134" bestFit="1" customWidth="1"/>
    <col min="9733" max="9733" width="13.5" style="3134" customWidth="1"/>
    <col min="9734" max="9734" width="9" style="3134"/>
    <col min="9735" max="9735" width="9.375" style="3134" bestFit="1" customWidth="1"/>
    <col min="9736" max="9737" width="9" style="3134"/>
    <col min="9738" max="9738" width="9.375" style="3134" bestFit="1" customWidth="1"/>
    <col min="9739" max="9739" width="4" style="3134" customWidth="1"/>
    <col min="9740" max="9740" width="5.125" style="3134" customWidth="1"/>
    <col min="9741" max="9741" width="13.75" style="3134" customWidth="1"/>
    <col min="9742" max="9984" width="9" style="3134"/>
    <col min="9985" max="9985" width="4.875" style="3134" customWidth="1"/>
    <col min="9986" max="9986" width="13.25" style="3134" customWidth="1"/>
    <col min="9987" max="9987" width="15.625" style="3134" customWidth="1"/>
    <col min="9988" max="9988" width="9.375" style="3134" bestFit="1" customWidth="1"/>
    <col min="9989" max="9989" width="13.5" style="3134" customWidth="1"/>
    <col min="9990" max="9990" width="9" style="3134"/>
    <col min="9991" max="9991" width="9.375" style="3134" bestFit="1" customWidth="1"/>
    <col min="9992" max="9993" width="9" style="3134"/>
    <col min="9994" max="9994" width="9.375" style="3134" bestFit="1" customWidth="1"/>
    <col min="9995" max="9995" width="4" style="3134" customWidth="1"/>
    <col min="9996" max="9996" width="5.125" style="3134" customWidth="1"/>
    <col min="9997" max="9997" width="13.75" style="3134" customWidth="1"/>
    <col min="9998" max="10240" width="9" style="3134"/>
    <col min="10241" max="10241" width="4.875" style="3134" customWidth="1"/>
    <col min="10242" max="10242" width="13.25" style="3134" customWidth="1"/>
    <col min="10243" max="10243" width="15.625" style="3134" customWidth="1"/>
    <col min="10244" max="10244" width="9.375" style="3134" bestFit="1" customWidth="1"/>
    <col min="10245" max="10245" width="13.5" style="3134" customWidth="1"/>
    <col min="10246" max="10246" width="9" style="3134"/>
    <col min="10247" max="10247" width="9.375" style="3134" bestFit="1" customWidth="1"/>
    <col min="10248" max="10249" width="9" style="3134"/>
    <col min="10250" max="10250" width="9.375" style="3134" bestFit="1" customWidth="1"/>
    <col min="10251" max="10251" width="4" style="3134" customWidth="1"/>
    <col min="10252" max="10252" width="5.125" style="3134" customWidth="1"/>
    <col min="10253" max="10253" width="13.75" style="3134" customWidth="1"/>
    <col min="10254" max="10496" width="9" style="3134"/>
    <col min="10497" max="10497" width="4.875" style="3134" customWidth="1"/>
    <col min="10498" max="10498" width="13.25" style="3134" customWidth="1"/>
    <col min="10499" max="10499" width="15.625" style="3134" customWidth="1"/>
    <col min="10500" max="10500" width="9.375" style="3134" bestFit="1" customWidth="1"/>
    <col min="10501" max="10501" width="13.5" style="3134" customWidth="1"/>
    <col min="10502" max="10502" width="9" style="3134"/>
    <col min="10503" max="10503" width="9.375" style="3134" bestFit="1" customWidth="1"/>
    <col min="10504" max="10505" width="9" style="3134"/>
    <col min="10506" max="10506" width="9.375" style="3134" bestFit="1" customWidth="1"/>
    <col min="10507" max="10507" width="4" style="3134" customWidth="1"/>
    <col min="10508" max="10508" width="5.125" style="3134" customWidth="1"/>
    <col min="10509" max="10509" width="13.75" style="3134" customWidth="1"/>
    <col min="10510" max="10752" width="9" style="3134"/>
    <col min="10753" max="10753" width="4.875" style="3134" customWidth="1"/>
    <col min="10754" max="10754" width="13.25" style="3134" customWidth="1"/>
    <col min="10755" max="10755" width="15.625" style="3134" customWidth="1"/>
    <col min="10756" max="10756" width="9.375" style="3134" bestFit="1" customWidth="1"/>
    <col min="10757" max="10757" width="13.5" style="3134" customWidth="1"/>
    <col min="10758" max="10758" width="9" style="3134"/>
    <col min="10759" max="10759" width="9.375" style="3134" bestFit="1" customWidth="1"/>
    <col min="10760" max="10761" width="9" style="3134"/>
    <col min="10762" max="10762" width="9.375" style="3134" bestFit="1" customWidth="1"/>
    <col min="10763" max="10763" width="4" style="3134" customWidth="1"/>
    <col min="10764" max="10764" width="5.125" style="3134" customWidth="1"/>
    <col min="10765" max="10765" width="13.75" style="3134" customWidth="1"/>
    <col min="10766" max="11008" width="9" style="3134"/>
    <col min="11009" max="11009" width="4.875" style="3134" customWidth="1"/>
    <col min="11010" max="11010" width="13.25" style="3134" customWidth="1"/>
    <col min="11011" max="11011" width="15.625" style="3134" customWidth="1"/>
    <col min="11012" max="11012" width="9.375" style="3134" bestFit="1" customWidth="1"/>
    <col min="11013" max="11013" width="13.5" style="3134" customWidth="1"/>
    <col min="11014" max="11014" width="9" style="3134"/>
    <col min="11015" max="11015" width="9.375" style="3134" bestFit="1" customWidth="1"/>
    <col min="11016" max="11017" width="9" style="3134"/>
    <col min="11018" max="11018" width="9.375" style="3134" bestFit="1" customWidth="1"/>
    <col min="11019" max="11019" width="4" style="3134" customWidth="1"/>
    <col min="11020" max="11020" width="5.125" style="3134" customWidth="1"/>
    <col min="11021" max="11021" width="13.75" style="3134" customWidth="1"/>
    <col min="11022" max="11264" width="9" style="3134"/>
    <col min="11265" max="11265" width="4.875" style="3134" customWidth="1"/>
    <col min="11266" max="11266" width="13.25" style="3134" customWidth="1"/>
    <col min="11267" max="11267" width="15.625" style="3134" customWidth="1"/>
    <col min="11268" max="11268" width="9.375" style="3134" bestFit="1" customWidth="1"/>
    <col min="11269" max="11269" width="13.5" style="3134" customWidth="1"/>
    <col min="11270" max="11270" width="9" style="3134"/>
    <col min="11271" max="11271" width="9.375" style="3134" bestFit="1" customWidth="1"/>
    <col min="11272" max="11273" width="9" style="3134"/>
    <col min="11274" max="11274" width="9.375" style="3134" bestFit="1" customWidth="1"/>
    <col min="11275" max="11275" width="4" style="3134" customWidth="1"/>
    <col min="11276" max="11276" width="5.125" style="3134" customWidth="1"/>
    <col min="11277" max="11277" width="13.75" style="3134" customWidth="1"/>
    <col min="11278" max="11520" width="9" style="3134"/>
    <col min="11521" max="11521" width="4.875" style="3134" customWidth="1"/>
    <col min="11522" max="11522" width="13.25" style="3134" customWidth="1"/>
    <col min="11523" max="11523" width="15.625" style="3134" customWidth="1"/>
    <col min="11524" max="11524" width="9.375" style="3134" bestFit="1" customWidth="1"/>
    <col min="11525" max="11525" width="13.5" style="3134" customWidth="1"/>
    <col min="11526" max="11526" width="9" style="3134"/>
    <col min="11527" max="11527" width="9.375" style="3134" bestFit="1" customWidth="1"/>
    <col min="11528" max="11529" width="9" style="3134"/>
    <col min="11530" max="11530" width="9.375" style="3134" bestFit="1" customWidth="1"/>
    <col min="11531" max="11531" width="4" style="3134" customWidth="1"/>
    <col min="11532" max="11532" width="5.125" style="3134" customWidth="1"/>
    <col min="11533" max="11533" width="13.75" style="3134" customWidth="1"/>
    <col min="11534" max="11776" width="9" style="3134"/>
    <col min="11777" max="11777" width="4.875" style="3134" customWidth="1"/>
    <col min="11778" max="11778" width="13.25" style="3134" customWidth="1"/>
    <col min="11779" max="11779" width="15.625" style="3134" customWidth="1"/>
    <col min="11780" max="11780" width="9.375" style="3134" bestFit="1" customWidth="1"/>
    <col min="11781" max="11781" width="13.5" style="3134" customWidth="1"/>
    <col min="11782" max="11782" width="9" style="3134"/>
    <col min="11783" max="11783" width="9.375" style="3134" bestFit="1" customWidth="1"/>
    <col min="11784" max="11785" width="9" style="3134"/>
    <col min="11786" max="11786" width="9.375" style="3134" bestFit="1" customWidth="1"/>
    <col min="11787" max="11787" width="4" style="3134" customWidth="1"/>
    <col min="11788" max="11788" width="5.125" style="3134" customWidth="1"/>
    <col min="11789" max="11789" width="13.75" style="3134" customWidth="1"/>
    <col min="11790" max="12032" width="9" style="3134"/>
    <col min="12033" max="12033" width="4.875" style="3134" customWidth="1"/>
    <col min="12034" max="12034" width="13.25" style="3134" customWidth="1"/>
    <col min="12035" max="12035" width="15.625" style="3134" customWidth="1"/>
    <col min="12036" max="12036" width="9.375" style="3134" bestFit="1" customWidth="1"/>
    <col min="12037" max="12037" width="13.5" style="3134" customWidth="1"/>
    <col min="12038" max="12038" width="9" style="3134"/>
    <col min="12039" max="12039" width="9.375" style="3134" bestFit="1" customWidth="1"/>
    <col min="12040" max="12041" width="9" style="3134"/>
    <col min="12042" max="12042" width="9.375" style="3134" bestFit="1" customWidth="1"/>
    <col min="12043" max="12043" width="4" style="3134" customWidth="1"/>
    <col min="12044" max="12044" width="5.125" style="3134" customWidth="1"/>
    <col min="12045" max="12045" width="13.75" style="3134" customWidth="1"/>
    <col min="12046" max="12288" width="9" style="3134"/>
    <col min="12289" max="12289" width="4.875" style="3134" customWidth="1"/>
    <col min="12290" max="12290" width="13.25" style="3134" customWidth="1"/>
    <col min="12291" max="12291" width="15.625" style="3134" customWidth="1"/>
    <col min="12292" max="12292" width="9.375" style="3134" bestFit="1" customWidth="1"/>
    <col min="12293" max="12293" width="13.5" style="3134" customWidth="1"/>
    <col min="12294" max="12294" width="9" style="3134"/>
    <col min="12295" max="12295" width="9.375" style="3134" bestFit="1" customWidth="1"/>
    <col min="12296" max="12297" width="9" style="3134"/>
    <col min="12298" max="12298" width="9.375" style="3134" bestFit="1" customWidth="1"/>
    <col min="12299" max="12299" width="4" style="3134" customWidth="1"/>
    <col min="12300" max="12300" width="5.125" style="3134" customWidth="1"/>
    <col min="12301" max="12301" width="13.75" style="3134" customWidth="1"/>
    <col min="12302" max="12544" width="9" style="3134"/>
    <col min="12545" max="12545" width="4.875" style="3134" customWidth="1"/>
    <col min="12546" max="12546" width="13.25" style="3134" customWidth="1"/>
    <col min="12547" max="12547" width="15.625" style="3134" customWidth="1"/>
    <col min="12548" max="12548" width="9.375" style="3134" bestFit="1" customWidth="1"/>
    <col min="12549" max="12549" width="13.5" style="3134" customWidth="1"/>
    <col min="12550" max="12550" width="9" style="3134"/>
    <col min="12551" max="12551" width="9.375" style="3134" bestFit="1" customWidth="1"/>
    <col min="12552" max="12553" width="9" style="3134"/>
    <col min="12554" max="12554" width="9.375" style="3134" bestFit="1" customWidth="1"/>
    <col min="12555" max="12555" width="4" style="3134" customWidth="1"/>
    <col min="12556" max="12556" width="5.125" style="3134" customWidth="1"/>
    <col min="12557" max="12557" width="13.75" style="3134" customWidth="1"/>
    <col min="12558" max="12800" width="9" style="3134"/>
    <col min="12801" max="12801" width="4.875" style="3134" customWidth="1"/>
    <col min="12802" max="12802" width="13.25" style="3134" customWidth="1"/>
    <col min="12803" max="12803" width="15.625" style="3134" customWidth="1"/>
    <col min="12804" max="12804" width="9.375" style="3134" bestFit="1" customWidth="1"/>
    <col min="12805" max="12805" width="13.5" style="3134" customWidth="1"/>
    <col min="12806" max="12806" width="9" style="3134"/>
    <col min="12807" max="12807" width="9.375" style="3134" bestFit="1" customWidth="1"/>
    <col min="12808" max="12809" width="9" style="3134"/>
    <col min="12810" max="12810" width="9.375" style="3134" bestFit="1" customWidth="1"/>
    <col min="12811" max="12811" width="4" style="3134" customWidth="1"/>
    <col min="12812" max="12812" width="5.125" style="3134" customWidth="1"/>
    <col min="12813" max="12813" width="13.75" style="3134" customWidth="1"/>
    <col min="12814" max="13056" width="9" style="3134"/>
    <col min="13057" max="13057" width="4.875" style="3134" customWidth="1"/>
    <col min="13058" max="13058" width="13.25" style="3134" customWidth="1"/>
    <col min="13059" max="13059" width="15.625" style="3134" customWidth="1"/>
    <col min="13060" max="13060" width="9.375" style="3134" bestFit="1" customWidth="1"/>
    <col min="13061" max="13061" width="13.5" style="3134" customWidth="1"/>
    <col min="13062" max="13062" width="9" style="3134"/>
    <col min="13063" max="13063" width="9.375" style="3134" bestFit="1" customWidth="1"/>
    <col min="13064" max="13065" width="9" style="3134"/>
    <col min="13066" max="13066" width="9.375" style="3134" bestFit="1" customWidth="1"/>
    <col min="13067" max="13067" width="4" style="3134" customWidth="1"/>
    <col min="13068" max="13068" width="5.125" style="3134" customWidth="1"/>
    <col min="13069" max="13069" width="13.75" style="3134" customWidth="1"/>
    <col min="13070" max="13312" width="9" style="3134"/>
    <col min="13313" max="13313" width="4.875" style="3134" customWidth="1"/>
    <col min="13314" max="13314" width="13.25" style="3134" customWidth="1"/>
    <col min="13315" max="13315" width="15.625" style="3134" customWidth="1"/>
    <col min="13316" max="13316" width="9.375" style="3134" bestFit="1" customWidth="1"/>
    <col min="13317" max="13317" width="13.5" style="3134" customWidth="1"/>
    <col min="13318" max="13318" width="9" style="3134"/>
    <col min="13319" max="13319" width="9.375" style="3134" bestFit="1" customWidth="1"/>
    <col min="13320" max="13321" width="9" style="3134"/>
    <col min="13322" max="13322" width="9.375" style="3134" bestFit="1" customWidth="1"/>
    <col min="13323" max="13323" width="4" style="3134" customWidth="1"/>
    <col min="13324" max="13324" width="5.125" style="3134" customWidth="1"/>
    <col min="13325" max="13325" width="13.75" style="3134" customWidth="1"/>
    <col min="13326" max="13568" width="9" style="3134"/>
    <col min="13569" max="13569" width="4.875" style="3134" customWidth="1"/>
    <col min="13570" max="13570" width="13.25" style="3134" customWidth="1"/>
    <col min="13571" max="13571" width="15.625" style="3134" customWidth="1"/>
    <col min="13572" max="13572" width="9.375" style="3134" bestFit="1" customWidth="1"/>
    <col min="13573" max="13573" width="13.5" style="3134" customWidth="1"/>
    <col min="13574" max="13574" width="9" style="3134"/>
    <col min="13575" max="13575" width="9.375" style="3134" bestFit="1" customWidth="1"/>
    <col min="13576" max="13577" width="9" style="3134"/>
    <col min="13578" max="13578" width="9.375" style="3134" bestFit="1" customWidth="1"/>
    <col min="13579" max="13579" width="4" style="3134" customWidth="1"/>
    <col min="13580" max="13580" width="5.125" style="3134" customWidth="1"/>
    <col min="13581" max="13581" width="13.75" style="3134" customWidth="1"/>
    <col min="13582" max="13824" width="9" style="3134"/>
    <col min="13825" max="13825" width="4.875" style="3134" customWidth="1"/>
    <col min="13826" max="13826" width="13.25" style="3134" customWidth="1"/>
    <col min="13827" max="13827" width="15.625" style="3134" customWidth="1"/>
    <col min="13828" max="13828" width="9.375" style="3134" bestFit="1" customWidth="1"/>
    <col min="13829" max="13829" width="13.5" style="3134" customWidth="1"/>
    <col min="13830" max="13830" width="9" style="3134"/>
    <col min="13831" max="13831" width="9.375" style="3134" bestFit="1" customWidth="1"/>
    <col min="13832" max="13833" width="9" style="3134"/>
    <col min="13834" max="13834" width="9.375" style="3134" bestFit="1" customWidth="1"/>
    <col min="13835" max="13835" width="4" style="3134" customWidth="1"/>
    <col min="13836" max="13836" width="5.125" style="3134" customWidth="1"/>
    <col min="13837" max="13837" width="13.75" style="3134" customWidth="1"/>
    <col min="13838" max="14080" width="9" style="3134"/>
    <col min="14081" max="14081" width="4.875" style="3134" customWidth="1"/>
    <col min="14082" max="14082" width="13.25" style="3134" customWidth="1"/>
    <col min="14083" max="14083" width="15.625" style="3134" customWidth="1"/>
    <col min="14084" max="14084" width="9.375" style="3134" bestFit="1" customWidth="1"/>
    <col min="14085" max="14085" width="13.5" style="3134" customWidth="1"/>
    <col min="14086" max="14086" width="9" style="3134"/>
    <col min="14087" max="14087" width="9.375" style="3134" bestFit="1" customWidth="1"/>
    <col min="14088" max="14089" width="9" style="3134"/>
    <col min="14090" max="14090" width="9.375" style="3134" bestFit="1" customWidth="1"/>
    <col min="14091" max="14091" width="4" style="3134" customWidth="1"/>
    <col min="14092" max="14092" width="5.125" style="3134" customWidth="1"/>
    <col min="14093" max="14093" width="13.75" style="3134" customWidth="1"/>
    <col min="14094" max="14336" width="9" style="3134"/>
    <col min="14337" max="14337" width="4.875" style="3134" customWidth="1"/>
    <col min="14338" max="14338" width="13.25" style="3134" customWidth="1"/>
    <col min="14339" max="14339" width="15.625" style="3134" customWidth="1"/>
    <col min="14340" max="14340" width="9.375" style="3134" bestFit="1" customWidth="1"/>
    <col min="14341" max="14341" width="13.5" style="3134" customWidth="1"/>
    <col min="14342" max="14342" width="9" style="3134"/>
    <col min="14343" max="14343" width="9.375" style="3134" bestFit="1" customWidth="1"/>
    <col min="14344" max="14345" width="9" style="3134"/>
    <col min="14346" max="14346" width="9.375" style="3134" bestFit="1" customWidth="1"/>
    <col min="14347" max="14347" width="4" style="3134" customWidth="1"/>
    <col min="14348" max="14348" width="5.125" style="3134" customWidth="1"/>
    <col min="14349" max="14349" width="13.75" style="3134" customWidth="1"/>
    <col min="14350" max="14592" width="9" style="3134"/>
    <col min="14593" max="14593" width="4.875" style="3134" customWidth="1"/>
    <col min="14594" max="14594" width="13.25" style="3134" customWidth="1"/>
    <col min="14595" max="14595" width="15.625" style="3134" customWidth="1"/>
    <col min="14596" max="14596" width="9.375" style="3134" bestFit="1" customWidth="1"/>
    <col min="14597" max="14597" width="13.5" style="3134" customWidth="1"/>
    <col min="14598" max="14598" width="9" style="3134"/>
    <col min="14599" max="14599" width="9.375" style="3134" bestFit="1" customWidth="1"/>
    <col min="14600" max="14601" width="9" style="3134"/>
    <col min="14602" max="14602" width="9.375" style="3134" bestFit="1" customWidth="1"/>
    <col min="14603" max="14603" width="4" style="3134" customWidth="1"/>
    <col min="14604" max="14604" width="5.125" style="3134" customWidth="1"/>
    <col min="14605" max="14605" width="13.75" style="3134" customWidth="1"/>
    <col min="14606" max="14848" width="9" style="3134"/>
    <col min="14849" max="14849" width="4.875" style="3134" customWidth="1"/>
    <col min="14850" max="14850" width="13.25" style="3134" customWidth="1"/>
    <col min="14851" max="14851" width="15.625" style="3134" customWidth="1"/>
    <col min="14852" max="14852" width="9.375" style="3134" bestFit="1" customWidth="1"/>
    <col min="14853" max="14853" width="13.5" style="3134" customWidth="1"/>
    <col min="14854" max="14854" width="9" style="3134"/>
    <col min="14855" max="14855" width="9.375" style="3134" bestFit="1" customWidth="1"/>
    <col min="14856" max="14857" width="9" style="3134"/>
    <col min="14858" max="14858" width="9.375" style="3134" bestFit="1" customWidth="1"/>
    <col min="14859" max="14859" width="4" style="3134" customWidth="1"/>
    <col min="14860" max="14860" width="5.125" style="3134" customWidth="1"/>
    <col min="14861" max="14861" width="13.75" style="3134" customWidth="1"/>
    <col min="14862" max="15104" width="9" style="3134"/>
    <col min="15105" max="15105" width="4.875" style="3134" customWidth="1"/>
    <col min="15106" max="15106" width="13.25" style="3134" customWidth="1"/>
    <col min="15107" max="15107" width="15.625" style="3134" customWidth="1"/>
    <col min="15108" max="15108" width="9.375" style="3134" bestFit="1" customWidth="1"/>
    <col min="15109" max="15109" width="13.5" style="3134" customWidth="1"/>
    <col min="15110" max="15110" width="9" style="3134"/>
    <col min="15111" max="15111" width="9.375" style="3134" bestFit="1" customWidth="1"/>
    <col min="15112" max="15113" width="9" style="3134"/>
    <col min="15114" max="15114" width="9.375" style="3134" bestFit="1" customWidth="1"/>
    <col min="15115" max="15115" width="4" style="3134" customWidth="1"/>
    <col min="15116" max="15116" width="5.125" style="3134" customWidth="1"/>
    <col min="15117" max="15117" width="13.75" style="3134" customWidth="1"/>
    <col min="15118" max="15360" width="9" style="3134"/>
    <col min="15361" max="15361" width="4.875" style="3134" customWidth="1"/>
    <col min="15362" max="15362" width="13.25" style="3134" customWidth="1"/>
    <col min="15363" max="15363" width="15.625" style="3134" customWidth="1"/>
    <col min="15364" max="15364" width="9.375" style="3134" bestFit="1" customWidth="1"/>
    <col min="15365" max="15365" width="13.5" style="3134" customWidth="1"/>
    <col min="15366" max="15366" width="9" style="3134"/>
    <col min="15367" max="15367" width="9.375" style="3134" bestFit="1" customWidth="1"/>
    <col min="15368" max="15369" width="9" style="3134"/>
    <col min="15370" max="15370" width="9.375" style="3134" bestFit="1" customWidth="1"/>
    <col min="15371" max="15371" width="4" style="3134" customWidth="1"/>
    <col min="15372" max="15372" width="5.125" style="3134" customWidth="1"/>
    <col min="15373" max="15373" width="13.75" style="3134" customWidth="1"/>
    <col min="15374" max="15616" width="9" style="3134"/>
    <col min="15617" max="15617" width="4.875" style="3134" customWidth="1"/>
    <col min="15618" max="15618" width="13.25" style="3134" customWidth="1"/>
    <col min="15619" max="15619" width="15.625" style="3134" customWidth="1"/>
    <col min="15620" max="15620" width="9.375" style="3134" bestFit="1" customWidth="1"/>
    <col min="15621" max="15621" width="13.5" style="3134" customWidth="1"/>
    <col min="15622" max="15622" width="9" style="3134"/>
    <col min="15623" max="15623" width="9.375" style="3134" bestFit="1" customWidth="1"/>
    <col min="15624" max="15625" width="9" style="3134"/>
    <col min="15626" max="15626" width="9.375" style="3134" bestFit="1" customWidth="1"/>
    <col min="15627" max="15627" width="4" style="3134" customWidth="1"/>
    <col min="15628" max="15628" width="5.125" style="3134" customWidth="1"/>
    <col min="15629" max="15629" width="13.75" style="3134" customWidth="1"/>
    <col min="15630" max="15872" width="9" style="3134"/>
    <col min="15873" max="15873" width="4.875" style="3134" customWidth="1"/>
    <col min="15874" max="15874" width="13.25" style="3134" customWidth="1"/>
    <col min="15875" max="15875" width="15.625" style="3134" customWidth="1"/>
    <col min="15876" max="15876" width="9.375" style="3134" bestFit="1" customWidth="1"/>
    <col min="15877" max="15877" width="13.5" style="3134" customWidth="1"/>
    <col min="15878" max="15878" width="9" style="3134"/>
    <col min="15879" max="15879" width="9.375" style="3134" bestFit="1" customWidth="1"/>
    <col min="15880" max="15881" width="9" style="3134"/>
    <col min="15882" max="15882" width="9.375" style="3134" bestFit="1" customWidth="1"/>
    <col min="15883" max="15883" width="4" style="3134" customWidth="1"/>
    <col min="15884" max="15884" width="5.125" style="3134" customWidth="1"/>
    <col min="15885" max="15885" width="13.75" style="3134" customWidth="1"/>
    <col min="15886" max="16128" width="9" style="3134"/>
    <col min="16129" max="16129" width="4.875" style="3134" customWidth="1"/>
    <col min="16130" max="16130" width="13.25" style="3134" customWidth="1"/>
    <col min="16131" max="16131" width="15.625" style="3134" customWidth="1"/>
    <col min="16132" max="16132" width="9.375" style="3134" bestFit="1" customWidth="1"/>
    <col min="16133" max="16133" width="13.5" style="3134" customWidth="1"/>
    <col min="16134" max="16134" width="9" style="3134"/>
    <col min="16135" max="16135" width="9.375" style="3134" bestFit="1" customWidth="1"/>
    <col min="16136" max="16137" width="9" style="3134"/>
    <col min="16138" max="16138" width="9.375" style="3134" bestFit="1" customWidth="1"/>
    <col min="16139" max="16139" width="4" style="3134" customWidth="1"/>
    <col min="16140" max="16140" width="5.125" style="3134" customWidth="1"/>
    <col min="16141" max="16141" width="13.75" style="3134" customWidth="1"/>
    <col min="16142" max="16384" width="9" style="3134"/>
  </cols>
  <sheetData>
    <row r="1" spans="1:257" s="3198" customFormat="1" ht="14.25" thickBot="1">
      <c r="A1" s="3192"/>
      <c r="B1" s="3199" t="s">
        <v>2910</v>
      </c>
      <c r="C1" s="3193">
        <f>项目基本情况!D3</f>
        <v>42958</v>
      </c>
      <c r="D1" s="3199" t="s">
        <v>2911</v>
      </c>
      <c r="E1" s="3194">
        <f>'数据-取费表'!B22</f>
        <v>2.5</v>
      </c>
      <c r="F1" s="3199" t="s">
        <v>2912</v>
      </c>
      <c r="G1" s="3195">
        <f ca="1">INDIRECT("d"&amp;$K$1)/100</f>
        <v>4.7500000000000001E-2</v>
      </c>
      <c r="H1" s="3199" t="s">
        <v>2942</v>
      </c>
      <c r="I1" s="3195">
        <f ca="1">F4/100</f>
        <v>1.4999999999999999E-2</v>
      </c>
      <c r="J1" s="3200">
        <f>IF(C1&gt;C13,0,MATCH(C1,C$13:C$100,-1))+IF(SUMIF(C13:C100,C1,D13:D100)=0,13,12)</f>
        <v>13</v>
      </c>
      <c r="K1" s="3200">
        <f>MATCH(E1,C3:C7,1)+IF(SUMIF(C3:C7,E1,D3:D7)=0,2,1)</f>
        <v>5</v>
      </c>
      <c r="L1" s="3200">
        <f>IF(C1&gt;M13,0,MATCH(C1,M$13:M$100,-1))+IF(SUMIF(M13:M100,C1,N13:N100)=0,13,12)</f>
        <v>13</v>
      </c>
      <c r="M1" s="3192"/>
      <c r="N1" s="3192"/>
      <c r="O1" s="3192"/>
      <c r="P1" s="3192"/>
      <c r="Q1" s="3192"/>
      <c r="R1" s="3192"/>
      <c r="S1" s="3192"/>
      <c r="T1" s="3192"/>
      <c r="U1" s="3192"/>
      <c r="V1" s="3192"/>
      <c r="W1" s="3192"/>
      <c r="X1" s="3192"/>
      <c r="Y1" s="3192"/>
      <c r="Z1" s="3192"/>
      <c r="AA1" s="3196"/>
      <c r="AB1" s="3196"/>
      <c r="AC1" s="3196"/>
      <c r="AD1" s="3196"/>
      <c r="AE1" s="3196"/>
      <c r="AF1" s="3196"/>
      <c r="AG1" s="3196"/>
      <c r="AH1" s="3196"/>
      <c r="AI1" s="3196"/>
      <c r="AJ1" s="3196"/>
      <c r="AK1" s="3196"/>
      <c r="AL1" s="3196"/>
      <c r="AM1" s="3196"/>
      <c r="AN1" s="3196"/>
      <c r="AO1" s="3196"/>
      <c r="AP1" s="3196"/>
      <c r="AQ1" s="3196"/>
      <c r="AR1" s="3196"/>
      <c r="AS1" s="3196"/>
      <c r="AT1" s="3196"/>
      <c r="AU1" s="3196"/>
      <c r="AV1" s="3196"/>
      <c r="AW1" s="3196"/>
      <c r="AX1" s="3196"/>
      <c r="AY1" s="3196"/>
      <c r="AZ1" s="3196"/>
      <c r="BA1" s="3196"/>
      <c r="BB1" s="3196"/>
      <c r="BC1" s="3196"/>
      <c r="BD1" s="3196"/>
      <c r="BE1" s="3196"/>
      <c r="BF1" s="3196"/>
      <c r="BG1" s="3196"/>
      <c r="BH1" s="3196"/>
      <c r="BI1" s="3196"/>
      <c r="BJ1" s="3196"/>
      <c r="BK1" s="3196"/>
      <c r="BL1" s="3196"/>
      <c r="BM1" s="3196"/>
      <c r="BN1" s="3196"/>
      <c r="BO1" s="3196"/>
      <c r="BP1" s="3196"/>
      <c r="BQ1" s="3196"/>
      <c r="BR1" s="3196"/>
      <c r="BS1" s="3196"/>
      <c r="BT1" s="3196"/>
      <c r="BU1" s="3196"/>
      <c r="BV1" s="3196"/>
      <c r="BW1" s="3196"/>
      <c r="BX1" s="3196"/>
      <c r="BY1" s="3196"/>
      <c r="BZ1" s="3196"/>
      <c r="CA1" s="3196"/>
      <c r="CB1" s="3196"/>
      <c r="CC1" s="3196"/>
      <c r="CD1" s="3196"/>
      <c r="CE1" s="3196"/>
      <c r="CF1" s="3196"/>
      <c r="CG1" s="3196"/>
      <c r="CH1" s="3196"/>
      <c r="CI1" s="3196"/>
      <c r="CJ1" s="3196"/>
      <c r="CK1" s="3196"/>
      <c r="CL1" s="3196"/>
      <c r="CM1" s="3196"/>
      <c r="CN1" s="3196"/>
      <c r="CO1" s="3196"/>
      <c r="CP1" s="3196"/>
      <c r="CQ1" s="3196"/>
      <c r="CR1" s="3196"/>
      <c r="CS1" s="3196"/>
      <c r="CT1" s="3196"/>
      <c r="CU1" s="3196"/>
      <c r="CV1" s="3196"/>
      <c r="CW1" s="3196"/>
      <c r="CX1" s="3196"/>
      <c r="CY1" s="3196"/>
      <c r="CZ1" s="3196"/>
      <c r="DA1" s="3196"/>
      <c r="DB1" s="3196"/>
      <c r="DC1" s="3196"/>
      <c r="DD1" s="3196"/>
      <c r="DE1" s="3196"/>
      <c r="DF1" s="3196"/>
      <c r="DG1" s="3196"/>
      <c r="DH1" s="3196"/>
      <c r="DI1" s="3196"/>
      <c r="DJ1" s="3196"/>
      <c r="DK1" s="3196"/>
      <c r="DL1" s="3196"/>
      <c r="DM1" s="3196"/>
      <c r="DN1" s="3196"/>
      <c r="DO1" s="3196"/>
      <c r="DP1" s="3196"/>
      <c r="DQ1" s="3196"/>
      <c r="DR1" s="3196"/>
      <c r="DS1" s="3196"/>
      <c r="DT1" s="3196"/>
      <c r="DU1" s="3196"/>
      <c r="DV1" s="3196"/>
      <c r="DW1" s="3196"/>
      <c r="DX1" s="3196"/>
      <c r="DY1" s="3196"/>
      <c r="DZ1" s="3196"/>
      <c r="EA1" s="3196"/>
      <c r="EB1" s="3196"/>
      <c r="EC1" s="3196"/>
      <c r="ED1" s="3196"/>
      <c r="EE1" s="3196"/>
      <c r="EF1" s="3196"/>
      <c r="EG1" s="3196"/>
      <c r="EH1" s="3196"/>
      <c r="EI1" s="3196"/>
      <c r="EJ1" s="3196"/>
      <c r="EK1" s="3196"/>
      <c r="EL1" s="3196"/>
      <c r="EM1" s="3196"/>
      <c r="EN1" s="3196"/>
      <c r="EO1" s="3196"/>
      <c r="EP1" s="3196"/>
      <c r="EQ1" s="3196"/>
      <c r="ER1" s="3196"/>
      <c r="ES1" s="3196"/>
      <c r="ET1" s="3196"/>
      <c r="EU1" s="3196"/>
      <c r="EV1" s="3196"/>
      <c r="EW1" s="3196"/>
      <c r="EX1" s="3196"/>
      <c r="EY1" s="3196"/>
      <c r="EZ1" s="3196"/>
      <c r="FA1" s="3196"/>
      <c r="FB1" s="3196"/>
      <c r="FC1" s="3196"/>
      <c r="FD1" s="3196"/>
      <c r="FE1" s="3196"/>
      <c r="FF1" s="3196"/>
      <c r="FG1" s="3196"/>
      <c r="FH1" s="3196"/>
      <c r="FI1" s="3196"/>
      <c r="FJ1" s="3196"/>
      <c r="FK1" s="3196"/>
      <c r="FL1" s="3196"/>
      <c r="FM1" s="3196"/>
      <c r="FN1" s="3196"/>
      <c r="FO1" s="3196"/>
      <c r="FP1" s="3196"/>
      <c r="FQ1" s="3196"/>
      <c r="FR1" s="3196"/>
      <c r="FS1" s="3196"/>
      <c r="FT1" s="3196"/>
      <c r="FU1" s="3196"/>
      <c r="FV1" s="3196"/>
      <c r="FW1" s="3196"/>
      <c r="FX1" s="3196"/>
      <c r="FY1" s="3196"/>
      <c r="FZ1" s="3196"/>
      <c r="GA1" s="3196"/>
      <c r="GB1" s="3196"/>
      <c r="GC1" s="3196"/>
      <c r="GD1" s="3196"/>
      <c r="GE1" s="3196"/>
      <c r="GF1" s="3196"/>
      <c r="GG1" s="3196"/>
      <c r="GH1" s="3196"/>
      <c r="GI1" s="3196"/>
      <c r="GJ1" s="3196"/>
      <c r="GK1" s="3196"/>
      <c r="GL1" s="3196"/>
      <c r="GM1" s="3196"/>
      <c r="GN1" s="3196"/>
      <c r="GO1" s="3196"/>
      <c r="GP1" s="3196"/>
      <c r="GQ1" s="3196"/>
      <c r="GR1" s="3196"/>
      <c r="GS1" s="3196"/>
      <c r="GT1" s="3196"/>
      <c r="GU1" s="3196"/>
      <c r="GV1" s="3196"/>
      <c r="GW1" s="3196"/>
      <c r="GX1" s="3196"/>
      <c r="GY1" s="3196"/>
      <c r="GZ1" s="3196"/>
      <c r="HA1" s="3196"/>
      <c r="HB1" s="3196"/>
      <c r="HC1" s="3196"/>
      <c r="HD1" s="3196"/>
      <c r="HE1" s="3196"/>
      <c r="HF1" s="3196"/>
      <c r="HG1" s="3196"/>
      <c r="HH1" s="3196"/>
      <c r="HI1" s="3196"/>
      <c r="HJ1" s="3196"/>
      <c r="HK1" s="3196"/>
      <c r="HL1" s="3196"/>
      <c r="HM1" s="3196"/>
      <c r="HN1" s="3196"/>
      <c r="HO1" s="3196"/>
      <c r="HP1" s="3196"/>
      <c r="HQ1" s="3196"/>
      <c r="HR1" s="3196"/>
      <c r="HS1" s="3196"/>
      <c r="HT1" s="3196"/>
      <c r="HU1" s="3196"/>
      <c r="HV1" s="3196"/>
      <c r="HW1" s="3196"/>
      <c r="HX1" s="3196"/>
      <c r="HY1" s="3196"/>
      <c r="HZ1" s="3196"/>
      <c r="IA1" s="3196"/>
      <c r="IB1" s="3196"/>
      <c r="IC1" s="3196"/>
      <c r="ID1" s="3196"/>
      <c r="IE1" s="3196"/>
      <c r="IF1" s="3196"/>
      <c r="IG1" s="3196"/>
      <c r="IH1" s="3196"/>
      <c r="II1" s="3196"/>
      <c r="IJ1" s="3196"/>
      <c r="IK1" s="3196"/>
      <c r="IL1" s="3196"/>
      <c r="IM1" s="3196"/>
      <c r="IN1" s="3196"/>
      <c r="IO1" s="3196"/>
      <c r="IP1" s="3196"/>
      <c r="IQ1" s="3196"/>
      <c r="IR1" s="3196"/>
      <c r="IS1" s="3196"/>
      <c r="IT1" s="3196"/>
      <c r="IU1" s="3196"/>
      <c r="IV1" s="3196"/>
      <c r="IW1" s="3197"/>
    </row>
    <row r="2" spans="1:257" ht="15" thickTop="1" thickBot="1">
      <c r="A2" s="3135"/>
      <c r="B2" s="3135"/>
      <c r="C2" s="3135"/>
      <c r="D2" s="3135" t="s">
        <v>2913</v>
      </c>
      <c r="E2" s="3135"/>
      <c r="F2" s="3135" t="s">
        <v>2914</v>
      </c>
      <c r="G2" s="3136"/>
      <c r="H2" s="3135"/>
      <c r="I2" s="3135"/>
      <c r="J2" s="3135"/>
      <c r="K2" s="3135"/>
      <c r="L2" s="3135"/>
      <c r="M2" s="3135"/>
      <c r="N2" s="3135"/>
      <c r="O2" s="3135"/>
      <c r="P2" s="3135"/>
      <c r="Q2" s="3135"/>
      <c r="R2" s="3135"/>
      <c r="S2" s="3135"/>
      <c r="T2" s="3135"/>
      <c r="U2" s="3135"/>
      <c r="V2" s="3135"/>
      <c r="W2" s="3135"/>
      <c r="X2" s="3135"/>
      <c r="Y2" s="3135"/>
      <c r="Z2" s="3135"/>
      <c r="AA2" s="3135"/>
      <c r="AB2" s="3135"/>
      <c r="AC2" s="3135"/>
      <c r="AD2" s="3135"/>
      <c r="AE2" s="3135"/>
      <c r="AF2" s="3135"/>
      <c r="AG2" s="3135"/>
      <c r="AH2" s="3135"/>
      <c r="AI2" s="3135"/>
      <c r="AJ2" s="3135"/>
      <c r="AK2" s="3135"/>
      <c r="AL2" s="3135"/>
      <c r="AM2" s="3135"/>
      <c r="AN2" s="3135"/>
      <c r="AO2" s="3135"/>
      <c r="AP2" s="3135"/>
      <c r="AQ2" s="3135"/>
      <c r="AR2" s="3135"/>
      <c r="AS2" s="3135"/>
      <c r="AT2" s="3135"/>
      <c r="AU2" s="3135"/>
      <c r="AV2" s="3135"/>
      <c r="AW2" s="3135"/>
      <c r="AX2" s="3135"/>
      <c r="AY2" s="3135"/>
      <c r="AZ2" s="3135"/>
      <c r="BA2" s="3135"/>
      <c r="BB2" s="3135"/>
      <c r="BC2" s="3135"/>
      <c r="BD2" s="3135"/>
      <c r="BE2" s="3135"/>
      <c r="BF2" s="3135"/>
      <c r="BG2" s="3135"/>
      <c r="BH2" s="3135"/>
      <c r="BI2" s="3135"/>
      <c r="BJ2" s="3135"/>
      <c r="BK2" s="3135"/>
      <c r="BL2" s="3135"/>
      <c r="BM2" s="3135"/>
      <c r="BN2" s="3135"/>
      <c r="BO2" s="3135"/>
      <c r="BP2" s="3135"/>
      <c r="BQ2" s="3135"/>
      <c r="BR2" s="3135"/>
      <c r="BS2" s="3135"/>
      <c r="BT2" s="3135"/>
      <c r="BU2" s="3135"/>
      <c r="BV2" s="3135"/>
      <c r="BW2" s="3135"/>
      <c r="BX2" s="3135"/>
      <c r="BY2" s="3135"/>
      <c r="BZ2" s="3135"/>
      <c r="CA2" s="3135"/>
      <c r="CB2" s="3135"/>
      <c r="CC2" s="3135"/>
      <c r="CD2" s="3135"/>
      <c r="CE2" s="3135"/>
      <c r="CF2" s="3135"/>
      <c r="CG2" s="3135"/>
      <c r="CH2" s="3135"/>
      <c r="CI2" s="3135"/>
      <c r="CJ2" s="3135"/>
      <c r="CK2" s="3135"/>
      <c r="CL2" s="3135"/>
      <c r="CM2" s="3135"/>
      <c r="CN2" s="3135"/>
      <c r="CO2" s="3135"/>
      <c r="CP2" s="3135"/>
      <c r="CQ2" s="3135"/>
      <c r="CR2" s="3135"/>
      <c r="CS2" s="3135"/>
      <c r="CT2" s="3135"/>
      <c r="CU2" s="3135"/>
      <c r="CV2" s="3135"/>
      <c r="CW2" s="3135"/>
      <c r="CX2" s="3135"/>
      <c r="CY2" s="3135"/>
      <c r="CZ2" s="3135"/>
      <c r="DA2" s="3135"/>
      <c r="DB2" s="3135"/>
      <c r="DC2" s="3135"/>
      <c r="DD2" s="3135"/>
      <c r="DE2" s="3135"/>
      <c r="DF2" s="3135"/>
      <c r="DG2" s="3135"/>
      <c r="DH2" s="3135"/>
      <c r="DI2" s="3135"/>
      <c r="DJ2" s="3135"/>
      <c r="DK2" s="3135"/>
      <c r="DL2" s="3135"/>
      <c r="DM2" s="3135"/>
      <c r="DN2" s="3135"/>
      <c r="DO2" s="3135"/>
      <c r="DP2" s="3135"/>
      <c r="DQ2" s="3135"/>
      <c r="DR2" s="3135"/>
      <c r="DS2" s="3135"/>
      <c r="DT2" s="3135"/>
      <c r="DU2" s="3135"/>
      <c r="DV2" s="3135"/>
      <c r="DW2" s="3135"/>
      <c r="DX2" s="3135"/>
      <c r="DY2" s="3135"/>
      <c r="DZ2" s="3135"/>
      <c r="EA2" s="3135"/>
      <c r="EB2" s="3135"/>
      <c r="EC2" s="3135"/>
      <c r="ED2" s="3135"/>
      <c r="EE2" s="3135"/>
      <c r="EF2" s="3135"/>
      <c r="EG2" s="3135"/>
      <c r="EH2" s="3135"/>
      <c r="EI2" s="3135"/>
      <c r="EJ2" s="3135"/>
      <c r="EK2" s="3135"/>
      <c r="EL2" s="3135"/>
      <c r="EM2" s="3135"/>
      <c r="EN2" s="3135"/>
      <c r="EO2" s="3135"/>
      <c r="EP2" s="3135"/>
      <c r="EQ2" s="3135"/>
      <c r="ER2" s="3135"/>
      <c r="ES2" s="3135"/>
      <c r="ET2" s="3135"/>
      <c r="EU2" s="3135"/>
      <c r="EV2" s="3135"/>
      <c r="EW2" s="3135"/>
      <c r="EX2" s="3135"/>
      <c r="EY2" s="3135"/>
      <c r="EZ2" s="3135"/>
      <c r="FA2" s="3135"/>
      <c r="FB2" s="3135"/>
      <c r="FC2" s="3135"/>
      <c r="FD2" s="3135"/>
      <c r="FE2" s="3135"/>
      <c r="FF2" s="3135"/>
      <c r="FG2" s="3135"/>
      <c r="FH2" s="3135"/>
      <c r="FI2" s="3135"/>
      <c r="FJ2" s="3135"/>
      <c r="FK2" s="3135"/>
      <c r="FL2" s="3135"/>
      <c r="FM2" s="3135"/>
      <c r="FN2" s="3135"/>
      <c r="FO2" s="3135"/>
      <c r="FP2" s="3135"/>
      <c r="FQ2" s="3135"/>
      <c r="FR2" s="3135"/>
      <c r="FS2" s="3135"/>
      <c r="FT2" s="3135"/>
      <c r="FU2" s="3135"/>
      <c r="FV2" s="3135"/>
      <c r="FW2" s="3135"/>
      <c r="FX2" s="3135"/>
      <c r="FY2" s="3135"/>
      <c r="FZ2" s="3135"/>
      <c r="GA2" s="3135"/>
      <c r="GB2" s="3135"/>
      <c r="GC2" s="3135"/>
      <c r="GD2" s="3135"/>
      <c r="GE2" s="3135"/>
      <c r="GF2" s="3135"/>
      <c r="GG2" s="3135"/>
      <c r="GH2" s="3135"/>
      <c r="GI2" s="3135"/>
      <c r="GJ2" s="3135"/>
      <c r="GK2" s="3135"/>
      <c r="GL2" s="3135"/>
      <c r="GM2" s="3135"/>
      <c r="GN2" s="3135"/>
      <c r="GO2" s="3135"/>
      <c r="GP2" s="3135"/>
      <c r="GQ2" s="3135"/>
      <c r="GR2" s="3135"/>
      <c r="GS2" s="3135"/>
      <c r="GT2" s="3135"/>
      <c r="GU2" s="3135"/>
      <c r="GV2" s="3135"/>
      <c r="GW2" s="3135"/>
      <c r="GX2" s="3135"/>
      <c r="GY2" s="3135"/>
      <c r="GZ2" s="3135"/>
      <c r="HA2" s="3135"/>
      <c r="HB2" s="3135"/>
      <c r="HC2" s="3135"/>
      <c r="HD2" s="3135"/>
      <c r="HE2" s="3135"/>
      <c r="HF2" s="3135"/>
      <c r="HG2" s="3135"/>
      <c r="HH2" s="3135"/>
      <c r="HI2" s="3135"/>
      <c r="HJ2" s="3135"/>
      <c r="HK2" s="3135"/>
      <c r="HL2" s="3135"/>
      <c r="HM2" s="3135"/>
      <c r="HN2" s="3135"/>
      <c r="HO2" s="3135"/>
      <c r="HP2" s="3135"/>
      <c r="HQ2" s="3135"/>
      <c r="HR2" s="3135"/>
      <c r="HS2" s="3135"/>
      <c r="HT2" s="3135"/>
      <c r="HU2" s="3135"/>
      <c r="HV2" s="3135"/>
      <c r="HW2" s="3135"/>
      <c r="HX2" s="3135"/>
      <c r="HY2" s="3135"/>
      <c r="HZ2" s="3135"/>
      <c r="IA2" s="3135"/>
      <c r="IB2" s="3135"/>
      <c r="IC2" s="3135"/>
      <c r="ID2" s="3135"/>
      <c r="IE2" s="3135"/>
      <c r="IF2" s="3135"/>
      <c r="IG2" s="3135"/>
      <c r="IH2" s="3135"/>
      <c r="II2" s="3135"/>
      <c r="IJ2" s="3135"/>
      <c r="IK2" s="3135"/>
      <c r="IL2" s="3135"/>
      <c r="IM2" s="3135"/>
      <c r="IN2" s="3135"/>
      <c r="IO2" s="3135"/>
      <c r="IP2" s="3135"/>
      <c r="IQ2" s="3135"/>
      <c r="IR2" s="3135"/>
      <c r="IS2" s="3135"/>
      <c r="IT2" s="3135"/>
      <c r="IU2" s="3135"/>
      <c r="IV2" s="3135"/>
      <c r="IW2" s="3135"/>
    </row>
    <row r="3" spans="1:257">
      <c r="B3" s="3138" t="s">
        <v>2915</v>
      </c>
      <c r="C3" s="3139">
        <v>0</v>
      </c>
      <c r="D3" s="3140">
        <f ca="1">INDIRECT("d"&amp;$J$1)</f>
        <v>4.3499999999999996</v>
      </c>
      <c r="E3" s="3141">
        <v>0.5</v>
      </c>
      <c r="F3" s="3142">
        <f ca="1">INDIRECT("p"&amp;$L$1)</f>
        <v>1.3</v>
      </c>
      <c r="G3" s="3137"/>
      <c r="H3" s="3137"/>
      <c r="I3" s="3137"/>
      <c r="J3" s="3137"/>
      <c r="L3" s="3137"/>
      <c r="M3" s="3137"/>
      <c r="N3" s="3137"/>
      <c r="O3" s="3137"/>
      <c r="P3" s="3137"/>
      <c r="Q3" s="3137"/>
      <c r="R3" s="3137"/>
      <c r="S3" s="3137"/>
      <c r="T3" s="3137"/>
      <c r="U3" s="3137"/>
      <c r="V3" s="3137"/>
      <c r="W3" s="3137"/>
      <c r="X3" s="3137"/>
      <c r="Y3" s="3137"/>
      <c r="Z3" s="3137"/>
    </row>
    <row r="4" spans="1:257">
      <c r="B4" s="3144" t="s">
        <v>2916</v>
      </c>
      <c r="C4" s="3145">
        <v>0.5</v>
      </c>
      <c r="D4" s="3146">
        <f ca="1">INDIRECT("e"&amp;$J$1)</f>
        <v>4.3499999999999996</v>
      </c>
      <c r="E4" s="3147">
        <v>1</v>
      </c>
      <c r="F4" s="3148">
        <f ca="1">INDIRECT("q"&amp;$L$1)</f>
        <v>1.5</v>
      </c>
      <c r="G4" s="3137"/>
      <c r="H4" s="3137"/>
      <c r="I4" s="3137"/>
      <c r="J4" s="3137"/>
      <c r="L4" s="3137"/>
      <c r="M4" s="3137"/>
      <c r="N4" s="3137"/>
      <c r="O4" s="3137"/>
      <c r="P4" s="3137"/>
      <c r="Q4" s="3137"/>
      <c r="R4" s="3137"/>
      <c r="S4" s="3137"/>
      <c r="T4" s="3137"/>
      <c r="U4" s="3137"/>
      <c r="V4" s="3137"/>
      <c r="W4" s="3137"/>
      <c r="X4" s="3137"/>
      <c r="Y4" s="3137"/>
      <c r="Z4" s="3137"/>
    </row>
    <row r="5" spans="1:257">
      <c r="B5" s="3144" t="s">
        <v>2917</v>
      </c>
      <c r="C5" s="3145">
        <v>1</v>
      </c>
      <c r="D5" s="3146">
        <f ca="1">INDIRECT("f"&amp;$J$1)</f>
        <v>4.75</v>
      </c>
      <c r="E5" s="3147">
        <v>2</v>
      </c>
      <c r="F5" s="3148">
        <f ca="1">INDIRECT("r"&amp;$L$1)</f>
        <v>2.1</v>
      </c>
      <c r="G5" s="3137"/>
      <c r="H5" s="3137"/>
      <c r="I5" s="3137"/>
      <c r="J5" s="3137"/>
      <c r="L5" s="3137"/>
      <c r="M5" s="3137"/>
      <c r="N5" s="3137"/>
      <c r="O5" s="3137"/>
      <c r="P5" s="3137"/>
      <c r="Q5" s="3137"/>
      <c r="R5" s="3137"/>
      <c r="S5" s="3137"/>
      <c r="T5" s="3137"/>
      <c r="U5" s="3137"/>
      <c r="V5" s="3137"/>
      <c r="W5" s="3137"/>
      <c r="X5" s="3137"/>
      <c r="Y5" s="3137"/>
      <c r="Z5" s="3137"/>
    </row>
    <row r="6" spans="1:257">
      <c r="B6" s="3144" t="s">
        <v>2918</v>
      </c>
      <c r="C6" s="3145">
        <v>3</v>
      </c>
      <c r="D6" s="3146">
        <f ca="1">INDIRECT("g"&amp;$J$1)</f>
        <v>4.75</v>
      </c>
      <c r="E6" s="3147">
        <v>3</v>
      </c>
      <c r="F6" s="3148">
        <f ca="1">INDIRECT("s"&amp;$L$1)</f>
        <v>2.75</v>
      </c>
      <c r="G6" s="3137"/>
      <c r="H6" s="3137"/>
      <c r="I6" s="3137"/>
      <c r="J6" s="3137"/>
      <c r="L6" s="3137"/>
      <c r="M6" s="3137"/>
      <c r="N6" s="3137"/>
      <c r="O6" s="3137"/>
      <c r="P6" s="3137"/>
      <c r="Q6" s="3137"/>
      <c r="R6" s="3137"/>
      <c r="S6" s="3137"/>
      <c r="T6" s="3137"/>
      <c r="U6" s="3137"/>
      <c r="V6" s="3137"/>
      <c r="W6" s="3137"/>
      <c r="X6" s="3137"/>
      <c r="Y6" s="3137"/>
      <c r="Z6" s="3137"/>
    </row>
    <row r="7" spans="1:257" ht="14.25" thickBot="1">
      <c r="B7" s="3149" t="s">
        <v>2919</v>
      </c>
      <c r="C7" s="3150">
        <v>5</v>
      </c>
      <c r="D7" s="3151">
        <f ca="1">INDIRECT("h"&amp;$J$1)</f>
        <v>4.9000000000000004</v>
      </c>
      <c r="E7" s="3152">
        <v>5</v>
      </c>
      <c r="F7" s="3153">
        <f ca="1">INDIRECT("t"&amp;$L$1)</f>
        <v>0</v>
      </c>
      <c r="G7" s="3137"/>
      <c r="H7" s="3137"/>
      <c r="I7" s="3137"/>
      <c r="J7" s="3137"/>
      <c r="L7" s="3137"/>
      <c r="M7" s="3137"/>
      <c r="N7" s="3137"/>
      <c r="O7" s="3137"/>
      <c r="P7" s="3137"/>
      <c r="Q7" s="3137"/>
      <c r="R7" s="3137"/>
      <c r="S7" s="3137"/>
      <c r="T7" s="3137"/>
      <c r="U7" s="3137"/>
      <c r="V7" s="3137"/>
      <c r="W7" s="3137"/>
      <c r="X7" s="3137"/>
      <c r="Y7" s="3137"/>
      <c r="Z7" s="3137"/>
    </row>
    <row r="8" spans="1:257">
      <c r="A8" s="3154"/>
      <c r="B8" s="3155"/>
      <c r="C8" s="3156"/>
      <c r="D8" s="3137"/>
      <c r="E8" s="3137"/>
      <c r="F8" s="3137"/>
      <c r="G8" s="3137"/>
      <c r="H8" s="3137"/>
      <c r="I8" s="3137"/>
      <c r="J8" s="3137"/>
      <c r="L8" s="3137"/>
      <c r="M8" s="3137"/>
      <c r="N8" s="3137"/>
      <c r="O8" s="3137"/>
      <c r="P8" s="3137"/>
      <c r="Q8" s="3137"/>
      <c r="R8" s="3137"/>
      <c r="S8" s="3137"/>
      <c r="T8" s="3137"/>
      <c r="U8" s="3137"/>
      <c r="V8" s="3137"/>
      <c r="W8" s="3137"/>
      <c r="X8" s="3137"/>
      <c r="Y8" s="3137"/>
      <c r="Z8" s="3137"/>
    </row>
    <row r="9" spans="1:257" ht="20.25">
      <c r="A9" s="3157"/>
      <c r="B9" s="3158" t="s">
        <v>2920</v>
      </c>
      <c r="C9" s="3159"/>
      <c r="D9" s="3160"/>
      <c r="E9" s="3160"/>
      <c r="F9" s="3160"/>
      <c r="G9" s="3160"/>
      <c r="H9" s="3160"/>
      <c r="I9" s="3160"/>
      <c r="J9" s="3160"/>
      <c r="K9" s="3160"/>
      <c r="L9" s="3160"/>
      <c r="M9" s="3160"/>
      <c r="N9" s="3160"/>
      <c r="O9" s="3160"/>
      <c r="P9" s="3160"/>
      <c r="Q9" s="3160"/>
      <c r="R9" s="3160"/>
      <c r="S9" s="3160"/>
      <c r="T9" s="3160"/>
      <c r="U9" s="3160"/>
      <c r="V9" s="3160"/>
      <c r="W9" s="3160"/>
      <c r="X9" s="3160"/>
      <c r="Y9" s="3160"/>
      <c r="Z9" s="3160"/>
      <c r="AA9" s="3161"/>
      <c r="AB9" s="3161"/>
      <c r="AC9" s="3161"/>
      <c r="AD9" s="3161"/>
      <c r="AE9" s="3161"/>
      <c r="AF9" s="3161"/>
      <c r="AG9" s="3161"/>
      <c r="AH9" s="3161"/>
      <c r="AI9" s="3161"/>
      <c r="AJ9" s="3161"/>
      <c r="AK9" s="3161"/>
      <c r="AL9" s="3161"/>
      <c r="AM9" s="3161"/>
      <c r="AN9" s="3161"/>
      <c r="AO9" s="3161"/>
      <c r="AP9" s="3161"/>
      <c r="AQ9" s="3161"/>
      <c r="AR9" s="3161"/>
      <c r="AS9" s="3161"/>
      <c r="AT9" s="3161"/>
      <c r="AU9" s="3161"/>
      <c r="AV9" s="3161"/>
      <c r="AW9" s="3161"/>
      <c r="AX9" s="3161"/>
      <c r="AY9" s="3161"/>
      <c r="AZ9" s="3161"/>
      <c r="BA9" s="3161"/>
      <c r="BB9" s="3161"/>
      <c r="BC9" s="3161"/>
      <c r="BD9" s="3161"/>
      <c r="BE9" s="3161"/>
      <c r="BF9" s="3161"/>
      <c r="BG9" s="3161"/>
      <c r="BH9" s="3161"/>
      <c r="BI9" s="3161"/>
      <c r="BJ9" s="3161"/>
      <c r="BK9" s="3161"/>
      <c r="BL9" s="3161"/>
      <c r="BM9" s="3161"/>
      <c r="BN9" s="3161"/>
      <c r="BO9" s="3161"/>
      <c r="BP9" s="3161"/>
      <c r="BQ9" s="3161"/>
      <c r="BR9" s="3161"/>
      <c r="BS9" s="3161"/>
      <c r="BT9" s="3161"/>
      <c r="BU9" s="3161"/>
      <c r="BV9" s="3161"/>
      <c r="BW9" s="3161"/>
      <c r="BX9" s="3161"/>
      <c r="BY9" s="3161"/>
      <c r="BZ9" s="3161"/>
      <c r="CA9" s="3161"/>
      <c r="CB9" s="3161"/>
      <c r="CC9" s="3161"/>
      <c r="CD9" s="3161"/>
      <c r="CE9" s="3161"/>
      <c r="CF9" s="3161"/>
      <c r="CG9" s="3161"/>
      <c r="CH9" s="3161"/>
      <c r="CI9" s="3161"/>
      <c r="CJ9" s="3161"/>
      <c r="CK9" s="3161"/>
      <c r="CL9" s="3161"/>
      <c r="CM9" s="3161"/>
      <c r="CN9" s="3161"/>
      <c r="CO9" s="3161"/>
      <c r="CP9" s="3161"/>
      <c r="CQ9" s="3161"/>
      <c r="CR9" s="3161"/>
      <c r="CS9" s="3161"/>
      <c r="CT9" s="3161"/>
      <c r="CU9" s="3161"/>
      <c r="CV9" s="3161"/>
      <c r="CW9" s="3161"/>
      <c r="CX9" s="3161"/>
      <c r="CY9" s="3161"/>
      <c r="CZ9" s="3161"/>
      <c r="DA9" s="3161"/>
      <c r="DB9" s="3161"/>
      <c r="DC9" s="3161"/>
      <c r="DD9" s="3161"/>
      <c r="DE9" s="3161"/>
      <c r="DF9" s="3161"/>
      <c r="DG9" s="3161"/>
      <c r="DH9" s="3161"/>
      <c r="DI9" s="3161"/>
      <c r="DJ9" s="3161"/>
      <c r="DK9" s="3161"/>
      <c r="DL9" s="3161"/>
      <c r="DM9" s="3161"/>
      <c r="DN9" s="3161"/>
      <c r="DO9" s="3161"/>
      <c r="DP9" s="3161"/>
      <c r="DQ9" s="3161"/>
      <c r="DR9" s="3161"/>
      <c r="DS9" s="3161"/>
      <c r="DT9" s="3161"/>
      <c r="DU9" s="3161"/>
      <c r="DV9" s="3161"/>
      <c r="DW9" s="3161"/>
      <c r="DX9" s="3161"/>
      <c r="DY9" s="3161"/>
      <c r="DZ9" s="3161"/>
      <c r="EA9" s="3161"/>
      <c r="EB9" s="3161"/>
      <c r="EC9" s="3161"/>
      <c r="ED9" s="3161"/>
      <c r="EE9" s="3161"/>
      <c r="EF9" s="3161"/>
      <c r="EG9" s="3161"/>
      <c r="EH9" s="3161"/>
      <c r="EI9" s="3161"/>
      <c r="EJ9" s="3161"/>
      <c r="EK9" s="3161"/>
      <c r="EL9" s="3161"/>
      <c r="EM9" s="3161"/>
      <c r="EN9" s="3161"/>
      <c r="EO9" s="3161"/>
      <c r="EP9" s="3161"/>
      <c r="EQ9" s="3161"/>
      <c r="ER9" s="3161"/>
      <c r="ES9" s="3161"/>
      <c r="ET9" s="3161"/>
      <c r="EU9" s="3161"/>
      <c r="EV9" s="3161"/>
      <c r="EW9" s="3161"/>
      <c r="EX9" s="3161"/>
      <c r="EY9" s="3161"/>
      <c r="EZ9" s="3161"/>
      <c r="FA9" s="3161"/>
      <c r="FB9" s="3161"/>
      <c r="FC9" s="3161"/>
      <c r="FD9" s="3161"/>
      <c r="FE9" s="3161"/>
      <c r="FF9" s="3161"/>
      <c r="FG9" s="3161"/>
      <c r="FH9" s="3161"/>
      <c r="FI9" s="3161"/>
      <c r="FJ9" s="3161"/>
      <c r="FK9" s="3161"/>
      <c r="FL9" s="3161"/>
      <c r="FM9" s="3161"/>
      <c r="FN9" s="3161"/>
      <c r="FO9" s="3161"/>
      <c r="FP9" s="3161"/>
      <c r="FQ9" s="3161"/>
      <c r="FR9" s="3161"/>
      <c r="FS9" s="3161"/>
      <c r="FT9" s="3161"/>
      <c r="FU9" s="3161"/>
      <c r="FV9" s="3161"/>
      <c r="FW9" s="3161"/>
      <c r="FX9" s="3161"/>
      <c r="FY9" s="3161"/>
      <c r="FZ9" s="3161"/>
      <c r="GA9" s="3161"/>
      <c r="GB9" s="3161"/>
      <c r="GC9" s="3161"/>
      <c r="GD9" s="3161"/>
      <c r="GE9" s="3161"/>
      <c r="GF9" s="3161"/>
      <c r="GG9" s="3161"/>
      <c r="GH9" s="3161"/>
      <c r="GI9" s="3161"/>
      <c r="GJ9" s="3161"/>
      <c r="GK9" s="3161"/>
      <c r="GL9" s="3161"/>
      <c r="GM9" s="3161"/>
      <c r="GN9" s="3161"/>
      <c r="GO9" s="3161"/>
      <c r="GP9" s="3161"/>
      <c r="GQ9" s="3161"/>
      <c r="GR9" s="3161"/>
      <c r="GS9" s="3161"/>
      <c r="GT9" s="3161"/>
      <c r="GU9" s="3161"/>
      <c r="GV9" s="3161"/>
      <c r="GW9" s="3161"/>
      <c r="GX9" s="3161"/>
      <c r="GY9" s="3161"/>
      <c r="GZ9" s="3161"/>
      <c r="HA9" s="3161"/>
      <c r="HB9" s="3161"/>
      <c r="HC9" s="3161"/>
      <c r="HD9" s="3161"/>
      <c r="HE9" s="3161"/>
      <c r="HF9" s="3161"/>
      <c r="HG9" s="3161"/>
      <c r="HH9" s="3161"/>
      <c r="HI9" s="3161"/>
      <c r="HJ9" s="3161"/>
      <c r="HK9" s="3161"/>
      <c r="HL9" s="3161"/>
      <c r="HM9" s="3161"/>
      <c r="HN9" s="3161"/>
      <c r="HO9" s="3161"/>
      <c r="HP9" s="3161"/>
      <c r="HQ9" s="3161"/>
      <c r="HR9" s="3161"/>
      <c r="HS9" s="3161"/>
      <c r="HT9" s="3161"/>
      <c r="HU9" s="3161"/>
      <c r="HV9" s="3161"/>
      <c r="HW9" s="3161"/>
      <c r="HX9" s="3161"/>
      <c r="HY9" s="3161"/>
      <c r="HZ9" s="3161"/>
      <c r="IA9" s="3161"/>
      <c r="IB9" s="3161"/>
      <c r="IC9" s="3161"/>
      <c r="ID9" s="3161"/>
      <c r="IE9" s="3161"/>
      <c r="IF9" s="3161"/>
      <c r="IG9" s="3161"/>
      <c r="IH9" s="3161"/>
      <c r="II9" s="3161"/>
      <c r="IJ9" s="3161"/>
      <c r="IK9" s="3161"/>
      <c r="IL9" s="3161"/>
      <c r="IM9" s="3161"/>
      <c r="IN9" s="3161"/>
      <c r="IO9" s="3161"/>
      <c r="IP9" s="3161"/>
      <c r="IQ9" s="3161"/>
      <c r="IR9" s="3161"/>
      <c r="IS9" s="3161"/>
      <c r="IT9" s="3161"/>
      <c r="IU9" s="3161"/>
      <c r="IV9" s="3161"/>
      <c r="IW9" s="3162"/>
    </row>
    <row r="10" spans="1:257" ht="22.5">
      <c r="A10" s="3163"/>
      <c r="B10" s="3164" t="s">
        <v>2921</v>
      </c>
      <c r="C10" s="3163"/>
      <c r="D10" s="3163"/>
      <c r="E10" s="3163"/>
      <c r="F10" s="3163"/>
      <c r="G10" s="3163"/>
      <c r="H10" s="3163"/>
      <c r="I10" s="3137"/>
      <c r="J10" s="3137"/>
      <c r="K10" s="3163"/>
      <c r="L10" s="3164" t="s">
        <v>2922</v>
      </c>
      <c r="M10" s="3163"/>
      <c r="N10" s="3163"/>
      <c r="O10" s="3163"/>
      <c r="P10" s="3163"/>
      <c r="Q10" s="3163"/>
      <c r="R10" s="3163"/>
      <c r="S10" s="3163"/>
      <c r="T10" s="3163"/>
      <c r="U10" s="3163"/>
      <c r="V10" s="3163"/>
      <c r="W10" s="3163"/>
      <c r="X10" s="3163"/>
      <c r="Y10" s="3163"/>
      <c r="Z10" s="3163"/>
      <c r="AA10" s="3165"/>
      <c r="AB10" s="3165"/>
      <c r="AC10" s="3165"/>
      <c r="AD10" s="3165"/>
      <c r="AE10" s="3165"/>
      <c r="AF10" s="3165"/>
      <c r="AG10" s="3165"/>
      <c r="AH10" s="3165"/>
      <c r="AI10" s="3165"/>
      <c r="AJ10" s="3165"/>
      <c r="AK10" s="3165"/>
      <c r="AL10" s="3165"/>
      <c r="AM10" s="3165"/>
      <c r="AN10" s="3165"/>
      <c r="AO10" s="3165"/>
      <c r="AP10" s="3165"/>
      <c r="AQ10" s="3165"/>
      <c r="AR10" s="3165"/>
      <c r="AS10" s="3165"/>
      <c r="AT10" s="3165"/>
      <c r="AU10" s="3165"/>
      <c r="AV10" s="3165"/>
      <c r="AW10" s="3165"/>
      <c r="AX10" s="3165"/>
      <c r="AY10" s="3165"/>
      <c r="AZ10" s="3165"/>
      <c r="BA10" s="3165"/>
      <c r="BB10" s="3165"/>
      <c r="BC10" s="3165"/>
      <c r="BD10" s="3165"/>
      <c r="BE10" s="3165"/>
      <c r="BF10" s="3165"/>
      <c r="BG10" s="3165"/>
      <c r="BH10" s="3165"/>
      <c r="BI10" s="3165"/>
      <c r="BJ10" s="3165"/>
      <c r="BK10" s="3165"/>
      <c r="BL10" s="3165"/>
      <c r="BM10" s="3165"/>
      <c r="BN10" s="3165"/>
      <c r="BO10" s="3165"/>
      <c r="BP10" s="3165"/>
      <c r="BQ10" s="3165"/>
      <c r="BR10" s="3165"/>
      <c r="BS10" s="3165"/>
      <c r="BT10" s="3165"/>
      <c r="BU10" s="3165"/>
      <c r="BV10" s="3165"/>
      <c r="BW10" s="3165"/>
      <c r="BX10" s="3165"/>
      <c r="BY10" s="3165"/>
      <c r="BZ10" s="3165"/>
      <c r="CA10" s="3165"/>
      <c r="CB10" s="3165"/>
      <c r="CC10" s="3165"/>
      <c r="CD10" s="3165"/>
      <c r="CE10" s="3165"/>
      <c r="CF10" s="3165"/>
      <c r="CG10" s="3165"/>
      <c r="CH10" s="3165"/>
      <c r="CI10" s="3165"/>
      <c r="CJ10" s="3165"/>
      <c r="CK10" s="3165"/>
      <c r="CL10" s="3165"/>
      <c r="CM10" s="3165"/>
      <c r="CN10" s="3165"/>
      <c r="CO10" s="3165"/>
      <c r="CP10" s="3165"/>
      <c r="CQ10" s="3165"/>
      <c r="CR10" s="3165"/>
      <c r="CS10" s="3165"/>
      <c r="CT10" s="3165"/>
      <c r="CU10" s="3165"/>
      <c r="CV10" s="3165"/>
      <c r="CW10" s="3165"/>
      <c r="CX10" s="3165"/>
      <c r="CY10" s="3165"/>
      <c r="CZ10" s="3165"/>
      <c r="DA10" s="3165"/>
      <c r="DB10" s="3165"/>
      <c r="DC10" s="3165"/>
      <c r="DD10" s="3165"/>
      <c r="DE10" s="3165"/>
      <c r="DF10" s="3165"/>
      <c r="DG10" s="3165"/>
      <c r="DH10" s="3165"/>
      <c r="DI10" s="3165"/>
      <c r="DJ10" s="3165"/>
      <c r="DK10" s="3165"/>
      <c r="DL10" s="3165"/>
      <c r="DM10" s="3165"/>
      <c r="DN10" s="3165"/>
      <c r="DO10" s="3165"/>
      <c r="DP10" s="3165"/>
      <c r="DQ10" s="3165"/>
      <c r="DR10" s="3165"/>
      <c r="DS10" s="3165"/>
      <c r="DT10" s="3165"/>
      <c r="DU10" s="3165"/>
      <c r="DV10" s="3165"/>
      <c r="DW10" s="3165"/>
      <c r="DX10" s="3165"/>
      <c r="DY10" s="3165"/>
      <c r="DZ10" s="3165"/>
      <c r="EA10" s="3165"/>
      <c r="EB10" s="3165"/>
      <c r="EC10" s="3165"/>
      <c r="ED10" s="3165"/>
      <c r="EE10" s="3165"/>
      <c r="EF10" s="3165"/>
      <c r="EG10" s="3165"/>
      <c r="EH10" s="3165"/>
      <c r="EI10" s="3165"/>
      <c r="EJ10" s="3165"/>
      <c r="EK10" s="3165"/>
      <c r="EL10" s="3165"/>
      <c r="EM10" s="3165"/>
      <c r="EN10" s="3165"/>
      <c r="EO10" s="3165"/>
      <c r="EP10" s="3165"/>
      <c r="EQ10" s="3165"/>
      <c r="ER10" s="3165"/>
      <c r="ES10" s="3165"/>
      <c r="ET10" s="3165"/>
      <c r="EU10" s="3165"/>
      <c r="EV10" s="3165"/>
      <c r="EW10" s="3165"/>
      <c r="EX10" s="3165"/>
      <c r="EY10" s="3165"/>
      <c r="EZ10" s="3165"/>
      <c r="FA10" s="3165"/>
      <c r="FB10" s="3165"/>
      <c r="FC10" s="3165"/>
      <c r="FD10" s="3165"/>
      <c r="FE10" s="3165"/>
      <c r="FF10" s="3165"/>
      <c r="FG10" s="3165"/>
      <c r="FH10" s="3165"/>
      <c r="FI10" s="3165"/>
      <c r="FJ10" s="3165"/>
      <c r="FK10" s="3165"/>
      <c r="FL10" s="3165"/>
      <c r="FM10" s="3165"/>
      <c r="FN10" s="3165"/>
      <c r="FO10" s="3165"/>
      <c r="FP10" s="3165"/>
      <c r="FQ10" s="3165"/>
      <c r="FR10" s="3165"/>
      <c r="FS10" s="3165"/>
      <c r="FT10" s="3165"/>
      <c r="FU10" s="3165"/>
      <c r="FV10" s="3165"/>
      <c r="FW10" s="3165"/>
      <c r="FX10" s="3165"/>
      <c r="FY10" s="3165"/>
      <c r="FZ10" s="3165"/>
      <c r="GA10" s="3165"/>
      <c r="GB10" s="3165"/>
      <c r="GC10" s="3165"/>
      <c r="GD10" s="3165"/>
      <c r="GE10" s="3165"/>
      <c r="GF10" s="3165"/>
      <c r="GG10" s="3165"/>
      <c r="GH10" s="3165"/>
      <c r="GI10" s="3165"/>
      <c r="GJ10" s="3165"/>
      <c r="GK10" s="3165"/>
      <c r="GL10" s="3165"/>
      <c r="GM10" s="3165"/>
      <c r="GN10" s="3165"/>
      <c r="GO10" s="3165"/>
      <c r="GP10" s="3165"/>
      <c r="GQ10" s="3165"/>
      <c r="GR10" s="3165"/>
      <c r="GS10" s="3165"/>
      <c r="GT10" s="3165"/>
      <c r="GU10" s="3165"/>
      <c r="GV10" s="3165"/>
      <c r="GW10" s="3165"/>
      <c r="GX10" s="3165"/>
      <c r="GY10" s="3165"/>
      <c r="GZ10" s="3165"/>
      <c r="HA10" s="3165"/>
      <c r="HB10" s="3165"/>
      <c r="HC10" s="3165"/>
      <c r="HD10" s="3165"/>
      <c r="HE10" s="3165"/>
      <c r="HF10" s="3165"/>
      <c r="HG10" s="3165"/>
      <c r="HH10" s="3165"/>
      <c r="HI10" s="3165"/>
      <c r="HJ10" s="3165"/>
      <c r="HK10" s="3165"/>
      <c r="HL10" s="3165"/>
      <c r="HM10" s="3165"/>
      <c r="HN10" s="3165"/>
      <c r="HO10" s="3165"/>
      <c r="HP10" s="3165"/>
      <c r="HQ10" s="3165"/>
      <c r="HR10" s="3165"/>
      <c r="HS10" s="3165"/>
      <c r="HT10" s="3165"/>
      <c r="HU10" s="3165"/>
      <c r="HV10" s="3165"/>
      <c r="HW10" s="3165"/>
      <c r="HX10" s="3165"/>
      <c r="HY10" s="3165"/>
      <c r="HZ10" s="3165"/>
      <c r="IA10" s="3165"/>
      <c r="IB10" s="3165"/>
      <c r="IC10" s="3165"/>
      <c r="ID10" s="3165"/>
      <c r="IE10" s="3165"/>
      <c r="IF10" s="3165"/>
      <c r="IG10" s="3165"/>
      <c r="IH10" s="3165"/>
      <c r="II10" s="3165"/>
      <c r="IJ10" s="3165"/>
      <c r="IK10" s="3165"/>
      <c r="IL10" s="3165"/>
      <c r="IM10" s="3165"/>
      <c r="IN10" s="3165"/>
      <c r="IO10" s="3165"/>
      <c r="IP10" s="3165"/>
      <c r="IQ10" s="3165"/>
      <c r="IR10" s="3165"/>
      <c r="IS10" s="3165"/>
      <c r="IT10" s="3165"/>
      <c r="IU10" s="3165"/>
      <c r="IV10" s="3165"/>
    </row>
    <row r="11" spans="1:257">
      <c r="A11" s="3166"/>
      <c r="B11" s="3167" t="s">
        <v>2923</v>
      </c>
      <c r="C11" s="3168" t="s">
        <v>2924</v>
      </c>
      <c r="D11" s="3169" t="s">
        <v>2925</v>
      </c>
      <c r="E11" s="3170"/>
      <c r="F11" s="3169" t="s">
        <v>2926</v>
      </c>
      <c r="G11" s="3171"/>
      <c r="H11" s="3170"/>
      <c r="I11" s="3169" t="s">
        <v>2927</v>
      </c>
      <c r="J11" s="3170"/>
      <c r="K11" s="3166"/>
      <c r="L11" s="3167" t="s">
        <v>2923</v>
      </c>
      <c r="M11" s="3168" t="s">
        <v>2924</v>
      </c>
      <c r="N11" s="3167" t="s">
        <v>2928</v>
      </c>
      <c r="O11" s="3169" t="s">
        <v>2929</v>
      </c>
      <c r="P11" s="3171"/>
      <c r="Q11" s="3171"/>
      <c r="R11" s="3171"/>
      <c r="S11" s="3171"/>
      <c r="T11" s="3170"/>
      <c r="U11" s="3169" t="s">
        <v>2930</v>
      </c>
      <c r="V11" s="3171"/>
      <c r="W11" s="3170"/>
      <c r="X11" s="3167" t="s">
        <v>2931</v>
      </c>
      <c r="Y11" s="3167" t="s">
        <v>2932</v>
      </c>
      <c r="Z11" s="3167" t="s">
        <v>2933</v>
      </c>
      <c r="AA11" s="3172"/>
      <c r="AB11" s="3172"/>
      <c r="AC11" s="3172"/>
      <c r="AD11" s="3172"/>
      <c r="AE11" s="3172"/>
      <c r="AF11" s="3172"/>
      <c r="AG11" s="3172"/>
      <c r="AH11" s="3172"/>
      <c r="AI11" s="3172"/>
      <c r="AJ11" s="3172"/>
      <c r="AK11" s="3172"/>
      <c r="AL11" s="3172"/>
      <c r="AM11" s="3172"/>
      <c r="AN11" s="3172"/>
      <c r="AO11" s="3172"/>
      <c r="AP11" s="3172"/>
      <c r="AQ11" s="3172"/>
      <c r="AR11" s="3172"/>
      <c r="AS11" s="3172"/>
      <c r="AT11" s="3172"/>
      <c r="AU11" s="3172"/>
      <c r="AV11" s="3172"/>
      <c r="AW11" s="3172"/>
      <c r="AX11" s="3172"/>
      <c r="AY11" s="3172"/>
      <c r="AZ11" s="3172"/>
      <c r="BA11" s="3172"/>
      <c r="BB11" s="3172"/>
      <c r="BC11" s="3172"/>
      <c r="BD11" s="3172"/>
      <c r="BE11" s="3172"/>
      <c r="BF11" s="3172"/>
      <c r="BG11" s="3172"/>
      <c r="BH11" s="3172"/>
      <c r="BI11" s="3172"/>
      <c r="BJ11" s="3172"/>
      <c r="BK11" s="3172"/>
      <c r="BL11" s="3172"/>
      <c r="BM11" s="3172"/>
      <c r="BN11" s="3172"/>
      <c r="BO11" s="3172"/>
      <c r="BP11" s="3172"/>
      <c r="BQ11" s="3172"/>
      <c r="BR11" s="3172"/>
      <c r="BS11" s="3172"/>
      <c r="BT11" s="3172"/>
      <c r="BU11" s="3172"/>
      <c r="BV11" s="3172"/>
      <c r="BW11" s="3172"/>
      <c r="BX11" s="3172"/>
      <c r="BY11" s="3172"/>
      <c r="BZ11" s="3172"/>
      <c r="CA11" s="3172"/>
      <c r="CB11" s="3172"/>
      <c r="CC11" s="3172"/>
      <c r="CD11" s="3172"/>
      <c r="CE11" s="3172"/>
      <c r="CF11" s="3172"/>
      <c r="CG11" s="3172"/>
      <c r="CH11" s="3172"/>
      <c r="CI11" s="3172"/>
      <c r="CJ11" s="3172"/>
      <c r="CK11" s="3172"/>
      <c r="CL11" s="3172"/>
      <c r="CM11" s="3172"/>
      <c r="CN11" s="3172"/>
      <c r="CO11" s="3172"/>
      <c r="CP11" s="3172"/>
      <c r="CQ11" s="3172"/>
      <c r="CR11" s="3172"/>
      <c r="CS11" s="3172"/>
      <c r="CT11" s="3172"/>
      <c r="CU11" s="3172"/>
      <c r="CV11" s="3172"/>
      <c r="CW11" s="3172"/>
      <c r="CX11" s="3172"/>
      <c r="CY11" s="3172"/>
      <c r="CZ11" s="3172"/>
      <c r="DA11" s="3172"/>
      <c r="DB11" s="3172"/>
      <c r="DC11" s="3172"/>
      <c r="DD11" s="3172"/>
      <c r="DE11" s="3172"/>
      <c r="DF11" s="3172"/>
      <c r="DG11" s="3172"/>
      <c r="DH11" s="3172"/>
      <c r="DI11" s="3172"/>
      <c r="DJ11" s="3172"/>
      <c r="DK11" s="3172"/>
      <c r="DL11" s="3172"/>
      <c r="DM11" s="3172"/>
      <c r="DN11" s="3172"/>
      <c r="DO11" s="3172"/>
      <c r="DP11" s="3172"/>
      <c r="DQ11" s="3172"/>
      <c r="DR11" s="3172"/>
      <c r="DS11" s="3172"/>
      <c r="DT11" s="3172"/>
      <c r="DU11" s="3172"/>
      <c r="DV11" s="3172"/>
      <c r="DW11" s="3172"/>
      <c r="DX11" s="3172"/>
      <c r="DY11" s="3172"/>
      <c r="DZ11" s="3172"/>
      <c r="EA11" s="3172"/>
      <c r="EB11" s="3172"/>
      <c r="EC11" s="3172"/>
      <c r="ED11" s="3172"/>
      <c r="EE11" s="3172"/>
      <c r="EF11" s="3172"/>
      <c r="EG11" s="3172"/>
      <c r="EH11" s="3172"/>
      <c r="EI11" s="3172"/>
      <c r="EJ11" s="3172"/>
      <c r="EK11" s="3172"/>
      <c r="EL11" s="3172"/>
      <c r="EM11" s="3172"/>
      <c r="EN11" s="3172"/>
      <c r="EO11" s="3172"/>
      <c r="EP11" s="3172"/>
      <c r="EQ11" s="3172"/>
      <c r="ER11" s="3172"/>
      <c r="ES11" s="3172"/>
      <c r="ET11" s="3172"/>
      <c r="EU11" s="3172"/>
      <c r="EV11" s="3172"/>
      <c r="EW11" s="3172"/>
      <c r="EX11" s="3172"/>
      <c r="EY11" s="3172"/>
      <c r="EZ11" s="3172"/>
      <c r="FA11" s="3172"/>
      <c r="FB11" s="3172"/>
      <c r="FC11" s="3172"/>
      <c r="FD11" s="3172"/>
      <c r="FE11" s="3172"/>
      <c r="FF11" s="3172"/>
      <c r="FG11" s="3172"/>
      <c r="FH11" s="3172"/>
      <c r="FI11" s="3172"/>
      <c r="FJ11" s="3172"/>
      <c r="FK11" s="3172"/>
      <c r="FL11" s="3172"/>
      <c r="FM11" s="3172"/>
      <c r="FN11" s="3172"/>
      <c r="FO11" s="3172"/>
      <c r="FP11" s="3172"/>
      <c r="FQ11" s="3172"/>
      <c r="FR11" s="3172"/>
      <c r="FS11" s="3172"/>
      <c r="FT11" s="3172"/>
      <c r="FU11" s="3172"/>
      <c r="FV11" s="3172"/>
      <c r="FW11" s="3172"/>
      <c r="FX11" s="3172"/>
      <c r="FY11" s="3172"/>
      <c r="FZ11" s="3172"/>
      <c r="GA11" s="3172"/>
      <c r="GB11" s="3172"/>
      <c r="GC11" s="3172"/>
      <c r="GD11" s="3172"/>
      <c r="GE11" s="3172"/>
      <c r="GF11" s="3172"/>
      <c r="GG11" s="3172"/>
      <c r="GH11" s="3172"/>
      <c r="GI11" s="3172"/>
      <c r="GJ11" s="3172"/>
      <c r="GK11" s="3172"/>
      <c r="GL11" s="3172"/>
      <c r="GM11" s="3172"/>
      <c r="GN11" s="3172"/>
      <c r="GO11" s="3172"/>
      <c r="GP11" s="3172"/>
      <c r="GQ11" s="3172"/>
      <c r="GR11" s="3172"/>
      <c r="GS11" s="3172"/>
      <c r="GT11" s="3172"/>
      <c r="GU11" s="3172"/>
      <c r="GV11" s="3172"/>
      <c r="GW11" s="3172"/>
      <c r="GX11" s="3172"/>
      <c r="GY11" s="3172"/>
      <c r="GZ11" s="3172"/>
      <c r="HA11" s="3172"/>
      <c r="HB11" s="3172"/>
      <c r="HC11" s="3172"/>
      <c r="HD11" s="3172"/>
      <c r="HE11" s="3172"/>
      <c r="HF11" s="3172"/>
      <c r="HG11" s="3172"/>
      <c r="HH11" s="3172"/>
      <c r="HI11" s="3172"/>
      <c r="HJ11" s="3172"/>
      <c r="HK11" s="3172"/>
      <c r="HL11" s="3172"/>
      <c r="HM11" s="3172"/>
      <c r="HN11" s="3172"/>
      <c r="HO11" s="3172"/>
      <c r="HP11" s="3172"/>
      <c r="HQ11" s="3172"/>
      <c r="HR11" s="3172"/>
      <c r="HS11" s="3172"/>
      <c r="HT11" s="3172"/>
      <c r="HU11" s="3172"/>
      <c r="HV11" s="3172"/>
      <c r="HW11" s="3172"/>
      <c r="HX11" s="3172"/>
      <c r="HY11" s="3172"/>
      <c r="HZ11" s="3172"/>
      <c r="IA11" s="3172"/>
      <c r="IB11" s="3172"/>
      <c r="IC11" s="3172"/>
      <c r="ID11" s="3172"/>
      <c r="IE11" s="3172"/>
      <c r="IF11" s="3172"/>
      <c r="IG11" s="3172"/>
      <c r="IH11" s="3172"/>
      <c r="II11" s="3172"/>
      <c r="IJ11" s="3172"/>
      <c r="IK11" s="3172"/>
      <c r="IL11" s="3172"/>
      <c r="IM11" s="3172"/>
      <c r="IN11" s="3172"/>
      <c r="IO11" s="3172"/>
      <c r="IP11" s="3172"/>
      <c r="IQ11" s="3172"/>
      <c r="IR11" s="3172"/>
      <c r="IS11" s="3172"/>
      <c r="IT11" s="3172"/>
      <c r="IU11" s="3172"/>
      <c r="IV11" s="3172"/>
    </row>
    <row r="12" spans="1:257">
      <c r="A12" s="3173"/>
      <c r="B12" s="3174"/>
      <c r="C12" s="3175"/>
      <c r="D12" s="3176" t="s">
        <v>2934</v>
      </c>
      <c r="E12" s="3176" t="s">
        <v>2935</v>
      </c>
      <c r="F12" s="3176" t="s">
        <v>2936</v>
      </c>
      <c r="G12" s="3176" t="s">
        <v>2937</v>
      </c>
      <c r="H12" s="3176" t="s">
        <v>2919</v>
      </c>
      <c r="I12" s="3177" t="s">
        <v>2938</v>
      </c>
      <c r="J12" s="3177" t="s">
        <v>2938</v>
      </c>
      <c r="K12" s="3173"/>
      <c r="L12" s="3174"/>
      <c r="M12" s="3175"/>
      <c r="N12" s="3174"/>
      <c r="O12" s="3177" t="s">
        <v>2939</v>
      </c>
      <c r="P12" s="3177">
        <v>0.5</v>
      </c>
      <c r="Q12" s="3177">
        <v>1</v>
      </c>
      <c r="R12" s="3177">
        <v>2</v>
      </c>
      <c r="S12" s="3177">
        <v>3</v>
      </c>
      <c r="T12" s="3177">
        <v>5</v>
      </c>
      <c r="U12" s="3177">
        <v>1</v>
      </c>
      <c r="V12" s="3177">
        <v>3</v>
      </c>
      <c r="W12" s="3177">
        <v>5</v>
      </c>
      <c r="X12" s="3174"/>
      <c r="Y12" s="3174"/>
      <c r="Z12" s="3174"/>
      <c r="AA12" s="3178"/>
      <c r="AB12" s="3178"/>
      <c r="AC12" s="3178"/>
      <c r="AD12" s="3178"/>
      <c r="AE12" s="3178"/>
      <c r="AF12" s="3178"/>
      <c r="AG12" s="3178"/>
      <c r="AH12" s="3178"/>
      <c r="AI12" s="3178"/>
      <c r="AJ12" s="3178"/>
      <c r="AK12" s="3178"/>
      <c r="AL12" s="3178"/>
      <c r="AM12" s="3178"/>
      <c r="AN12" s="3178"/>
      <c r="AO12" s="3178"/>
      <c r="AP12" s="3178"/>
      <c r="AQ12" s="3178"/>
      <c r="AR12" s="3178"/>
      <c r="AS12" s="3178"/>
      <c r="AT12" s="3178"/>
      <c r="AU12" s="3178"/>
      <c r="AV12" s="3178"/>
      <c r="AW12" s="3178"/>
      <c r="AX12" s="3178"/>
      <c r="AY12" s="3178"/>
      <c r="AZ12" s="3178"/>
      <c r="BA12" s="3178"/>
      <c r="BB12" s="3178"/>
      <c r="BC12" s="3178"/>
      <c r="BD12" s="3178"/>
      <c r="BE12" s="3178"/>
      <c r="BF12" s="3178"/>
      <c r="BG12" s="3178"/>
      <c r="BH12" s="3178"/>
      <c r="BI12" s="3178"/>
      <c r="BJ12" s="3178"/>
      <c r="BK12" s="3178"/>
      <c r="BL12" s="3178"/>
      <c r="BM12" s="3178"/>
      <c r="BN12" s="3178"/>
      <c r="BO12" s="3178"/>
      <c r="BP12" s="3178"/>
      <c r="BQ12" s="3178"/>
      <c r="BR12" s="3178"/>
      <c r="BS12" s="3178"/>
      <c r="BT12" s="3178"/>
      <c r="BU12" s="3178"/>
      <c r="BV12" s="3178"/>
      <c r="BW12" s="3178"/>
      <c r="BX12" s="3178"/>
      <c r="BY12" s="3178"/>
      <c r="BZ12" s="3178"/>
      <c r="CA12" s="3178"/>
      <c r="CB12" s="3178"/>
      <c r="CC12" s="3178"/>
      <c r="CD12" s="3178"/>
      <c r="CE12" s="3178"/>
      <c r="CF12" s="3178"/>
      <c r="CG12" s="3178"/>
      <c r="CH12" s="3178"/>
      <c r="CI12" s="3178"/>
      <c r="CJ12" s="3178"/>
      <c r="CK12" s="3178"/>
      <c r="CL12" s="3178"/>
      <c r="CM12" s="3178"/>
      <c r="CN12" s="3178"/>
      <c r="CO12" s="3178"/>
      <c r="CP12" s="3178"/>
      <c r="CQ12" s="3178"/>
      <c r="CR12" s="3178"/>
      <c r="CS12" s="3178"/>
      <c r="CT12" s="3178"/>
      <c r="CU12" s="3178"/>
      <c r="CV12" s="3178"/>
      <c r="CW12" s="3178"/>
      <c r="CX12" s="3178"/>
      <c r="CY12" s="3178"/>
      <c r="CZ12" s="3178"/>
      <c r="DA12" s="3178"/>
      <c r="DB12" s="3178"/>
      <c r="DC12" s="3178"/>
      <c r="DD12" s="3178"/>
      <c r="DE12" s="3178"/>
      <c r="DF12" s="3178"/>
      <c r="DG12" s="3178"/>
      <c r="DH12" s="3178"/>
      <c r="DI12" s="3178"/>
      <c r="DJ12" s="3178"/>
      <c r="DK12" s="3178"/>
      <c r="DL12" s="3178"/>
      <c r="DM12" s="3178"/>
      <c r="DN12" s="3178"/>
      <c r="DO12" s="3178"/>
      <c r="DP12" s="3178"/>
      <c r="DQ12" s="3178"/>
      <c r="DR12" s="3178"/>
      <c r="DS12" s="3178"/>
      <c r="DT12" s="3178"/>
      <c r="DU12" s="3178"/>
      <c r="DV12" s="3178"/>
      <c r="DW12" s="3178"/>
      <c r="DX12" s="3178"/>
      <c r="DY12" s="3178"/>
      <c r="DZ12" s="3178"/>
      <c r="EA12" s="3178"/>
      <c r="EB12" s="3178"/>
      <c r="EC12" s="3178"/>
      <c r="ED12" s="3178"/>
      <c r="EE12" s="3178"/>
      <c r="EF12" s="3178"/>
      <c r="EG12" s="3178"/>
      <c r="EH12" s="3178"/>
      <c r="EI12" s="3178"/>
      <c r="EJ12" s="3178"/>
      <c r="EK12" s="3178"/>
      <c r="EL12" s="3178"/>
      <c r="EM12" s="3178"/>
      <c r="EN12" s="3178"/>
      <c r="EO12" s="3178"/>
      <c r="EP12" s="3178"/>
      <c r="EQ12" s="3178"/>
      <c r="ER12" s="3178"/>
      <c r="ES12" s="3178"/>
      <c r="ET12" s="3178"/>
      <c r="EU12" s="3178"/>
      <c r="EV12" s="3178"/>
      <c r="EW12" s="3178"/>
      <c r="EX12" s="3178"/>
      <c r="EY12" s="3178"/>
      <c r="EZ12" s="3178"/>
      <c r="FA12" s="3178"/>
      <c r="FB12" s="3178"/>
      <c r="FC12" s="3178"/>
      <c r="FD12" s="3178"/>
      <c r="FE12" s="3178"/>
      <c r="FF12" s="3178"/>
      <c r="FG12" s="3178"/>
      <c r="FH12" s="3178"/>
      <c r="FI12" s="3178"/>
      <c r="FJ12" s="3178"/>
      <c r="FK12" s="3178"/>
      <c r="FL12" s="3178"/>
      <c r="FM12" s="3178"/>
      <c r="FN12" s="3178"/>
      <c r="FO12" s="3178"/>
      <c r="FP12" s="3178"/>
      <c r="FQ12" s="3178"/>
      <c r="FR12" s="3178"/>
      <c r="FS12" s="3178"/>
      <c r="FT12" s="3178"/>
      <c r="FU12" s="3178"/>
      <c r="FV12" s="3178"/>
      <c r="FW12" s="3178"/>
      <c r="FX12" s="3178"/>
      <c r="FY12" s="3178"/>
      <c r="FZ12" s="3178"/>
      <c r="GA12" s="3178"/>
      <c r="GB12" s="3178"/>
      <c r="GC12" s="3178"/>
      <c r="GD12" s="3178"/>
      <c r="GE12" s="3178"/>
      <c r="GF12" s="3178"/>
      <c r="GG12" s="3178"/>
      <c r="GH12" s="3178"/>
      <c r="GI12" s="3178"/>
      <c r="GJ12" s="3178"/>
      <c r="GK12" s="3178"/>
      <c r="GL12" s="3178"/>
      <c r="GM12" s="3178"/>
      <c r="GN12" s="3178"/>
      <c r="GO12" s="3178"/>
      <c r="GP12" s="3178"/>
      <c r="GQ12" s="3178"/>
      <c r="GR12" s="3178"/>
      <c r="GS12" s="3178"/>
      <c r="GT12" s="3178"/>
      <c r="GU12" s="3178"/>
      <c r="GV12" s="3178"/>
      <c r="GW12" s="3178"/>
      <c r="GX12" s="3178"/>
      <c r="GY12" s="3178"/>
      <c r="GZ12" s="3178"/>
      <c r="HA12" s="3178"/>
      <c r="HB12" s="3178"/>
      <c r="HC12" s="3178"/>
      <c r="HD12" s="3178"/>
      <c r="HE12" s="3178"/>
      <c r="HF12" s="3178"/>
      <c r="HG12" s="3178"/>
      <c r="HH12" s="3178"/>
      <c r="HI12" s="3178"/>
      <c r="HJ12" s="3178"/>
      <c r="HK12" s="3178"/>
      <c r="HL12" s="3178"/>
      <c r="HM12" s="3178"/>
      <c r="HN12" s="3178"/>
      <c r="HO12" s="3178"/>
      <c r="HP12" s="3178"/>
      <c r="HQ12" s="3178"/>
      <c r="HR12" s="3178"/>
      <c r="HS12" s="3178"/>
      <c r="HT12" s="3178"/>
      <c r="HU12" s="3178"/>
      <c r="HV12" s="3178"/>
      <c r="HW12" s="3178"/>
      <c r="HX12" s="3178"/>
      <c r="HY12" s="3178"/>
      <c r="HZ12" s="3178"/>
      <c r="IA12" s="3178"/>
      <c r="IB12" s="3178"/>
      <c r="IC12" s="3178"/>
      <c r="ID12" s="3178"/>
      <c r="IE12" s="3178"/>
      <c r="IF12" s="3178"/>
      <c r="IG12" s="3178"/>
      <c r="IH12" s="3178"/>
      <c r="II12" s="3178"/>
      <c r="IJ12" s="3178"/>
      <c r="IK12" s="3178"/>
      <c r="IL12" s="3178"/>
      <c r="IM12" s="3178"/>
      <c r="IN12" s="3178"/>
      <c r="IO12" s="3178"/>
      <c r="IP12" s="3178"/>
      <c r="IQ12" s="3178"/>
      <c r="IR12" s="3178"/>
      <c r="IS12" s="3178"/>
      <c r="IT12" s="3178"/>
      <c r="IU12" s="3178"/>
      <c r="IV12" s="3178"/>
    </row>
    <row r="13" spans="1:257" ht="14.25">
      <c r="A13" s="3179"/>
      <c r="B13" s="3180" t="s">
        <v>2940</v>
      </c>
      <c r="C13" s="3181">
        <v>42301</v>
      </c>
      <c r="D13" s="3182">
        <v>4.3499999999999996</v>
      </c>
      <c r="E13" s="3182">
        <v>4.3499999999999996</v>
      </c>
      <c r="F13" s="3182">
        <v>4.75</v>
      </c>
      <c r="G13" s="3182">
        <v>4.75</v>
      </c>
      <c r="H13" s="3182">
        <v>4.9000000000000004</v>
      </c>
      <c r="I13" s="3182">
        <v>2.75</v>
      </c>
      <c r="J13" s="3182">
        <v>3.25</v>
      </c>
      <c r="K13" s="3179"/>
      <c r="L13" s="3180" t="s">
        <v>2940</v>
      </c>
      <c r="M13" s="3183">
        <v>42301</v>
      </c>
      <c r="N13" s="3182">
        <v>0.35</v>
      </c>
      <c r="O13" s="3182">
        <v>1.1000000000000001</v>
      </c>
      <c r="P13" s="3182">
        <v>1.3</v>
      </c>
      <c r="Q13" s="3182">
        <v>1.5</v>
      </c>
      <c r="R13" s="3182">
        <v>2.1</v>
      </c>
      <c r="S13" s="3182">
        <v>2.75</v>
      </c>
      <c r="T13" s="3182"/>
      <c r="U13" s="3182"/>
      <c r="V13" s="3182"/>
      <c r="W13" s="3182"/>
      <c r="X13" s="3182"/>
      <c r="Y13" s="3182"/>
      <c r="Z13" s="3182"/>
      <c r="AA13" s="3184"/>
      <c r="AB13" s="3184"/>
      <c r="AC13" s="3184"/>
      <c r="AD13" s="3184"/>
      <c r="AE13" s="3184"/>
      <c r="AF13" s="3184"/>
      <c r="AG13" s="3184"/>
      <c r="AH13" s="3184"/>
      <c r="AI13" s="3184"/>
      <c r="AJ13" s="3184"/>
      <c r="AK13" s="3184"/>
      <c r="AL13" s="3184"/>
      <c r="AM13" s="3184"/>
      <c r="AN13" s="3184"/>
      <c r="AO13" s="3184"/>
      <c r="AP13" s="3184"/>
      <c r="AQ13" s="3184"/>
      <c r="AR13" s="3184"/>
      <c r="AS13" s="3184"/>
      <c r="AT13" s="3184"/>
      <c r="AU13" s="3184"/>
      <c r="AV13" s="3184"/>
      <c r="AW13" s="3184"/>
      <c r="AX13" s="3184"/>
      <c r="AY13" s="3184"/>
      <c r="AZ13" s="3184"/>
      <c r="BA13" s="3184"/>
      <c r="BB13" s="3184"/>
      <c r="BC13" s="3184"/>
      <c r="BD13" s="3184"/>
      <c r="BE13" s="3184"/>
      <c r="BF13" s="3184"/>
      <c r="BG13" s="3184"/>
      <c r="BH13" s="3184"/>
      <c r="BI13" s="3184"/>
      <c r="BJ13" s="3184"/>
      <c r="BK13" s="3184"/>
      <c r="BL13" s="3184"/>
      <c r="BM13" s="3184"/>
      <c r="BN13" s="3184"/>
      <c r="BO13" s="3184"/>
      <c r="BP13" s="3184"/>
      <c r="BQ13" s="3184"/>
      <c r="BR13" s="3184"/>
      <c r="BS13" s="3184"/>
      <c r="BT13" s="3184"/>
      <c r="BU13" s="3184"/>
      <c r="BV13" s="3184"/>
      <c r="BW13" s="3184"/>
      <c r="BX13" s="3184"/>
      <c r="BY13" s="3184"/>
      <c r="BZ13" s="3184"/>
      <c r="CA13" s="3184"/>
      <c r="CB13" s="3184"/>
      <c r="CC13" s="3184"/>
      <c r="CD13" s="3184"/>
      <c r="CE13" s="3184"/>
      <c r="CF13" s="3184"/>
      <c r="CG13" s="3184"/>
      <c r="CH13" s="3184"/>
      <c r="CI13" s="3184"/>
      <c r="CJ13" s="3184"/>
      <c r="CK13" s="3184"/>
      <c r="CL13" s="3184"/>
      <c r="CM13" s="3184"/>
      <c r="CN13" s="3184"/>
      <c r="CO13" s="3184"/>
      <c r="CP13" s="3184"/>
      <c r="CQ13" s="3184"/>
      <c r="CR13" s="3184"/>
      <c r="CS13" s="3184"/>
      <c r="CT13" s="3184"/>
      <c r="CU13" s="3184"/>
      <c r="CV13" s="3184"/>
      <c r="CW13" s="3184"/>
      <c r="CX13" s="3184"/>
      <c r="CY13" s="3184"/>
      <c r="CZ13" s="3184"/>
      <c r="DA13" s="3184"/>
      <c r="DB13" s="3184"/>
      <c r="DC13" s="3184"/>
      <c r="DD13" s="3184"/>
      <c r="DE13" s="3184"/>
      <c r="DF13" s="3184"/>
      <c r="DG13" s="3184"/>
      <c r="DH13" s="3184"/>
      <c r="DI13" s="3184"/>
      <c r="DJ13" s="3184"/>
      <c r="DK13" s="3184"/>
      <c r="DL13" s="3184"/>
      <c r="DM13" s="3184"/>
      <c r="DN13" s="3184"/>
      <c r="DO13" s="3184"/>
      <c r="DP13" s="3184"/>
      <c r="DQ13" s="3184"/>
      <c r="DR13" s="3184"/>
      <c r="DS13" s="3184"/>
      <c r="DT13" s="3184"/>
      <c r="DU13" s="3184"/>
      <c r="DV13" s="3184"/>
      <c r="DW13" s="3184"/>
      <c r="DX13" s="3184"/>
      <c r="DY13" s="3184"/>
      <c r="DZ13" s="3184"/>
      <c r="EA13" s="3184"/>
      <c r="EB13" s="3184"/>
      <c r="EC13" s="3184"/>
      <c r="ED13" s="3184"/>
      <c r="EE13" s="3184"/>
      <c r="EF13" s="3184"/>
      <c r="EG13" s="3184"/>
      <c r="EH13" s="3184"/>
      <c r="EI13" s="3184"/>
      <c r="EJ13" s="3184"/>
      <c r="EK13" s="3184"/>
      <c r="EL13" s="3184"/>
      <c r="EM13" s="3184"/>
      <c r="EN13" s="3184"/>
      <c r="EO13" s="3184"/>
      <c r="EP13" s="3184"/>
      <c r="EQ13" s="3184"/>
      <c r="ER13" s="3184"/>
      <c r="ES13" s="3184"/>
      <c r="ET13" s="3184"/>
      <c r="EU13" s="3184"/>
      <c r="EV13" s="3184"/>
      <c r="EW13" s="3184"/>
      <c r="EX13" s="3184"/>
      <c r="EY13" s="3184"/>
      <c r="EZ13" s="3184"/>
      <c r="FA13" s="3184"/>
      <c r="FB13" s="3184"/>
      <c r="FC13" s="3184"/>
      <c r="FD13" s="3184"/>
      <c r="FE13" s="3184"/>
      <c r="FF13" s="3184"/>
      <c r="FG13" s="3184"/>
      <c r="FH13" s="3184"/>
      <c r="FI13" s="3184"/>
      <c r="FJ13" s="3184"/>
      <c r="FK13" s="3184"/>
      <c r="FL13" s="3184"/>
      <c r="FM13" s="3184"/>
      <c r="FN13" s="3184"/>
      <c r="FO13" s="3184"/>
      <c r="FP13" s="3184"/>
      <c r="FQ13" s="3184"/>
      <c r="FR13" s="3184"/>
      <c r="FS13" s="3184"/>
      <c r="FT13" s="3184"/>
      <c r="FU13" s="3184"/>
      <c r="FV13" s="3184"/>
      <c r="FW13" s="3184"/>
      <c r="FX13" s="3184"/>
      <c r="FY13" s="3184"/>
      <c r="FZ13" s="3184"/>
      <c r="GA13" s="3184"/>
      <c r="GB13" s="3184"/>
      <c r="GC13" s="3184"/>
      <c r="GD13" s="3184"/>
      <c r="GE13" s="3184"/>
      <c r="GF13" s="3184"/>
      <c r="GG13" s="3184"/>
      <c r="GH13" s="3184"/>
      <c r="GI13" s="3184"/>
      <c r="GJ13" s="3184"/>
      <c r="GK13" s="3184"/>
      <c r="GL13" s="3184"/>
      <c r="GM13" s="3184"/>
      <c r="GN13" s="3184"/>
      <c r="GO13" s="3184"/>
      <c r="GP13" s="3184"/>
      <c r="GQ13" s="3184"/>
      <c r="GR13" s="3184"/>
      <c r="GS13" s="3184"/>
      <c r="GT13" s="3184"/>
      <c r="GU13" s="3184"/>
      <c r="GV13" s="3184"/>
      <c r="GW13" s="3184"/>
      <c r="GX13" s="3184"/>
      <c r="GY13" s="3184"/>
      <c r="GZ13" s="3184"/>
      <c r="HA13" s="3184"/>
      <c r="HB13" s="3184"/>
      <c r="HC13" s="3184"/>
      <c r="HD13" s="3184"/>
      <c r="HE13" s="3184"/>
      <c r="HF13" s="3184"/>
      <c r="HG13" s="3184"/>
      <c r="HH13" s="3184"/>
      <c r="HI13" s="3184"/>
      <c r="HJ13" s="3184"/>
      <c r="HK13" s="3184"/>
      <c r="HL13" s="3184"/>
      <c r="HM13" s="3184"/>
      <c r="HN13" s="3184"/>
      <c r="HO13" s="3184"/>
      <c r="HP13" s="3184"/>
      <c r="HQ13" s="3184"/>
      <c r="HR13" s="3184"/>
      <c r="HS13" s="3184"/>
      <c r="HT13" s="3184"/>
      <c r="HU13" s="3184"/>
      <c r="HV13" s="3184"/>
      <c r="HW13" s="3184"/>
      <c r="HX13" s="3184"/>
      <c r="HY13" s="3184"/>
      <c r="HZ13" s="3184"/>
      <c r="IA13" s="3184"/>
      <c r="IB13" s="3184"/>
      <c r="IC13" s="3184"/>
      <c r="ID13" s="3184"/>
      <c r="IE13" s="3184"/>
      <c r="IF13" s="3184"/>
      <c r="IG13" s="3184"/>
      <c r="IH13" s="3184"/>
      <c r="II13" s="3184"/>
      <c r="IJ13" s="3184"/>
      <c r="IK13" s="3184"/>
      <c r="IL13" s="3184"/>
      <c r="IM13" s="3184"/>
      <c r="IN13" s="3184"/>
      <c r="IO13" s="3184"/>
      <c r="IP13" s="3184"/>
      <c r="IQ13" s="3184"/>
      <c r="IR13" s="3184"/>
      <c r="IS13" s="3184"/>
      <c r="IT13" s="3184"/>
      <c r="IU13" s="3184"/>
      <c r="IV13" s="3184"/>
      <c r="IW13" s="3185"/>
    </row>
    <row r="14" spans="1:257">
      <c r="B14" s="3186"/>
      <c r="C14" s="3187">
        <v>42242</v>
      </c>
      <c r="D14" s="3186">
        <v>4.5999999999999996</v>
      </c>
      <c r="E14" s="3186">
        <v>4.5999999999999996</v>
      </c>
      <c r="F14" s="3186">
        <v>5</v>
      </c>
      <c r="G14" s="3186">
        <v>5</v>
      </c>
      <c r="H14" s="3186">
        <v>5.15</v>
      </c>
      <c r="I14" s="3186">
        <v>2.75</v>
      </c>
      <c r="J14" s="3186">
        <v>3.25</v>
      </c>
      <c r="L14" s="3186"/>
      <c r="M14" s="3187">
        <v>42242</v>
      </c>
      <c r="N14" s="3186">
        <v>0.35</v>
      </c>
      <c r="O14" s="3186">
        <v>1.35</v>
      </c>
      <c r="P14" s="3186">
        <v>1.55</v>
      </c>
      <c r="Q14" s="3186">
        <v>1.75</v>
      </c>
      <c r="R14" s="3186">
        <v>2.35</v>
      </c>
      <c r="S14" s="3186">
        <v>3</v>
      </c>
      <c r="T14" s="3186"/>
      <c r="U14" s="3186"/>
      <c r="V14" s="3186"/>
      <c r="W14" s="3186"/>
      <c r="X14" s="3186"/>
      <c r="Y14" s="3186"/>
      <c r="Z14" s="3186"/>
    </row>
    <row r="15" spans="1:257">
      <c r="B15" s="3186"/>
      <c r="C15" s="3187">
        <v>42183</v>
      </c>
      <c r="D15" s="3186">
        <v>4.8499999999999996</v>
      </c>
      <c r="E15" s="3186">
        <v>4.8499999999999996</v>
      </c>
      <c r="F15" s="3186">
        <v>5.25</v>
      </c>
      <c r="G15" s="3186">
        <v>5.25</v>
      </c>
      <c r="H15" s="3186">
        <v>5.4</v>
      </c>
      <c r="I15" s="3186">
        <v>3</v>
      </c>
      <c r="J15" s="3186">
        <v>3.5</v>
      </c>
      <c r="L15" s="3186"/>
      <c r="M15" s="3187">
        <v>42183</v>
      </c>
      <c r="N15" s="3186">
        <v>0.35</v>
      </c>
      <c r="O15" s="3186">
        <v>1.6</v>
      </c>
      <c r="P15" s="3186">
        <v>1.8</v>
      </c>
      <c r="Q15" s="3186">
        <v>2</v>
      </c>
      <c r="R15" s="3186">
        <v>2.6</v>
      </c>
      <c r="S15" s="3186">
        <v>3.25</v>
      </c>
      <c r="T15" s="3186"/>
      <c r="U15" s="3186"/>
      <c r="V15" s="3186"/>
      <c r="W15" s="3186"/>
      <c r="X15" s="3186"/>
      <c r="Y15" s="3186"/>
      <c r="Z15" s="3186"/>
    </row>
    <row r="16" spans="1:257">
      <c r="B16" s="3186"/>
      <c r="C16" s="3187">
        <v>42135</v>
      </c>
      <c r="D16" s="3186">
        <v>5.0999999999999996</v>
      </c>
      <c r="E16" s="3186">
        <v>5.0999999999999996</v>
      </c>
      <c r="F16" s="3186">
        <v>5.5</v>
      </c>
      <c r="G16" s="3186">
        <v>5.5</v>
      </c>
      <c r="H16" s="3186">
        <v>5.65</v>
      </c>
      <c r="I16" s="3186">
        <v>3.25</v>
      </c>
      <c r="J16" s="3186">
        <v>3.75</v>
      </c>
      <c r="L16" s="3186"/>
      <c r="M16" s="3187">
        <v>42135</v>
      </c>
      <c r="N16" s="3186">
        <v>0.35</v>
      </c>
      <c r="O16" s="3186">
        <v>1.85</v>
      </c>
      <c r="P16" s="3186">
        <v>2.0499999999999998</v>
      </c>
      <c r="Q16" s="3186">
        <v>2.25</v>
      </c>
      <c r="R16" s="3186">
        <v>2.85</v>
      </c>
      <c r="S16" s="3186">
        <v>3.5</v>
      </c>
      <c r="T16" s="3186"/>
      <c r="U16" s="3186"/>
      <c r="V16" s="3186"/>
      <c r="W16" s="3186"/>
      <c r="X16" s="3186"/>
      <c r="Y16" s="3186"/>
      <c r="Z16" s="3186"/>
    </row>
    <row r="17" spans="2:26">
      <c r="B17" s="3186"/>
      <c r="C17" s="3187">
        <v>42064</v>
      </c>
      <c r="D17" s="3186">
        <v>5.35</v>
      </c>
      <c r="E17" s="3186">
        <v>5.35</v>
      </c>
      <c r="F17" s="3186">
        <v>5.75</v>
      </c>
      <c r="G17" s="3186">
        <v>5.75</v>
      </c>
      <c r="H17" s="3186">
        <v>5.9</v>
      </c>
      <c r="I17" s="3186"/>
      <c r="J17" s="3186"/>
      <c r="L17" s="3186"/>
      <c r="M17" s="3187">
        <v>42064</v>
      </c>
      <c r="N17" s="3186">
        <v>0.35</v>
      </c>
      <c r="O17" s="3186">
        <v>2.1</v>
      </c>
      <c r="P17" s="3186">
        <v>2.2999999999999998</v>
      </c>
      <c r="Q17" s="3186">
        <v>2.5</v>
      </c>
      <c r="R17" s="3186">
        <v>3.1</v>
      </c>
      <c r="S17" s="3186">
        <v>3.75</v>
      </c>
      <c r="T17" s="3186">
        <v>4.5</v>
      </c>
      <c r="U17" s="3186">
        <v>2.35</v>
      </c>
      <c r="V17" s="3186">
        <v>2.5499999999999998</v>
      </c>
      <c r="W17" s="3186">
        <v>2.75</v>
      </c>
      <c r="X17" s="3186"/>
      <c r="Y17" s="3186">
        <v>0.8</v>
      </c>
      <c r="Z17" s="3186">
        <v>1.35</v>
      </c>
    </row>
    <row r="18" spans="2:26" ht="15">
      <c r="B18" s="3186"/>
      <c r="C18" s="3187">
        <v>41965</v>
      </c>
      <c r="D18" s="3186">
        <v>5.6</v>
      </c>
      <c r="E18" s="3186">
        <v>5.6</v>
      </c>
      <c r="F18" s="3186">
        <v>6</v>
      </c>
      <c r="G18" s="3186">
        <v>6</v>
      </c>
      <c r="H18" s="3186">
        <v>6.15</v>
      </c>
      <c r="I18" s="3186"/>
      <c r="J18" s="3186"/>
      <c r="L18" s="3186"/>
      <c r="M18" s="3187">
        <v>41965</v>
      </c>
      <c r="N18" s="3186">
        <v>0.35</v>
      </c>
      <c r="O18" s="3186">
        <v>2.35</v>
      </c>
      <c r="P18" s="3186">
        <v>2.5499999999999998</v>
      </c>
      <c r="Q18" s="3186">
        <v>2.75</v>
      </c>
      <c r="R18" s="3186">
        <v>3.35</v>
      </c>
      <c r="S18" s="3186">
        <v>4</v>
      </c>
      <c r="T18" s="3186">
        <v>4.75</v>
      </c>
      <c r="U18" s="3188">
        <v>2.35</v>
      </c>
      <c r="V18" s="3188">
        <v>2.5499999999999998</v>
      </c>
      <c r="W18" s="3188">
        <v>2.75</v>
      </c>
      <c r="X18" s="3186"/>
      <c r="Y18" s="3188">
        <v>0.8</v>
      </c>
      <c r="Z18" s="3188">
        <v>1.35</v>
      </c>
    </row>
    <row r="19" spans="2:26">
      <c r="B19" s="3186"/>
      <c r="C19" s="3187">
        <v>41096</v>
      </c>
      <c r="D19" s="3186">
        <v>5.6</v>
      </c>
      <c r="E19" s="3186">
        <v>6</v>
      </c>
      <c r="F19" s="3186">
        <v>6.15</v>
      </c>
      <c r="G19" s="3186">
        <v>6.4</v>
      </c>
      <c r="H19" s="3186">
        <v>6.55</v>
      </c>
      <c r="I19" s="3186">
        <v>4</v>
      </c>
      <c r="J19" s="3186">
        <v>4.5</v>
      </c>
      <c r="L19" s="3186"/>
      <c r="M19" s="3187">
        <v>41096</v>
      </c>
      <c r="N19" s="3186">
        <v>0.35</v>
      </c>
      <c r="O19" s="3186">
        <v>2.6</v>
      </c>
      <c r="P19" s="3186">
        <v>2.8</v>
      </c>
      <c r="Q19" s="3186">
        <v>3</v>
      </c>
      <c r="R19" s="3186">
        <v>3.75</v>
      </c>
      <c r="S19" s="3186">
        <v>4.25</v>
      </c>
      <c r="T19" s="3186">
        <v>4.75</v>
      </c>
      <c r="U19" s="3186">
        <v>2.85</v>
      </c>
      <c r="V19" s="3186">
        <v>2.9</v>
      </c>
      <c r="W19" s="3186">
        <v>3</v>
      </c>
      <c r="X19" s="3186">
        <v>1.1499999999999999</v>
      </c>
      <c r="Y19" s="3186">
        <v>0.8</v>
      </c>
      <c r="Z19" s="3186">
        <v>1.35</v>
      </c>
    </row>
    <row r="20" spans="2:26">
      <c r="B20" s="3186"/>
      <c r="C20" s="3187">
        <v>41068</v>
      </c>
      <c r="D20" s="3186">
        <v>5.85</v>
      </c>
      <c r="E20" s="3186">
        <v>6.31</v>
      </c>
      <c r="F20" s="3186">
        <v>6.4</v>
      </c>
      <c r="G20" s="3186">
        <v>6.65</v>
      </c>
      <c r="H20" s="3186">
        <v>6.8</v>
      </c>
      <c r="I20" s="3186">
        <v>4.2</v>
      </c>
      <c r="J20" s="3186">
        <v>4.7</v>
      </c>
      <c r="L20" s="3186"/>
      <c r="M20" s="3187">
        <v>41068</v>
      </c>
      <c r="N20" s="3186">
        <v>0.4</v>
      </c>
      <c r="O20" s="3186">
        <v>2.85</v>
      </c>
      <c r="P20" s="3186">
        <v>3.05</v>
      </c>
      <c r="Q20" s="3186">
        <v>3.25</v>
      </c>
      <c r="R20" s="3186">
        <v>4.0999999999999996</v>
      </c>
      <c r="S20" s="3186">
        <v>4.6500000000000004</v>
      </c>
      <c r="T20" s="3186">
        <v>5.0999999999999996</v>
      </c>
      <c r="U20" s="3186">
        <v>3.1</v>
      </c>
      <c r="V20" s="3186">
        <v>3.15</v>
      </c>
      <c r="W20" s="3186">
        <v>3.25</v>
      </c>
      <c r="X20" s="3186">
        <v>1.31</v>
      </c>
      <c r="Y20" s="3186">
        <v>0.94</v>
      </c>
      <c r="Z20" s="3186">
        <v>1.49</v>
      </c>
    </row>
    <row r="21" spans="2:26">
      <c r="B21" s="3186"/>
      <c r="C21" s="3187">
        <v>40731</v>
      </c>
      <c r="D21" s="3186">
        <v>6.1</v>
      </c>
      <c r="E21" s="3186">
        <v>6.56</v>
      </c>
      <c r="F21" s="3186">
        <v>6.65</v>
      </c>
      <c r="G21" s="3186">
        <v>6.9</v>
      </c>
      <c r="H21" s="3186">
        <v>7.05</v>
      </c>
      <c r="I21" s="3186">
        <v>4.45</v>
      </c>
      <c r="J21" s="3186">
        <v>4.9000000000000004</v>
      </c>
      <c r="L21" s="3186"/>
      <c r="M21" s="3187">
        <v>40731</v>
      </c>
      <c r="N21" s="3186">
        <v>0.5</v>
      </c>
      <c r="O21" s="3186">
        <v>3.1</v>
      </c>
      <c r="P21" s="3186">
        <v>3.3</v>
      </c>
      <c r="Q21" s="3186">
        <v>3.5</v>
      </c>
      <c r="R21" s="3186">
        <v>4.4000000000000004</v>
      </c>
      <c r="S21" s="3186">
        <v>5</v>
      </c>
      <c r="T21" s="3186">
        <v>5.5</v>
      </c>
      <c r="U21" s="3186">
        <v>3.1</v>
      </c>
      <c r="V21" s="3186">
        <v>3.3</v>
      </c>
      <c r="W21" s="3186">
        <v>3.5</v>
      </c>
      <c r="X21" s="3186">
        <v>1.31</v>
      </c>
      <c r="Y21" s="3186">
        <v>0.95</v>
      </c>
      <c r="Z21" s="3186">
        <v>1.49</v>
      </c>
    </row>
    <row r="22" spans="2:26">
      <c r="B22" s="3186"/>
      <c r="C22" s="3187">
        <v>40639</v>
      </c>
      <c r="D22" s="3186">
        <v>5.85</v>
      </c>
      <c r="E22" s="3186">
        <v>6.31</v>
      </c>
      <c r="F22" s="3186">
        <v>6.4</v>
      </c>
      <c r="G22" s="3186">
        <v>6.65</v>
      </c>
      <c r="H22" s="3186">
        <v>6.8</v>
      </c>
      <c r="I22" s="3186">
        <v>4.2</v>
      </c>
      <c r="J22" s="3186">
        <v>4.7</v>
      </c>
      <c r="L22" s="3186"/>
      <c r="M22" s="3187">
        <v>40639</v>
      </c>
      <c r="N22" s="3186">
        <v>0.5</v>
      </c>
      <c r="O22" s="3186">
        <v>2.85</v>
      </c>
      <c r="P22" s="3186">
        <v>3.05</v>
      </c>
      <c r="Q22" s="3186">
        <v>3.25</v>
      </c>
      <c r="R22" s="3186">
        <v>4.1500000000000004</v>
      </c>
      <c r="S22" s="3186">
        <v>4.75</v>
      </c>
      <c r="T22" s="3186">
        <v>5.25</v>
      </c>
      <c r="U22" s="3186">
        <v>2.85</v>
      </c>
      <c r="V22" s="3186">
        <v>3.05</v>
      </c>
      <c r="W22" s="3186">
        <v>3.25</v>
      </c>
      <c r="X22" s="3186">
        <v>1.31</v>
      </c>
      <c r="Y22" s="3186">
        <v>0.95</v>
      </c>
      <c r="Z22" s="3186">
        <v>1.49</v>
      </c>
    </row>
    <row r="23" spans="2:26">
      <c r="B23" s="3186"/>
      <c r="C23" s="3187">
        <v>40583</v>
      </c>
      <c r="D23" s="3186">
        <v>5.6</v>
      </c>
      <c r="E23" s="3186">
        <v>6.06</v>
      </c>
      <c r="F23" s="3186">
        <v>6.1</v>
      </c>
      <c r="G23" s="3186">
        <v>6.45</v>
      </c>
      <c r="H23" s="3186">
        <v>6.6</v>
      </c>
      <c r="I23" s="3186">
        <v>4</v>
      </c>
      <c r="J23" s="3186">
        <v>4.5</v>
      </c>
      <c r="L23" s="3186"/>
      <c r="M23" s="3187">
        <v>40583</v>
      </c>
      <c r="N23" s="3186">
        <v>0.4</v>
      </c>
      <c r="O23" s="3186">
        <v>2.6</v>
      </c>
      <c r="P23" s="3186">
        <v>2.8</v>
      </c>
      <c r="Q23" s="3186">
        <v>3</v>
      </c>
      <c r="R23" s="3186">
        <v>3.9</v>
      </c>
      <c r="S23" s="3186">
        <v>4.5</v>
      </c>
      <c r="T23" s="3186">
        <v>5</v>
      </c>
      <c r="U23" s="3186">
        <v>2.6</v>
      </c>
      <c r="V23" s="3186">
        <v>2.8</v>
      </c>
      <c r="W23" s="3186">
        <v>3</v>
      </c>
      <c r="X23" s="3186">
        <v>1.21</v>
      </c>
      <c r="Y23" s="3186">
        <v>0.85</v>
      </c>
      <c r="Z23" s="3186">
        <v>1.39</v>
      </c>
    </row>
    <row r="24" spans="2:26">
      <c r="B24" s="3186"/>
      <c r="C24" s="3187">
        <v>40538</v>
      </c>
      <c r="D24" s="3186">
        <v>5.35</v>
      </c>
      <c r="E24" s="3186">
        <v>5.81</v>
      </c>
      <c r="F24" s="3186">
        <v>5.85</v>
      </c>
      <c r="G24" s="3186">
        <v>6.22</v>
      </c>
      <c r="H24" s="3186">
        <v>6.4</v>
      </c>
      <c r="I24" s="3186">
        <v>3.75</v>
      </c>
      <c r="J24" s="3186">
        <v>4.3</v>
      </c>
      <c r="L24" s="3186"/>
      <c r="M24" s="3187">
        <v>40538</v>
      </c>
      <c r="N24" s="3186">
        <v>0.36</v>
      </c>
      <c r="O24" s="3186">
        <v>2.25</v>
      </c>
      <c r="P24" s="3186">
        <v>2.5</v>
      </c>
      <c r="Q24" s="3186">
        <v>2.75</v>
      </c>
      <c r="R24" s="3186">
        <v>3.55</v>
      </c>
      <c r="S24" s="3186">
        <v>4.1500000000000004</v>
      </c>
      <c r="T24" s="3186">
        <v>4.55</v>
      </c>
      <c r="U24" s="3186">
        <v>2.16</v>
      </c>
      <c r="V24" s="3186">
        <v>2.5</v>
      </c>
      <c r="W24" s="3186">
        <v>2.85</v>
      </c>
      <c r="X24" s="3186">
        <v>1.17</v>
      </c>
      <c r="Y24" s="3186">
        <v>0.81</v>
      </c>
      <c r="Z24" s="3186">
        <v>1.35</v>
      </c>
    </row>
    <row r="25" spans="2:26">
      <c r="B25" s="3186"/>
      <c r="C25" s="3187">
        <v>40471</v>
      </c>
      <c r="D25" s="3186">
        <v>5.0999999999999996</v>
      </c>
      <c r="E25" s="3186">
        <v>5.56</v>
      </c>
      <c r="F25" s="3186">
        <v>5.6</v>
      </c>
      <c r="G25" s="3186">
        <v>5.96</v>
      </c>
      <c r="H25" s="3186">
        <v>6.14</v>
      </c>
      <c r="I25" s="3186">
        <v>3.5</v>
      </c>
      <c r="J25" s="3186">
        <v>4.05</v>
      </c>
      <c r="L25" s="3186"/>
      <c r="M25" s="3187">
        <v>40471</v>
      </c>
      <c r="N25" s="3186">
        <v>0.36</v>
      </c>
      <c r="O25" s="3186">
        <v>1.91</v>
      </c>
      <c r="P25" s="3186">
        <v>2.2000000000000002</v>
      </c>
      <c r="Q25" s="3186">
        <v>2.5</v>
      </c>
      <c r="R25" s="3186">
        <v>3.25</v>
      </c>
      <c r="S25" s="3186">
        <v>3.85</v>
      </c>
      <c r="T25" s="3186">
        <v>4.2</v>
      </c>
      <c r="U25" s="3186">
        <v>1.91</v>
      </c>
      <c r="V25" s="3186">
        <v>2.2000000000000002</v>
      </c>
      <c r="W25" s="3186">
        <v>2.5</v>
      </c>
      <c r="X25" s="3186">
        <v>1.17</v>
      </c>
      <c r="Y25" s="3186">
        <v>0.81</v>
      </c>
      <c r="Z25" s="3186">
        <v>1.35</v>
      </c>
    </row>
    <row r="26" spans="2:26">
      <c r="B26" s="3186"/>
      <c r="C26" s="3187">
        <v>39805</v>
      </c>
      <c r="D26" s="3186">
        <v>4.8600000000000003</v>
      </c>
      <c r="E26" s="3186">
        <v>5.31</v>
      </c>
      <c r="F26" s="3186">
        <v>5.4</v>
      </c>
      <c r="G26" s="3186">
        <v>5.76</v>
      </c>
      <c r="H26" s="3186">
        <v>5.94</v>
      </c>
      <c r="I26" s="3186">
        <v>3.33</v>
      </c>
      <c r="J26" s="3186">
        <v>3.87</v>
      </c>
      <c r="L26" s="3186"/>
      <c r="M26" s="3187">
        <v>39805</v>
      </c>
      <c r="N26" s="3186">
        <v>0.36</v>
      </c>
      <c r="O26" s="3186">
        <v>1.71</v>
      </c>
      <c r="P26" s="3186">
        <v>1.98</v>
      </c>
      <c r="Q26" s="3186">
        <v>2.25</v>
      </c>
      <c r="R26" s="3186">
        <v>2.79</v>
      </c>
      <c r="S26" s="3186">
        <v>3.33</v>
      </c>
      <c r="T26" s="3186">
        <v>3.6</v>
      </c>
      <c r="U26" s="3186">
        <v>1.71</v>
      </c>
      <c r="V26" s="3186">
        <v>1.98</v>
      </c>
      <c r="W26" s="3186">
        <v>2.25</v>
      </c>
      <c r="X26" s="3186">
        <v>1.17</v>
      </c>
      <c r="Y26" s="3186">
        <v>0.81</v>
      </c>
      <c r="Z26" s="3186">
        <v>1.35</v>
      </c>
    </row>
    <row r="27" spans="2:26">
      <c r="B27" s="3186"/>
      <c r="C27" s="3187">
        <v>39779</v>
      </c>
      <c r="D27" s="3186">
        <v>5.04</v>
      </c>
      <c r="E27" s="3186">
        <v>5.58</v>
      </c>
      <c r="F27" s="3186">
        <v>5.67</v>
      </c>
      <c r="G27" s="3186">
        <v>5.94</v>
      </c>
      <c r="H27" s="3186">
        <v>6.12</v>
      </c>
      <c r="I27" s="3186">
        <v>3.51</v>
      </c>
      <c r="J27" s="3186">
        <v>4.05</v>
      </c>
      <c r="L27" s="3186"/>
      <c r="M27" s="3187">
        <v>39779</v>
      </c>
      <c r="N27" s="3186">
        <v>0.36</v>
      </c>
      <c r="O27" s="3186">
        <v>1.98</v>
      </c>
      <c r="P27" s="3186">
        <v>2.25</v>
      </c>
      <c r="Q27" s="3186">
        <v>2.52</v>
      </c>
      <c r="R27" s="3186">
        <v>3.06</v>
      </c>
      <c r="S27" s="3186">
        <v>3.6</v>
      </c>
      <c r="T27" s="3186">
        <v>3.87</v>
      </c>
      <c r="U27" s="3186">
        <v>1.98</v>
      </c>
      <c r="V27" s="3186">
        <v>2.25</v>
      </c>
      <c r="W27" s="3186">
        <v>2.52</v>
      </c>
      <c r="X27" s="3186">
        <v>1.17</v>
      </c>
      <c r="Y27" s="3186">
        <v>0.81</v>
      </c>
      <c r="Z27" s="3186">
        <v>1.35</v>
      </c>
    </row>
    <row r="28" spans="2:26">
      <c r="B28" s="3186"/>
      <c r="C28" s="3187">
        <v>39751</v>
      </c>
      <c r="D28" s="3186">
        <v>6.03</v>
      </c>
      <c r="E28" s="3186">
        <v>6.66</v>
      </c>
      <c r="F28" s="3186">
        <v>6.75</v>
      </c>
      <c r="G28" s="3186">
        <v>7.02</v>
      </c>
      <c r="H28" s="3186">
        <v>7.2</v>
      </c>
      <c r="I28" s="3186">
        <v>4.05</v>
      </c>
      <c r="J28" s="3186">
        <v>4.59</v>
      </c>
      <c r="L28" s="3186"/>
      <c r="M28" s="3187">
        <v>39751</v>
      </c>
      <c r="N28" s="3186">
        <v>0.72</v>
      </c>
      <c r="O28" s="3186">
        <v>2.88</v>
      </c>
      <c r="P28" s="3186">
        <v>3.24</v>
      </c>
      <c r="Q28" s="3186">
        <v>3.6</v>
      </c>
      <c r="R28" s="3186">
        <v>4.1399999999999997</v>
      </c>
      <c r="S28" s="3186">
        <v>4.7699999999999996</v>
      </c>
      <c r="T28" s="3186">
        <v>5.13</v>
      </c>
      <c r="U28" s="3186">
        <v>2.88</v>
      </c>
      <c r="V28" s="3186">
        <v>3.24</v>
      </c>
      <c r="W28" s="3186">
        <v>3.6</v>
      </c>
      <c r="X28" s="3186">
        <v>1.53</v>
      </c>
      <c r="Y28" s="3186">
        <v>1.17</v>
      </c>
      <c r="Z28" s="3186">
        <v>1.71</v>
      </c>
    </row>
    <row r="29" spans="2:26">
      <c r="B29" s="3186"/>
      <c r="C29" s="3189">
        <v>39748</v>
      </c>
      <c r="D29" s="3186">
        <v>6.12</v>
      </c>
      <c r="E29" s="3186">
        <v>6.93</v>
      </c>
      <c r="F29" s="3186">
        <v>7.02</v>
      </c>
      <c r="G29" s="3186">
        <v>7.29</v>
      </c>
      <c r="H29" s="3186">
        <v>7.47</v>
      </c>
      <c r="I29" s="3186">
        <v>4.05</v>
      </c>
      <c r="J29" s="3186">
        <v>4.59</v>
      </c>
      <c r="L29" s="3186"/>
      <c r="M29" s="3189">
        <v>39736</v>
      </c>
      <c r="N29" s="3186">
        <v>0.72</v>
      </c>
      <c r="O29" s="3186">
        <v>3.15</v>
      </c>
      <c r="P29" s="3186">
        <v>3.51</v>
      </c>
      <c r="Q29" s="3186">
        <v>3.87</v>
      </c>
      <c r="R29" s="3186">
        <v>4.41</v>
      </c>
      <c r="S29" s="3186">
        <v>5.13</v>
      </c>
      <c r="T29" s="3186">
        <v>5.58</v>
      </c>
      <c r="U29" s="3186">
        <v>3.15</v>
      </c>
      <c r="V29" s="3186">
        <v>3.51</v>
      </c>
      <c r="W29" s="3186">
        <v>3.87</v>
      </c>
      <c r="X29" s="3186">
        <v>1.53</v>
      </c>
      <c r="Y29" s="3186">
        <v>1.17</v>
      </c>
      <c r="Z29" s="3186">
        <v>1.71</v>
      </c>
    </row>
    <row r="30" spans="2:26">
      <c r="B30" s="3186"/>
      <c r="C30" s="3187">
        <v>39730</v>
      </c>
      <c r="D30" s="3186">
        <v>6.12</v>
      </c>
      <c r="E30" s="3186">
        <v>6.93</v>
      </c>
      <c r="F30" s="3186">
        <v>7.02</v>
      </c>
      <c r="G30" s="3186">
        <v>7.29</v>
      </c>
      <c r="H30" s="3186">
        <v>7.47</v>
      </c>
      <c r="I30" s="3186">
        <v>4.32</v>
      </c>
      <c r="J30" s="3186">
        <v>4.8600000000000003</v>
      </c>
      <c r="L30" s="3186"/>
      <c r="M30" s="3187">
        <v>39730</v>
      </c>
      <c r="N30" s="3186">
        <v>0.72</v>
      </c>
      <c r="O30" s="3186">
        <v>3.15</v>
      </c>
      <c r="P30" s="3186">
        <v>3.51</v>
      </c>
      <c r="Q30" s="3186">
        <v>3.87</v>
      </c>
      <c r="R30" s="3186">
        <v>4.41</v>
      </c>
      <c r="S30" s="3186">
        <v>5.13</v>
      </c>
      <c r="T30" s="3186">
        <v>5.58</v>
      </c>
      <c r="U30" s="3186">
        <v>3.15</v>
      </c>
      <c r="V30" s="3186">
        <v>3.51</v>
      </c>
      <c r="W30" s="3186">
        <v>3.87</v>
      </c>
      <c r="X30" s="3186">
        <v>1.53</v>
      </c>
      <c r="Y30" s="3186">
        <v>1.17</v>
      </c>
      <c r="Z30" s="3186">
        <v>1.71</v>
      </c>
    </row>
    <row r="31" spans="2:26">
      <c r="B31" s="3186"/>
      <c r="C31" s="3187">
        <v>39707</v>
      </c>
      <c r="D31" s="3186">
        <v>6.21</v>
      </c>
      <c r="E31" s="3186">
        <v>7.2</v>
      </c>
      <c r="F31" s="3186">
        <v>7.29</v>
      </c>
      <c r="G31" s="3186">
        <v>7.56</v>
      </c>
      <c r="H31" s="3186">
        <v>7.74</v>
      </c>
      <c r="I31" s="3186">
        <v>4.59</v>
      </c>
      <c r="J31" s="3186">
        <v>5.13</v>
      </c>
      <c r="L31" s="3186"/>
      <c r="M31" s="3187">
        <v>39437</v>
      </c>
      <c r="N31" s="3186">
        <v>0.72</v>
      </c>
      <c r="O31" s="3186">
        <v>3.33</v>
      </c>
      <c r="P31" s="3186">
        <v>3.78</v>
      </c>
      <c r="Q31" s="3186">
        <v>4.1399999999999997</v>
      </c>
      <c r="R31" s="3186">
        <v>4.68</v>
      </c>
      <c r="S31" s="3186">
        <v>5.4</v>
      </c>
      <c r="T31" s="3186">
        <v>5.85</v>
      </c>
      <c r="U31" s="3186">
        <v>3.33</v>
      </c>
      <c r="V31" s="3186">
        <v>3.78</v>
      </c>
      <c r="W31" s="3186">
        <v>4.1399999999999997</v>
      </c>
      <c r="X31" s="3186">
        <v>1.53</v>
      </c>
      <c r="Y31" s="3186">
        <v>1.17</v>
      </c>
      <c r="Z31" s="3186">
        <v>1.71</v>
      </c>
    </row>
    <row r="32" spans="2:26">
      <c r="B32" s="3186"/>
      <c r="C32" s="3187">
        <v>39437</v>
      </c>
      <c r="D32" s="3186">
        <v>6.57</v>
      </c>
      <c r="E32" s="3186">
        <v>7.47</v>
      </c>
      <c r="F32" s="3186">
        <v>7.56</v>
      </c>
      <c r="G32" s="3186">
        <v>7.74</v>
      </c>
      <c r="H32" s="3186">
        <v>7.83</v>
      </c>
      <c r="I32" s="3186">
        <v>4.7699999999999996</v>
      </c>
      <c r="J32" s="3186">
        <v>5.22</v>
      </c>
      <c r="L32" s="3186"/>
      <c r="M32" s="3187">
        <v>39340</v>
      </c>
      <c r="N32" s="3186">
        <v>0.81</v>
      </c>
      <c r="O32" s="3186">
        <v>2.88</v>
      </c>
      <c r="P32" s="3186">
        <v>3.42</v>
      </c>
      <c r="Q32" s="3186">
        <v>3.87</v>
      </c>
      <c r="R32" s="3186">
        <v>4.5</v>
      </c>
      <c r="S32" s="3186">
        <v>5.22</v>
      </c>
      <c r="T32" s="3186">
        <v>5.76</v>
      </c>
      <c r="U32" s="3186">
        <v>2.88</v>
      </c>
      <c r="V32" s="3186">
        <v>3.42</v>
      </c>
      <c r="W32" s="3186">
        <v>3.87</v>
      </c>
      <c r="X32" s="3186">
        <v>1.53</v>
      </c>
      <c r="Y32" s="3186">
        <v>1.17</v>
      </c>
      <c r="Z32" s="3186">
        <v>1.71</v>
      </c>
    </row>
    <row r="33" spans="2:26">
      <c r="B33" s="3186"/>
      <c r="C33" s="3187">
        <v>39340</v>
      </c>
      <c r="D33" s="3186">
        <v>6.48</v>
      </c>
      <c r="E33" s="3186">
        <v>7.29</v>
      </c>
      <c r="F33" s="3186">
        <v>7.47</v>
      </c>
      <c r="G33" s="3186">
        <v>7.65</v>
      </c>
      <c r="H33" s="3186">
        <v>7.83</v>
      </c>
      <c r="I33" s="3186">
        <v>4.7699999999999996</v>
      </c>
      <c r="J33" s="3186">
        <v>5.22</v>
      </c>
      <c r="L33" s="3186"/>
      <c r="M33" s="3187">
        <v>39316</v>
      </c>
      <c r="N33" s="3186">
        <v>0.81</v>
      </c>
      <c r="O33" s="3186">
        <v>2.61</v>
      </c>
      <c r="P33" s="3186">
        <v>3.15</v>
      </c>
      <c r="Q33" s="3186">
        <v>3.6</v>
      </c>
      <c r="R33" s="3186">
        <v>4.2300000000000004</v>
      </c>
      <c r="S33" s="3186">
        <v>4.95</v>
      </c>
      <c r="T33" s="3186">
        <v>5.49</v>
      </c>
      <c r="U33" s="3186">
        <v>2.61</v>
      </c>
      <c r="V33" s="3186">
        <v>3.15</v>
      </c>
      <c r="W33" s="3186">
        <v>3.6</v>
      </c>
      <c r="X33" s="3186">
        <v>1.53</v>
      </c>
      <c r="Y33" s="3186">
        <v>1.17</v>
      </c>
      <c r="Z33" s="3186">
        <v>1.71</v>
      </c>
    </row>
    <row r="34" spans="2:26">
      <c r="B34" s="3186"/>
      <c r="C34" s="3187">
        <v>39316</v>
      </c>
      <c r="D34" s="3186">
        <v>6.21</v>
      </c>
      <c r="E34" s="3186">
        <v>7.02</v>
      </c>
      <c r="F34" s="3186">
        <v>7.2</v>
      </c>
      <c r="G34" s="3186">
        <v>7.38</v>
      </c>
      <c r="H34" s="3186">
        <v>7.56</v>
      </c>
      <c r="I34" s="3186">
        <v>4.59</v>
      </c>
      <c r="J34" s="3186">
        <v>5.04</v>
      </c>
      <c r="L34" s="3186"/>
      <c r="M34" s="3187">
        <v>39284</v>
      </c>
      <c r="N34" s="3186">
        <v>0.81</v>
      </c>
      <c r="O34" s="3186">
        <v>2.34</v>
      </c>
      <c r="P34" s="3186">
        <v>2.88</v>
      </c>
      <c r="Q34" s="3186">
        <v>3.33</v>
      </c>
      <c r="R34" s="3186">
        <v>3.96</v>
      </c>
      <c r="S34" s="3186">
        <v>4.68</v>
      </c>
      <c r="T34" s="3186">
        <v>5.22</v>
      </c>
      <c r="U34" s="3186">
        <v>2.34</v>
      </c>
      <c r="V34" s="3186">
        <v>2.88</v>
      </c>
      <c r="W34" s="3186">
        <v>3.33</v>
      </c>
      <c r="X34" s="3186">
        <v>1.53</v>
      </c>
      <c r="Y34" s="3186">
        <v>1.17</v>
      </c>
      <c r="Z34" s="3186">
        <v>1.71</v>
      </c>
    </row>
    <row r="35" spans="2:26">
      <c r="B35" s="3186"/>
      <c r="C35" s="3187">
        <v>39284</v>
      </c>
      <c r="D35" s="3186">
        <v>6.03</v>
      </c>
      <c r="E35" s="3186">
        <v>6.84</v>
      </c>
      <c r="F35" s="3186">
        <v>7.02</v>
      </c>
      <c r="G35" s="3186">
        <v>7.2</v>
      </c>
      <c r="H35" s="3186">
        <v>7.38</v>
      </c>
      <c r="I35" s="3186">
        <v>4.5</v>
      </c>
      <c r="J35" s="3186">
        <v>4.95</v>
      </c>
      <c r="L35" s="3186"/>
      <c r="M35" s="3187">
        <v>39221</v>
      </c>
      <c r="N35" s="3186">
        <v>0.72</v>
      </c>
      <c r="O35" s="3186">
        <v>2.0699999999999998</v>
      </c>
      <c r="P35" s="3186">
        <v>2.61</v>
      </c>
      <c r="Q35" s="3186">
        <v>3.06</v>
      </c>
      <c r="R35" s="3186">
        <v>3.69</v>
      </c>
      <c r="S35" s="3186">
        <v>4.41</v>
      </c>
      <c r="T35" s="3186">
        <v>4.95</v>
      </c>
      <c r="U35" s="3186">
        <v>2.0699999999999998</v>
      </c>
      <c r="V35" s="3186">
        <v>2.61</v>
      </c>
      <c r="W35" s="3186">
        <v>3.06</v>
      </c>
      <c r="X35" s="3186">
        <v>1.44</v>
      </c>
      <c r="Y35" s="3186">
        <v>1.08</v>
      </c>
      <c r="Z35" s="3186">
        <v>1.62</v>
      </c>
    </row>
    <row r="36" spans="2:26">
      <c r="B36" s="3186"/>
      <c r="C36" s="3187">
        <v>39221</v>
      </c>
      <c r="D36" s="3186">
        <v>5.85</v>
      </c>
      <c r="E36" s="3186">
        <v>6.57</v>
      </c>
      <c r="F36" s="3186">
        <v>6.75</v>
      </c>
      <c r="G36" s="3186">
        <v>6.93</v>
      </c>
      <c r="H36" s="3186">
        <v>7.2</v>
      </c>
      <c r="I36" s="3186">
        <v>4.41</v>
      </c>
      <c r="J36" s="3186">
        <v>4.8600000000000003</v>
      </c>
      <c r="L36" s="3186"/>
      <c r="M36" s="3187">
        <v>39159</v>
      </c>
      <c r="N36" s="3186">
        <v>0.72</v>
      </c>
      <c r="O36" s="3186">
        <v>1.98</v>
      </c>
      <c r="P36" s="3186">
        <v>2.4300000000000002</v>
      </c>
      <c r="Q36" s="3186">
        <v>2.79</v>
      </c>
      <c r="R36" s="3186">
        <v>3.33</v>
      </c>
      <c r="S36" s="3186">
        <v>3.96</v>
      </c>
      <c r="T36" s="3186">
        <v>4.41</v>
      </c>
      <c r="U36" s="3186">
        <v>1.98</v>
      </c>
      <c r="V36" s="3186">
        <v>2.4300000000000002</v>
      </c>
      <c r="W36" s="3186">
        <v>2.79</v>
      </c>
      <c r="X36" s="3186">
        <v>1.44</v>
      </c>
      <c r="Y36" s="3186">
        <v>1.08</v>
      </c>
      <c r="Z36" s="3186">
        <v>1.62</v>
      </c>
    </row>
    <row r="37" spans="2:26">
      <c r="B37" s="3186"/>
      <c r="C37" s="3187">
        <v>39159</v>
      </c>
      <c r="D37" s="3186">
        <v>5.67</v>
      </c>
      <c r="E37" s="3186">
        <v>6.39</v>
      </c>
      <c r="F37" s="3186">
        <v>6.57</v>
      </c>
      <c r="G37" s="3186">
        <v>6.75</v>
      </c>
      <c r="H37" s="3186">
        <v>7.11</v>
      </c>
      <c r="I37" s="3186">
        <v>4.32</v>
      </c>
      <c r="J37" s="3186">
        <v>4.7699999999999996</v>
      </c>
      <c r="L37" s="3186"/>
      <c r="M37" s="3187">
        <v>38948</v>
      </c>
      <c r="N37" s="3186">
        <v>0.72</v>
      </c>
      <c r="O37" s="3186">
        <v>1.8</v>
      </c>
      <c r="P37" s="3186">
        <v>2.25</v>
      </c>
      <c r="Q37" s="3186">
        <v>2.52</v>
      </c>
      <c r="R37" s="3186">
        <v>3.06</v>
      </c>
      <c r="S37" s="3186">
        <v>3.69</v>
      </c>
      <c r="T37" s="3186">
        <v>4.1399999999999997</v>
      </c>
      <c r="U37" s="3186">
        <v>1.8</v>
      </c>
      <c r="V37" s="3186">
        <v>2.25</v>
      </c>
      <c r="W37" s="3186">
        <v>2.52</v>
      </c>
      <c r="X37" s="3186">
        <v>1.44</v>
      </c>
      <c r="Y37" s="3186">
        <v>1.08</v>
      </c>
      <c r="Z37" s="3186">
        <v>1.62</v>
      </c>
    </row>
    <row r="38" spans="2:26">
      <c r="B38" s="3186"/>
      <c r="C38" s="3187">
        <v>38948</v>
      </c>
      <c r="D38" s="3186">
        <v>5.58</v>
      </c>
      <c r="E38" s="3186">
        <v>6.12</v>
      </c>
      <c r="F38" s="3186">
        <v>6.3</v>
      </c>
      <c r="G38" s="3186">
        <v>6.48</v>
      </c>
      <c r="H38" s="3186">
        <v>6.84</v>
      </c>
      <c r="I38" s="3186">
        <v>4.1399999999999997</v>
      </c>
      <c r="J38" s="3186">
        <v>4.59</v>
      </c>
      <c r="L38" s="3186"/>
      <c r="M38" s="3187">
        <v>38289</v>
      </c>
      <c r="N38" s="3186">
        <v>0.72</v>
      </c>
      <c r="O38" s="3186">
        <v>1.71</v>
      </c>
      <c r="P38" s="3186">
        <v>2.0699999999999998</v>
      </c>
      <c r="Q38" s="3186">
        <v>2.25</v>
      </c>
      <c r="R38" s="3186">
        <v>2.7</v>
      </c>
      <c r="S38" s="3186">
        <v>3.24</v>
      </c>
      <c r="T38" s="3186">
        <v>3.6</v>
      </c>
      <c r="U38" s="3186">
        <v>1.71</v>
      </c>
      <c r="V38" s="3186">
        <v>2.0699999999999998</v>
      </c>
      <c r="W38" s="3186">
        <v>2.25</v>
      </c>
      <c r="X38" s="3186">
        <v>1.44</v>
      </c>
      <c r="Y38" s="3186">
        <v>1.08</v>
      </c>
      <c r="Z38" s="3186">
        <v>1.62</v>
      </c>
    </row>
    <row r="39" spans="2:26">
      <c r="B39" s="3186"/>
      <c r="C39" s="3187">
        <v>38835</v>
      </c>
      <c r="D39" s="3186">
        <v>5.4</v>
      </c>
      <c r="E39" s="3186">
        <v>5.85</v>
      </c>
      <c r="F39" s="3186">
        <v>6.03</v>
      </c>
      <c r="G39" s="3186">
        <v>6.12</v>
      </c>
      <c r="H39" s="3186">
        <v>6.39</v>
      </c>
      <c r="I39" s="3186">
        <v>4.1399999999999997</v>
      </c>
      <c r="J39" s="3186">
        <v>4.59</v>
      </c>
      <c r="L39" s="3186"/>
      <c r="M39" s="3187">
        <v>37308</v>
      </c>
      <c r="N39" s="3186">
        <v>0.72</v>
      </c>
      <c r="O39" s="3186">
        <v>1.71</v>
      </c>
      <c r="P39" s="3186">
        <v>1.89</v>
      </c>
      <c r="Q39" s="3186">
        <v>1.98</v>
      </c>
      <c r="R39" s="3186">
        <v>2.25</v>
      </c>
      <c r="S39" s="3186">
        <v>2.52</v>
      </c>
      <c r="T39" s="3186">
        <v>2.79</v>
      </c>
      <c r="U39" s="3186">
        <v>1.71</v>
      </c>
      <c r="V39" s="3186">
        <v>1.89</v>
      </c>
      <c r="W39" s="3186">
        <v>1.98</v>
      </c>
      <c r="X39" s="3186">
        <v>1.44</v>
      </c>
      <c r="Y39" s="3186">
        <v>1.08</v>
      </c>
      <c r="Z39" s="3186">
        <v>1.62</v>
      </c>
    </row>
    <row r="40" spans="2:26">
      <c r="B40" s="3186"/>
      <c r="C40" s="3187">
        <v>38428</v>
      </c>
      <c r="D40" s="3186">
        <v>5.22</v>
      </c>
      <c r="E40" s="3186">
        <v>5.58</v>
      </c>
      <c r="F40" s="3186">
        <v>5.76</v>
      </c>
      <c r="G40" s="3186">
        <v>5.85</v>
      </c>
      <c r="H40" s="3186">
        <v>6.12</v>
      </c>
      <c r="I40" s="3186">
        <v>3.96</v>
      </c>
      <c r="J40" s="3186">
        <v>4.41</v>
      </c>
      <c r="L40" s="3186"/>
      <c r="M40" s="3187">
        <v>36321</v>
      </c>
      <c r="N40" s="3186">
        <v>0.99</v>
      </c>
      <c r="O40" s="3186">
        <v>1.98</v>
      </c>
      <c r="P40" s="3186">
        <v>2.16</v>
      </c>
      <c r="Q40" s="3186">
        <v>2.25</v>
      </c>
      <c r="R40" s="3186">
        <v>2.4300000000000002</v>
      </c>
      <c r="S40" s="3186">
        <v>2.7</v>
      </c>
      <c r="T40" s="3186">
        <v>2.88</v>
      </c>
      <c r="U40" s="3186">
        <v>1.98</v>
      </c>
      <c r="V40" s="3186">
        <v>2.16</v>
      </c>
      <c r="W40" s="3186">
        <v>2.25</v>
      </c>
      <c r="X40" s="3186">
        <v>1.71</v>
      </c>
      <c r="Y40" s="3186">
        <v>1.35</v>
      </c>
      <c r="Z40" s="3186">
        <v>1.89</v>
      </c>
    </row>
    <row r="41" spans="2:26">
      <c r="B41" s="3186"/>
      <c r="C41" s="3187">
        <v>38289</v>
      </c>
      <c r="D41" s="3186">
        <v>5.22</v>
      </c>
      <c r="E41" s="3186">
        <v>5.58</v>
      </c>
      <c r="F41" s="3186">
        <v>5.76</v>
      </c>
      <c r="G41" s="3186">
        <v>5.85</v>
      </c>
      <c r="H41" s="3186">
        <v>6.12</v>
      </c>
      <c r="I41" s="3186">
        <v>3.78</v>
      </c>
      <c r="J41" s="3186">
        <v>4.2300000000000004</v>
      </c>
      <c r="L41" s="3186"/>
      <c r="M41" s="3187">
        <v>36136</v>
      </c>
      <c r="N41" s="3186">
        <v>1.44</v>
      </c>
      <c r="O41" s="3186">
        <v>2.79</v>
      </c>
      <c r="P41" s="3186">
        <v>3.33</v>
      </c>
      <c r="Q41" s="3186">
        <v>3.78</v>
      </c>
      <c r="R41" s="3186">
        <v>3.96</v>
      </c>
      <c r="S41" s="3186">
        <v>4.1399999999999997</v>
      </c>
      <c r="T41" s="3186">
        <v>4.5</v>
      </c>
      <c r="U41" s="3186">
        <v>3.33</v>
      </c>
      <c r="V41" s="3186">
        <v>3.78</v>
      </c>
      <c r="W41" s="3186">
        <v>4.1399999999999997</v>
      </c>
      <c r="X41" s="3186">
        <v>2.16</v>
      </c>
      <c r="Y41" s="3186">
        <v>1.8</v>
      </c>
      <c r="Z41" s="3186">
        <v>2.34</v>
      </c>
    </row>
    <row r="42" spans="2:26">
      <c r="B42" s="3186"/>
      <c r="C42" s="3187">
        <v>37308</v>
      </c>
      <c r="D42" s="3186">
        <v>5.04</v>
      </c>
      <c r="E42" s="3186">
        <v>5.31</v>
      </c>
      <c r="F42" s="3186">
        <v>5.49</v>
      </c>
      <c r="G42" s="3186">
        <v>5.58</v>
      </c>
      <c r="H42" s="3186">
        <v>5.76</v>
      </c>
      <c r="I42" s="3186">
        <v>3.6</v>
      </c>
      <c r="J42" s="3186">
        <v>4.05</v>
      </c>
      <c r="L42" s="3186"/>
      <c r="M42" s="3187">
        <v>35977</v>
      </c>
      <c r="N42" s="3186">
        <v>1.44</v>
      </c>
      <c r="O42" s="3186">
        <v>2.79</v>
      </c>
      <c r="P42" s="3186">
        <v>3.96</v>
      </c>
      <c r="Q42" s="3186">
        <v>4.7699999999999996</v>
      </c>
      <c r="R42" s="3186">
        <v>4.8600000000000003</v>
      </c>
      <c r="S42" s="3186">
        <v>4.95</v>
      </c>
      <c r="T42" s="3186">
        <v>5.22</v>
      </c>
      <c r="U42" s="3186">
        <v>3.96</v>
      </c>
      <c r="V42" s="3186">
        <v>4.7699999999999996</v>
      </c>
      <c r="W42" s="3186">
        <v>4.95</v>
      </c>
      <c r="X42" s="3186" t="s">
        <v>2941</v>
      </c>
      <c r="Y42" s="3186" t="s">
        <v>2941</v>
      </c>
      <c r="Z42" s="3186" t="s">
        <v>2941</v>
      </c>
    </row>
    <row r="43" spans="2:26">
      <c r="B43" s="3186"/>
      <c r="C43" s="3187">
        <v>36321</v>
      </c>
      <c r="D43" s="3186">
        <v>5.58</v>
      </c>
      <c r="E43" s="3186">
        <v>5.85</v>
      </c>
      <c r="F43" s="3186">
        <v>5.94</v>
      </c>
      <c r="G43" s="3186">
        <v>6.03</v>
      </c>
      <c r="H43" s="3186">
        <v>6.21</v>
      </c>
      <c r="I43" s="3186">
        <v>4.1399999999999997</v>
      </c>
      <c r="J43" s="3186">
        <v>4.59</v>
      </c>
      <c r="L43" s="3186"/>
      <c r="M43" s="3187">
        <v>35879</v>
      </c>
      <c r="N43" s="3186">
        <v>1.71</v>
      </c>
      <c r="O43" s="3186">
        <v>2.88</v>
      </c>
      <c r="P43" s="3186">
        <v>4.1399999999999997</v>
      </c>
      <c r="Q43" s="3186">
        <v>5.22</v>
      </c>
      <c r="R43" s="3186">
        <v>5.58</v>
      </c>
      <c r="S43" s="3186">
        <v>6.21</v>
      </c>
      <c r="T43" s="3186">
        <v>6.66</v>
      </c>
      <c r="U43" s="3186">
        <v>4.1399999999999997</v>
      </c>
      <c r="V43" s="3186">
        <v>5.22</v>
      </c>
      <c r="W43" s="3186">
        <v>6.21</v>
      </c>
      <c r="X43" s="3186" t="s">
        <v>2941</v>
      </c>
      <c r="Y43" s="3186" t="s">
        <v>2941</v>
      </c>
      <c r="Z43" s="3186" t="s">
        <v>2941</v>
      </c>
    </row>
    <row r="44" spans="2:26">
      <c r="B44" s="3186"/>
      <c r="C44" s="3187">
        <v>36136</v>
      </c>
      <c r="D44" s="3186">
        <v>6.12</v>
      </c>
      <c r="E44" s="3186">
        <v>6.39</v>
      </c>
      <c r="F44" s="3186">
        <v>6.66</v>
      </c>
      <c r="G44" s="3186">
        <v>7.2</v>
      </c>
      <c r="H44" s="3186">
        <v>7.56</v>
      </c>
      <c r="I44" s="3186">
        <v>0</v>
      </c>
      <c r="J44" s="3186">
        <v>0</v>
      </c>
      <c r="L44" s="3186"/>
      <c r="M44" s="3187">
        <v>35726</v>
      </c>
      <c r="N44" s="3186">
        <v>1.71</v>
      </c>
      <c r="O44" s="3186">
        <v>2.88</v>
      </c>
      <c r="P44" s="3186">
        <v>4.1399999999999997</v>
      </c>
      <c r="Q44" s="3186">
        <v>5.67</v>
      </c>
      <c r="R44" s="3186">
        <v>5.94</v>
      </c>
      <c r="S44" s="3186">
        <v>6.21</v>
      </c>
      <c r="T44" s="3186">
        <v>6.66</v>
      </c>
      <c r="U44" s="3186">
        <v>4.1399999999999997</v>
      </c>
      <c r="V44" s="3186">
        <v>5.67</v>
      </c>
      <c r="W44" s="3186">
        <v>6.21</v>
      </c>
      <c r="X44" s="3186" t="s">
        <v>2941</v>
      </c>
      <c r="Y44" s="3186" t="s">
        <v>2941</v>
      </c>
      <c r="Z44" s="3186" t="s">
        <v>2941</v>
      </c>
    </row>
    <row r="45" spans="2:26">
      <c r="B45" s="3186"/>
      <c r="C45" s="3187">
        <v>35977</v>
      </c>
      <c r="D45" s="3186">
        <v>6.57</v>
      </c>
      <c r="E45" s="3186">
        <v>6.93</v>
      </c>
      <c r="F45" s="3186">
        <v>7.11</v>
      </c>
      <c r="G45" s="3186">
        <v>7.65</v>
      </c>
      <c r="H45" s="3186">
        <v>8.01</v>
      </c>
      <c r="I45" s="3186">
        <v>0</v>
      </c>
      <c r="J45" s="3186">
        <v>0</v>
      </c>
      <c r="L45" s="3186"/>
      <c r="M45" s="3187">
        <v>35300</v>
      </c>
      <c r="N45" s="3186">
        <v>1.98</v>
      </c>
      <c r="O45" s="3186">
        <v>3.33</v>
      </c>
      <c r="P45" s="3186">
        <v>5.4</v>
      </c>
      <c r="Q45" s="3186">
        <v>7.47</v>
      </c>
      <c r="R45" s="3186">
        <v>7.92</v>
      </c>
      <c r="S45" s="3186">
        <v>8.2799999999999994</v>
      </c>
      <c r="T45" s="3186">
        <v>9</v>
      </c>
      <c r="U45" s="3186">
        <v>5.4</v>
      </c>
      <c r="V45" s="3186">
        <v>7.47</v>
      </c>
      <c r="W45" s="3186">
        <v>8.2799999999999994</v>
      </c>
      <c r="X45" s="3186" t="s">
        <v>2941</v>
      </c>
      <c r="Y45" s="3186" t="s">
        <v>2941</v>
      </c>
      <c r="Z45" s="3186" t="s">
        <v>2941</v>
      </c>
    </row>
    <row r="46" spans="2:26">
      <c r="B46" s="3186"/>
      <c r="C46" s="3187">
        <v>35879</v>
      </c>
      <c r="D46" s="3186">
        <v>7.02</v>
      </c>
      <c r="E46" s="3186">
        <v>7.92</v>
      </c>
      <c r="F46" s="3186">
        <v>9</v>
      </c>
      <c r="G46" s="3186">
        <v>9.7200000000000006</v>
      </c>
      <c r="H46" s="3186">
        <v>10.35</v>
      </c>
      <c r="I46" s="3186">
        <v>0</v>
      </c>
      <c r="J46" s="3186">
        <v>0</v>
      </c>
      <c r="L46" s="3186"/>
      <c r="M46" s="3187">
        <v>35186</v>
      </c>
      <c r="N46" s="3186">
        <v>2.97</v>
      </c>
      <c r="O46" s="3186">
        <v>4.8600000000000003</v>
      </c>
      <c r="P46" s="3186">
        <v>7.2</v>
      </c>
      <c r="Q46" s="3186">
        <v>9.18</v>
      </c>
      <c r="R46" s="3186">
        <v>9.9</v>
      </c>
      <c r="S46" s="3186">
        <v>10.8</v>
      </c>
      <c r="T46" s="3186">
        <v>12.06</v>
      </c>
      <c r="U46" s="3186">
        <v>7.2</v>
      </c>
      <c r="V46" s="3186">
        <v>9.18</v>
      </c>
      <c r="W46" s="3186">
        <v>10.8</v>
      </c>
      <c r="X46" s="3186" t="s">
        <v>2941</v>
      </c>
      <c r="Y46" s="3186" t="s">
        <v>2941</v>
      </c>
      <c r="Z46" s="3186" t="s">
        <v>2941</v>
      </c>
    </row>
    <row r="47" spans="2:26">
      <c r="B47" s="3186"/>
      <c r="C47" s="3187">
        <v>35726</v>
      </c>
      <c r="D47" s="3186">
        <v>7.65</v>
      </c>
      <c r="E47" s="3186">
        <v>8.64</v>
      </c>
      <c r="F47" s="3186">
        <v>9.36</v>
      </c>
      <c r="G47" s="3186">
        <v>9.9</v>
      </c>
      <c r="H47" s="3186">
        <v>10.53</v>
      </c>
      <c r="I47" s="3186">
        <v>0</v>
      </c>
      <c r="J47" s="3186">
        <v>0</v>
      </c>
      <c r="L47" s="3186"/>
      <c r="M47" s="3187">
        <v>34161</v>
      </c>
      <c r="N47" s="3186">
        <v>3.15</v>
      </c>
      <c r="O47" s="3186">
        <v>6.66</v>
      </c>
      <c r="P47" s="3186">
        <v>9</v>
      </c>
      <c r="Q47" s="3186">
        <v>10.98</v>
      </c>
      <c r="R47" s="3186">
        <v>11.7</v>
      </c>
      <c r="S47" s="3186">
        <v>12.24</v>
      </c>
      <c r="T47" s="3186">
        <v>13.86</v>
      </c>
      <c r="U47" s="3186">
        <v>9</v>
      </c>
      <c r="V47" s="3186">
        <v>10.98</v>
      </c>
      <c r="W47" s="3186">
        <v>12.24</v>
      </c>
      <c r="X47" s="3186" t="s">
        <v>2941</v>
      </c>
      <c r="Y47" s="3186" t="s">
        <v>2941</v>
      </c>
      <c r="Z47" s="3186" t="s">
        <v>2941</v>
      </c>
    </row>
    <row r="48" spans="2:26">
      <c r="B48" s="3186"/>
      <c r="C48" s="3187">
        <v>35300</v>
      </c>
      <c r="D48" s="3186">
        <v>9.18</v>
      </c>
      <c r="E48" s="3186">
        <v>10.08</v>
      </c>
      <c r="F48" s="3186">
        <v>10.98</v>
      </c>
      <c r="G48" s="3186">
        <v>11.7</v>
      </c>
      <c r="H48" s="3186">
        <v>12.42</v>
      </c>
      <c r="I48" s="3186">
        <v>0</v>
      </c>
      <c r="J48" s="3186">
        <v>0</v>
      </c>
      <c r="L48" s="3186"/>
      <c r="M48" s="3187">
        <v>34104</v>
      </c>
      <c r="N48" s="3186">
        <v>2.16</v>
      </c>
      <c r="O48" s="3186">
        <v>4.8600000000000003</v>
      </c>
      <c r="P48" s="3186">
        <v>7.2</v>
      </c>
      <c r="Q48" s="3186">
        <v>9.18</v>
      </c>
      <c r="R48" s="3186">
        <v>9.9</v>
      </c>
      <c r="S48" s="3186">
        <v>10.8</v>
      </c>
      <c r="T48" s="3186">
        <v>12.06</v>
      </c>
      <c r="U48" s="3186">
        <v>7.2</v>
      </c>
      <c r="V48" s="3186">
        <v>9.18</v>
      </c>
      <c r="W48" s="3186">
        <v>10.8</v>
      </c>
      <c r="X48" s="3186" t="s">
        <v>2941</v>
      </c>
      <c r="Y48" s="3186" t="s">
        <v>2941</v>
      </c>
      <c r="Z48" s="3186" t="s">
        <v>2941</v>
      </c>
    </row>
    <row r="49" spans="2:26">
      <c r="B49" s="3186"/>
      <c r="C49" s="3187">
        <v>35186</v>
      </c>
      <c r="D49" s="3186">
        <v>9.7200000000000006</v>
      </c>
      <c r="E49" s="3186">
        <v>10.98</v>
      </c>
      <c r="F49" s="3186">
        <v>13.14</v>
      </c>
      <c r="G49" s="3186">
        <v>14.94</v>
      </c>
      <c r="H49" s="3186">
        <v>15.12</v>
      </c>
      <c r="I49" s="3186">
        <v>0</v>
      </c>
      <c r="J49" s="3186">
        <v>0</v>
      </c>
      <c r="L49" s="3186"/>
      <c r="M49" s="3187">
        <v>33349</v>
      </c>
      <c r="N49" s="3186">
        <v>1.8</v>
      </c>
      <c r="O49" s="3186">
        <v>3.24</v>
      </c>
      <c r="P49" s="3186">
        <v>5.4</v>
      </c>
      <c r="Q49" s="3186">
        <v>7.56</v>
      </c>
      <c r="R49" s="3186">
        <v>7.92</v>
      </c>
      <c r="S49" s="3186">
        <v>8.2799999999999994</v>
      </c>
      <c r="T49" s="3186">
        <v>9</v>
      </c>
      <c r="U49" s="3186">
        <v>6.12</v>
      </c>
      <c r="V49" s="3186">
        <v>6.84</v>
      </c>
      <c r="W49" s="3186">
        <v>7.56</v>
      </c>
      <c r="X49" s="3186" t="s">
        <v>2941</v>
      </c>
      <c r="Y49" s="3186" t="s">
        <v>2941</v>
      </c>
      <c r="Z49" s="3186" t="s">
        <v>2941</v>
      </c>
    </row>
    <row r="50" spans="2:26">
      <c r="B50" s="3186"/>
      <c r="C50" s="3187">
        <v>34881</v>
      </c>
      <c r="D50" s="3186">
        <v>10.08</v>
      </c>
      <c r="E50" s="3186">
        <v>12.06</v>
      </c>
      <c r="F50" s="3186">
        <v>13.5</v>
      </c>
      <c r="G50" s="3186">
        <v>15.12</v>
      </c>
      <c r="H50" s="3186">
        <v>15.3</v>
      </c>
      <c r="I50" s="3186">
        <v>0</v>
      </c>
      <c r="J50" s="3186">
        <v>0</v>
      </c>
      <c r="L50" s="3186"/>
      <c r="M50" s="3187">
        <v>33106</v>
      </c>
      <c r="N50" s="3186">
        <v>2.16</v>
      </c>
      <c r="O50" s="3186">
        <v>4.32</v>
      </c>
      <c r="P50" s="3186">
        <v>6.48</v>
      </c>
      <c r="Q50" s="3186">
        <v>8.64</v>
      </c>
      <c r="R50" s="3186">
        <v>9.36</v>
      </c>
      <c r="S50" s="3186">
        <v>10.08</v>
      </c>
      <c r="T50" s="3186">
        <v>11.52</v>
      </c>
      <c r="U50" s="3186">
        <v>7.2</v>
      </c>
      <c r="V50" s="3186">
        <v>8.64</v>
      </c>
      <c r="W50" s="3186">
        <v>10.08</v>
      </c>
      <c r="X50" s="3186" t="s">
        <v>2941</v>
      </c>
      <c r="Y50" s="3186" t="s">
        <v>2941</v>
      </c>
      <c r="Z50" s="3186" t="s">
        <v>2941</v>
      </c>
    </row>
    <row r="51" spans="2:26">
      <c r="B51" s="3186"/>
      <c r="C51" s="3187">
        <v>34700</v>
      </c>
      <c r="D51" s="3186">
        <v>9</v>
      </c>
      <c r="E51" s="3186">
        <v>10.98</v>
      </c>
      <c r="F51" s="3186">
        <v>12.96</v>
      </c>
      <c r="G51" s="3186">
        <v>14.58</v>
      </c>
      <c r="H51" s="3186">
        <v>14.76</v>
      </c>
      <c r="I51" s="3186">
        <v>0</v>
      </c>
      <c r="J51" s="3186">
        <v>0</v>
      </c>
      <c r="L51" s="3186"/>
      <c r="M51" s="3187">
        <v>32978</v>
      </c>
      <c r="N51" s="3186">
        <v>2.88</v>
      </c>
      <c r="O51" s="3186">
        <v>6.3</v>
      </c>
      <c r="P51" s="3186">
        <v>7.74</v>
      </c>
      <c r="Q51" s="3186">
        <v>10.08</v>
      </c>
      <c r="R51" s="3186">
        <v>10.98</v>
      </c>
      <c r="S51" s="3186">
        <v>11.88</v>
      </c>
      <c r="T51" s="3186">
        <v>13.68</v>
      </c>
      <c r="U51" s="3186" t="s">
        <v>2941</v>
      </c>
      <c r="V51" s="3186" t="s">
        <v>2941</v>
      </c>
      <c r="W51" s="3186" t="s">
        <v>2941</v>
      </c>
      <c r="X51" s="3186" t="s">
        <v>2941</v>
      </c>
      <c r="Y51" s="3186" t="s">
        <v>2941</v>
      </c>
      <c r="Z51" s="3186" t="s">
        <v>2941</v>
      </c>
    </row>
    <row r="52" spans="2:26">
      <c r="B52" s="3186"/>
      <c r="C52" s="3187">
        <v>34161</v>
      </c>
      <c r="D52" s="3186">
        <v>9</v>
      </c>
      <c r="E52" s="3186">
        <v>10.98</v>
      </c>
      <c r="F52" s="3186">
        <v>12.24</v>
      </c>
      <c r="G52" s="3186">
        <v>13.86</v>
      </c>
      <c r="H52" s="3186">
        <v>14.04</v>
      </c>
      <c r="I52" s="3186">
        <v>0</v>
      </c>
      <c r="J52" s="3186">
        <v>0</v>
      </c>
      <c r="L52" s="3186"/>
      <c r="M52" s="3187"/>
      <c r="N52" s="3186"/>
      <c r="O52" s="3186"/>
      <c r="P52" s="3186"/>
      <c r="Q52" s="3186"/>
      <c r="R52" s="3186"/>
      <c r="S52" s="3186"/>
      <c r="T52" s="3186"/>
      <c r="U52" s="3186"/>
      <c r="V52" s="3186"/>
      <c r="W52" s="3186"/>
      <c r="X52" s="3186"/>
      <c r="Y52" s="3186"/>
      <c r="Z52" s="3186"/>
    </row>
    <row r="53" spans="2:26">
      <c r="B53" s="3186"/>
      <c r="C53" s="3187">
        <v>34104</v>
      </c>
      <c r="D53" s="3186">
        <v>8.82</v>
      </c>
      <c r="E53" s="3186">
        <v>9.36</v>
      </c>
      <c r="F53" s="3186">
        <v>10.8</v>
      </c>
      <c r="G53" s="3186">
        <v>12.06</v>
      </c>
      <c r="H53" s="3186">
        <v>12.24</v>
      </c>
      <c r="I53" s="3186">
        <v>0</v>
      </c>
      <c r="J53" s="3186">
        <v>0</v>
      </c>
      <c r="L53" s="3186"/>
      <c r="M53" s="3187"/>
      <c r="N53" s="3186"/>
      <c r="O53" s="3186"/>
      <c r="P53" s="3186"/>
      <c r="Q53" s="3186"/>
      <c r="R53" s="3186"/>
      <c r="S53" s="3186"/>
      <c r="T53" s="3186"/>
      <c r="U53" s="3186"/>
      <c r="V53" s="3186"/>
      <c r="W53" s="3186"/>
      <c r="X53" s="3186"/>
      <c r="Y53" s="3186"/>
      <c r="Z53" s="3186"/>
    </row>
    <row r="54" spans="2:26">
      <c r="B54" s="3186"/>
      <c r="C54" s="3187">
        <v>33349</v>
      </c>
      <c r="D54" s="3186">
        <v>8.1</v>
      </c>
      <c r="E54" s="3186">
        <v>8.64</v>
      </c>
      <c r="F54" s="3186">
        <v>9</v>
      </c>
      <c r="G54" s="3186">
        <v>9.5399999999999991</v>
      </c>
      <c r="H54" s="3186">
        <v>9.7200000000000006</v>
      </c>
      <c r="I54" s="3186">
        <v>0</v>
      </c>
      <c r="J54" s="3186">
        <v>0</v>
      </c>
      <c r="L54" s="3186"/>
      <c r="M54" s="3187"/>
      <c r="N54" s="3186"/>
      <c r="O54" s="3186"/>
      <c r="P54" s="3186"/>
      <c r="Q54" s="3186"/>
      <c r="R54" s="3186"/>
      <c r="S54" s="3186"/>
      <c r="T54" s="3186"/>
      <c r="U54" s="3186"/>
      <c r="V54" s="3186"/>
      <c r="W54" s="3186"/>
      <c r="X54" s="3186"/>
      <c r="Y54" s="3186"/>
      <c r="Z54" s="3186"/>
    </row>
    <row r="55" spans="2:26">
      <c r="B55" s="3186"/>
      <c r="C55" s="3187">
        <v>33318</v>
      </c>
      <c r="D55" s="3186">
        <v>9</v>
      </c>
      <c r="E55" s="3186">
        <v>10.08</v>
      </c>
      <c r="F55" s="3186">
        <v>10.8</v>
      </c>
      <c r="G55" s="3186">
        <v>11.52</v>
      </c>
      <c r="H55" s="3186">
        <v>11.88</v>
      </c>
      <c r="I55" s="3186" t="s">
        <v>2941</v>
      </c>
      <c r="J55" s="3186" t="s">
        <v>2941</v>
      </c>
      <c r="L55" s="3186"/>
      <c r="M55" s="3187"/>
      <c r="N55" s="3186"/>
      <c r="O55" s="3186"/>
      <c r="P55" s="3186"/>
      <c r="Q55" s="3186"/>
      <c r="R55" s="3186"/>
      <c r="S55" s="3186"/>
      <c r="T55" s="3186"/>
      <c r="U55" s="3186"/>
      <c r="V55" s="3186"/>
      <c r="W55" s="3186"/>
      <c r="X55" s="3186"/>
      <c r="Y55" s="3186"/>
      <c r="Z55" s="3186"/>
    </row>
    <row r="56" spans="2:26">
      <c r="B56" s="3186"/>
      <c r="C56" s="3187">
        <v>33106</v>
      </c>
      <c r="D56" s="3186">
        <v>8.64</v>
      </c>
      <c r="E56" s="3186">
        <v>9.36</v>
      </c>
      <c r="F56" s="3186">
        <v>10.08</v>
      </c>
      <c r="G56" s="3186">
        <v>10.8</v>
      </c>
      <c r="H56" s="3186">
        <v>11.16</v>
      </c>
      <c r="I56" s="3186">
        <v>0</v>
      </c>
      <c r="J56" s="3186">
        <v>0</v>
      </c>
      <c r="L56" s="3186"/>
      <c r="M56" s="3187"/>
      <c r="N56" s="3186"/>
      <c r="O56" s="3186"/>
      <c r="P56" s="3186"/>
      <c r="Q56" s="3186"/>
      <c r="R56" s="3186"/>
      <c r="S56" s="3186"/>
      <c r="T56" s="3186"/>
      <c r="U56" s="3186"/>
      <c r="V56" s="3186"/>
      <c r="W56" s="3186"/>
      <c r="X56" s="3186"/>
      <c r="Y56" s="3186"/>
      <c r="Z56" s="3186"/>
    </row>
    <row r="57" spans="2:26">
      <c r="B57" s="3186"/>
      <c r="C57" s="3187">
        <v>32540</v>
      </c>
      <c r="D57" s="3186">
        <v>11.34</v>
      </c>
      <c r="E57" s="3186">
        <v>11.34</v>
      </c>
      <c r="F57" s="3186">
        <v>12.78</v>
      </c>
      <c r="G57" s="3186">
        <v>14.4</v>
      </c>
      <c r="H57" s="3186">
        <v>19.260000000000002</v>
      </c>
      <c r="I57" s="3186">
        <v>0</v>
      </c>
      <c r="J57" s="3186">
        <v>0</v>
      </c>
      <c r="L57" s="3186"/>
      <c r="M57" s="3187"/>
      <c r="N57" s="3186"/>
      <c r="O57" s="3186"/>
      <c r="P57" s="3186"/>
      <c r="Q57" s="3186"/>
      <c r="R57" s="3186"/>
      <c r="S57" s="3186"/>
      <c r="T57" s="3186"/>
      <c r="U57" s="3186"/>
      <c r="V57" s="3186"/>
      <c r="W57" s="3186"/>
      <c r="X57" s="3186"/>
      <c r="Y57" s="3186"/>
      <c r="Z57" s="3186"/>
    </row>
    <row r="58" spans="2:26">
      <c r="B58" s="3186"/>
      <c r="C58" s="3187"/>
      <c r="D58" s="3186"/>
      <c r="E58" s="3186"/>
      <c r="F58" s="3186"/>
      <c r="G58" s="3186"/>
      <c r="H58" s="3186"/>
      <c r="I58" s="3186"/>
      <c r="J58" s="3186"/>
    </row>
    <row r="59" spans="2:26">
      <c r="B59" s="3190"/>
      <c r="C59" s="3191"/>
      <c r="D59" s="3190"/>
      <c r="E59" s="3190"/>
      <c r="F59" s="3190"/>
      <c r="G59" s="3190"/>
      <c r="H59" s="3190"/>
      <c r="I59" s="3190"/>
      <c r="J59" s="3190"/>
    </row>
    <row r="60" spans="2:26">
      <c r="B60" s="3190"/>
      <c r="C60" s="3191"/>
      <c r="D60" s="3190"/>
      <c r="E60" s="3190"/>
      <c r="F60" s="3190"/>
      <c r="G60" s="3190"/>
      <c r="H60" s="3190"/>
      <c r="I60" s="3190"/>
      <c r="J60" s="3190"/>
    </row>
    <row r="61" spans="2:26">
      <c r="B61" s="3190"/>
      <c r="C61" s="3191"/>
      <c r="D61" s="3190"/>
      <c r="E61" s="3190"/>
      <c r="F61" s="3190"/>
      <c r="G61" s="3190"/>
      <c r="H61" s="3190"/>
      <c r="I61" s="3190"/>
      <c r="J61" s="3190"/>
    </row>
    <row r="62" spans="2:26">
      <c r="B62" s="3137"/>
      <c r="C62" s="3137"/>
      <c r="D62" s="3137"/>
      <c r="E62" s="3137"/>
      <c r="F62" s="3137"/>
      <c r="G62" s="3137"/>
      <c r="H62" s="3137"/>
      <c r="I62" s="3137"/>
      <c r="J62" s="3137"/>
    </row>
    <row r="63" spans="2:26">
      <c r="B63" s="3137"/>
      <c r="C63" s="3137"/>
      <c r="D63" s="3137"/>
      <c r="E63" s="3137"/>
      <c r="F63" s="3137"/>
      <c r="G63" s="3137"/>
      <c r="H63" s="3137"/>
      <c r="I63" s="3137"/>
      <c r="J63" s="3137"/>
    </row>
  </sheetData>
  <sheetProtection sheet="1" objects="1" scenarios="1"/>
  <phoneticPr fontId="20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3328" t="s">
        <v>3037</v>
      </c>
      <c r="E1" s="3322" t="s">
        <v>3041</v>
      </c>
      <c r="F1" s="3323" t="s">
        <v>3045</v>
      </c>
    </row>
    <row r="2" spans="1:13" ht="20.25">
      <c r="A2" s="3329" t="s">
        <v>3038</v>
      </c>
    </row>
    <row r="3" spans="1:13" ht="16.5">
      <c r="A3" s="3330" t="s">
        <v>3039</v>
      </c>
    </row>
    <row r="4" spans="1:13" ht="14.25">
      <c r="A4" s="3320" t="s">
        <v>3040</v>
      </c>
      <c r="B4" s="3325" t="s">
        <v>3042</v>
      </c>
      <c r="C4" s="3326"/>
      <c r="D4" s="3327"/>
      <c r="E4" s="3325" t="s">
        <v>141</v>
      </c>
      <c r="F4" s="3326"/>
      <c r="G4" s="3327"/>
      <c r="H4" s="3325" t="s">
        <v>3043</v>
      </c>
      <c r="I4" s="3326"/>
      <c r="J4" s="3327"/>
      <c r="K4" s="3325" t="s">
        <v>39</v>
      </c>
      <c r="L4" s="3326"/>
      <c r="M4" s="3327"/>
    </row>
    <row r="5" spans="1:13" ht="14.25">
      <c r="A5" s="3321" t="s">
        <v>3044</v>
      </c>
      <c r="B5" s="3320" t="s">
        <v>3046</v>
      </c>
      <c r="C5" s="3320" t="s">
        <v>3047</v>
      </c>
      <c r="D5" s="3320" t="s">
        <v>3048</v>
      </c>
      <c r="E5" s="3320" t="s">
        <v>3046</v>
      </c>
      <c r="F5" s="3320" t="s">
        <v>3047</v>
      </c>
      <c r="G5" s="3320" t="s">
        <v>3048</v>
      </c>
      <c r="H5" s="3320" t="s">
        <v>3046</v>
      </c>
      <c r="I5" s="3320" t="s">
        <v>3047</v>
      </c>
      <c r="J5" s="3320" t="s">
        <v>3048</v>
      </c>
      <c r="K5" s="3320" t="s">
        <v>3046</v>
      </c>
      <c r="L5" s="3320" t="s">
        <v>3047</v>
      </c>
      <c r="M5" s="3320" t="s">
        <v>3048</v>
      </c>
    </row>
    <row r="6" spans="1:13" ht="14.25">
      <c r="A6" s="3324" t="s">
        <v>1231</v>
      </c>
      <c r="B6" s="3331">
        <v>26980</v>
      </c>
      <c r="C6" s="3331">
        <v>32980</v>
      </c>
      <c r="D6" s="3331">
        <v>29980</v>
      </c>
      <c r="E6" s="3331">
        <v>26170</v>
      </c>
      <c r="F6" s="3331">
        <v>31990</v>
      </c>
      <c r="G6" s="3331">
        <v>29080</v>
      </c>
      <c r="H6" s="3331">
        <v>25850</v>
      </c>
      <c r="I6" s="3331">
        <v>31590</v>
      </c>
      <c r="J6" s="3331">
        <v>28720</v>
      </c>
      <c r="K6" s="3331">
        <v>9860</v>
      </c>
      <c r="L6" s="3332">
        <v>13340</v>
      </c>
      <c r="M6" s="3331">
        <v>11600</v>
      </c>
    </row>
    <row r="7" spans="1:13" ht="14.25">
      <c r="A7" s="3324" t="s">
        <v>1288</v>
      </c>
      <c r="B7" s="3331">
        <v>21970</v>
      </c>
      <c r="C7" s="3331">
        <v>28730</v>
      </c>
      <c r="D7" s="3331">
        <v>25350</v>
      </c>
      <c r="E7" s="3331">
        <v>21480</v>
      </c>
      <c r="F7" s="3331">
        <v>28080</v>
      </c>
      <c r="G7" s="3331">
        <v>24780</v>
      </c>
      <c r="H7" s="3331">
        <v>21250</v>
      </c>
      <c r="I7" s="3331">
        <v>27790</v>
      </c>
      <c r="J7" s="3331">
        <v>24520</v>
      </c>
      <c r="K7" s="3331">
        <v>6660</v>
      </c>
      <c r="L7" s="3332">
        <v>10000</v>
      </c>
      <c r="M7" s="3331">
        <v>8330</v>
      </c>
    </row>
    <row r="8" spans="1:13" ht="14.25">
      <c r="A8" s="3324" t="s">
        <v>1461</v>
      </c>
      <c r="B8" s="3331">
        <v>17430</v>
      </c>
      <c r="C8" s="3331">
        <v>24410</v>
      </c>
      <c r="D8" s="3331">
        <v>20920</v>
      </c>
      <c r="E8" s="3331">
        <v>17140</v>
      </c>
      <c r="F8" s="3331">
        <v>24000</v>
      </c>
      <c r="G8" s="3331">
        <v>20570</v>
      </c>
      <c r="H8" s="3331">
        <v>16990</v>
      </c>
      <c r="I8" s="3331">
        <v>23790</v>
      </c>
      <c r="J8" s="3331">
        <v>20390</v>
      </c>
      <c r="K8" s="3331">
        <v>4530</v>
      </c>
      <c r="L8" s="3332">
        <v>6790</v>
      </c>
      <c r="M8" s="3331">
        <v>5660</v>
      </c>
    </row>
    <row r="9" spans="1:13" ht="14.25">
      <c r="A9" s="3324" t="s">
        <v>1142</v>
      </c>
      <c r="B9" s="3331">
        <v>13330</v>
      </c>
      <c r="C9" s="3331">
        <v>19990</v>
      </c>
      <c r="D9" s="3331">
        <v>16660</v>
      </c>
      <c r="E9" s="3331">
        <v>13160</v>
      </c>
      <c r="F9" s="3331">
        <v>19740</v>
      </c>
      <c r="G9" s="3331">
        <v>16450</v>
      </c>
      <c r="H9" s="3331">
        <v>13060</v>
      </c>
      <c r="I9" s="3331">
        <v>19600</v>
      </c>
      <c r="J9" s="3331">
        <v>16330</v>
      </c>
      <c r="K9" s="3331">
        <v>3090</v>
      </c>
      <c r="L9" s="3332">
        <v>4650</v>
      </c>
      <c r="M9" s="3331">
        <v>3870</v>
      </c>
    </row>
    <row r="10" spans="1:13" ht="14.25">
      <c r="A10" s="3324" t="s">
        <v>1542</v>
      </c>
      <c r="B10" s="3331">
        <v>10420</v>
      </c>
      <c r="C10" s="3331">
        <v>15620</v>
      </c>
      <c r="D10" s="3331">
        <v>13020</v>
      </c>
      <c r="E10" s="3331">
        <v>10310</v>
      </c>
      <c r="F10" s="3331">
        <v>15470</v>
      </c>
      <c r="G10" s="3331">
        <v>12890</v>
      </c>
      <c r="H10" s="3331">
        <v>10250</v>
      </c>
      <c r="I10" s="3331">
        <v>15370</v>
      </c>
      <c r="J10" s="3331">
        <v>12810</v>
      </c>
      <c r="K10" s="3331">
        <v>2140</v>
      </c>
      <c r="L10" s="3332">
        <v>3200</v>
      </c>
      <c r="M10" s="3331">
        <v>2670</v>
      </c>
    </row>
    <row r="11" spans="1:13" ht="14.25">
      <c r="A11" s="3324" t="s">
        <v>203</v>
      </c>
      <c r="B11" s="3331">
        <v>8130</v>
      </c>
      <c r="C11" s="3331">
        <v>12190</v>
      </c>
      <c r="D11" s="3331">
        <v>10160</v>
      </c>
      <c r="E11" s="3331">
        <v>8060</v>
      </c>
      <c r="F11" s="3331">
        <v>12080</v>
      </c>
      <c r="G11" s="3331">
        <v>10070</v>
      </c>
      <c r="H11" s="3331">
        <v>8010</v>
      </c>
      <c r="I11" s="3331">
        <v>12010</v>
      </c>
      <c r="J11" s="3331">
        <v>10010</v>
      </c>
      <c r="K11" s="3331">
        <v>1490</v>
      </c>
      <c r="L11" s="3332">
        <v>2250</v>
      </c>
      <c r="M11" s="3331">
        <v>1870</v>
      </c>
    </row>
    <row r="12" spans="1:13" ht="14.25">
      <c r="A12" s="3324" t="s">
        <v>1545</v>
      </c>
      <c r="B12" s="3331">
        <v>5940</v>
      </c>
      <c r="C12" s="3331">
        <v>8900</v>
      </c>
      <c r="D12" s="3331">
        <v>7420</v>
      </c>
      <c r="E12" s="3331">
        <v>5880</v>
      </c>
      <c r="F12" s="3331">
        <v>8820</v>
      </c>
      <c r="G12" s="3331">
        <v>7350</v>
      </c>
      <c r="H12" s="3331">
        <v>5840</v>
      </c>
      <c r="I12" s="3331">
        <v>8760</v>
      </c>
      <c r="J12" s="3331">
        <v>7300</v>
      </c>
      <c r="K12" s="3331">
        <v>1060</v>
      </c>
      <c r="L12" s="3332">
        <v>1600</v>
      </c>
      <c r="M12" s="3331">
        <v>1330</v>
      </c>
    </row>
    <row r="13" spans="1:13" ht="14.25">
      <c r="A13" s="3324" t="s">
        <v>1547</v>
      </c>
      <c r="B13" s="3331">
        <v>3970</v>
      </c>
      <c r="C13" s="3331">
        <v>6330</v>
      </c>
      <c r="D13" s="3331">
        <v>5150</v>
      </c>
      <c r="E13" s="3331">
        <v>3920</v>
      </c>
      <c r="F13" s="3331">
        <v>6260</v>
      </c>
      <c r="G13" s="3331">
        <v>5090</v>
      </c>
      <c r="H13" s="3331">
        <v>3890</v>
      </c>
      <c r="I13" s="3331">
        <v>6210</v>
      </c>
      <c r="J13" s="3331">
        <v>5050</v>
      </c>
      <c r="K13" s="3331">
        <v>780</v>
      </c>
      <c r="L13" s="3332">
        <v>1160</v>
      </c>
      <c r="M13" s="3331">
        <v>970</v>
      </c>
    </row>
    <row r="14" spans="1:13" ht="14.25">
      <c r="A14" s="3324" t="s">
        <v>1549</v>
      </c>
      <c r="B14" s="3331">
        <v>2680</v>
      </c>
      <c r="C14" s="3331">
        <v>4280</v>
      </c>
      <c r="D14" s="3331">
        <v>3480</v>
      </c>
      <c r="E14" s="3331">
        <v>2640</v>
      </c>
      <c r="F14" s="3331">
        <v>4220</v>
      </c>
      <c r="G14" s="3331">
        <v>3430</v>
      </c>
      <c r="H14" s="3331">
        <v>2620</v>
      </c>
      <c r="I14" s="3331">
        <v>4180</v>
      </c>
      <c r="J14" s="3331">
        <v>3400</v>
      </c>
      <c r="K14" s="3331">
        <v>580</v>
      </c>
      <c r="L14" s="3332">
        <v>880</v>
      </c>
      <c r="M14" s="3331">
        <v>730</v>
      </c>
    </row>
    <row r="15" spans="1:13" ht="14.25">
      <c r="A15" s="3324" t="s">
        <v>1553</v>
      </c>
      <c r="B15" s="3331">
        <v>1700</v>
      </c>
      <c r="C15" s="3331">
        <v>2840</v>
      </c>
      <c r="D15" s="3331">
        <v>2270</v>
      </c>
      <c r="E15" s="3331">
        <v>1670</v>
      </c>
      <c r="F15" s="3331">
        <v>2790</v>
      </c>
      <c r="G15" s="3331">
        <v>2230</v>
      </c>
      <c r="H15" s="3331">
        <v>1650</v>
      </c>
      <c r="I15" s="3331">
        <v>2750</v>
      </c>
      <c r="J15" s="3331">
        <v>2200</v>
      </c>
      <c r="K15" s="3331">
        <v>450</v>
      </c>
      <c r="L15" s="3332">
        <v>670</v>
      </c>
      <c r="M15" s="3331">
        <v>560</v>
      </c>
    </row>
    <row r="16" spans="1:13" ht="14.25">
      <c r="A16" s="3324" t="s">
        <v>1952</v>
      </c>
      <c r="B16" s="3331">
        <v>1070</v>
      </c>
      <c r="C16" s="3331">
        <v>1790</v>
      </c>
      <c r="D16" s="3331">
        <v>1430</v>
      </c>
      <c r="E16" s="3331">
        <v>1050</v>
      </c>
      <c r="F16" s="3331">
        <v>1750</v>
      </c>
      <c r="G16" s="3331">
        <v>1400</v>
      </c>
      <c r="H16" s="3331">
        <v>1030</v>
      </c>
      <c r="I16" s="3331">
        <v>1730</v>
      </c>
      <c r="J16" s="3331">
        <v>1380</v>
      </c>
      <c r="K16" s="3331">
        <v>350</v>
      </c>
      <c r="L16" s="3332">
        <v>530</v>
      </c>
      <c r="M16" s="3331">
        <v>440</v>
      </c>
    </row>
    <row r="17" spans="1:13" ht="14.25">
      <c r="A17" s="3324" t="s">
        <v>1953</v>
      </c>
      <c r="B17" s="3331">
        <v>680</v>
      </c>
      <c r="C17" s="3331">
        <v>1120</v>
      </c>
      <c r="D17" s="3331">
        <v>900</v>
      </c>
      <c r="E17" s="3331">
        <v>650</v>
      </c>
      <c r="F17" s="3331">
        <v>1090</v>
      </c>
      <c r="G17" s="3331">
        <v>870</v>
      </c>
      <c r="H17" s="3331">
        <v>630</v>
      </c>
      <c r="I17" s="3331">
        <v>1070</v>
      </c>
      <c r="J17" s="3331">
        <v>850</v>
      </c>
      <c r="K17" s="3331">
        <v>280</v>
      </c>
      <c r="L17" s="3332">
        <v>420</v>
      </c>
      <c r="M17" s="3331">
        <v>350</v>
      </c>
    </row>
  </sheetData>
  <phoneticPr fontId="20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sheetPr>
    <tabColor rgb="FF92D050"/>
  </sheetPr>
  <dimension ref="A1:AK83"/>
  <sheetViews>
    <sheetView zoomScale="80" zoomScaleNormal="80" zoomScaleSheetLayoutView="90" workbookViewId="0">
      <selection activeCell="C44" sqref="C44"/>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4"/>
  </cols>
  <sheetData>
    <row r="1" spans="1:37" s="671" customFormat="1" ht="21">
      <c r="A1" s="669" t="s">
        <v>911</v>
      </c>
      <c r="B1" s="670"/>
      <c r="C1" s="2388" t="s">
        <v>3257</v>
      </c>
      <c r="D1" s="1273"/>
      <c r="E1" s="2581" t="s">
        <v>538</v>
      </c>
      <c r="F1" s="2582">
        <f ca="1">J53</f>
        <v>44.07</v>
      </c>
      <c r="G1" s="672">
        <f>MATCH(C1,'数据-取费表'!A6:A16,0)+5</f>
        <v>9</v>
      </c>
      <c r="H1" s="1296"/>
      <c r="I1" s="676"/>
      <c r="J1" s="676"/>
      <c r="K1" s="1297"/>
      <c r="L1" s="676"/>
      <c r="M1" s="676"/>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7" t="s">
        <v>345</v>
      </c>
      <c r="B2" s="1406">
        <f ca="1">ROUND(D2/10000,0)</f>
        <v>6</v>
      </c>
      <c r="C2" s="1299" t="s">
        <v>1105</v>
      </c>
      <c r="D2" s="2720">
        <f ca="1">C40+J29+L46</f>
        <v>64795</v>
      </c>
      <c r="E2" s="2571" t="s">
        <v>2628</v>
      </c>
      <c r="F2" s="1276"/>
      <c r="G2" s="2283"/>
      <c r="H2" s="1274"/>
      <c r="I2" s="1274"/>
      <c r="J2" s="1274"/>
      <c r="K2" s="1298"/>
      <c r="L2" s="1274"/>
      <c r="M2" s="1274"/>
    </row>
    <row r="3" spans="1:37" ht="18" customHeight="1" thickBot="1">
      <c r="A3" s="675" t="s">
        <v>346</v>
      </c>
      <c r="B3" s="3425">
        <f ca="1">IF(ISERROR(D2/F43),0,ROUND(D2/F43,0))-D3</f>
        <v>2196</v>
      </c>
      <c r="C3" s="1299" t="s">
        <v>1106</v>
      </c>
      <c r="D3" s="3424">
        <v>0</v>
      </c>
      <c r="E3" s="2571"/>
      <c r="F3" s="1276"/>
      <c r="G3" s="2283"/>
      <c r="H3" s="676" t="s">
        <v>912</v>
      </c>
      <c r="I3" s="1274"/>
      <c r="J3" s="1274"/>
      <c r="K3" s="1298"/>
      <c r="L3" s="1274"/>
      <c r="M3" s="1274"/>
    </row>
    <row r="4" spans="1:37" ht="18" customHeight="1">
      <c r="A4" s="677" t="s">
        <v>913</v>
      </c>
      <c r="B4" s="678" t="s">
        <v>914</v>
      </c>
      <c r="C4" s="678" t="s">
        <v>915</v>
      </c>
      <c r="D4" s="678" t="s">
        <v>916</v>
      </c>
      <c r="E4" s="679" t="s">
        <v>917</v>
      </c>
      <c r="F4" s="680"/>
      <c r="G4" s="2284"/>
      <c r="H4" s="677" t="s">
        <v>913</v>
      </c>
      <c r="I4" s="678" t="s">
        <v>914</v>
      </c>
      <c r="J4" s="678" t="s">
        <v>915</v>
      </c>
      <c r="K4" s="678" t="s">
        <v>916</v>
      </c>
      <c r="L4" s="679" t="s">
        <v>917</v>
      </c>
      <c r="M4" s="680"/>
    </row>
    <row r="5" spans="1:37" ht="18" customHeight="1">
      <c r="A5" s="681">
        <v>1</v>
      </c>
      <c r="B5" s="682" t="s">
        <v>2339</v>
      </c>
      <c r="C5" s="2622">
        <f ca="1">C6+C10+C12</f>
        <v>3570</v>
      </c>
      <c r="D5" s="2632" t="s">
        <v>2542</v>
      </c>
      <c r="E5" s="2623"/>
      <c r="F5" s="2624"/>
      <c r="G5" s="2284"/>
      <c r="H5" s="681">
        <v>1</v>
      </c>
      <c r="I5" s="682" t="s">
        <v>2339</v>
      </c>
      <c r="J5" s="2622">
        <f ca="1">J6+J10+J12</f>
        <v>0</v>
      </c>
      <c r="K5" s="2625" t="s">
        <v>2542</v>
      </c>
      <c r="L5" s="2623"/>
      <c r="M5" s="2624"/>
    </row>
    <row r="6" spans="1:37" ht="18" customHeight="1">
      <c r="A6" s="2618" t="s">
        <v>2380</v>
      </c>
      <c r="B6" s="3637" t="s">
        <v>2541</v>
      </c>
      <c r="C6" s="2627">
        <f ca="1">ROUND(F6*F8*F7*(1-F9),0)</f>
        <v>3570</v>
      </c>
      <c r="D6" s="2621" t="s">
        <v>2543</v>
      </c>
      <c r="E6" s="684" t="s">
        <v>918</v>
      </c>
      <c r="F6" s="685">
        <f ca="1">INDIRECT("'数据-取费表'!u"&amp;$G$1)</f>
        <v>350</v>
      </c>
      <c r="G6" s="2284"/>
      <c r="H6" s="2618" t="s">
        <v>2380</v>
      </c>
      <c r="I6" s="3637" t="s">
        <v>2541</v>
      </c>
      <c r="J6" s="683">
        <f ca="1">ROUND(M6*M8*M7*(1-M9),0)</f>
        <v>0</v>
      </c>
      <c r="K6" s="2621" t="s">
        <v>2543</v>
      </c>
      <c r="L6" s="684" t="s">
        <v>918</v>
      </c>
      <c r="M6" s="685">
        <f ca="1">INDIRECT("'数据-取费表'!z"&amp;$G$1)</f>
        <v>0</v>
      </c>
    </row>
    <row r="7" spans="1:37" ht="18" customHeight="1">
      <c r="A7" s="2626"/>
      <c r="B7" s="3638"/>
      <c r="C7" s="2628"/>
      <c r="D7" s="2057"/>
      <c r="E7" s="2629" t="s">
        <v>919</v>
      </c>
      <c r="F7" s="685">
        <f ca="1">IF(INDIRECT("'数据-取费表'!ah"&amp;$G$1)="",INDIRECT("'数据-取费表'!k"&amp;$G$1),INDIRECT("'数据-取费表'!ah"&amp;$G$1))</f>
        <v>1</v>
      </c>
      <c r="G7" s="2284"/>
      <c r="H7" s="686"/>
      <c r="I7" s="3638"/>
      <c r="J7" s="688"/>
      <c r="K7" s="689"/>
      <c r="L7" s="684" t="s">
        <v>919</v>
      </c>
      <c r="M7" s="685">
        <f ca="1">F7</f>
        <v>1</v>
      </c>
    </row>
    <row r="8" spans="1:37" ht="18" customHeight="1">
      <c r="A8" s="686"/>
      <c r="B8" s="3638"/>
      <c r="C8" s="688"/>
      <c r="D8" s="689"/>
      <c r="E8" s="684" t="s">
        <v>920</v>
      </c>
      <c r="F8" s="685">
        <f ca="1">INDIRECT("'数据-取费表'!ai"&amp;$G$1)</f>
        <v>12</v>
      </c>
      <c r="G8" s="2284"/>
      <c r="H8" s="686"/>
      <c r="I8" s="3638"/>
      <c r="J8" s="688"/>
      <c r="K8" s="689"/>
      <c r="L8" s="684" t="s">
        <v>920</v>
      </c>
      <c r="M8" s="685">
        <f ca="1">INDIRECT("'数据-取费表'!ai"&amp;$G$1)</f>
        <v>12</v>
      </c>
    </row>
    <row r="9" spans="1:37" ht="18" customHeight="1">
      <c r="A9" s="686"/>
      <c r="B9" s="3639"/>
      <c r="C9" s="688"/>
      <c r="D9" s="689"/>
      <c r="E9" s="684" t="s">
        <v>921</v>
      </c>
      <c r="F9" s="694">
        <f ca="1">INDIRECT("'数据-取费表'!w"&amp;$G$1)</f>
        <v>0.15</v>
      </c>
      <c r="G9" s="2284"/>
      <c r="H9" s="686"/>
      <c r="I9" s="3639"/>
      <c r="J9" s="688"/>
      <c r="K9" s="689"/>
      <c r="L9" s="695" t="s">
        <v>921</v>
      </c>
      <c r="M9" s="696">
        <f ca="1">INDIRECT("'数据-取费表'!ab"&amp;$G$1)</f>
        <v>0</v>
      </c>
    </row>
    <row r="10" spans="1:37" ht="18" customHeight="1">
      <c r="A10" s="2618" t="s">
        <v>2387</v>
      </c>
      <c r="B10" s="2619" t="s">
        <v>2536</v>
      </c>
      <c r="C10" s="698">
        <f ca="1">ROUND(IF(F10="押一",F6*F8*F7/12*F11,IF(F10="押二",F6*F8*F7/12*2*F11,IF(F10="押三",F6*F8*F7/12*3*F11,C11*F11))),0)</f>
        <v>0</v>
      </c>
      <c r="D10" s="2630" t="s">
        <v>2544</v>
      </c>
      <c r="E10" s="2093" t="s">
        <v>2538</v>
      </c>
      <c r="F10" s="2824" t="s">
        <v>3302</v>
      </c>
      <c r="G10" s="2284"/>
      <c r="H10" s="2618" t="s">
        <v>2387</v>
      </c>
      <c r="I10" s="2619" t="s">
        <v>2536</v>
      </c>
      <c r="J10" s="683">
        <f ca="1">ROUND(IF(M10="押一",M6*M8*M7/12*M11,IF(M10="押二",M6*M8*M7/12*2*M11,IF(M10="押三",M6*M8*M7/12*3*M11,J11*M11))),0)</f>
        <v>0</v>
      </c>
      <c r="K10" s="2630" t="s">
        <v>2544</v>
      </c>
      <c r="L10" s="2093" t="s">
        <v>2538</v>
      </c>
      <c r="M10" s="2824" t="s">
        <v>3302</v>
      </c>
    </row>
    <row r="11" spans="1:37" ht="18" customHeight="1">
      <c r="A11" s="690"/>
      <c r="B11" s="2620" t="s">
        <v>2546</v>
      </c>
      <c r="C11" s="2411"/>
      <c r="D11" s="689"/>
      <c r="E11" s="2093" t="s">
        <v>2539</v>
      </c>
      <c r="F11" s="696">
        <f ca="1">'数据-取费表'!B39</f>
        <v>1.4999999999999999E-2</v>
      </c>
      <c r="G11" s="2284"/>
      <c r="H11" s="2631"/>
      <c r="I11" s="2620" t="s">
        <v>2699</v>
      </c>
      <c r="J11" s="2411"/>
      <c r="K11" s="1280"/>
      <c r="L11" s="2093" t="s">
        <v>2539</v>
      </c>
      <c r="M11" s="2092">
        <f ca="1">'数据-取费表'!B39</f>
        <v>1.4999999999999999E-2</v>
      </c>
    </row>
    <row r="12" spans="1:37" ht="18" customHeight="1" thickBot="1">
      <c r="A12" s="2666" t="s">
        <v>2549</v>
      </c>
      <c r="B12" s="2667" t="s">
        <v>2537</v>
      </c>
      <c r="C12" s="2668"/>
      <c r="D12" s="2669"/>
      <c r="E12" s="2670"/>
      <c r="F12" s="2671"/>
      <c r="G12" s="2284"/>
      <c r="H12" s="2666" t="s">
        <v>2549</v>
      </c>
      <c r="I12" s="2667" t="s">
        <v>2537</v>
      </c>
      <c r="J12" s="2668"/>
      <c r="K12" s="2685"/>
      <c r="L12" s="2670"/>
      <c r="M12" s="2686"/>
    </row>
    <row r="13" spans="1:37" ht="18" customHeight="1" thickTop="1">
      <c r="A13" s="2662">
        <v>2</v>
      </c>
      <c r="B13" s="2663" t="s">
        <v>922</v>
      </c>
      <c r="C13" s="692">
        <f ca="1">ROUND(C29*F13,0)</f>
        <v>73899</v>
      </c>
      <c r="D13" s="2664" t="s">
        <v>923</v>
      </c>
      <c r="E13" s="2664" t="s">
        <v>924</v>
      </c>
      <c r="F13" s="2665">
        <f ca="1">INDIRECT("'数据-取费表'!y"&amp;$G$1)</f>
        <v>0.95</v>
      </c>
      <c r="G13" s="2284"/>
      <c r="H13" s="2662">
        <v>2</v>
      </c>
      <c r="I13" s="2663" t="s">
        <v>922</v>
      </c>
      <c r="J13" s="2617">
        <f ca="1">ROUND(J14*J15,0)</f>
        <v>0</v>
      </c>
      <c r="K13" s="2672" t="s">
        <v>923</v>
      </c>
      <c r="L13" s="2683"/>
      <c r="M13" s="2684"/>
    </row>
    <row r="14" spans="1:37" ht="18" customHeight="1">
      <c r="A14" s="2434" t="s">
        <v>2377</v>
      </c>
      <c r="B14" s="684" t="s">
        <v>359</v>
      </c>
      <c r="C14" s="702">
        <f ca="1">ROUND(INDIRECT("'数据-取费表'!l"&amp;$G$1)*F43+'数据-取费表'!L14*INDIRECT("'数据-取费表'!S"&amp;$G$1),0)</f>
        <v>53118</v>
      </c>
      <c r="D14" s="3411" t="s">
        <v>925</v>
      </c>
      <c r="E14" s="3409"/>
      <c r="F14" s="703"/>
      <c r="G14" s="2284"/>
      <c r="H14" s="2434" t="s">
        <v>2380</v>
      </c>
      <c r="I14" s="684" t="s">
        <v>926</v>
      </c>
      <c r="J14" s="313">
        <f ca="1">C29</f>
        <v>77788</v>
      </c>
      <c r="K14" s="303"/>
      <c r="L14" s="700"/>
      <c r="M14" s="701"/>
    </row>
    <row r="15" spans="1:37" s="706" customFormat="1" ht="18" customHeight="1" thickBot="1">
      <c r="A15" s="2434" t="s">
        <v>2613</v>
      </c>
      <c r="B15" s="684" t="s">
        <v>360</v>
      </c>
      <c r="C15" s="313">
        <f ca="1">ROUND(C14*F15,0)</f>
        <v>1594</v>
      </c>
      <c r="D15" s="704" t="s">
        <v>927</v>
      </c>
      <c r="E15" s="704" t="s">
        <v>365</v>
      </c>
      <c r="F15" s="705">
        <f>'数据-取费表'!B33</f>
        <v>0.03</v>
      </c>
      <c r="G15" s="2285"/>
      <c r="H15" s="2674" t="s">
        <v>2387</v>
      </c>
      <c r="I15" s="2675" t="s">
        <v>924</v>
      </c>
      <c r="J15" s="2686">
        <f ca="1">INDIRECT("'数据-取费表'!ad"&amp;$G$1)</f>
        <v>0</v>
      </c>
      <c r="K15" s="2687"/>
      <c r="L15" s="2688"/>
      <c r="M15" s="2689"/>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4" t="s">
        <v>2614</v>
      </c>
      <c r="B16" s="684" t="s">
        <v>361</v>
      </c>
      <c r="C16" s="313">
        <f ca="1">ROUND(INDIRECT("'数据-取费表'!l"&amp;$G$1)*F43*F16,0)</f>
        <v>0</v>
      </c>
      <c r="D16" s="684" t="s">
        <v>927</v>
      </c>
      <c r="E16" s="684" t="s">
        <v>365</v>
      </c>
      <c r="F16" s="707">
        <f ca="1">IF(INDIRECT("'数据-取费表'!c"&amp;$G$1)="住宅",'数据-取费表'!B34,0)</f>
        <v>0</v>
      </c>
      <c r="G16" s="2284"/>
      <c r="H16" s="2662" t="s">
        <v>2345</v>
      </c>
      <c r="I16" s="2663" t="s">
        <v>929</v>
      </c>
      <c r="J16" s="692">
        <f ca="1">ROUND(J17+J22+J23+J24,0)</f>
        <v>1909</v>
      </c>
      <c r="K16" s="2672" t="s">
        <v>930</v>
      </c>
      <c r="L16" s="2673"/>
      <c r="M16" s="2624"/>
    </row>
    <row r="17" spans="1:37" s="706" customFormat="1" ht="18" customHeight="1">
      <c r="A17" s="2434" t="s">
        <v>2615</v>
      </c>
      <c r="B17" s="684" t="s">
        <v>362</v>
      </c>
      <c r="C17" s="313">
        <f ca="1">ROUND(F17*(F43+INDIRECT("'数据-取费表'!S"&amp;$G$1)),0)</f>
        <v>5902</v>
      </c>
      <c r="D17" s="684" t="s">
        <v>931</v>
      </c>
      <c r="E17" s="684" t="s">
        <v>932</v>
      </c>
      <c r="F17" s="315">
        <f>'数据-取费表'!B35</f>
        <v>200</v>
      </c>
      <c r="G17" s="2285"/>
      <c r="H17" s="2434" t="s">
        <v>2380</v>
      </c>
      <c r="I17" s="684" t="s">
        <v>363</v>
      </c>
      <c r="J17" s="313">
        <f ca="1">ROUND(IF(项目基本情况!B11="自然人",J5*M17,J18+J19+J20),0)</f>
        <v>742</v>
      </c>
      <c r="K17" s="3411" t="s">
        <v>933</v>
      </c>
      <c r="L17" s="3410" t="s">
        <v>934</v>
      </c>
      <c r="M17" s="708"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6" customFormat="1" ht="18" customHeight="1">
      <c r="A18" s="2434" t="s">
        <v>2616</v>
      </c>
      <c r="B18" s="684" t="s">
        <v>364</v>
      </c>
      <c r="C18" s="313">
        <f ca="1">ROUND(C14*F18,0)</f>
        <v>797</v>
      </c>
      <c r="D18" s="684" t="s">
        <v>927</v>
      </c>
      <c r="E18" s="684" t="s">
        <v>365</v>
      </c>
      <c r="F18" s="707">
        <f>'数据-取费表'!B36</f>
        <v>1.4999999999999999E-2</v>
      </c>
      <c r="G18" s="2285"/>
      <c r="H18" s="2434" t="s">
        <v>2377</v>
      </c>
      <c r="I18" s="684" t="s">
        <v>935</v>
      </c>
      <c r="J18" s="313">
        <f ca="1">ROUND(J5*M18/(1+'数据-取费表'!C42),0)</f>
        <v>0</v>
      </c>
      <c r="K18" s="3410" t="s">
        <v>936</v>
      </c>
      <c r="L18" s="684" t="s">
        <v>365</v>
      </c>
      <c r="M18" s="707">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4" t="s">
        <v>2380</v>
      </c>
      <c r="B19" s="684" t="s">
        <v>366</v>
      </c>
      <c r="C19" s="313">
        <f ca="1">SUM(C14:C18)</f>
        <v>61411</v>
      </c>
      <c r="D19" s="471" t="s">
        <v>937</v>
      </c>
      <c r="E19" s="3414"/>
      <c r="F19" s="315"/>
      <c r="G19" s="2284"/>
      <c r="H19" s="2434" t="s">
        <v>2613</v>
      </c>
      <c r="I19" s="684" t="s">
        <v>938</v>
      </c>
      <c r="J19" s="313">
        <f ca="1">IF(K19="按租金收入计税",ROUND(J5*M19,0),ROUND(C29*M19*0.7,0))</f>
        <v>653</v>
      </c>
      <c r="K19" s="1300" t="s">
        <v>2420</v>
      </c>
      <c r="L19" s="684" t="s">
        <v>365</v>
      </c>
      <c r="M19" s="707">
        <f>IF(K19="按租金收入计税",'数据-取费表'!B51,'数据-取费表'!B50)</f>
        <v>1.2E-2</v>
      </c>
    </row>
    <row r="20" spans="1:37" s="706" customFormat="1" ht="18" customHeight="1">
      <c r="A20" s="2434" t="s">
        <v>2617</v>
      </c>
      <c r="B20" s="684" t="s">
        <v>367</v>
      </c>
      <c r="C20" s="313">
        <f ca="1">ROUND(C19*F20,0)</f>
        <v>921</v>
      </c>
      <c r="D20" s="709" t="s">
        <v>939</v>
      </c>
      <c r="E20" s="684" t="s">
        <v>365</v>
      </c>
      <c r="F20" s="707">
        <f>'数据-取费表'!B37</f>
        <v>1.4999999999999999E-2</v>
      </c>
      <c r="G20" s="2285"/>
      <c r="H20" s="2434" t="s">
        <v>2614</v>
      </c>
      <c r="I20" s="496" t="s">
        <v>940</v>
      </c>
      <c r="J20" s="314">
        <f ca="1">ROUND(M20*M21,0)</f>
        <v>89</v>
      </c>
      <c r="K20" s="710" t="s">
        <v>941</v>
      </c>
      <c r="L20" s="684" t="s">
        <v>942</v>
      </c>
      <c r="M20" s="711">
        <f>'数据-取费表'!B52</f>
        <v>10</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6" customFormat="1" ht="18" customHeight="1">
      <c r="A21" s="2434" t="s">
        <v>2618</v>
      </c>
      <c r="B21" s="684" t="s">
        <v>943</v>
      </c>
      <c r="C21" s="313" t="s">
        <v>23</v>
      </c>
      <c r="D21" s="709" t="s">
        <v>944</v>
      </c>
      <c r="E21" s="684" t="s">
        <v>945</v>
      </c>
      <c r="F21" s="707">
        <f>'数据-取费表'!B38</f>
        <v>1.4999999999999999E-2</v>
      </c>
      <c r="G21" s="2285"/>
      <c r="H21" s="712"/>
      <c r="I21" s="693"/>
      <c r="J21" s="318"/>
      <c r="K21" s="713"/>
      <c r="L21" s="684" t="s">
        <v>946</v>
      </c>
      <c r="M21" s="685">
        <f ca="1">INDIRECT("'数据-取费表'!r"&amp;$G$1)</f>
        <v>8.89</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4" t="s">
        <v>2619</v>
      </c>
      <c r="B22" s="684" t="s">
        <v>947</v>
      </c>
      <c r="C22" s="313"/>
      <c r="D22" s="2697" t="str">
        <f>IF(F23&lt;=1,"单利计息。","复利计息。")&amp;"建造成本、管理费用、销售费用产生的利息。"</f>
        <v>复利计息。建造成本、管理费用、销售费用产生的利息。</v>
      </c>
      <c r="E22" s="3414"/>
      <c r="F22" s="315"/>
      <c r="G22" s="2284"/>
      <c r="H22" s="2434" t="s">
        <v>2387</v>
      </c>
      <c r="I22" s="684" t="s">
        <v>948</v>
      </c>
      <c r="J22" s="313">
        <f ca="1">ROUND(J14*M22,0)</f>
        <v>1167</v>
      </c>
      <c r="K22" s="3410" t="s">
        <v>949</v>
      </c>
      <c r="L22" s="684" t="s">
        <v>365</v>
      </c>
      <c r="M22" s="714">
        <f ca="1">INDIRECT("'数据-取费表'!Ak"&amp;$G$1)</f>
        <v>1.4999999999999999E-2</v>
      </c>
    </row>
    <row r="23" spans="1:37" s="706" customFormat="1" ht="18" customHeight="1">
      <c r="A23" s="2434" t="s">
        <v>2377</v>
      </c>
      <c r="B23" s="684" t="s">
        <v>2533</v>
      </c>
      <c r="C23" s="313">
        <f ca="1">IF('数据-取费表'!B22&lt;=1,ROUND(C19*F24*F23/2,0)+ROUND(C20*F24*F23/2,0),ROUND(C19*(POWER((1+F24),F23/2)-1),0)+ROUND(C20*(POWER((1+F24),F23/2)-1),0))</f>
        <v>3723</v>
      </c>
      <c r="D23" s="2701" t="str">
        <f>IF(F23&lt;=1,"(建造成本+管理费用)×利率×(建设周期÷2)","(建造成本+管理费用)×((1+利率)^(建设周期÷2)-1)")</f>
        <v>(建造成本+管理费用)×((1+利率)^(建设周期÷2)-1)</v>
      </c>
      <c r="E23" s="684" t="s">
        <v>950</v>
      </c>
      <c r="F23" s="711">
        <f>'数据-取费表'!B20</f>
        <v>2.5</v>
      </c>
      <c r="G23" s="2285"/>
      <c r="H23" s="2434" t="s">
        <v>2618</v>
      </c>
      <c r="I23" s="684" t="s">
        <v>368</v>
      </c>
      <c r="J23" s="313">
        <f ca="1">ROUND(J13*M23,0)</f>
        <v>0</v>
      </c>
      <c r="K23" s="3410" t="s">
        <v>369</v>
      </c>
      <c r="L23" s="684" t="s">
        <v>365</v>
      </c>
      <c r="M23" s="716">
        <f ca="1">INDIRECT("'数据-取费表'!Al"&amp;$G$1)</f>
        <v>2E-3</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6" customFormat="1" ht="18" customHeight="1" thickBot="1">
      <c r="A24" s="2434" t="s">
        <v>2383</v>
      </c>
      <c r="B24" s="684" t="s">
        <v>952</v>
      </c>
      <c r="C24" s="313">
        <f ca="1">ROUND(IF('数据-取费表'!B22&lt;=1,F21*F24*F23/2,F21*(POWER((1+F24),F23/2)-1)),4)</f>
        <v>8.9999999999999998E-4</v>
      </c>
      <c r="D24" s="2701" t="str">
        <f>IF(F23&lt;=1,"销售费用×利率×(建设周期÷2)","销售费用×((1+利率)^(建设周期÷2)-1)")</f>
        <v>销售费用×((1+利率)^(建设周期÷2)-1)</v>
      </c>
      <c r="E24" s="684" t="s">
        <v>953</v>
      </c>
      <c r="F24" s="717">
        <f ca="1">'数据-取费表'!B40</f>
        <v>4.7500000000000001E-2</v>
      </c>
      <c r="G24" s="2285"/>
      <c r="H24" s="2674" t="s">
        <v>2619</v>
      </c>
      <c r="I24" s="2675" t="s">
        <v>367</v>
      </c>
      <c r="J24" s="2676">
        <f ca="1">ROUND(J5*M24,0)</f>
        <v>0</v>
      </c>
      <c r="K24" s="2677" t="s">
        <v>371</v>
      </c>
      <c r="L24" s="2675" t="s">
        <v>365</v>
      </c>
      <c r="M24" s="2671">
        <f ca="1">INDIRECT("'数据-取费表'!Am"&amp;$G$1)</f>
        <v>0.01</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4" t="s">
        <v>2384</v>
      </c>
      <c r="B25" s="684" t="s">
        <v>372</v>
      </c>
      <c r="C25" s="313"/>
      <c r="D25" s="471" t="s">
        <v>955</v>
      </c>
      <c r="E25" s="3414"/>
      <c r="F25" s="315"/>
      <c r="G25" s="2284"/>
      <c r="H25" s="2662" t="s">
        <v>2360</v>
      </c>
      <c r="I25" s="2679" t="s">
        <v>377</v>
      </c>
      <c r="J25" s="692">
        <f ca="1">J5-J16</f>
        <v>-1909</v>
      </c>
      <c r="K25" s="2680" t="s">
        <v>378</v>
      </c>
      <c r="L25" s="2681"/>
      <c r="M25" s="2682"/>
    </row>
    <row r="26" spans="1:37" ht="18" customHeight="1">
      <c r="A26" s="2434" t="s">
        <v>2377</v>
      </c>
      <c r="B26" s="684" t="s">
        <v>2534</v>
      </c>
      <c r="C26" s="313">
        <f ca="1">ROUND((C19+C20)*F26,0)</f>
        <v>6233</v>
      </c>
      <c r="D26" s="709" t="s">
        <v>958</v>
      </c>
      <c r="E26" s="695" t="s">
        <v>959</v>
      </c>
      <c r="F26" s="694">
        <f ca="1">INDIRECT("'数据-取费表'!q"&amp;$G$1)</f>
        <v>0.1</v>
      </c>
      <c r="G26" s="2284"/>
      <c r="H26" s="681" t="s">
        <v>2363</v>
      </c>
      <c r="I26" s="682" t="s">
        <v>960</v>
      </c>
      <c r="J26" s="683">
        <f ca="1">IF(J5&lt;&gt;0,ROUND(J25*(1-((1+M28)/(1+M26))^M27)/(M26-M28),0),0)</f>
        <v>0</v>
      </c>
      <c r="K26" s="710" t="s">
        <v>373</v>
      </c>
      <c r="L26" s="684" t="s">
        <v>374</v>
      </c>
      <c r="M26" s="694">
        <f ca="1">INDIRECT("'数据-取费表'!I"&amp;$G$1)</f>
        <v>0.05</v>
      </c>
    </row>
    <row r="27" spans="1:37" ht="18" customHeight="1">
      <c r="A27" s="2434" t="s">
        <v>2383</v>
      </c>
      <c r="B27" s="684" t="s">
        <v>375</v>
      </c>
      <c r="C27" s="313">
        <f ca="1">ROUND(F21*F26,4)</f>
        <v>1.5E-3</v>
      </c>
      <c r="D27" s="709" t="s">
        <v>962</v>
      </c>
      <c r="E27" s="704"/>
      <c r="F27" s="705"/>
      <c r="G27" s="2284"/>
      <c r="H27" s="686"/>
      <c r="I27" s="687"/>
      <c r="J27" s="688"/>
      <c r="K27" s="718" t="s">
        <v>963</v>
      </c>
      <c r="L27" s="684" t="s">
        <v>381</v>
      </c>
      <c r="M27" s="719">
        <f ca="1">INDIRECT("'数据-取费表'!ag"&amp;$G$1)</f>
        <v>0</v>
      </c>
    </row>
    <row r="28" spans="1:37" s="706" customFormat="1" ht="18" customHeight="1">
      <c r="A28" s="2434" t="s">
        <v>2385</v>
      </c>
      <c r="B28" s="684" t="s">
        <v>376</v>
      </c>
      <c r="C28" s="313">
        <f>ROUND(F28/(1+'数据-取费表'!C42),4)</f>
        <v>5.33E-2</v>
      </c>
      <c r="D28" s="709" t="s">
        <v>969</v>
      </c>
      <c r="E28" s="684" t="s">
        <v>365</v>
      </c>
      <c r="F28" s="707">
        <f>'数据-取费表'!B41</f>
        <v>5.6000000000000001E-2</v>
      </c>
      <c r="G28" s="2285"/>
      <c r="H28" s="690"/>
      <c r="I28" s="691"/>
      <c r="J28" s="692"/>
      <c r="K28" s="713"/>
      <c r="L28" s="684" t="s">
        <v>382</v>
      </c>
      <c r="M28" s="694">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6" customFormat="1" ht="18" customHeight="1" thickBot="1">
      <c r="A29" s="2674" t="s">
        <v>2386</v>
      </c>
      <c r="B29" s="2675" t="s">
        <v>971</v>
      </c>
      <c r="C29" s="2676">
        <f ca="1">ROUND((C19+C20+C23+C26)/(1-F21-C24-C27-C28),0)</f>
        <v>77788</v>
      </c>
      <c r="D29" s="2677"/>
      <c r="E29" s="2675"/>
      <c r="F29" s="2678"/>
      <c r="G29" s="2285"/>
      <c r="H29" s="720" t="s">
        <v>2370</v>
      </c>
      <c r="I29" s="721" t="s">
        <v>964</v>
      </c>
      <c r="J29" s="722">
        <f ca="1">ROUND(J26/(1+F40)^F41,0)</f>
        <v>0</v>
      </c>
      <c r="K29" s="723" t="s">
        <v>965</v>
      </c>
      <c r="L29" s="724"/>
      <c r="M29" s="725">
        <f ca="1">INDIRECT("'数据-取费表'!k"&amp;$G$1)</f>
        <v>29.51</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2" t="s">
        <v>2345</v>
      </c>
      <c r="B30" s="2663" t="s">
        <v>929</v>
      </c>
      <c r="C30" s="692">
        <f ca="1">ROUND(C31+C36+C37+C38,0)</f>
        <v>2283</v>
      </c>
      <c r="D30" s="2672" t="s">
        <v>930</v>
      </c>
      <c r="E30" s="2673"/>
      <c r="F30" s="2624"/>
      <c r="G30" s="2284"/>
      <c r="H30" s="1277"/>
      <c r="I30" s="1278"/>
      <c r="J30" s="1279"/>
      <c r="K30" s="1280"/>
      <c r="L30" s="1281"/>
      <c r="M30" s="1282"/>
    </row>
    <row r="31" spans="1:37" ht="18" customHeight="1">
      <c r="A31" s="2434" t="s">
        <v>2380</v>
      </c>
      <c r="B31" s="684" t="s">
        <v>363</v>
      </c>
      <c r="C31" s="313">
        <f ca="1">ROUND(IF(项目基本情况!B11="自然人",C5*F31,C32+C33+C34),0)</f>
        <v>932</v>
      </c>
      <c r="D31" s="3411" t="s">
        <v>933</v>
      </c>
      <c r="E31" s="3410" t="s">
        <v>972</v>
      </c>
      <c r="F31" s="708" t="str">
        <f ca="1">IF(项目基本情况!B11="企业","",IF(INDIRECT("'数据-取费表'!c"&amp;$G$1)="住宅",5%,IF(F6*F7*F8/12/(1+'数据-取费表'!C42)&gt;20000,12%,7%)))</f>
        <v/>
      </c>
      <c r="G31" s="2284"/>
      <c r="H31" s="1277"/>
      <c r="I31" s="1278"/>
      <c r="J31" s="1279"/>
      <c r="K31" s="1280"/>
      <c r="L31" s="1281"/>
      <c r="M31" s="1282"/>
    </row>
    <row r="32" spans="1:37" ht="18" customHeight="1">
      <c r="A32" s="2434" t="s">
        <v>2377</v>
      </c>
      <c r="B32" s="684" t="s">
        <v>935</v>
      </c>
      <c r="C32" s="313">
        <f ca="1">IF(项目基本情况!B11="自然人","——",ROUND(C5*F32/(1+'数据-取费表'!C42),0))</f>
        <v>190</v>
      </c>
      <c r="D32" s="3410" t="s">
        <v>936</v>
      </c>
      <c r="E32" s="684" t="s">
        <v>365</v>
      </c>
      <c r="F32" s="717">
        <f>'数据-取费表'!B41</f>
        <v>5.6000000000000001E-2</v>
      </c>
      <c r="G32" s="2284"/>
      <c r="H32" s="1283"/>
      <c r="I32" s="1284"/>
      <c r="J32" s="1285"/>
      <c r="K32" s="1286"/>
      <c r="L32" s="1287"/>
      <c r="M32" s="1288"/>
    </row>
    <row r="33" spans="1:18" ht="18" customHeight="1">
      <c r="A33" s="2434" t="s">
        <v>2613</v>
      </c>
      <c r="B33" s="684" t="s">
        <v>938</v>
      </c>
      <c r="C33" s="313">
        <f ca="1">IF(项目基本情况!B11="自然人","——",IF(D33="按租金收入计税",ROUND(C5*F33,0),IF(D33="按房产原值计税",ROUND(C29*F33*0.7,0),INDIRECT("'数据-取费表'!Aj"&amp;$G$1))))</f>
        <v>653</v>
      </c>
      <c r="D33" s="1300" t="s">
        <v>2420</v>
      </c>
      <c r="E33" s="684" t="s">
        <v>365</v>
      </c>
      <c r="F33" s="707">
        <f>IF(D33="按票据","——",IF(D33="按租金收入计税",'数据-取费表'!B51,'数据-取费表'!B50))</f>
        <v>1.2E-2</v>
      </c>
      <c r="G33" s="2284"/>
      <c r="H33" s="1289"/>
      <c r="I33" s="2877"/>
      <c r="J33" s="2878"/>
      <c r="K33" s="1290"/>
      <c r="L33" s="1289"/>
      <c r="M33" s="1289"/>
    </row>
    <row r="34" spans="1:18" ht="18" customHeight="1">
      <c r="A34" s="2618" t="s">
        <v>2614</v>
      </c>
      <c r="B34" s="496" t="s">
        <v>940</v>
      </c>
      <c r="C34" s="314">
        <f ca="1">IF(项目基本情况!B11="自然人","——",ROUND(F34*F35,))</f>
        <v>89</v>
      </c>
      <c r="D34" s="710" t="s">
        <v>941</v>
      </c>
      <c r="E34" s="684" t="s">
        <v>942</v>
      </c>
      <c r="F34" s="711">
        <f>'数据-取费表'!B52</f>
        <v>10</v>
      </c>
      <c r="G34" s="2284"/>
      <c r="H34" s="1277"/>
      <c r="I34" s="2877"/>
      <c r="J34" s="2878"/>
      <c r="K34" s="1291"/>
      <c r="L34" s="1292"/>
      <c r="M34" s="1292"/>
    </row>
    <row r="35" spans="1:18" ht="18" customHeight="1">
      <c r="A35" s="2692"/>
      <c r="B35" s="2690"/>
      <c r="C35" s="318"/>
      <c r="D35" s="713"/>
      <c r="E35" s="684" t="s">
        <v>946</v>
      </c>
      <c r="F35" s="685">
        <f ca="1">INDIRECT("'数据-取费表'!r"&amp;$G$1)</f>
        <v>8.89</v>
      </c>
      <c r="G35" s="2284"/>
      <c r="H35" s="1277"/>
      <c r="I35" s="2877"/>
      <c r="J35" s="2878"/>
      <c r="K35" s="1290"/>
      <c r="L35" s="1289"/>
      <c r="M35" s="1289"/>
    </row>
    <row r="36" spans="1:18" ht="18" customHeight="1">
      <c r="A36" s="2691" t="s">
        <v>2387</v>
      </c>
      <c r="B36" s="684" t="s">
        <v>948</v>
      </c>
      <c r="C36" s="313">
        <f ca="1">ROUND(C29*F36,0)</f>
        <v>1167</v>
      </c>
      <c r="D36" s="3410" t="s">
        <v>978</v>
      </c>
      <c r="E36" s="684" t="s">
        <v>365</v>
      </c>
      <c r="F36" s="714">
        <f ca="1">INDIRECT("'数据-取费表'!Ak"&amp;$G$1)</f>
        <v>1.4999999999999999E-2</v>
      </c>
      <c r="G36" s="2284"/>
      <c r="H36" s="1289"/>
      <c r="I36" s="2877"/>
      <c r="J36" s="2878"/>
      <c r="K36" s="1293"/>
      <c r="L36" s="1289"/>
      <c r="M36" s="1289"/>
    </row>
    <row r="37" spans="1:18" ht="18" customHeight="1">
      <c r="A37" s="2434" t="s">
        <v>2618</v>
      </c>
      <c r="B37" s="684" t="s">
        <v>368</v>
      </c>
      <c r="C37" s="313">
        <f ca="1">ROUND(C13*F37,0)</f>
        <v>148</v>
      </c>
      <c r="D37" s="3410" t="s">
        <v>369</v>
      </c>
      <c r="E37" s="684" t="s">
        <v>365</v>
      </c>
      <c r="F37" s="716">
        <f ca="1">INDIRECT("'数据-取费表'!Al"&amp;$G$1)</f>
        <v>2E-3</v>
      </c>
      <c r="G37" s="2284"/>
      <c r="H37" s="1289"/>
      <c r="I37" s="2877"/>
      <c r="J37" s="2878"/>
      <c r="K37" s="1293"/>
      <c r="L37" s="1289"/>
      <c r="M37" s="1289"/>
    </row>
    <row r="38" spans="1:18" ht="18" customHeight="1" thickBot="1">
      <c r="A38" s="2674" t="s">
        <v>2619</v>
      </c>
      <c r="B38" s="2675" t="s">
        <v>367</v>
      </c>
      <c r="C38" s="2676">
        <f ca="1">ROUND(C5*F38,1)</f>
        <v>35.700000000000003</v>
      </c>
      <c r="D38" s="2677" t="s">
        <v>371</v>
      </c>
      <c r="E38" s="2675" t="s">
        <v>365</v>
      </c>
      <c r="F38" s="2671">
        <f ca="1">INDIRECT("'数据-取费表'!Am"&amp;$G$1)</f>
        <v>0.01</v>
      </c>
      <c r="G38" s="2284"/>
      <c r="H38" s="1289"/>
      <c r="I38" s="2877"/>
      <c r="J38" s="2878"/>
      <c r="K38" s="1294"/>
      <c r="L38" s="1289"/>
      <c r="M38" s="1289"/>
    </row>
    <row r="39" spans="1:18" ht="24.6" customHeight="1" thickTop="1">
      <c r="A39" s="2662" t="s">
        <v>2360</v>
      </c>
      <c r="B39" s="2679" t="s">
        <v>377</v>
      </c>
      <c r="C39" s="692">
        <f ca="1">C5-C30</f>
        <v>1287</v>
      </c>
      <c r="D39" s="2680" t="s">
        <v>378</v>
      </c>
      <c r="E39" s="2681"/>
      <c r="F39" s="2682"/>
      <c r="G39" s="2284"/>
      <c r="H39" s="1289"/>
      <c r="I39" s="2877"/>
      <c r="J39" s="2878"/>
      <c r="K39" s="1294"/>
      <c r="L39" s="1289"/>
      <c r="M39" s="1289"/>
    </row>
    <row r="40" spans="1:18" ht="18" customHeight="1">
      <c r="A40" s="681" t="s">
        <v>2363</v>
      </c>
      <c r="B40" s="682" t="s">
        <v>379</v>
      </c>
      <c r="C40" s="683">
        <f ca="1">ROUND(C39*(1-((1+F42)/(1+F40))^F41)/(F40-F42),0)</f>
        <v>33680</v>
      </c>
      <c r="D40" s="710" t="s">
        <v>373</v>
      </c>
      <c r="E40" s="684" t="s">
        <v>374</v>
      </c>
      <c r="F40" s="694">
        <f ca="1">INDIRECT("'数据-取费表'!I"&amp;$G$1)</f>
        <v>0.05</v>
      </c>
      <c r="G40" s="2284"/>
      <c r="H40" s="1295"/>
      <c r="I40" s="2877"/>
      <c r="J40" s="2878"/>
      <c r="K40" s="1294"/>
      <c r="L40" s="1295"/>
      <c r="M40" s="1295"/>
    </row>
    <row r="41" spans="1:18" ht="18" customHeight="1">
      <c r="A41" s="686"/>
      <c r="B41" s="687"/>
      <c r="C41" s="688"/>
      <c r="D41" s="718" t="s">
        <v>380</v>
      </c>
      <c r="E41" s="684" t="s">
        <v>381</v>
      </c>
      <c r="F41" s="719">
        <f ca="1">IF(INDIRECT("'数据-取费表'!af"&amp;$G$1)=0,INDIRECT("'数据-取费表'!ae"&amp;$G$1),INDIRECT("'数据-取费表'!af"&amp;$G$1))</f>
        <v>44.07</v>
      </c>
      <c r="G41" s="2284"/>
      <c r="H41" s="1191"/>
      <c r="I41" s="2877"/>
      <c r="J41" s="2878"/>
      <c r="K41" s="1293"/>
      <c r="L41" s="1191"/>
      <c r="M41" s="1191"/>
    </row>
    <row r="42" spans="1:18" ht="18" customHeight="1">
      <c r="A42" s="690"/>
      <c r="B42" s="691"/>
      <c r="C42" s="692"/>
      <c r="D42" s="713"/>
      <c r="E42" s="684" t="s">
        <v>382</v>
      </c>
      <c r="F42" s="694">
        <f ca="1">INDIRECT("'数据-取费表'!v"&amp;$G$1)</f>
        <v>2.5000000000000001E-2</v>
      </c>
      <c r="G42" s="2284"/>
      <c r="H42" s="1191"/>
      <c r="I42" s="2877"/>
      <c r="J42" s="2878"/>
      <c r="K42" s="1293"/>
      <c r="L42" s="1191"/>
      <c r="M42" s="1191"/>
    </row>
    <row r="43" spans="1:18" ht="18" customHeight="1" thickBot="1">
      <c r="A43" s="720" t="s">
        <v>2370</v>
      </c>
      <c r="B43" s="721" t="s">
        <v>383</v>
      </c>
      <c r="C43" s="722">
        <f ca="1">ROUND(C40/F43,0)</f>
        <v>1141</v>
      </c>
      <c r="D43" s="723" t="s">
        <v>384</v>
      </c>
      <c r="E43" s="724" t="s">
        <v>385</v>
      </c>
      <c r="F43" s="725">
        <f ca="1">INDIRECT("'数据-取费表'!k"&amp;$G$1)</f>
        <v>29.51</v>
      </c>
      <c r="G43" s="2284"/>
      <c r="H43" s="1191"/>
      <c r="I43" s="1191"/>
      <c r="J43" s="1191"/>
      <c r="K43" s="1293"/>
      <c r="L43" s="1191"/>
      <c r="M43" s="1191"/>
    </row>
    <row r="44" spans="1:18" s="1454" customFormat="1" ht="18" customHeight="1">
      <c r="A44" s="1432"/>
      <c r="B44" s="1432"/>
      <c r="C44" s="1453">
        <f ca="1">ROUND(B3*'数据-基础表'!K14/10000,0)</f>
        <v>525</v>
      </c>
      <c r="D44" s="1432"/>
      <c r="E44" s="1432"/>
      <c r="F44" s="1432"/>
      <c r="K44" s="1455"/>
    </row>
    <row r="45" spans="1:18" s="1454" customFormat="1" ht="18" customHeight="1" thickBot="1">
      <c r="A45" s="1432"/>
      <c r="B45" s="1432"/>
      <c r="C45" s="2723">
        <f ca="1">C68-C40</f>
        <v>-87510</v>
      </c>
      <c r="D45" s="2724" t="s">
        <v>2628</v>
      </c>
      <c r="E45" s="1432"/>
      <c r="F45" s="1432"/>
      <c r="O45" s="2587" t="s">
        <v>2493</v>
      </c>
      <c r="P45" s="1295"/>
      <c r="Q45" s="1295"/>
      <c r="R45" s="1295"/>
    </row>
    <row r="46" spans="1:18" s="1454" customFormat="1" ht="21" thickBot="1">
      <c r="A46" s="2392" t="s">
        <v>2332</v>
      </c>
      <c r="B46" s="2393"/>
      <c r="C46" s="2721">
        <f ca="1">ROUND(C45/10000,0)</f>
        <v>-9</v>
      </c>
      <c r="D46" s="2722" t="str">
        <f>C2</f>
        <v>万元</v>
      </c>
      <c r="I46" s="2574" t="s">
        <v>2428</v>
      </c>
      <c r="J46" s="2575"/>
      <c r="K46" s="2576"/>
      <c r="L46" s="2578">
        <f ca="1">IF(M47="住宅",0,IF(L48&gt;J51,L60,J60))</f>
        <v>31115</v>
      </c>
      <c r="O46" s="2590" t="s">
        <v>2471</v>
      </c>
      <c r="P46" s="2591" t="s">
        <v>2472</v>
      </c>
      <c r="Q46" s="2592" t="s">
        <v>2470</v>
      </c>
      <c r="R46" s="2592" t="s">
        <v>2473</v>
      </c>
    </row>
    <row r="47" spans="1:18" s="1454" customFormat="1" ht="15.75" thickBot="1">
      <c r="A47" s="2394" t="s">
        <v>913</v>
      </c>
      <c r="B47" s="2430" t="s">
        <v>914</v>
      </c>
      <c r="C47" s="2430" t="s">
        <v>915</v>
      </c>
      <c r="D47" s="2430" t="s">
        <v>916</v>
      </c>
      <c r="E47" s="2533" t="s">
        <v>917</v>
      </c>
      <c r="F47" s="2534"/>
      <c r="G47" s="1456"/>
      <c r="I47" s="2549" t="s">
        <v>2421</v>
      </c>
      <c r="J47" s="2550" t="s">
        <v>3131</v>
      </c>
      <c r="K47" s="2559" t="s">
        <v>2444</v>
      </c>
      <c r="L47" s="2560">
        <f ca="1">INDIRECT("'数据-取费表'!d"&amp;$G$1)</f>
        <v>0</v>
      </c>
      <c r="M47" s="2580" t="str">
        <f>IF(ISNUMBER(FIND("住宅",C1)),"住宅","非住宅")</f>
        <v>非住宅</v>
      </c>
      <c r="O47" s="2583" t="s">
        <v>2456</v>
      </c>
      <c r="P47" s="2593" t="s">
        <v>2474</v>
      </c>
      <c r="Q47" s="2584">
        <f ca="1">C40+J29</f>
        <v>33680</v>
      </c>
      <c r="R47" s="2584" t="s">
        <v>2475</v>
      </c>
    </row>
    <row r="48" spans="1:18" s="1454" customFormat="1" ht="47.25" thickBot="1">
      <c r="A48" s="2707" t="s">
        <v>2624</v>
      </c>
      <c r="B48" s="682" t="s">
        <v>2339</v>
      </c>
      <c r="C48" s="3413">
        <f ca="1">C49+C53+C55</f>
        <v>0</v>
      </c>
      <c r="D48" s="2711"/>
      <c r="E48" s="2712"/>
      <c r="F48" s="2414"/>
      <c r="G48" s="1456"/>
      <c r="H48" s="1457"/>
      <c r="I48" s="2540" t="s">
        <v>2422</v>
      </c>
      <c r="J48" s="2551" t="s">
        <v>2423</v>
      </c>
      <c r="K48" s="2561" t="s">
        <v>682</v>
      </c>
      <c r="L48" s="2164">
        <f ca="1">INDIRECT("'数据-取费表'!f"&amp;$G$1)</f>
        <v>44.07</v>
      </c>
      <c r="O48" s="2583" t="s">
        <v>2457</v>
      </c>
      <c r="P48" s="2593" t="s">
        <v>2476</v>
      </c>
      <c r="Q48" s="2584">
        <f ca="1">J60</f>
        <v>31115</v>
      </c>
      <c r="R48" s="2584" t="s">
        <v>2484</v>
      </c>
    </row>
    <row r="49" spans="1:18" s="1454" customFormat="1" ht="15.75" thickBot="1">
      <c r="A49" s="2427" t="s">
        <v>2625</v>
      </c>
      <c r="B49" s="2710" t="s">
        <v>2627</v>
      </c>
      <c r="C49" s="2719">
        <f ca="1">ROUND(F49*F51*F50*(1-F52),0)</f>
        <v>0</v>
      </c>
      <c r="D49" s="2529" t="s">
        <v>2340</v>
      </c>
      <c r="E49" s="2532" t="s">
        <v>2333</v>
      </c>
      <c r="F49" s="2535"/>
      <c r="G49" s="1458"/>
      <c r="H49" s="1457"/>
      <c r="I49" s="2540" t="s">
        <v>2442</v>
      </c>
      <c r="J49" s="3416">
        <v>2015</v>
      </c>
      <c r="K49" s="2562" t="s">
        <v>2447</v>
      </c>
      <c r="L49" s="2563"/>
      <c r="O49" s="2585" t="s">
        <v>2458</v>
      </c>
      <c r="P49" s="2593" t="s">
        <v>2477</v>
      </c>
      <c r="Q49" s="2584">
        <f ca="1">C29</f>
        <v>77788</v>
      </c>
      <c r="R49" s="2584" t="s">
        <v>2475</v>
      </c>
    </row>
    <row r="50" spans="1:18" s="1454" customFormat="1" ht="15.75" thickBot="1">
      <c r="A50" s="2428"/>
      <c r="B50" s="2431"/>
      <c r="C50" s="2432"/>
      <c r="D50" s="2401"/>
      <c r="E50" s="2530" t="s">
        <v>919</v>
      </c>
      <c r="F50" s="2531">
        <f ca="1">F7</f>
        <v>1</v>
      </c>
      <c r="H50" s="1457"/>
      <c r="I50" s="2540" t="s">
        <v>2424</v>
      </c>
      <c r="J50" s="2553">
        <f>SUMPRODUCT((I63:I65=J47)*(J62:L62=J48)*(J63:L65))</f>
        <v>60</v>
      </c>
      <c r="K50" s="2562" t="s">
        <v>2448</v>
      </c>
      <c r="L50" s="2563"/>
      <c r="M50" s="2557"/>
      <c r="O50" s="2585" t="s">
        <v>2459</v>
      </c>
      <c r="P50" s="2593" t="s">
        <v>2485</v>
      </c>
      <c r="Q50" s="2586">
        <f ca="1">J58</f>
        <v>0.4</v>
      </c>
      <c r="R50" s="2584"/>
    </row>
    <row r="51" spans="1:18" s="1454" customFormat="1" ht="15.75" thickBot="1">
      <c r="A51" s="2429"/>
      <c r="B51" s="2431"/>
      <c r="C51" s="2432"/>
      <c r="D51" s="2401"/>
      <c r="E51" s="2433" t="s">
        <v>920</v>
      </c>
      <c r="F51" s="685">
        <f ca="1">F8</f>
        <v>12</v>
      </c>
      <c r="I51" s="2554" t="s">
        <v>2429</v>
      </c>
      <c r="J51" s="2555">
        <f>IF(J49="",J50,J49+J50-YEAR('数据-取费表'!B2))</f>
        <v>58</v>
      </c>
      <c r="K51" s="2564" t="s">
        <v>2449</v>
      </c>
      <c r="L51" s="2577">
        <f ca="1">ROUND(-PV(INDIRECT("'数据-取费表'!h"&amp;$G$1),L48,(C39-C13*C76),0),0)</f>
        <v>-80973</v>
      </c>
      <c r="M51" s="2558"/>
      <c r="O51" s="2585" t="s">
        <v>2460</v>
      </c>
      <c r="P51" s="2593" t="s">
        <v>2486</v>
      </c>
      <c r="Q51" s="2586">
        <f>J52</f>
        <v>0</v>
      </c>
      <c r="R51" s="2584"/>
    </row>
    <row r="52" spans="1:18" s="1454" customFormat="1" ht="15.75" thickBot="1">
      <c r="A52" s="2429"/>
      <c r="B52" s="2431"/>
      <c r="C52" s="2432"/>
      <c r="D52" s="2401"/>
      <c r="E52" s="2433" t="s">
        <v>921</v>
      </c>
      <c r="F52" s="2528"/>
      <c r="I52" s="2556" t="s">
        <v>2452</v>
      </c>
      <c r="J52" s="2570"/>
      <c r="K52" s="2556" t="s">
        <v>2437</v>
      </c>
      <c r="L52" s="2570"/>
      <c r="M52" s="2393"/>
      <c r="O52" s="2585" t="s">
        <v>2461</v>
      </c>
      <c r="P52" s="2593" t="s">
        <v>2478</v>
      </c>
      <c r="Q52" s="2584">
        <f ca="1">J53</f>
        <v>44.07</v>
      </c>
      <c r="R52" s="2584" t="s">
        <v>2479</v>
      </c>
    </row>
    <row r="53" spans="1:18" s="1454" customFormat="1" ht="43.5" thickBot="1">
      <c r="A53" s="2708" t="s">
        <v>2626</v>
      </c>
      <c r="B53" s="2709" t="s">
        <v>2536</v>
      </c>
      <c r="C53" s="698">
        <f ca="1">ROUND(IF(F53="押一",F49*F51*F50/12*F11,IF(F53="押二",F49*F51*F50/12*2*F11,IF(F53="押三",F49*F51*F50/12*3*F11,C54*F11))),0)</f>
        <v>0</v>
      </c>
      <c r="D53" s="2630" t="s">
        <v>2544</v>
      </c>
      <c r="E53" s="2093" t="s">
        <v>2538</v>
      </c>
      <c r="F53" s="2824"/>
      <c r="I53" s="2566" t="s">
        <v>2454</v>
      </c>
      <c r="J53" s="2567">
        <f ca="1">IF(M47="住宅",J51,MIN(J51,L48))</f>
        <v>44.07</v>
      </c>
      <c r="K53" s="36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36"/>
      <c r="O53" s="2583" t="s">
        <v>2462</v>
      </c>
      <c r="P53" s="2593" t="s">
        <v>2480</v>
      </c>
      <c r="Q53" s="2584">
        <f ca="1">Q47+Q48</f>
        <v>64795</v>
      </c>
      <c r="R53" s="2584" t="s">
        <v>2463</v>
      </c>
    </row>
    <row r="54" spans="1:18" s="1454" customFormat="1" ht="16.5" thickBot="1">
      <c r="A54" s="2427"/>
      <c r="B54" s="2821" t="s">
        <v>2699</v>
      </c>
      <c r="C54" s="2411"/>
      <c r="D54" s="2630"/>
      <c r="E54" s="3412"/>
      <c r="F54" s="2536"/>
      <c r="I54" s="2408"/>
      <c r="J54" s="2565"/>
      <c r="K54" s="2565"/>
      <c r="L54" s="2565"/>
      <c r="M54" s="1458"/>
      <c r="O54" s="2587" t="s">
        <v>2487</v>
      </c>
      <c r="P54" s="1295"/>
      <c r="Q54" s="1295"/>
      <c r="R54" s="1295"/>
    </row>
    <row r="55" spans="1:18" s="1454" customFormat="1" ht="15.75" thickBot="1">
      <c r="A55" s="2666" t="s">
        <v>2549</v>
      </c>
      <c r="B55" s="2667" t="s">
        <v>2537</v>
      </c>
      <c r="C55" s="2668"/>
      <c r="D55" s="2630"/>
      <c r="E55" s="3412"/>
      <c r="F55" s="2536"/>
      <c r="I55" s="3314" t="s">
        <v>2430</v>
      </c>
      <c r="J55" s="3313">
        <f ca="1">ROUND(IF(J47="钢混",J57/J50,1-(1-2%)*(J50-J57)/J50),3)</f>
        <v>0.23200000000000001</v>
      </c>
      <c r="K55" s="2547" t="s">
        <v>2431</v>
      </c>
      <c r="L55" s="2569"/>
      <c r="O55" s="2590" t="s">
        <v>2471</v>
      </c>
      <c r="P55" s="2591" t="s">
        <v>2472</v>
      </c>
      <c r="Q55" s="2592" t="s">
        <v>2470</v>
      </c>
      <c r="R55" s="2592" t="s">
        <v>2473</v>
      </c>
    </row>
    <row r="56" spans="1:18" s="1454" customFormat="1" ht="44.25" thickTop="1" thickBot="1">
      <c r="A56" s="2405">
        <v>2</v>
      </c>
      <c r="B56" s="2406" t="s">
        <v>922</v>
      </c>
      <c r="C56" s="608">
        <f ca="1">C13</f>
        <v>73899</v>
      </c>
      <c r="D56" s="2694"/>
      <c r="E56" s="2407"/>
      <c r="F56" s="2536"/>
      <c r="I56" s="2539" t="s">
        <v>2432</v>
      </c>
      <c r="J56" s="2568" t="s">
        <v>41</v>
      </c>
      <c r="K56" s="2540" t="s">
        <v>2436</v>
      </c>
      <c r="L56" s="2164" t="str">
        <f ca="1">IF(L48&lt;J51,"——",L48-J51)</f>
        <v>——</v>
      </c>
      <c r="O56" s="2583" t="s">
        <v>2456</v>
      </c>
      <c r="P56" s="2593" t="s">
        <v>2474</v>
      </c>
      <c r="Q56" s="2584">
        <f ca="1">C40+J29</f>
        <v>33680</v>
      </c>
      <c r="R56" s="2584" t="s">
        <v>2475</v>
      </c>
    </row>
    <row r="57" spans="1:18" s="1454" customFormat="1" ht="29.25" thickBot="1">
      <c r="A57" s="2537"/>
      <c r="B57" s="2398" t="s">
        <v>971</v>
      </c>
      <c r="C57" s="614">
        <f ca="1">C29</f>
        <v>77788</v>
      </c>
      <c r="D57" s="2409"/>
      <c r="E57" s="2410"/>
      <c r="F57" s="2538"/>
      <c r="I57" s="2541" t="s">
        <v>2453</v>
      </c>
      <c r="J57" s="2545">
        <f ca="1">IF(OR(M47="住宅",J51&lt;L48,J56="是"),"——",J51-L48)</f>
        <v>13.93</v>
      </c>
      <c r="K57" s="2540" t="s">
        <v>2446</v>
      </c>
      <c r="L57" s="2164" t="str">
        <f ca="1">IF(L48&lt;J51,"——",IF(L55="比较法",L49,IF(L55="基准地价",L50,L51)))</f>
        <v>——</v>
      </c>
      <c r="O57" s="2583" t="s">
        <v>2457</v>
      </c>
      <c r="P57" s="2593" t="s">
        <v>2481</v>
      </c>
      <c r="Q57" s="2584">
        <f ca="1">L60</f>
        <v>0</v>
      </c>
      <c r="R57" s="2584" t="s">
        <v>2496</v>
      </c>
    </row>
    <row r="58" spans="1:18" s="1454" customFormat="1" ht="29.25" thickBot="1">
      <c r="A58" s="697" t="s">
        <v>2345</v>
      </c>
      <c r="B58" s="2406" t="s">
        <v>929</v>
      </c>
      <c r="C58" s="698">
        <f ca="1">ROUND(C59+C64+C65+C66,0)</f>
        <v>2057</v>
      </c>
      <c r="D58" s="2412" t="s">
        <v>930</v>
      </c>
      <c r="E58" s="2413"/>
      <c r="F58" s="2414"/>
      <c r="I58" s="2541" t="s">
        <v>2433</v>
      </c>
      <c r="J58" s="3315">
        <f ca="1">IF(J55&lt;0.4,0.4,J55)</f>
        <v>0.4</v>
      </c>
      <c r="K58" s="2564" t="s">
        <v>2455</v>
      </c>
      <c r="L58" s="2164">
        <f ca="1">IF(ISERROR(POWER(1+L52,L47-L48)*(POWER(1+L52,L48)-1)/(POWER(1+L52,L47)-1)),0,POWER(1+L52,L47-L48)*(POWER(1+L52,L48)-1)/(POWER(1+L52,L47)-1))</f>
        <v>0</v>
      </c>
      <c r="O58" s="2585" t="s">
        <v>2458</v>
      </c>
      <c r="P58" s="2593" t="s">
        <v>2488</v>
      </c>
      <c r="Q58" s="2584">
        <f>IF(L55="比较法",L49,IF(L55="基准地价",L50,0))</f>
        <v>0</v>
      </c>
      <c r="R58" s="2584" t="s">
        <v>2475</v>
      </c>
    </row>
    <row r="59" spans="1:18" s="1454" customFormat="1" ht="29.25" thickBot="1">
      <c r="A59" s="2434" t="s">
        <v>2380</v>
      </c>
      <c r="B59" s="2398" t="s">
        <v>363</v>
      </c>
      <c r="C59" s="313">
        <f ca="1">ROUND(IF(项目基本情况!B11="自然人",C48*F59,C60+C61+C62),0)</f>
        <v>742</v>
      </c>
      <c r="D59" s="2415" t="s">
        <v>933</v>
      </c>
      <c r="E59" s="2416" t="s">
        <v>934</v>
      </c>
      <c r="F59" s="708" t="str">
        <f ca="1">IF(项目基本情况!B11="企业","",IF(INDIRECT("'数据-取费表'!c"&amp;$G$1)="住宅",5%,IF(F49*F50*F51/12/(1+'数据-取费表'!C42)&gt;20000,12%,7%)))</f>
        <v/>
      </c>
      <c r="I59" s="2541" t="s">
        <v>2434</v>
      </c>
      <c r="J59" s="2545">
        <f ca="1">IF(OR(M47="住宅",J51&lt;L48,J56="是"),"——",ROUND(C29*J58,0))</f>
        <v>31115</v>
      </c>
      <c r="K59" s="2564" t="s">
        <v>2443</v>
      </c>
      <c r="L59" s="2164">
        <f ca="1">IF(ISERROR(POWER(1+L52,L47-J51)*(POWER(1+L52,J51)-1)/(POWER(1+L52,L47)-1)),0,POWER(1+L52,L47-J51)*(POWER(1+L52,J51)-1)/(POWER(1+L52,L47)-1))</f>
        <v>0</v>
      </c>
      <c r="O59" s="2585" t="s">
        <v>2459</v>
      </c>
      <c r="P59" s="2593" t="s">
        <v>2489</v>
      </c>
      <c r="Q59" s="2586">
        <f>L52</f>
        <v>0</v>
      </c>
      <c r="R59" s="2584"/>
    </row>
    <row r="60" spans="1:18" s="1454" customFormat="1" ht="20.25" thickBot="1">
      <c r="A60" s="2434" t="s">
        <v>2377</v>
      </c>
      <c r="B60" s="2398" t="s">
        <v>935</v>
      </c>
      <c r="C60" s="313">
        <f ca="1">IF(项目基本情况!B11="自然人","——",ROUND(C48*F60/(1+'数据-取费表'!C42),0))</f>
        <v>0</v>
      </c>
      <c r="D60" s="2416" t="s">
        <v>936</v>
      </c>
      <c r="E60" s="2398" t="s">
        <v>365</v>
      </c>
      <c r="F60" s="717">
        <f t="shared" ref="F60:F66" si="0">F32</f>
        <v>5.6000000000000001E-2</v>
      </c>
      <c r="I60" s="2542" t="s">
        <v>2435</v>
      </c>
      <c r="J60" s="2546">
        <f ca="1">IF(OR(M47="住宅",J51&lt;L48,J56="是"),"0",ROUND(J59/(1+J52)^J53,0))</f>
        <v>31115</v>
      </c>
      <c r="K60" s="2548" t="s">
        <v>2438</v>
      </c>
      <c r="L60" s="2546">
        <f ca="1">IF(OR(M47="住宅",L48&lt;J51),0,ROUND(L57*(L58/L59-1),0))</f>
        <v>0</v>
      </c>
      <c r="O60" s="2585" t="s">
        <v>2460</v>
      </c>
      <c r="P60" s="2593" t="s">
        <v>2490</v>
      </c>
      <c r="Q60" s="2584">
        <f ca="1">L58</f>
        <v>0</v>
      </c>
      <c r="R60" s="2584" t="s">
        <v>2465</v>
      </c>
    </row>
    <row r="61" spans="1:18" s="1454" customFormat="1" ht="20.25" thickBot="1">
      <c r="A61" s="2434" t="s">
        <v>2378</v>
      </c>
      <c r="B61" s="2398" t="s">
        <v>938</v>
      </c>
      <c r="C61" s="313">
        <f ca="1">IF(项目基本情况!B11="自然人","——",IF(D61="按租金收入计税",ROUND(C48*F61,0),IF(D61="按房产原值计税",ROUND(C57*F61*0.7,0),INDIRECT("'数据-取费表'!Aj"&amp;$G$1))))</f>
        <v>653</v>
      </c>
      <c r="D61" s="1300" t="s">
        <v>2420</v>
      </c>
      <c r="E61" s="2398" t="s">
        <v>365</v>
      </c>
      <c r="F61" s="707">
        <f t="shared" si="0"/>
        <v>1.2E-2</v>
      </c>
      <c r="I61" s="2408"/>
      <c r="J61" s="2408"/>
      <c r="K61" s="2408"/>
      <c r="L61" s="2408"/>
      <c r="O61" s="2585" t="s">
        <v>2461</v>
      </c>
      <c r="P61" s="2593" t="s">
        <v>2491</v>
      </c>
      <c r="Q61" s="2584">
        <f ca="1">L59</f>
        <v>0</v>
      </c>
      <c r="R61" s="2584" t="s">
        <v>2466</v>
      </c>
    </row>
    <row r="62" spans="1:18" s="1454" customFormat="1" ht="15.75" thickBot="1">
      <c r="A62" s="2434" t="s">
        <v>2379</v>
      </c>
      <c r="B62" s="2397" t="s">
        <v>940</v>
      </c>
      <c r="C62" s="314">
        <f ca="1">IF(项目基本情况!B11="自然人","——",ROUND(F62*F63,0))</f>
        <v>89</v>
      </c>
      <c r="D62" s="2417" t="s">
        <v>941</v>
      </c>
      <c r="E62" s="2398" t="s">
        <v>942</v>
      </c>
      <c r="F62" s="711">
        <f t="shared" si="0"/>
        <v>10</v>
      </c>
      <c r="I62" s="2543" t="s">
        <v>2425</v>
      </c>
      <c r="J62" s="2544" t="s">
        <v>2426</v>
      </c>
      <c r="K62" s="2544" t="s">
        <v>2427</v>
      </c>
      <c r="L62" s="2544" t="s">
        <v>2423</v>
      </c>
      <c r="M62" s="3316" t="s">
        <v>3036</v>
      </c>
      <c r="O62" s="2583" t="s">
        <v>2462</v>
      </c>
      <c r="P62" s="2593" t="s">
        <v>2480</v>
      </c>
      <c r="Q62" s="2584">
        <f ca="1">Q56+Q57</f>
        <v>33680</v>
      </c>
      <c r="R62" s="2584" t="s">
        <v>2463</v>
      </c>
    </row>
    <row r="63" spans="1:18" s="1454" customFormat="1" ht="16.5" thickBot="1">
      <c r="A63" s="712"/>
      <c r="B63" s="2404"/>
      <c r="C63" s="318"/>
      <c r="D63" s="2418"/>
      <c r="E63" s="2398" t="s">
        <v>946</v>
      </c>
      <c r="F63" s="685">
        <f t="shared" ca="1" si="0"/>
        <v>8.89</v>
      </c>
      <c r="I63" s="2543" t="s">
        <v>2439</v>
      </c>
      <c r="J63" s="3319">
        <v>70</v>
      </c>
      <c r="K63" s="3319">
        <v>50</v>
      </c>
      <c r="L63" s="3319">
        <v>80</v>
      </c>
      <c r="M63" s="3317">
        <v>0.02</v>
      </c>
      <c r="O63" s="2587" t="s">
        <v>2494</v>
      </c>
      <c r="P63" s="1295"/>
      <c r="Q63" s="1295"/>
      <c r="R63" s="1295"/>
    </row>
    <row r="64" spans="1:18" s="1454" customFormat="1" ht="15.75" thickBot="1">
      <c r="A64" s="2434" t="s">
        <v>2387</v>
      </c>
      <c r="B64" s="2398" t="s">
        <v>948</v>
      </c>
      <c r="C64" s="313">
        <f ca="1">ROUND(C57*F64,0)</f>
        <v>1167</v>
      </c>
      <c r="D64" s="2416" t="s">
        <v>978</v>
      </c>
      <c r="E64" s="2398" t="s">
        <v>365</v>
      </c>
      <c r="F64" s="714">
        <f t="shared" ca="1" si="0"/>
        <v>1.4999999999999999E-2</v>
      </c>
      <c r="I64" s="2543" t="s">
        <v>107</v>
      </c>
      <c r="J64" s="3319">
        <v>50</v>
      </c>
      <c r="K64" s="3319">
        <v>35</v>
      </c>
      <c r="L64" s="3319">
        <v>60</v>
      </c>
      <c r="M64" s="3318">
        <v>0</v>
      </c>
      <c r="O64" s="2590" t="s">
        <v>2471</v>
      </c>
      <c r="P64" s="2591" t="s">
        <v>2472</v>
      </c>
      <c r="Q64" s="2592" t="s">
        <v>2470</v>
      </c>
      <c r="R64" s="2592" t="s">
        <v>2473</v>
      </c>
    </row>
    <row r="65" spans="1:18" s="1454" customFormat="1" ht="15.75" thickBot="1">
      <c r="A65" s="2434" t="s">
        <v>2381</v>
      </c>
      <c r="B65" s="2398" t="s">
        <v>368</v>
      </c>
      <c r="C65" s="313">
        <f ca="1">ROUND(C56*F65,0)</f>
        <v>148</v>
      </c>
      <c r="D65" s="2416" t="s">
        <v>369</v>
      </c>
      <c r="E65" s="2398" t="s">
        <v>365</v>
      </c>
      <c r="F65" s="716">
        <f t="shared" ca="1" si="0"/>
        <v>2E-3</v>
      </c>
      <c r="I65" s="2543" t="s">
        <v>2441</v>
      </c>
      <c r="J65" s="3319">
        <v>40</v>
      </c>
      <c r="K65" s="3319">
        <v>30</v>
      </c>
      <c r="L65" s="3319">
        <v>50</v>
      </c>
      <c r="M65" s="3317">
        <v>0.02</v>
      </c>
      <c r="O65" s="2583" t="s">
        <v>2456</v>
      </c>
      <c r="P65" s="2593" t="s">
        <v>2474</v>
      </c>
      <c r="Q65" s="2584">
        <f ca="1">C40+J29</f>
        <v>33680</v>
      </c>
      <c r="R65" s="2584" t="s">
        <v>2475</v>
      </c>
    </row>
    <row r="66" spans="1:18" s="1454" customFormat="1" ht="20.25" thickBot="1">
      <c r="A66" s="2434" t="s">
        <v>2382</v>
      </c>
      <c r="B66" s="2398" t="s">
        <v>367</v>
      </c>
      <c r="C66" s="313">
        <f ca="1">ROUND(C48*F66,0)</f>
        <v>0</v>
      </c>
      <c r="D66" s="2416" t="s">
        <v>371</v>
      </c>
      <c r="E66" s="2398" t="s">
        <v>365</v>
      </c>
      <c r="F66" s="694">
        <f t="shared" ca="1" si="0"/>
        <v>0.01</v>
      </c>
      <c r="O66" s="2583" t="s">
        <v>2457</v>
      </c>
      <c r="P66" s="2593" t="s">
        <v>2481</v>
      </c>
      <c r="Q66" s="2584">
        <f ca="1">L60</f>
        <v>0</v>
      </c>
      <c r="R66" s="2584" t="s">
        <v>2464</v>
      </c>
    </row>
    <row r="67" spans="1:18" s="1454" customFormat="1" ht="24.75" thickBot="1">
      <c r="A67" s="2405" t="s">
        <v>2360</v>
      </c>
      <c r="B67" s="2419" t="s">
        <v>377</v>
      </c>
      <c r="C67" s="698">
        <f ca="1">C48-C58</f>
        <v>-2057</v>
      </c>
      <c r="D67" s="2415" t="s">
        <v>378</v>
      </c>
      <c r="E67" s="2420"/>
      <c r="F67" s="2421"/>
      <c r="O67" s="2585" t="s">
        <v>2458</v>
      </c>
      <c r="P67" s="2593" t="s">
        <v>2488</v>
      </c>
      <c r="Q67" s="2588">
        <f ca="1">L51</f>
        <v>-80973</v>
      </c>
      <c r="R67" s="2589" t="s">
        <v>2498</v>
      </c>
    </row>
    <row r="68" spans="1:18" s="1454" customFormat="1" ht="20.25" thickBot="1">
      <c r="A68" s="2395" t="s">
        <v>2363</v>
      </c>
      <c r="B68" s="2396" t="s">
        <v>379</v>
      </c>
      <c r="C68" s="683">
        <f ca="1">ROUND(C67*(1-((1+F70)/(1+F68))^F69)/(F68-F70),0)</f>
        <v>-53830</v>
      </c>
      <c r="D68" s="2417" t="s">
        <v>373</v>
      </c>
      <c r="E68" s="2398" t="s">
        <v>374</v>
      </c>
      <c r="F68" s="694">
        <f ca="1">F40</f>
        <v>0.05</v>
      </c>
      <c r="O68" s="2585" t="s">
        <v>2459</v>
      </c>
      <c r="P68" s="2594" t="s">
        <v>2492</v>
      </c>
      <c r="Q68" s="2584">
        <f ca="1">ROUND(Q69-Q70*Q71,0)</f>
        <v>-4255</v>
      </c>
      <c r="R68" s="2584" t="s">
        <v>2497</v>
      </c>
    </row>
    <row r="69" spans="1:18" s="1454" customFormat="1" ht="15.75" thickBot="1">
      <c r="A69" s="2399"/>
      <c r="B69" s="2400"/>
      <c r="C69" s="688"/>
      <c r="D69" s="2422" t="s">
        <v>963</v>
      </c>
      <c r="E69" s="2398" t="s">
        <v>381</v>
      </c>
      <c r="F69" s="719">
        <f ca="1">F41</f>
        <v>44.07</v>
      </c>
      <c r="O69" s="2585" t="s">
        <v>2467</v>
      </c>
      <c r="P69" s="2594" t="s">
        <v>2482</v>
      </c>
      <c r="Q69" s="2584">
        <f ca="1">C39</f>
        <v>1287</v>
      </c>
      <c r="R69" s="2584" t="s">
        <v>2475</v>
      </c>
    </row>
    <row r="70" spans="1:18" s="1454" customFormat="1" ht="15.75" thickBot="1">
      <c r="A70" s="2402"/>
      <c r="B70" s="2403"/>
      <c r="C70" s="692"/>
      <c r="D70" s="2418"/>
      <c r="E70" s="2398" t="s">
        <v>382</v>
      </c>
      <c r="F70" s="2528">
        <f ca="1">F42</f>
        <v>2.5000000000000001E-2</v>
      </c>
      <c r="O70" s="2585" t="s">
        <v>2468</v>
      </c>
      <c r="P70" s="2594" t="s">
        <v>2483</v>
      </c>
      <c r="Q70" s="2584">
        <f ca="1">C13</f>
        <v>73899</v>
      </c>
      <c r="R70" s="2584" t="s">
        <v>2475</v>
      </c>
    </row>
    <row r="71" spans="1:18" s="1454" customFormat="1" ht="15.75" thickBot="1">
      <c r="A71" s="2423" t="s">
        <v>2370</v>
      </c>
      <c r="B71" s="2424" t="s">
        <v>383</v>
      </c>
      <c r="C71" s="722">
        <f ca="1">ROUND(C68/F71,0)</f>
        <v>-1824</v>
      </c>
      <c r="D71" s="2425" t="s">
        <v>384</v>
      </c>
      <c r="E71" s="2426" t="s">
        <v>385</v>
      </c>
      <c r="F71" s="725">
        <f ca="1">F43</f>
        <v>29.51</v>
      </c>
      <c r="I71" s="2393"/>
      <c r="K71" s="2393"/>
      <c r="O71" s="2585" t="s">
        <v>2469</v>
      </c>
      <c r="P71" s="2594" t="s">
        <v>2495</v>
      </c>
      <c r="Q71" s="2586">
        <f ca="1">C76</f>
        <v>7.4999999999999997E-2</v>
      </c>
      <c r="R71" s="2584"/>
    </row>
    <row r="72" spans="1:18" s="1454" customFormat="1" ht="15.75" thickBot="1">
      <c r="B72" s="1459"/>
      <c r="C72" s="1459"/>
      <c r="I72" s="2393"/>
      <c r="O72" s="2585" t="s">
        <v>2460</v>
      </c>
      <c r="P72" s="2593" t="s">
        <v>2489</v>
      </c>
      <c r="Q72" s="2586">
        <f>L52</f>
        <v>0</v>
      </c>
      <c r="R72" s="2584"/>
    </row>
    <row r="73" spans="1:18" ht="20.25" thickBot="1">
      <c r="A73" s="1454"/>
      <c r="B73" s="1459"/>
      <c r="C73" s="1459"/>
      <c r="D73" s="1454"/>
      <c r="E73" s="1454"/>
      <c r="F73" s="1454"/>
      <c r="I73" s="2579"/>
      <c r="O73" s="2585" t="s">
        <v>2461</v>
      </c>
      <c r="P73" s="2593" t="s">
        <v>2490</v>
      </c>
      <c r="Q73" s="2584">
        <f ca="1">L58</f>
        <v>0</v>
      </c>
      <c r="R73" s="2584" t="s">
        <v>2465</v>
      </c>
    </row>
    <row r="74" spans="1:18" ht="20.25" thickBot="1">
      <c r="A74" s="1454"/>
      <c r="B74" s="727" t="s">
        <v>386</v>
      </c>
      <c r="C74" s="728"/>
      <c r="D74" s="1454"/>
      <c r="E74" s="1454"/>
      <c r="F74" s="1454"/>
      <c r="O74" s="2585" t="s">
        <v>2499</v>
      </c>
      <c r="P74" s="2593" t="s">
        <v>2491</v>
      </c>
      <c r="Q74" s="2584">
        <f ca="1">L59</f>
        <v>0</v>
      </c>
      <c r="R74" s="2584" t="s">
        <v>2466</v>
      </c>
    </row>
    <row r="75" spans="1:18" ht="15.75" thickBot="1">
      <c r="A75" s="1454"/>
      <c r="B75" s="729" t="s">
        <v>976</v>
      </c>
      <c r="C75" s="730">
        <f ca="1">ROUND(C13*C76,0)</f>
        <v>5542</v>
      </c>
      <c r="D75" s="1454"/>
      <c r="E75" s="1454"/>
      <c r="F75" s="1454"/>
      <c r="K75" s="1455"/>
      <c r="L75" s="1454"/>
      <c r="O75" s="2583" t="s">
        <v>2462</v>
      </c>
      <c r="P75" s="2593" t="s">
        <v>2480</v>
      </c>
      <c r="Q75" s="2584">
        <f ca="1">Q65+Q66</f>
        <v>33680</v>
      </c>
      <c r="R75" s="2584" t="s">
        <v>2463</v>
      </c>
    </row>
    <row r="76" spans="1:18">
      <c r="B76" s="731" t="s">
        <v>977</v>
      </c>
      <c r="C76" s="732">
        <f ca="1">INDIRECT("'数据-取费表'!j"&amp;$G$1)</f>
        <v>7.4999999999999997E-2</v>
      </c>
      <c r="I76" s="1454"/>
      <c r="J76" s="1454"/>
      <c r="K76" s="1455"/>
      <c r="L76" s="1454"/>
    </row>
    <row r="77" spans="1:18">
      <c r="B77" s="733" t="s">
        <v>980</v>
      </c>
      <c r="C77" s="734"/>
      <c r="I77" s="1454"/>
      <c r="J77" s="1454"/>
      <c r="K77" s="1455"/>
      <c r="L77" s="1454"/>
    </row>
    <row r="78" spans="1:18">
      <c r="B78" s="646" t="s">
        <v>966</v>
      </c>
      <c r="C78" s="735"/>
    </row>
    <row r="79" spans="1:18">
      <c r="B79" s="2869" t="s">
        <v>2706</v>
      </c>
      <c r="C79" s="650">
        <f ca="1">1-C80</f>
        <v>-3.306</v>
      </c>
    </row>
    <row r="80" spans="1:18">
      <c r="B80" s="2869" t="s">
        <v>2705</v>
      </c>
      <c r="C80" s="650">
        <f ca="1">ROUND(C75/C39,3)</f>
        <v>4.306</v>
      </c>
    </row>
    <row r="81" spans="2:3">
      <c r="B81" s="646" t="s">
        <v>387</v>
      </c>
      <c r="C81" s="647"/>
    </row>
    <row r="82" spans="2:3">
      <c r="B82" s="2868" t="s">
        <v>2704</v>
      </c>
      <c r="C82" s="651">
        <f ca="1">1-C83</f>
        <v>-1.194</v>
      </c>
    </row>
    <row r="83" spans="2:3">
      <c r="B83" s="2868" t="s">
        <v>2703</v>
      </c>
      <c r="C83" s="650">
        <f ca="1">ROUND(C13/C40,3)</f>
        <v>2.194</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26" priority="5">
      <formula>$L$48&gt;$J$51</formula>
    </cfRule>
  </conditionalFormatting>
  <conditionalFormatting sqref="I55 I60">
    <cfRule type="expression" dxfId="25" priority="4">
      <formula>$J$51&gt;$L$48</formula>
    </cfRule>
  </conditionalFormatting>
  <conditionalFormatting sqref="C11">
    <cfRule type="expression" dxfId="24" priority="3">
      <formula>$F$10="自定义"</formula>
    </cfRule>
  </conditionalFormatting>
  <conditionalFormatting sqref="J11">
    <cfRule type="expression" dxfId="23" priority="2">
      <formula>$M$10="自定义"</formula>
    </cfRule>
  </conditionalFormatting>
  <conditionalFormatting sqref="C54">
    <cfRule type="expression" dxfId="22" priority="1">
      <formula>$F$53="自定义"</formula>
    </cfRule>
  </conditionalFormatting>
  <dataValidations count="8">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sheetPr>
    <tabColor rgb="FF92D050"/>
  </sheetPr>
  <dimension ref="A1:AK83"/>
  <sheetViews>
    <sheetView zoomScale="85" zoomScaleNormal="85" workbookViewId="0">
      <selection activeCell="F41" sqref="F41"/>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4"/>
  </cols>
  <sheetData>
    <row r="1" spans="1:37" s="671" customFormat="1" ht="21">
      <c r="A1" s="669" t="s">
        <v>911</v>
      </c>
      <c r="B1" s="670"/>
      <c r="C1" s="2388" t="s">
        <v>3257</v>
      </c>
      <c r="D1" s="1273"/>
      <c r="E1" s="2581" t="s">
        <v>538</v>
      </c>
      <c r="F1" s="2582">
        <f ca="1">J53</f>
        <v>44.07</v>
      </c>
      <c r="G1" s="672">
        <f>MATCH(C1,'数据-取费表'!A6:A16,0)+5</f>
        <v>9</v>
      </c>
      <c r="H1" s="1296"/>
      <c r="I1" s="676"/>
      <c r="J1" s="676"/>
      <c r="K1" s="1297"/>
      <c r="L1" s="676"/>
      <c r="M1" s="676"/>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7" t="s">
        <v>345</v>
      </c>
      <c r="B2" s="1406">
        <f ca="1">ROUND(D2/10000,0)</f>
        <v>6</v>
      </c>
      <c r="C2" s="1299" t="s">
        <v>1105</v>
      </c>
      <c r="D2" s="2720">
        <f ca="1">C40+J29+L46</f>
        <v>64795</v>
      </c>
      <c r="E2" s="2571" t="s">
        <v>2628</v>
      </c>
      <c r="F2" s="1276"/>
      <c r="G2" s="2283"/>
      <c r="H2" s="1274"/>
      <c r="I2" s="1274"/>
      <c r="J2" s="1274"/>
      <c r="K2" s="1298"/>
      <c r="L2" s="1274"/>
      <c r="M2" s="1274"/>
    </row>
    <row r="3" spans="1:37" ht="18" customHeight="1" thickBot="1">
      <c r="A3" s="675" t="s">
        <v>346</v>
      </c>
      <c r="B3" s="1407">
        <f ca="1">IF(ISERROR(D2/F43),0,ROUND(D2/F43,0))</f>
        <v>2196</v>
      </c>
      <c r="C3" s="1299" t="s">
        <v>1106</v>
      </c>
      <c r="D3" s="1275"/>
      <c r="E3" s="2571"/>
      <c r="F3" s="1276"/>
      <c r="G3" s="2283"/>
      <c r="H3" s="676" t="s">
        <v>912</v>
      </c>
      <c r="I3" s="1274"/>
      <c r="J3" s="1274"/>
      <c r="K3" s="1298"/>
      <c r="L3" s="1274"/>
      <c r="M3" s="1274"/>
    </row>
    <row r="4" spans="1:37" ht="18" customHeight="1">
      <c r="A4" s="677" t="s">
        <v>913</v>
      </c>
      <c r="B4" s="678" t="s">
        <v>914</v>
      </c>
      <c r="C4" s="678" t="s">
        <v>915</v>
      </c>
      <c r="D4" s="678" t="s">
        <v>916</v>
      </c>
      <c r="E4" s="679" t="s">
        <v>917</v>
      </c>
      <c r="F4" s="680"/>
      <c r="G4" s="2284"/>
      <c r="H4" s="677" t="s">
        <v>913</v>
      </c>
      <c r="I4" s="678" t="s">
        <v>914</v>
      </c>
      <c r="J4" s="678" t="s">
        <v>915</v>
      </c>
      <c r="K4" s="678" t="s">
        <v>916</v>
      </c>
      <c r="L4" s="679" t="s">
        <v>917</v>
      </c>
      <c r="M4" s="680"/>
    </row>
    <row r="5" spans="1:37" ht="18" customHeight="1">
      <c r="A5" s="681">
        <v>1</v>
      </c>
      <c r="B5" s="682" t="s">
        <v>2339</v>
      </c>
      <c r="C5" s="2622">
        <f ca="1">C6+C10+C12</f>
        <v>3570</v>
      </c>
      <c r="D5" s="2632" t="s">
        <v>2542</v>
      </c>
      <c r="E5" s="2623"/>
      <c r="F5" s="2624"/>
      <c r="G5" s="2284"/>
      <c r="H5" s="681">
        <v>1</v>
      </c>
      <c r="I5" s="682" t="s">
        <v>2339</v>
      </c>
      <c r="J5" s="2622">
        <f ca="1">J6+J10+J12</f>
        <v>0</v>
      </c>
      <c r="K5" s="2625" t="s">
        <v>2542</v>
      </c>
      <c r="L5" s="2623"/>
      <c r="M5" s="2624"/>
    </row>
    <row r="6" spans="1:37" ht="18" customHeight="1">
      <c r="A6" s="2618" t="s">
        <v>2380</v>
      </c>
      <c r="B6" s="3637" t="s">
        <v>2541</v>
      </c>
      <c r="C6" s="2627">
        <f ca="1">ROUND(F6*F8*F7*(1-F9),0)</f>
        <v>3570</v>
      </c>
      <c r="D6" s="2621" t="s">
        <v>2543</v>
      </c>
      <c r="E6" s="684" t="s">
        <v>918</v>
      </c>
      <c r="F6" s="685">
        <f ca="1">INDIRECT("'数据-取费表'!u"&amp;$G$1)</f>
        <v>350</v>
      </c>
      <c r="G6" s="2284"/>
      <c r="H6" s="2618" t="s">
        <v>2380</v>
      </c>
      <c r="I6" s="3637" t="s">
        <v>2541</v>
      </c>
      <c r="J6" s="683">
        <f ca="1">ROUND(M6*M8*M7*(1-M9),0)</f>
        <v>0</v>
      </c>
      <c r="K6" s="2621" t="s">
        <v>2543</v>
      </c>
      <c r="L6" s="684" t="s">
        <v>918</v>
      </c>
      <c r="M6" s="685">
        <f ca="1">INDIRECT("'数据-取费表'!z"&amp;$G$1)</f>
        <v>0</v>
      </c>
    </row>
    <row r="7" spans="1:37" ht="18" customHeight="1">
      <c r="A7" s="2626"/>
      <c r="B7" s="3638"/>
      <c r="C7" s="2628"/>
      <c r="D7" s="2057"/>
      <c r="E7" s="2629" t="s">
        <v>919</v>
      </c>
      <c r="F7" s="685">
        <f ca="1">IF(INDIRECT("'数据-取费表'!ah"&amp;$G$1)="",INDIRECT("'数据-取费表'!k"&amp;$G$1),INDIRECT("'数据-取费表'!ah"&amp;$G$1))</f>
        <v>1</v>
      </c>
      <c r="G7" s="2284"/>
      <c r="H7" s="686"/>
      <c r="I7" s="3638"/>
      <c r="J7" s="688"/>
      <c r="K7" s="689"/>
      <c r="L7" s="684" t="s">
        <v>919</v>
      </c>
      <c r="M7" s="685">
        <f ca="1">F7</f>
        <v>1</v>
      </c>
    </row>
    <row r="8" spans="1:37" ht="18" customHeight="1">
      <c r="A8" s="686"/>
      <c r="B8" s="3638"/>
      <c r="C8" s="688"/>
      <c r="D8" s="689"/>
      <c r="E8" s="684" t="s">
        <v>920</v>
      </c>
      <c r="F8" s="685">
        <f ca="1">INDIRECT("'数据-取费表'!ai"&amp;$G$1)</f>
        <v>12</v>
      </c>
      <c r="G8" s="2284"/>
      <c r="H8" s="686"/>
      <c r="I8" s="3638"/>
      <c r="J8" s="688"/>
      <c r="K8" s="689"/>
      <c r="L8" s="684" t="s">
        <v>920</v>
      </c>
      <c r="M8" s="685">
        <f ca="1">INDIRECT("'数据-取费表'!ai"&amp;$G$1)</f>
        <v>12</v>
      </c>
    </row>
    <row r="9" spans="1:37" ht="18" customHeight="1">
      <c r="A9" s="686"/>
      <c r="B9" s="3639"/>
      <c r="C9" s="688"/>
      <c r="D9" s="689"/>
      <c r="E9" s="684" t="s">
        <v>921</v>
      </c>
      <c r="F9" s="694">
        <f ca="1">INDIRECT("'数据-取费表'!w"&amp;$G$1)</f>
        <v>0.15</v>
      </c>
      <c r="G9" s="2284"/>
      <c r="H9" s="686"/>
      <c r="I9" s="3639"/>
      <c r="J9" s="688"/>
      <c r="K9" s="689"/>
      <c r="L9" s="695" t="s">
        <v>921</v>
      </c>
      <c r="M9" s="696">
        <f ca="1">INDIRECT("'数据-取费表'!ab"&amp;$G$1)</f>
        <v>0</v>
      </c>
    </row>
    <row r="10" spans="1:37" ht="18" customHeight="1">
      <c r="A10" s="2618" t="s">
        <v>2387</v>
      </c>
      <c r="B10" s="2619" t="s">
        <v>2536</v>
      </c>
      <c r="C10" s="698">
        <f ca="1">ROUND(IF(F10="押一",F6*F8*F7/12*F11,IF(F10="押二",F6*F8*F7/12*2*F11,IF(F10="押三",F6*F8*F7/12*3*F11,C11*F11))),0)</f>
        <v>0</v>
      </c>
      <c r="D10" s="2630" t="s">
        <v>2544</v>
      </c>
      <c r="E10" s="2093" t="s">
        <v>2538</v>
      </c>
      <c r="F10" s="3420" t="s">
        <v>3302</v>
      </c>
      <c r="G10" s="2284"/>
      <c r="H10" s="2618" t="s">
        <v>2387</v>
      </c>
      <c r="I10" s="2619" t="s">
        <v>2536</v>
      </c>
      <c r="J10" s="683">
        <f ca="1">ROUND(IF(M10="押一",M6*M8*M7/12*M11,IF(M10="押二",M6*M8*M7/12*2*M11,IF(M10="押三",M6*M8*M7/12*3*M11,J11*M11))),0)</f>
        <v>0</v>
      </c>
      <c r="K10" s="2630" t="s">
        <v>2544</v>
      </c>
      <c r="L10" s="2093" t="s">
        <v>2538</v>
      </c>
      <c r="M10" s="2824" t="s">
        <v>3302</v>
      </c>
    </row>
    <row r="11" spans="1:37" ht="18" customHeight="1">
      <c r="A11" s="690"/>
      <c r="B11" s="2620" t="s">
        <v>2546</v>
      </c>
      <c r="C11" s="2411"/>
      <c r="D11" s="689"/>
      <c r="E11" s="2093" t="s">
        <v>2539</v>
      </c>
      <c r="F11" s="696">
        <f ca="1">'数据-取费表'!B39</f>
        <v>1.4999999999999999E-2</v>
      </c>
      <c r="G11" s="2284"/>
      <c r="H11" s="2631"/>
      <c r="I11" s="2620" t="s">
        <v>2699</v>
      </c>
      <c r="J11" s="2411"/>
      <c r="K11" s="1280"/>
      <c r="L11" s="2093" t="s">
        <v>2539</v>
      </c>
      <c r="M11" s="2092">
        <f ca="1">'数据-取费表'!B39</f>
        <v>1.4999999999999999E-2</v>
      </c>
    </row>
    <row r="12" spans="1:37" ht="18" customHeight="1" thickBot="1">
      <c r="A12" s="2666" t="s">
        <v>2549</v>
      </c>
      <c r="B12" s="2667" t="s">
        <v>2537</v>
      </c>
      <c r="C12" s="2668"/>
      <c r="D12" s="2669"/>
      <c r="E12" s="2670"/>
      <c r="F12" s="2671"/>
      <c r="G12" s="2284"/>
      <c r="H12" s="2666" t="s">
        <v>2549</v>
      </c>
      <c r="I12" s="2667" t="s">
        <v>2537</v>
      </c>
      <c r="J12" s="2668"/>
      <c r="K12" s="2685"/>
      <c r="L12" s="2670"/>
      <c r="M12" s="2686"/>
    </row>
    <row r="13" spans="1:37" ht="18" customHeight="1" thickTop="1">
      <c r="A13" s="2662">
        <v>2</v>
      </c>
      <c r="B13" s="2663" t="s">
        <v>922</v>
      </c>
      <c r="C13" s="692">
        <f ca="1">ROUND(C29*F13,0)</f>
        <v>73899</v>
      </c>
      <c r="D13" s="2664" t="s">
        <v>923</v>
      </c>
      <c r="E13" s="2664" t="s">
        <v>924</v>
      </c>
      <c r="F13" s="2665">
        <f ca="1">INDIRECT("'数据-取费表'!y"&amp;$G$1)</f>
        <v>0.95</v>
      </c>
      <c r="G13" s="2284"/>
      <c r="H13" s="2662">
        <v>2</v>
      </c>
      <c r="I13" s="2663" t="s">
        <v>922</v>
      </c>
      <c r="J13" s="2617">
        <f ca="1">ROUND(J14*J15,0)</f>
        <v>0</v>
      </c>
      <c r="K13" s="2672" t="s">
        <v>923</v>
      </c>
      <c r="L13" s="2683"/>
      <c r="M13" s="2684"/>
    </row>
    <row r="14" spans="1:37" ht="18" customHeight="1">
      <c r="A14" s="2434" t="s">
        <v>2377</v>
      </c>
      <c r="B14" s="684" t="s">
        <v>359</v>
      </c>
      <c r="C14" s="702">
        <f ca="1">ROUND(INDIRECT("'数据-取费表'!l"&amp;$G$1)*F43+'数据-取费表'!L14*INDIRECT("'数据-取费表'!S"&amp;$G$1),0)</f>
        <v>53118</v>
      </c>
      <c r="D14" s="3363" t="s">
        <v>925</v>
      </c>
      <c r="E14" s="3357"/>
      <c r="F14" s="703"/>
      <c r="G14" s="2284"/>
      <c r="H14" s="2434" t="s">
        <v>2380</v>
      </c>
      <c r="I14" s="684" t="s">
        <v>926</v>
      </c>
      <c r="J14" s="313">
        <f ca="1">C29</f>
        <v>77788</v>
      </c>
      <c r="K14" s="303"/>
      <c r="L14" s="700"/>
      <c r="M14" s="701"/>
    </row>
    <row r="15" spans="1:37" s="706" customFormat="1" ht="18" customHeight="1" thickBot="1">
      <c r="A15" s="2434" t="s">
        <v>2613</v>
      </c>
      <c r="B15" s="684" t="s">
        <v>360</v>
      </c>
      <c r="C15" s="313">
        <f ca="1">ROUND(C14*F15,0)</f>
        <v>1594</v>
      </c>
      <c r="D15" s="704" t="s">
        <v>927</v>
      </c>
      <c r="E15" s="704" t="s">
        <v>365</v>
      </c>
      <c r="F15" s="705">
        <f>'数据-取费表'!B33</f>
        <v>0.03</v>
      </c>
      <c r="G15" s="2285"/>
      <c r="H15" s="2674" t="s">
        <v>2387</v>
      </c>
      <c r="I15" s="2675" t="s">
        <v>924</v>
      </c>
      <c r="J15" s="2686">
        <f ca="1">INDIRECT("'数据-取费表'!ad"&amp;$G$1)</f>
        <v>0</v>
      </c>
      <c r="K15" s="2687"/>
      <c r="L15" s="2688"/>
      <c r="M15" s="2689"/>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4" t="s">
        <v>2614</v>
      </c>
      <c r="B16" s="684" t="s">
        <v>361</v>
      </c>
      <c r="C16" s="313">
        <f ca="1">ROUND(INDIRECT("'数据-取费表'!l"&amp;$G$1)*F43*F16,0)</f>
        <v>0</v>
      </c>
      <c r="D16" s="684" t="s">
        <v>927</v>
      </c>
      <c r="E16" s="684" t="s">
        <v>365</v>
      </c>
      <c r="F16" s="707">
        <f ca="1">IF(INDIRECT("'数据-取费表'!c"&amp;$G$1)="住宅",'数据-取费表'!B34,0)</f>
        <v>0</v>
      </c>
      <c r="G16" s="2284"/>
      <c r="H16" s="2662" t="s">
        <v>2345</v>
      </c>
      <c r="I16" s="2663" t="s">
        <v>929</v>
      </c>
      <c r="J16" s="692">
        <f ca="1">ROUND(J17+J22+J23+J24,0)</f>
        <v>1909</v>
      </c>
      <c r="K16" s="2672" t="s">
        <v>930</v>
      </c>
      <c r="L16" s="2673"/>
      <c r="M16" s="2624"/>
    </row>
    <row r="17" spans="1:37" s="706" customFormat="1" ht="18" customHeight="1">
      <c r="A17" s="2434" t="s">
        <v>2615</v>
      </c>
      <c r="B17" s="684" t="s">
        <v>362</v>
      </c>
      <c r="C17" s="313">
        <f ca="1">ROUND(F17*(F43+INDIRECT("'数据-取费表'!S"&amp;$G$1)),0)</f>
        <v>5902</v>
      </c>
      <c r="D17" s="684" t="s">
        <v>931</v>
      </c>
      <c r="E17" s="684" t="s">
        <v>932</v>
      </c>
      <c r="F17" s="315">
        <f>'数据-取费表'!B35</f>
        <v>200</v>
      </c>
      <c r="G17" s="2285"/>
      <c r="H17" s="2434" t="s">
        <v>2380</v>
      </c>
      <c r="I17" s="684" t="s">
        <v>363</v>
      </c>
      <c r="J17" s="313">
        <f ca="1">ROUND(IF(项目基本情况!B11="自然人",J5*M17,J18+J19+J20),0)</f>
        <v>742</v>
      </c>
      <c r="K17" s="3363" t="s">
        <v>933</v>
      </c>
      <c r="L17" s="3361" t="s">
        <v>934</v>
      </c>
      <c r="M17" s="708"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6" customFormat="1" ht="18" customHeight="1">
      <c r="A18" s="2434" t="s">
        <v>2616</v>
      </c>
      <c r="B18" s="684" t="s">
        <v>364</v>
      </c>
      <c r="C18" s="313">
        <f ca="1">ROUND(C14*F18,0)</f>
        <v>797</v>
      </c>
      <c r="D18" s="684" t="s">
        <v>927</v>
      </c>
      <c r="E18" s="684" t="s">
        <v>365</v>
      </c>
      <c r="F18" s="707">
        <f>'数据-取费表'!B36</f>
        <v>1.4999999999999999E-2</v>
      </c>
      <c r="G18" s="2285"/>
      <c r="H18" s="2434" t="s">
        <v>2377</v>
      </c>
      <c r="I18" s="684" t="s">
        <v>935</v>
      </c>
      <c r="J18" s="313">
        <f ca="1">ROUND(J5*M18/(1+'数据-取费表'!C42),0)</f>
        <v>0</v>
      </c>
      <c r="K18" s="3361" t="s">
        <v>936</v>
      </c>
      <c r="L18" s="684" t="s">
        <v>365</v>
      </c>
      <c r="M18" s="707">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4" t="s">
        <v>2380</v>
      </c>
      <c r="B19" s="684" t="s">
        <v>366</v>
      </c>
      <c r="C19" s="313">
        <f ca="1">SUM(C14:C18)</f>
        <v>61411</v>
      </c>
      <c r="D19" s="471" t="s">
        <v>937</v>
      </c>
      <c r="E19" s="3372"/>
      <c r="F19" s="315"/>
      <c r="G19" s="2284"/>
      <c r="H19" s="2434" t="s">
        <v>2613</v>
      </c>
      <c r="I19" s="684" t="s">
        <v>938</v>
      </c>
      <c r="J19" s="313">
        <f ca="1">IF(K19="按租金收入计税",ROUND(J5*M19,0),ROUND(C29*M19*0.7,0))</f>
        <v>653</v>
      </c>
      <c r="K19" s="1300" t="s">
        <v>2420</v>
      </c>
      <c r="L19" s="684" t="s">
        <v>365</v>
      </c>
      <c r="M19" s="707">
        <f>IF(K19="按租金收入计税",'数据-取费表'!B51,'数据-取费表'!B50)</f>
        <v>1.2E-2</v>
      </c>
    </row>
    <row r="20" spans="1:37" s="706" customFormat="1" ht="18" customHeight="1">
      <c r="A20" s="2434" t="s">
        <v>2617</v>
      </c>
      <c r="B20" s="684" t="s">
        <v>367</v>
      </c>
      <c r="C20" s="313">
        <f ca="1">ROUND(C19*F20,0)</f>
        <v>921</v>
      </c>
      <c r="D20" s="709" t="s">
        <v>939</v>
      </c>
      <c r="E20" s="684" t="s">
        <v>365</v>
      </c>
      <c r="F20" s="707">
        <f>'数据-取费表'!B37</f>
        <v>1.4999999999999999E-2</v>
      </c>
      <c r="G20" s="2285"/>
      <c r="H20" s="2434" t="s">
        <v>2614</v>
      </c>
      <c r="I20" s="496" t="s">
        <v>940</v>
      </c>
      <c r="J20" s="314">
        <f ca="1">ROUND(M20*M21,0)</f>
        <v>89</v>
      </c>
      <c r="K20" s="710" t="s">
        <v>941</v>
      </c>
      <c r="L20" s="684" t="s">
        <v>942</v>
      </c>
      <c r="M20" s="711">
        <f>'数据-取费表'!B52</f>
        <v>10</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6" customFormat="1" ht="18" customHeight="1">
      <c r="A21" s="2434" t="s">
        <v>2618</v>
      </c>
      <c r="B21" s="684" t="s">
        <v>943</v>
      </c>
      <c r="C21" s="313" t="s">
        <v>23</v>
      </c>
      <c r="D21" s="709" t="s">
        <v>944</v>
      </c>
      <c r="E21" s="684" t="s">
        <v>945</v>
      </c>
      <c r="F21" s="707">
        <f>'数据-取费表'!B38</f>
        <v>1.4999999999999999E-2</v>
      </c>
      <c r="G21" s="2285"/>
      <c r="H21" s="712"/>
      <c r="I21" s="693"/>
      <c r="J21" s="318"/>
      <c r="K21" s="713"/>
      <c r="L21" s="684" t="s">
        <v>946</v>
      </c>
      <c r="M21" s="685">
        <f ca="1">INDIRECT("'数据-取费表'!r"&amp;$G$1)</f>
        <v>8.89</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4" t="s">
        <v>2619</v>
      </c>
      <c r="B22" s="684" t="s">
        <v>947</v>
      </c>
      <c r="C22" s="313"/>
      <c r="D22" s="2697" t="str">
        <f>IF(F23&lt;=1,"单利计息。","复利计息。")&amp;"建造成本、管理费用、销售费用产生的利息。"</f>
        <v>复利计息。建造成本、管理费用、销售费用产生的利息。</v>
      </c>
      <c r="E22" s="3372"/>
      <c r="F22" s="315"/>
      <c r="G22" s="2284"/>
      <c r="H22" s="2434" t="s">
        <v>2387</v>
      </c>
      <c r="I22" s="684" t="s">
        <v>948</v>
      </c>
      <c r="J22" s="313">
        <f ca="1">ROUND(J14*M22,0)</f>
        <v>1167</v>
      </c>
      <c r="K22" s="3361" t="s">
        <v>949</v>
      </c>
      <c r="L22" s="684" t="s">
        <v>365</v>
      </c>
      <c r="M22" s="714">
        <f ca="1">INDIRECT("'数据-取费表'!Ak"&amp;$G$1)</f>
        <v>1.4999999999999999E-2</v>
      </c>
    </row>
    <row r="23" spans="1:37" s="706" customFormat="1" ht="18" customHeight="1">
      <c r="A23" s="2434" t="s">
        <v>2377</v>
      </c>
      <c r="B23" s="684" t="s">
        <v>2533</v>
      </c>
      <c r="C23" s="313">
        <f ca="1">IF('数据-取费表'!B22&lt;=1,ROUND(C19*F24*F23/2,0)+ROUND(C20*F24*F23/2,0),ROUND(C19*(POWER((1+F24),F23/2)-1),0)+ROUND(C20*(POWER((1+F24),F23/2)-1),0))</f>
        <v>3723</v>
      </c>
      <c r="D23" s="2701" t="str">
        <f>IF(F23&lt;=1,"(建造成本+管理费用)×利率×(建设周期÷2)","(建造成本+管理费用)×((1+利率)^(建设周期÷2)-1)")</f>
        <v>(建造成本+管理费用)×((1+利率)^(建设周期÷2)-1)</v>
      </c>
      <c r="E23" s="684" t="s">
        <v>950</v>
      </c>
      <c r="F23" s="711">
        <f>'数据-取费表'!B20</f>
        <v>2.5</v>
      </c>
      <c r="G23" s="2285"/>
      <c r="H23" s="2434" t="s">
        <v>2618</v>
      </c>
      <c r="I23" s="684" t="s">
        <v>368</v>
      </c>
      <c r="J23" s="313">
        <f ca="1">ROUND(J13*M23,0)</f>
        <v>0</v>
      </c>
      <c r="K23" s="3361" t="s">
        <v>369</v>
      </c>
      <c r="L23" s="684" t="s">
        <v>365</v>
      </c>
      <c r="M23" s="716">
        <f ca="1">INDIRECT("'数据-取费表'!Al"&amp;$G$1)</f>
        <v>2E-3</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6" customFormat="1" ht="18" customHeight="1" thickBot="1">
      <c r="A24" s="2434" t="s">
        <v>2383</v>
      </c>
      <c r="B24" s="684" t="s">
        <v>952</v>
      </c>
      <c r="C24" s="313">
        <f ca="1">ROUND(IF('数据-取费表'!B22&lt;=1,F21*F24*F23/2,F21*(POWER((1+F24),F23/2)-1)),4)</f>
        <v>8.9999999999999998E-4</v>
      </c>
      <c r="D24" s="2701" t="str">
        <f>IF(F23&lt;=1,"销售费用×利率×(建设周期÷2)","销售费用×((1+利率)^(建设周期÷2)-1)")</f>
        <v>销售费用×((1+利率)^(建设周期÷2)-1)</v>
      </c>
      <c r="E24" s="684" t="s">
        <v>953</v>
      </c>
      <c r="F24" s="717">
        <f ca="1">'数据-取费表'!B40</f>
        <v>4.7500000000000001E-2</v>
      </c>
      <c r="G24" s="2285"/>
      <c r="H24" s="2674" t="s">
        <v>2619</v>
      </c>
      <c r="I24" s="2675" t="s">
        <v>367</v>
      </c>
      <c r="J24" s="2676">
        <f ca="1">ROUND(J5*M24,0)</f>
        <v>0</v>
      </c>
      <c r="K24" s="2677" t="s">
        <v>371</v>
      </c>
      <c r="L24" s="2675" t="s">
        <v>365</v>
      </c>
      <c r="M24" s="2671">
        <f ca="1">INDIRECT("'数据-取费表'!Am"&amp;$G$1)</f>
        <v>0.01</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4" t="s">
        <v>2384</v>
      </c>
      <c r="B25" s="684" t="s">
        <v>372</v>
      </c>
      <c r="C25" s="313"/>
      <c r="D25" s="471" t="s">
        <v>955</v>
      </c>
      <c r="E25" s="3372"/>
      <c r="F25" s="315"/>
      <c r="G25" s="2284"/>
      <c r="H25" s="2662" t="s">
        <v>2360</v>
      </c>
      <c r="I25" s="2679" t="s">
        <v>377</v>
      </c>
      <c r="J25" s="692">
        <f ca="1">J5-J16</f>
        <v>-1909</v>
      </c>
      <c r="K25" s="2680" t="s">
        <v>378</v>
      </c>
      <c r="L25" s="2681"/>
      <c r="M25" s="2682"/>
    </row>
    <row r="26" spans="1:37" ht="18" customHeight="1">
      <c r="A26" s="2434" t="s">
        <v>2377</v>
      </c>
      <c r="B26" s="684" t="s">
        <v>2534</v>
      </c>
      <c r="C26" s="313">
        <f ca="1">ROUND((C19+C20)*F26,0)</f>
        <v>6233</v>
      </c>
      <c r="D26" s="709" t="s">
        <v>958</v>
      </c>
      <c r="E26" s="695" t="s">
        <v>959</v>
      </c>
      <c r="F26" s="694">
        <f ca="1">INDIRECT("'数据-取费表'!q"&amp;$G$1)</f>
        <v>0.1</v>
      </c>
      <c r="G26" s="2284"/>
      <c r="H26" s="681" t="s">
        <v>2363</v>
      </c>
      <c r="I26" s="682" t="s">
        <v>960</v>
      </c>
      <c r="J26" s="683">
        <f ca="1">IF(J5&lt;&gt;0,ROUND(J25*(1-((1+M28)/(1+M26))^M27)/(M26-M28),0),0)</f>
        <v>0</v>
      </c>
      <c r="K26" s="710" t="s">
        <v>373</v>
      </c>
      <c r="L26" s="684" t="s">
        <v>374</v>
      </c>
      <c r="M26" s="694">
        <f ca="1">INDIRECT("'数据-取费表'!I"&amp;$G$1)</f>
        <v>0.05</v>
      </c>
    </row>
    <row r="27" spans="1:37" ht="18" customHeight="1">
      <c r="A27" s="2434" t="s">
        <v>2383</v>
      </c>
      <c r="B27" s="684" t="s">
        <v>375</v>
      </c>
      <c r="C27" s="313">
        <f ca="1">ROUND(F21*F26,4)</f>
        <v>1.5E-3</v>
      </c>
      <c r="D27" s="709" t="s">
        <v>962</v>
      </c>
      <c r="E27" s="704"/>
      <c r="F27" s="705"/>
      <c r="G27" s="2284"/>
      <c r="H27" s="686"/>
      <c r="I27" s="687"/>
      <c r="J27" s="688"/>
      <c r="K27" s="718" t="s">
        <v>963</v>
      </c>
      <c r="L27" s="684" t="s">
        <v>381</v>
      </c>
      <c r="M27" s="719">
        <f ca="1">INDIRECT("'数据-取费表'!ag"&amp;$G$1)</f>
        <v>0</v>
      </c>
    </row>
    <row r="28" spans="1:37" s="706" customFormat="1" ht="18" customHeight="1">
      <c r="A28" s="2434" t="s">
        <v>2385</v>
      </c>
      <c r="B28" s="684" t="s">
        <v>376</v>
      </c>
      <c r="C28" s="313">
        <f>ROUND(F28/(1+'数据-取费表'!C42),4)</f>
        <v>5.33E-2</v>
      </c>
      <c r="D28" s="709" t="s">
        <v>969</v>
      </c>
      <c r="E28" s="684" t="s">
        <v>365</v>
      </c>
      <c r="F28" s="707">
        <f>'数据-取费表'!B41</f>
        <v>5.6000000000000001E-2</v>
      </c>
      <c r="G28" s="2285"/>
      <c r="H28" s="690"/>
      <c r="I28" s="691"/>
      <c r="J28" s="692"/>
      <c r="K28" s="713"/>
      <c r="L28" s="684" t="s">
        <v>382</v>
      </c>
      <c r="M28" s="694">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6" customFormat="1" ht="18" customHeight="1" thickBot="1">
      <c r="A29" s="2674" t="s">
        <v>2386</v>
      </c>
      <c r="B29" s="2675" t="s">
        <v>971</v>
      </c>
      <c r="C29" s="2676">
        <f ca="1">ROUND((C19+C20+C23+C26)/(1-F21-C24-C27-C28),0)</f>
        <v>77788</v>
      </c>
      <c r="D29" s="2677"/>
      <c r="E29" s="2675"/>
      <c r="F29" s="2678"/>
      <c r="G29" s="2285"/>
      <c r="H29" s="720" t="s">
        <v>2370</v>
      </c>
      <c r="I29" s="721" t="s">
        <v>964</v>
      </c>
      <c r="J29" s="722">
        <f ca="1">ROUND(J26/(1+F40)^F41,0)</f>
        <v>0</v>
      </c>
      <c r="K29" s="723" t="s">
        <v>965</v>
      </c>
      <c r="L29" s="724"/>
      <c r="M29" s="725">
        <f ca="1">INDIRECT("'数据-取费表'!k"&amp;$G$1)</f>
        <v>29.51</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2" t="s">
        <v>2345</v>
      </c>
      <c r="B30" s="2663" t="s">
        <v>929</v>
      </c>
      <c r="C30" s="692">
        <f ca="1">ROUND(C31+C36+C37+C38,0)</f>
        <v>2283</v>
      </c>
      <c r="D30" s="2672" t="s">
        <v>930</v>
      </c>
      <c r="E30" s="2673"/>
      <c r="F30" s="2624"/>
      <c r="G30" s="2284"/>
      <c r="H30" s="1277"/>
      <c r="I30" s="1278"/>
      <c r="J30" s="1279"/>
      <c r="K30" s="1280"/>
      <c r="L30" s="1281"/>
      <c r="M30" s="1282"/>
    </row>
    <row r="31" spans="1:37" ht="18" customHeight="1">
      <c r="A31" s="2434" t="s">
        <v>2380</v>
      </c>
      <c r="B31" s="684" t="s">
        <v>363</v>
      </c>
      <c r="C31" s="313">
        <f ca="1">ROUND(IF(项目基本情况!B11="自然人",C5*F31,C32+C33+C34),0)</f>
        <v>932</v>
      </c>
      <c r="D31" s="3363" t="s">
        <v>933</v>
      </c>
      <c r="E31" s="3361" t="s">
        <v>972</v>
      </c>
      <c r="F31" s="708" t="str">
        <f ca="1">IF(项目基本情况!B11="企业","",IF(INDIRECT("'数据-取费表'!c"&amp;$G$1)="住宅",5%,IF(F6*F7*F8/12/(1+'数据-取费表'!C42)&gt;20000,12%,7%)))</f>
        <v/>
      </c>
      <c r="G31" s="2284"/>
      <c r="H31" s="1277"/>
      <c r="I31" s="1278"/>
      <c r="J31" s="1279"/>
      <c r="K31" s="1280"/>
      <c r="L31" s="1281"/>
      <c r="M31" s="1282"/>
    </row>
    <row r="32" spans="1:37" ht="18" customHeight="1">
      <c r="A32" s="2434" t="s">
        <v>2377</v>
      </c>
      <c r="B32" s="684" t="s">
        <v>935</v>
      </c>
      <c r="C32" s="313">
        <f ca="1">IF(项目基本情况!B11="自然人","——",ROUND(C5*F32/(1+'数据-取费表'!C42),0))</f>
        <v>190</v>
      </c>
      <c r="D32" s="3361" t="s">
        <v>936</v>
      </c>
      <c r="E32" s="684" t="s">
        <v>365</v>
      </c>
      <c r="F32" s="717">
        <f>'数据-取费表'!B41</f>
        <v>5.6000000000000001E-2</v>
      </c>
      <c r="G32" s="2284"/>
      <c r="H32" s="1283"/>
      <c r="I32" s="1284"/>
      <c r="J32" s="1285"/>
      <c r="K32" s="1286"/>
      <c r="L32" s="1287"/>
      <c r="M32" s="1288"/>
    </row>
    <row r="33" spans="1:18" ht="18" customHeight="1">
      <c r="A33" s="2434" t="s">
        <v>2613</v>
      </c>
      <c r="B33" s="684" t="s">
        <v>938</v>
      </c>
      <c r="C33" s="313">
        <f ca="1">IF(项目基本情况!B11="自然人","——",IF(D33="按租金收入计税",ROUND(C5*F33,0),IF(D33="按房产原值计税",ROUND(C29*F33*0.7,0),INDIRECT("'数据-取费表'!Aj"&amp;$G$1))))</f>
        <v>653</v>
      </c>
      <c r="D33" s="1300" t="s">
        <v>2420</v>
      </c>
      <c r="E33" s="684" t="s">
        <v>365</v>
      </c>
      <c r="F33" s="707">
        <f>IF(D33="按票据","——",IF(D33="按租金收入计税",'数据-取费表'!B51,'数据-取费表'!B50))</f>
        <v>1.2E-2</v>
      </c>
      <c r="G33" s="2284"/>
      <c r="H33" s="1289"/>
      <c r="I33" s="2877"/>
      <c r="J33" s="2878"/>
      <c r="K33" s="1290"/>
      <c r="L33" s="1289"/>
      <c r="M33" s="1289"/>
    </row>
    <row r="34" spans="1:18" ht="18" customHeight="1">
      <c r="A34" s="2618" t="s">
        <v>2614</v>
      </c>
      <c r="B34" s="496" t="s">
        <v>940</v>
      </c>
      <c r="C34" s="314">
        <f ca="1">IF(项目基本情况!B11="自然人","——",ROUND(F34*F35,))</f>
        <v>89</v>
      </c>
      <c r="D34" s="710" t="s">
        <v>941</v>
      </c>
      <c r="E34" s="684" t="s">
        <v>942</v>
      </c>
      <c r="F34" s="711">
        <f>'数据-取费表'!B52</f>
        <v>10</v>
      </c>
      <c r="G34" s="2284"/>
      <c r="H34" s="1277"/>
      <c r="I34" s="2877"/>
      <c r="J34" s="2878"/>
      <c r="K34" s="1291"/>
      <c r="L34" s="1292"/>
      <c r="M34" s="1292"/>
    </row>
    <row r="35" spans="1:18" ht="18" customHeight="1">
      <c r="A35" s="2692"/>
      <c r="B35" s="2690"/>
      <c r="C35" s="318"/>
      <c r="D35" s="713"/>
      <c r="E35" s="684" t="s">
        <v>946</v>
      </c>
      <c r="F35" s="685">
        <f ca="1">INDIRECT("'数据-取费表'!r"&amp;$G$1)</f>
        <v>8.89</v>
      </c>
      <c r="G35" s="2284"/>
      <c r="H35" s="1277"/>
      <c r="I35" s="2877"/>
      <c r="J35" s="2878"/>
      <c r="K35" s="1290"/>
      <c r="L35" s="1289"/>
      <c r="M35" s="1289"/>
    </row>
    <row r="36" spans="1:18" ht="18" customHeight="1">
      <c r="A36" s="2691" t="s">
        <v>2387</v>
      </c>
      <c r="B36" s="684" t="s">
        <v>948</v>
      </c>
      <c r="C36" s="313">
        <f ca="1">ROUND(C29*F36,0)</f>
        <v>1167</v>
      </c>
      <c r="D36" s="3361" t="s">
        <v>978</v>
      </c>
      <c r="E36" s="684" t="s">
        <v>365</v>
      </c>
      <c r="F36" s="714">
        <f ca="1">INDIRECT("'数据-取费表'!Ak"&amp;$G$1)</f>
        <v>1.4999999999999999E-2</v>
      </c>
      <c r="G36" s="2284"/>
      <c r="H36" s="1289"/>
      <c r="I36" s="2877"/>
      <c r="J36" s="2878"/>
      <c r="K36" s="1293"/>
      <c r="L36" s="1289"/>
      <c r="M36" s="1289"/>
    </row>
    <row r="37" spans="1:18" ht="18" customHeight="1">
      <c r="A37" s="2434" t="s">
        <v>2618</v>
      </c>
      <c r="B37" s="684" t="s">
        <v>368</v>
      </c>
      <c r="C37" s="313">
        <f ca="1">ROUND(C13*F37,0)</f>
        <v>148</v>
      </c>
      <c r="D37" s="3361" t="s">
        <v>369</v>
      </c>
      <c r="E37" s="684" t="s">
        <v>365</v>
      </c>
      <c r="F37" s="716">
        <f ca="1">INDIRECT("'数据-取费表'!Al"&amp;$G$1)</f>
        <v>2E-3</v>
      </c>
      <c r="G37" s="2284"/>
      <c r="H37" s="1289"/>
      <c r="I37" s="2877"/>
      <c r="J37" s="2878"/>
      <c r="K37" s="1293"/>
      <c r="L37" s="1289"/>
      <c r="M37" s="1289"/>
    </row>
    <row r="38" spans="1:18" ht="18" customHeight="1" thickBot="1">
      <c r="A38" s="2674" t="s">
        <v>2619</v>
      </c>
      <c r="B38" s="2675" t="s">
        <v>367</v>
      </c>
      <c r="C38" s="2676">
        <f ca="1">ROUND(C5*F38,1)</f>
        <v>35.700000000000003</v>
      </c>
      <c r="D38" s="2677" t="s">
        <v>371</v>
      </c>
      <c r="E38" s="2675" t="s">
        <v>365</v>
      </c>
      <c r="F38" s="2671">
        <f ca="1">INDIRECT("'数据-取费表'!Am"&amp;$G$1)</f>
        <v>0.01</v>
      </c>
      <c r="G38" s="2284"/>
      <c r="H38" s="1289"/>
      <c r="I38" s="2877"/>
      <c r="J38" s="2878"/>
      <c r="K38" s="1294"/>
      <c r="L38" s="1289"/>
      <c r="M38" s="1289"/>
    </row>
    <row r="39" spans="1:18" ht="24.6" customHeight="1" thickTop="1">
      <c r="A39" s="2662" t="s">
        <v>2360</v>
      </c>
      <c r="B39" s="2679" t="s">
        <v>377</v>
      </c>
      <c r="C39" s="692">
        <f ca="1">C5-C30</f>
        <v>1287</v>
      </c>
      <c r="D39" s="2680" t="s">
        <v>378</v>
      </c>
      <c r="E39" s="2681"/>
      <c r="F39" s="2682"/>
      <c r="G39" s="2284"/>
      <c r="H39" s="1289"/>
      <c r="I39" s="2877"/>
      <c r="J39" s="2878"/>
      <c r="K39" s="1294"/>
      <c r="L39" s="1289"/>
      <c r="M39" s="1289"/>
    </row>
    <row r="40" spans="1:18" ht="18" customHeight="1">
      <c r="A40" s="681" t="s">
        <v>2363</v>
      </c>
      <c r="B40" s="682" t="s">
        <v>379</v>
      </c>
      <c r="C40" s="683">
        <f ca="1">ROUND(C39*(1-((1+F42)/(1+F40))^F41)/(F40-F42),0)</f>
        <v>33680</v>
      </c>
      <c r="D40" s="710" t="s">
        <v>373</v>
      </c>
      <c r="E40" s="684" t="s">
        <v>374</v>
      </c>
      <c r="F40" s="694">
        <f ca="1">INDIRECT("'数据-取费表'!I"&amp;$G$1)</f>
        <v>0.05</v>
      </c>
      <c r="G40" s="2284"/>
      <c r="H40" s="1295"/>
      <c r="I40" s="2877"/>
      <c r="J40" s="2878"/>
      <c r="K40" s="1294"/>
      <c r="L40" s="1295"/>
      <c r="M40" s="1295"/>
    </row>
    <row r="41" spans="1:18" ht="18" customHeight="1">
      <c r="A41" s="686"/>
      <c r="B41" s="687"/>
      <c r="C41" s="688"/>
      <c r="D41" s="718" t="s">
        <v>380</v>
      </c>
      <c r="E41" s="684" t="s">
        <v>381</v>
      </c>
      <c r="F41" s="719">
        <f ca="1">IF(INDIRECT("'数据-取费表'!af"&amp;$G$1)=0,INDIRECT("'数据-取费表'!ae"&amp;$G$1),INDIRECT("'数据-取费表'!af"&amp;$G$1))</f>
        <v>44.07</v>
      </c>
      <c r="G41" s="2284"/>
      <c r="H41" s="1191"/>
      <c r="I41" s="2877"/>
      <c r="J41" s="2878"/>
      <c r="K41" s="1293"/>
      <c r="L41" s="1191"/>
      <c r="M41" s="1191"/>
    </row>
    <row r="42" spans="1:18" ht="18" customHeight="1">
      <c r="A42" s="690"/>
      <c r="B42" s="691"/>
      <c r="C42" s="692"/>
      <c r="D42" s="713"/>
      <c r="E42" s="684" t="s">
        <v>382</v>
      </c>
      <c r="F42" s="694">
        <f ca="1">INDIRECT("'数据-取费表'!v"&amp;$G$1)</f>
        <v>2.5000000000000001E-2</v>
      </c>
      <c r="G42" s="2284"/>
      <c r="H42" s="1191"/>
      <c r="I42" s="2877"/>
      <c r="J42" s="2878"/>
      <c r="K42" s="1293"/>
      <c r="L42" s="1191"/>
      <c r="M42" s="1191"/>
    </row>
    <row r="43" spans="1:18" ht="18" customHeight="1" thickBot="1">
      <c r="A43" s="720" t="s">
        <v>2370</v>
      </c>
      <c r="B43" s="721" t="s">
        <v>383</v>
      </c>
      <c r="C43" s="722">
        <f ca="1">ROUND(C40/F43,0)</f>
        <v>1141</v>
      </c>
      <c r="D43" s="723" t="s">
        <v>384</v>
      </c>
      <c r="E43" s="724" t="s">
        <v>385</v>
      </c>
      <c r="F43" s="725">
        <f ca="1">INDIRECT("'数据-取费表'!k"&amp;$G$1)</f>
        <v>29.51</v>
      </c>
      <c r="G43" s="2284"/>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2723">
        <f ca="1">C68-C40</f>
        <v>-87510</v>
      </c>
      <c r="D45" s="2724" t="s">
        <v>2628</v>
      </c>
      <c r="E45" s="1432"/>
      <c r="F45" s="1432"/>
      <c r="O45" s="2587" t="s">
        <v>2493</v>
      </c>
      <c r="P45" s="1295"/>
      <c r="Q45" s="1295"/>
      <c r="R45" s="1295"/>
    </row>
    <row r="46" spans="1:18" s="1454" customFormat="1" ht="21" thickBot="1">
      <c r="A46" s="2392" t="s">
        <v>2332</v>
      </c>
      <c r="B46" s="2393"/>
      <c r="C46" s="2721">
        <f ca="1">ROUND(C45/10000,0)</f>
        <v>-9</v>
      </c>
      <c r="D46" s="2722" t="str">
        <f>C2</f>
        <v>万元</v>
      </c>
      <c r="I46" s="2574" t="s">
        <v>2428</v>
      </c>
      <c r="J46" s="2575"/>
      <c r="K46" s="2576"/>
      <c r="L46" s="2578">
        <f ca="1">IF(M47="住宅",0,IF(L48&gt;J51,L60,J60))</f>
        <v>31115</v>
      </c>
      <c r="O46" s="2590" t="s">
        <v>2471</v>
      </c>
      <c r="P46" s="2591" t="s">
        <v>2472</v>
      </c>
      <c r="Q46" s="2592" t="s">
        <v>2470</v>
      </c>
      <c r="R46" s="2592" t="s">
        <v>2473</v>
      </c>
    </row>
    <row r="47" spans="1:18" s="1454" customFormat="1" ht="15.75" thickBot="1">
      <c r="A47" s="2394" t="s">
        <v>913</v>
      </c>
      <c r="B47" s="2430" t="s">
        <v>914</v>
      </c>
      <c r="C47" s="2430" t="s">
        <v>915</v>
      </c>
      <c r="D47" s="2430" t="s">
        <v>916</v>
      </c>
      <c r="E47" s="2533" t="s">
        <v>917</v>
      </c>
      <c r="F47" s="2534"/>
      <c r="G47" s="1456"/>
      <c r="I47" s="2549" t="s">
        <v>2421</v>
      </c>
      <c r="J47" s="2550" t="s">
        <v>3131</v>
      </c>
      <c r="K47" s="2559" t="s">
        <v>2444</v>
      </c>
      <c r="L47" s="2560">
        <f ca="1">INDIRECT("'数据-取费表'!d"&amp;$G$1)</f>
        <v>0</v>
      </c>
      <c r="M47" s="2580" t="str">
        <f>IF(ISNUMBER(FIND("住宅",C1)),"住宅","非住宅")</f>
        <v>非住宅</v>
      </c>
      <c r="O47" s="2583" t="s">
        <v>2456</v>
      </c>
      <c r="P47" s="2593" t="s">
        <v>2474</v>
      </c>
      <c r="Q47" s="2584">
        <f ca="1">C40+J29</f>
        <v>33680</v>
      </c>
      <c r="R47" s="2584" t="s">
        <v>2475</v>
      </c>
    </row>
    <row r="48" spans="1:18" s="1454" customFormat="1" ht="47.25" thickBot="1">
      <c r="A48" s="2707" t="s">
        <v>2624</v>
      </c>
      <c r="B48" s="682" t="s">
        <v>2339</v>
      </c>
      <c r="C48" s="3371">
        <f ca="1">C49+C53+C55</f>
        <v>0</v>
      </c>
      <c r="D48" s="2711"/>
      <c r="E48" s="2712"/>
      <c r="F48" s="2414"/>
      <c r="G48" s="1456"/>
      <c r="H48" s="1457"/>
      <c r="I48" s="2540" t="s">
        <v>2422</v>
      </c>
      <c r="J48" s="2551" t="s">
        <v>2423</v>
      </c>
      <c r="K48" s="2561" t="s">
        <v>682</v>
      </c>
      <c r="L48" s="2164">
        <f ca="1">INDIRECT("'数据-取费表'!f"&amp;$G$1)</f>
        <v>44.07</v>
      </c>
      <c r="O48" s="2583" t="s">
        <v>2457</v>
      </c>
      <c r="P48" s="2593" t="s">
        <v>2476</v>
      </c>
      <c r="Q48" s="2584">
        <f ca="1">J60</f>
        <v>31115</v>
      </c>
      <c r="R48" s="2584" t="s">
        <v>2484</v>
      </c>
    </row>
    <row r="49" spans="1:18" s="1454" customFormat="1" ht="15.75" thickBot="1">
      <c r="A49" s="2427" t="s">
        <v>2625</v>
      </c>
      <c r="B49" s="2710" t="s">
        <v>2627</v>
      </c>
      <c r="C49" s="2719">
        <f ca="1">ROUND(F49*F51*F50*(1-F52),0)</f>
        <v>0</v>
      </c>
      <c r="D49" s="2529" t="s">
        <v>2340</v>
      </c>
      <c r="E49" s="2532" t="s">
        <v>2333</v>
      </c>
      <c r="F49" s="2535"/>
      <c r="G49" s="1458"/>
      <c r="H49" s="1457"/>
      <c r="I49" s="2540" t="s">
        <v>2442</v>
      </c>
      <c r="J49" s="2552">
        <v>2015</v>
      </c>
      <c r="K49" s="2562" t="s">
        <v>2447</v>
      </c>
      <c r="L49" s="2563"/>
      <c r="O49" s="2585" t="s">
        <v>2458</v>
      </c>
      <c r="P49" s="2593" t="s">
        <v>2477</v>
      </c>
      <c r="Q49" s="2584">
        <f ca="1">C29</f>
        <v>77788</v>
      </c>
      <c r="R49" s="2584" t="s">
        <v>2475</v>
      </c>
    </row>
    <row r="50" spans="1:18" s="1454" customFormat="1" ht="15.75" thickBot="1">
      <c r="A50" s="2428"/>
      <c r="B50" s="2431"/>
      <c r="C50" s="2432"/>
      <c r="D50" s="2401"/>
      <c r="E50" s="2530" t="s">
        <v>919</v>
      </c>
      <c r="F50" s="2531">
        <f ca="1">F7</f>
        <v>1</v>
      </c>
      <c r="H50" s="1457"/>
      <c r="I50" s="2540" t="s">
        <v>2424</v>
      </c>
      <c r="J50" s="2553">
        <f>SUMPRODUCT((I63:I65=J47)*(J62:L62=J48)*(J63:L65))</f>
        <v>60</v>
      </c>
      <c r="K50" s="2562" t="s">
        <v>2448</v>
      </c>
      <c r="L50" s="2563"/>
      <c r="M50" s="2557"/>
      <c r="O50" s="2585" t="s">
        <v>2459</v>
      </c>
      <c r="P50" s="2593" t="s">
        <v>2485</v>
      </c>
      <c r="Q50" s="2586">
        <f ca="1">J58</f>
        <v>0.4</v>
      </c>
      <c r="R50" s="2584"/>
    </row>
    <row r="51" spans="1:18" s="1454" customFormat="1" ht="15.75" thickBot="1">
      <c r="A51" s="2429"/>
      <c r="B51" s="2431"/>
      <c r="C51" s="2432"/>
      <c r="D51" s="2401"/>
      <c r="E51" s="2433" t="s">
        <v>920</v>
      </c>
      <c r="F51" s="685">
        <f ca="1">F8</f>
        <v>12</v>
      </c>
      <c r="I51" s="2554" t="s">
        <v>2429</v>
      </c>
      <c r="J51" s="2555">
        <f>IF(J49="",J50,J49+J50-YEAR('数据-取费表'!B2))</f>
        <v>58</v>
      </c>
      <c r="K51" s="2564" t="s">
        <v>2449</v>
      </c>
      <c r="L51" s="2577">
        <f ca="1">ROUND(-PV(INDIRECT("'数据-取费表'!h"&amp;$G$1),L48,(C39-C13*C76),0),0)</f>
        <v>-80973</v>
      </c>
      <c r="M51" s="2558"/>
      <c r="O51" s="2585" t="s">
        <v>2460</v>
      </c>
      <c r="P51" s="2593" t="s">
        <v>2486</v>
      </c>
      <c r="Q51" s="2586">
        <f>J52</f>
        <v>0</v>
      </c>
      <c r="R51" s="2584"/>
    </row>
    <row r="52" spans="1:18" s="1454" customFormat="1" ht="15.75" thickBot="1">
      <c r="A52" s="2429"/>
      <c r="B52" s="2431"/>
      <c r="C52" s="2432"/>
      <c r="D52" s="2401"/>
      <c r="E52" s="2433" t="s">
        <v>921</v>
      </c>
      <c r="F52" s="2528"/>
      <c r="I52" s="2556" t="s">
        <v>2452</v>
      </c>
      <c r="J52" s="2570"/>
      <c r="K52" s="2556" t="s">
        <v>2437</v>
      </c>
      <c r="L52" s="2570"/>
      <c r="M52" s="2393"/>
      <c r="O52" s="2585" t="s">
        <v>2461</v>
      </c>
      <c r="P52" s="2593" t="s">
        <v>2478</v>
      </c>
      <c r="Q52" s="2584">
        <f ca="1">J53</f>
        <v>44.07</v>
      </c>
      <c r="R52" s="2584" t="s">
        <v>2479</v>
      </c>
    </row>
    <row r="53" spans="1:18" s="1454" customFormat="1" ht="43.5" thickBot="1">
      <c r="A53" s="2708" t="s">
        <v>2626</v>
      </c>
      <c r="B53" s="2709" t="s">
        <v>2536</v>
      </c>
      <c r="C53" s="698">
        <f ca="1">ROUND(IF(F53="押一",F49*F51*F50/12*F11,IF(F53="押二",F49*F51*F50/12*2*F11,IF(F53="押三",F49*F51*F50/12*3*F11,C54*F11))),0)</f>
        <v>0</v>
      </c>
      <c r="D53" s="2630" t="s">
        <v>2544</v>
      </c>
      <c r="E53" s="2093" t="s">
        <v>2538</v>
      </c>
      <c r="F53" s="2824"/>
      <c r="I53" s="2566" t="s">
        <v>2454</v>
      </c>
      <c r="J53" s="2567">
        <f ca="1">IF(M47="住宅",J51,MIN(J51,L48))</f>
        <v>44.07</v>
      </c>
      <c r="K53" s="36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36"/>
      <c r="O53" s="2583" t="s">
        <v>2462</v>
      </c>
      <c r="P53" s="2593" t="s">
        <v>2480</v>
      </c>
      <c r="Q53" s="2584">
        <f ca="1">Q47+Q48</f>
        <v>64795</v>
      </c>
      <c r="R53" s="2584" t="s">
        <v>2463</v>
      </c>
    </row>
    <row r="54" spans="1:18" s="1454" customFormat="1" ht="16.5" thickBot="1">
      <c r="A54" s="2427"/>
      <c r="B54" s="2821" t="s">
        <v>2699</v>
      </c>
      <c r="C54" s="2411"/>
      <c r="D54" s="2630"/>
      <c r="E54" s="3366"/>
      <c r="F54" s="2536"/>
      <c r="I54" s="2408"/>
      <c r="J54" s="2565"/>
      <c r="K54" s="2565"/>
      <c r="L54" s="2565"/>
      <c r="M54" s="1458"/>
      <c r="O54" s="2587" t="s">
        <v>2487</v>
      </c>
      <c r="P54" s="1295"/>
      <c r="Q54" s="1295"/>
      <c r="R54" s="1295"/>
    </row>
    <row r="55" spans="1:18" s="1454" customFormat="1" ht="15.75" thickBot="1">
      <c r="A55" s="2666" t="s">
        <v>2549</v>
      </c>
      <c r="B55" s="2667" t="s">
        <v>2537</v>
      </c>
      <c r="C55" s="2668"/>
      <c r="D55" s="2630"/>
      <c r="E55" s="3366"/>
      <c r="F55" s="2536"/>
      <c r="I55" s="3314" t="s">
        <v>2430</v>
      </c>
      <c r="J55" s="3313">
        <f ca="1">ROUND(IF(J47="钢混",J57/J50,1-(1-2%)*(J50-J57)/J50),3)</f>
        <v>0.23200000000000001</v>
      </c>
      <c r="K55" s="2547" t="s">
        <v>2431</v>
      </c>
      <c r="L55" s="2569"/>
      <c r="O55" s="2590" t="s">
        <v>2471</v>
      </c>
      <c r="P55" s="2591" t="s">
        <v>2472</v>
      </c>
      <c r="Q55" s="2592" t="s">
        <v>2470</v>
      </c>
      <c r="R55" s="2592" t="s">
        <v>2473</v>
      </c>
    </row>
    <row r="56" spans="1:18" s="1454" customFormat="1" ht="44.25" thickTop="1" thickBot="1">
      <c r="A56" s="2405">
        <v>2</v>
      </c>
      <c r="B56" s="2406" t="s">
        <v>922</v>
      </c>
      <c r="C56" s="608">
        <f ca="1">C13</f>
        <v>73899</v>
      </c>
      <c r="D56" s="2694"/>
      <c r="E56" s="2407"/>
      <c r="F56" s="2536"/>
      <c r="I56" s="2539" t="s">
        <v>2432</v>
      </c>
      <c r="J56" s="2568" t="s">
        <v>530</v>
      </c>
      <c r="K56" s="2540" t="s">
        <v>2436</v>
      </c>
      <c r="L56" s="2164" t="str">
        <f ca="1">IF(L48&lt;J51,"——",L48-J51)</f>
        <v>——</v>
      </c>
      <c r="O56" s="2583" t="s">
        <v>2456</v>
      </c>
      <c r="P56" s="2593" t="s">
        <v>2474</v>
      </c>
      <c r="Q56" s="2584">
        <f ca="1">C40+J29</f>
        <v>33680</v>
      </c>
      <c r="R56" s="2584" t="s">
        <v>2475</v>
      </c>
    </row>
    <row r="57" spans="1:18" s="1454" customFormat="1" ht="29.25" thickBot="1">
      <c r="A57" s="2537"/>
      <c r="B57" s="2398" t="s">
        <v>971</v>
      </c>
      <c r="C57" s="614">
        <f ca="1">C29</f>
        <v>77788</v>
      </c>
      <c r="D57" s="2409"/>
      <c r="E57" s="2410"/>
      <c r="F57" s="2538"/>
      <c r="I57" s="2541" t="s">
        <v>2453</v>
      </c>
      <c r="J57" s="2545">
        <f ca="1">IF(OR(M47="住宅",J51&lt;L48,J56="是"),"——",J51-L48)</f>
        <v>13.93</v>
      </c>
      <c r="K57" s="2540" t="s">
        <v>2446</v>
      </c>
      <c r="L57" s="2164" t="str">
        <f ca="1">IF(L48&lt;J51,"——",IF(L55="比较法",L49,IF(L55="基准地价",L50,L51)))</f>
        <v>——</v>
      </c>
      <c r="O57" s="2583" t="s">
        <v>2457</v>
      </c>
      <c r="P57" s="2593" t="s">
        <v>2481</v>
      </c>
      <c r="Q57" s="2584">
        <f ca="1">L60</f>
        <v>0</v>
      </c>
      <c r="R57" s="2584" t="s">
        <v>2496</v>
      </c>
    </row>
    <row r="58" spans="1:18" s="1454" customFormat="1" ht="29.25" thickBot="1">
      <c r="A58" s="697" t="s">
        <v>2345</v>
      </c>
      <c r="B58" s="2406" t="s">
        <v>929</v>
      </c>
      <c r="C58" s="698">
        <f ca="1">ROUND(C59+C64+C65+C66,0)</f>
        <v>2057</v>
      </c>
      <c r="D58" s="2412" t="s">
        <v>930</v>
      </c>
      <c r="E58" s="2413"/>
      <c r="F58" s="2414"/>
      <c r="I58" s="2541" t="s">
        <v>2433</v>
      </c>
      <c r="J58" s="3315">
        <f ca="1">IF(J55&lt;0.4,0.4,J55)</f>
        <v>0.4</v>
      </c>
      <c r="K58" s="2564" t="s">
        <v>2455</v>
      </c>
      <c r="L58" s="2164">
        <f ca="1">IF(ISERROR(POWER(1+L52,L47-L48)*(POWER(1+L52,L48)-1)/(POWER(1+L52,L47)-1)),0,POWER(1+L52,L47-L48)*(POWER(1+L52,L48)-1)/(POWER(1+L52,L47)-1))</f>
        <v>0</v>
      </c>
      <c r="O58" s="2585" t="s">
        <v>2458</v>
      </c>
      <c r="P58" s="2593" t="s">
        <v>2488</v>
      </c>
      <c r="Q58" s="2584">
        <f>IF(L55="比较法",L49,IF(L55="基准地价",L50,0))</f>
        <v>0</v>
      </c>
      <c r="R58" s="2584" t="s">
        <v>2475</v>
      </c>
    </row>
    <row r="59" spans="1:18" s="1454" customFormat="1" ht="29.25" thickBot="1">
      <c r="A59" s="2434" t="s">
        <v>2380</v>
      </c>
      <c r="B59" s="2398" t="s">
        <v>363</v>
      </c>
      <c r="C59" s="313">
        <f ca="1">ROUND(IF(项目基本情况!B11="自然人",C48*F59,C60+C61+C62),0)</f>
        <v>742</v>
      </c>
      <c r="D59" s="2415" t="s">
        <v>933</v>
      </c>
      <c r="E59" s="2416" t="s">
        <v>934</v>
      </c>
      <c r="F59" s="708" t="str">
        <f ca="1">IF(项目基本情况!B11="企业","",IF(INDIRECT("'数据-取费表'!c"&amp;$G$1)="住宅",5%,IF(F49*F50*F51/12/(1+'数据-取费表'!C42)&gt;20000,12%,7%)))</f>
        <v/>
      </c>
      <c r="I59" s="2541" t="s">
        <v>2434</v>
      </c>
      <c r="J59" s="2545">
        <f ca="1">IF(OR(M47="住宅",J51&lt;L48,J56="是"),"——",ROUND(C29*J58,0))</f>
        <v>31115</v>
      </c>
      <c r="K59" s="2564" t="s">
        <v>2443</v>
      </c>
      <c r="L59" s="2164">
        <f ca="1">IF(ISERROR(POWER(1+L52,L47-J51)*(POWER(1+L52,J51)-1)/(POWER(1+L52,L47)-1)),0,POWER(1+L52,L47-J51)*(POWER(1+L52,J51)-1)/(POWER(1+L52,L47)-1))</f>
        <v>0</v>
      </c>
      <c r="O59" s="2585" t="s">
        <v>2459</v>
      </c>
      <c r="P59" s="2593" t="s">
        <v>2489</v>
      </c>
      <c r="Q59" s="2586">
        <f>L52</f>
        <v>0</v>
      </c>
      <c r="R59" s="2584"/>
    </row>
    <row r="60" spans="1:18" s="1454" customFormat="1" ht="20.25" thickBot="1">
      <c r="A60" s="2434" t="s">
        <v>2377</v>
      </c>
      <c r="B60" s="2398" t="s">
        <v>935</v>
      </c>
      <c r="C60" s="313">
        <f ca="1">IF(项目基本情况!B11="自然人","——",ROUND(C48*F60/(1+'数据-取费表'!C42),0))</f>
        <v>0</v>
      </c>
      <c r="D60" s="2416" t="s">
        <v>936</v>
      </c>
      <c r="E60" s="2398" t="s">
        <v>365</v>
      </c>
      <c r="F60" s="717">
        <f t="shared" ref="F60:F66" si="0">F32</f>
        <v>5.6000000000000001E-2</v>
      </c>
      <c r="I60" s="2542" t="s">
        <v>2435</v>
      </c>
      <c r="J60" s="2546">
        <f ca="1">IF(OR(M47="住宅",J51&lt;L48,J56="是"),"0",ROUND(J59/(1+J52)^J53,0))</f>
        <v>31115</v>
      </c>
      <c r="K60" s="2548" t="s">
        <v>2438</v>
      </c>
      <c r="L60" s="2546">
        <f ca="1">IF(OR(M47="住宅",L48&lt;J51),0,ROUND(L57*(L58/L59-1),0))</f>
        <v>0</v>
      </c>
      <c r="O60" s="2585" t="s">
        <v>2460</v>
      </c>
      <c r="P60" s="2593" t="s">
        <v>2490</v>
      </c>
      <c r="Q60" s="2584">
        <f ca="1">L58</f>
        <v>0</v>
      </c>
      <c r="R60" s="2584" t="s">
        <v>2465</v>
      </c>
    </row>
    <row r="61" spans="1:18" s="1454" customFormat="1" ht="20.25" thickBot="1">
      <c r="A61" s="2434" t="s">
        <v>2378</v>
      </c>
      <c r="B61" s="2398" t="s">
        <v>938</v>
      </c>
      <c r="C61" s="313">
        <f ca="1">IF(项目基本情况!B11="自然人","——",IF(D61="按租金收入计税",ROUND(C48*F61,0),IF(D61="按房产原值计税",ROUND(C57*F61*0.7,0),INDIRECT("'数据-取费表'!Aj"&amp;$G$1))))</f>
        <v>653</v>
      </c>
      <c r="D61" s="1300" t="s">
        <v>2420</v>
      </c>
      <c r="E61" s="2398" t="s">
        <v>365</v>
      </c>
      <c r="F61" s="707">
        <f t="shared" si="0"/>
        <v>1.2E-2</v>
      </c>
      <c r="I61" s="2408"/>
      <c r="J61" s="2408"/>
      <c r="K61" s="2408"/>
      <c r="L61" s="2408"/>
      <c r="O61" s="2585" t="s">
        <v>2461</v>
      </c>
      <c r="P61" s="2593" t="s">
        <v>2491</v>
      </c>
      <c r="Q61" s="2584">
        <f ca="1">L59</f>
        <v>0</v>
      </c>
      <c r="R61" s="2584" t="s">
        <v>2466</v>
      </c>
    </row>
    <row r="62" spans="1:18" s="1454" customFormat="1" ht="15.75" thickBot="1">
      <c r="A62" s="2434" t="s">
        <v>2379</v>
      </c>
      <c r="B62" s="2397" t="s">
        <v>940</v>
      </c>
      <c r="C62" s="314">
        <f ca="1">IF(项目基本情况!B11="自然人","——",ROUND(F62*F63,0))</f>
        <v>89</v>
      </c>
      <c r="D62" s="2417" t="s">
        <v>941</v>
      </c>
      <c r="E62" s="2398" t="s">
        <v>942</v>
      </c>
      <c r="F62" s="711">
        <f t="shared" si="0"/>
        <v>10</v>
      </c>
      <c r="I62" s="2543" t="s">
        <v>2425</v>
      </c>
      <c r="J62" s="2544" t="s">
        <v>2426</v>
      </c>
      <c r="K62" s="2544" t="s">
        <v>2427</v>
      </c>
      <c r="L62" s="2544" t="s">
        <v>2423</v>
      </c>
      <c r="M62" s="3316" t="s">
        <v>3036</v>
      </c>
      <c r="O62" s="2583" t="s">
        <v>2462</v>
      </c>
      <c r="P62" s="2593" t="s">
        <v>2480</v>
      </c>
      <c r="Q62" s="2584">
        <f ca="1">Q56+Q57</f>
        <v>33680</v>
      </c>
      <c r="R62" s="2584" t="s">
        <v>2463</v>
      </c>
    </row>
    <row r="63" spans="1:18" s="1454" customFormat="1" ht="16.5" thickBot="1">
      <c r="A63" s="712"/>
      <c r="B63" s="2404"/>
      <c r="C63" s="318"/>
      <c r="D63" s="2418"/>
      <c r="E63" s="2398" t="s">
        <v>946</v>
      </c>
      <c r="F63" s="685">
        <f t="shared" ca="1" si="0"/>
        <v>8.89</v>
      </c>
      <c r="I63" s="2543" t="s">
        <v>2439</v>
      </c>
      <c r="J63" s="3319">
        <v>70</v>
      </c>
      <c r="K63" s="3319">
        <v>50</v>
      </c>
      <c r="L63" s="3319">
        <v>80</v>
      </c>
      <c r="M63" s="3317">
        <v>0.02</v>
      </c>
      <c r="O63" s="2587" t="s">
        <v>2494</v>
      </c>
      <c r="P63" s="1295"/>
      <c r="Q63" s="1295"/>
      <c r="R63" s="1295"/>
    </row>
    <row r="64" spans="1:18" s="1454" customFormat="1" ht="15.75" thickBot="1">
      <c r="A64" s="2434" t="s">
        <v>2387</v>
      </c>
      <c r="B64" s="2398" t="s">
        <v>948</v>
      </c>
      <c r="C64" s="313">
        <f ca="1">ROUND(C57*F64,0)</f>
        <v>1167</v>
      </c>
      <c r="D64" s="2416" t="s">
        <v>978</v>
      </c>
      <c r="E64" s="2398" t="s">
        <v>365</v>
      </c>
      <c r="F64" s="714">
        <f t="shared" ca="1" si="0"/>
        <v>1.4999999999999999E-2</v>
      </c>
      <c r="I64" s="2543" t="s">
        <v>107</v>
      </c>
      <c r="J64" s="3319">
        <v>50</v>
      </c>
      <c r="K64" s="3319">
        <v>35</v>
      </c>
      <c r="L64" s="3319">
        <v>60</v>
      </c>
      <c r="M64" s="3318">
        <v>0</v>
      </c>
      <c r="O64" s="2590" t="s">
        <v>2471</v>
      </c>
      <c r="P64" s="2591" t="s">
        <v>2472</v>
      </c>
      <c r="Q64" s="2592" t="s">
        <v>2470</v>
      </c>
      <c r="R64" s="2592" t="s">
        <v>2473</v>
      </c>
    </row>
    <row r="65" spans="1:18" s="1454" customFormat="1" ht="15.75" thickBot="1">
      <c r="A65" s="2434" t="s">
        <v>2381</v>
      </c>
      <c r="B65" s="2398" t="s">
        <v>368</v>
      </c>
      <c r="C65" s="313">
        <f ca="1">ROUND(C56*F65,0)</f>
        <v>148</v>
      </c>
      <c r="D65" s="2416" t="s">
        <v>369</v>
      </c>
      <c r="E65" s="2398" t="s">
        <v>365</v>
      </c>
      <c r="F65" s="716">
        <f t="shared" ca="1" si="0"/>
        <v>2E-3</v>
      </c>
      <c r="I65" s="2543" t="s">
        <v>2441</v>
      </c>
      <c r="J65" s="3319">
        <v>40</v>
      </c>
      <c r="K65" s="3319">
        <v>30</v>
      </c>
      <c r="L65" s="3319">
        <v>50</v>
      </c>
      <c r="M65" s="3317">
        <v>0.02</v>
      </c>
      <c r="O65" s="2583" t="s">
        <v>2456</v>
      </c>
      <c r="P65" s="2593" t="s">
        <v>2474</v>
      </c>
      <c r="Q65" s="2584">
        <f ca="1">C40+J29</f>
        <v>33680</v>
      </c>
      <c r="R65" s="2584" t="s">
        <v>2475</v>
      </c>
    </row>
    <row r="66" spans="1:18" s="1454" customFormat="1" ht="20.25" thickBot="1">
      <c r="A66" s="2434" t="s">
        <v>2382</v>
      </c>
      <c r="B66" s="2398" t="s">
        <v>367</v>
      </c>
      <c r="C66" s="313">
        <f ca="1">ROUND(C48*F66,0)</f>
        <v>0</v>
      </c>
      <c r="D66" s="2416" t="s">
        <v>371</v>
      </c>
      <c r="E66" s="2398" t="s">
        <v>365</v>
      </c>
      <c r="F66" s="694">
        <f t="shared" ca="1" si="0"/>
        <v>0.01</v>
      </c>
      <c r="O66" s="2583" t="s">
        <v>2457</v>
      </c>
      <c r="P66" s="2593" t="s">
        <v>2481</v>
      </c>
      <c r="Q66" s="2584">
        <f ca="1">L60</f>
        <v>0</v>
      </c>
      <c r="R66" s="2584" t="s">
        <v>2464</v>
      </c>
    </row>
    <row r="67" spans="1:18" s="1454" customFormat="1" ht="24.75" thickBot="1">
      <c r="A67" s="2405" t="s">
        <v>2360</v>
      </c>
      <c r="B67" s="2419" t="s">
        <v>377</v>
      </c>
      <c r="C67" s="698">
        <f ca="1">C48-C58</f>
        <v>-2057</v>
      </c>
      <c r="D67" s="2415" t="s">
        <v>378</v>
      </c>
      <c r="E67" s="2420"/>
      <c r="F67" s="2421"/>
      <c r="O67" s="2585" t="s">
        <v>2458</v>
      </c>
      <c r="P67" s="2593" t="s">
        <v>2488</v>
      </c>
      <c r="Q67" s="2588">
        <f ca="1">L51</f>
        <v>-80973</v>
      </c>
      <c r="R67" s="2589" t="s">
        <v>2498</v>
      </c>
    </row>
    <row r="68" spans="1:18" s="1454" customFormat="1" ht="20.25" thickBot="1">
      <c r="A68" s="2395" t="s">
        <v>2363</v>
      </c>
      <c r="B68" s="2396" t="s">
        <v>379</v>
      </c>
      <c r="C68" s="683">
        <f ca="1">ROUND(C67*(1-((1+F70)/(1+F68))^F69)/(F68-F70),0)</f>
        <v>-53830</v>
      </c>
      <c r="D68" s="2417" t="s">
        <v>373</v>
      </c>
      <c r="E68" s="2398" t="s">
        <v>374</v>
      </c>
      <c r="F68" s="694">
        <f ca="1">F40</f>
        <v>0.05</v>
      </c>
      <c r="O68" s="2585" t="s">
        <v>2459</v>
      </c>
      <c r="P68" s="2594" t="s">
        <v>2492</v>
      </c>
      <c r="Q68" s="2584">
        <f ca="1">ROUND(Q69-Q70*Q71,0)</f>
        <v>-4255</v>
      </c>
      <c r="R68" s="2584" t="s">
        <v>2497</v>
      </c>
    </row>
    <row r="69" spans="1:18" s="1454" customFormat="1" ht="15.75" thickBot="1">
      <c r="A69" s="2399"/>
      <c r="B69" s="2400"/>
      <c r="C69" s="688"/>
      <c r="D69" s="2422" t="s">
        <v>963</v>
      </c>
      <c r="E69" s="2398" t="s">
        <v>381</v>
      </c>
      <c r="F69" s="719">
        <f ca="1">F41</f>
        <v>44.07</v>
      </c>
      <c r="O69" s="2585" t="s">
        <v>2467</v>
      </c>
      <c r="P69" s="2594" t="s">
        <v>2482</v>
      </c>
      <c r="Q69" s="2584">
        <f ca="1">C39</f>
        <v>1287</v>
      </c>
      <c r="R69" s="2584" t="s">
        <v>2475</v>
      </c>
    </row>
    <row r="70" spans="1:18" s="1454" customFormat="1" ht="15.75" thickBot="1">
      <c r="A70" s="2402"/>
      <c r="B70" s="2403"/>
      <c r="C70" s="692"/>
      <c r="D70" s="2418"/>
      <c r="E70" s="2398" t="s">
        <v>382</v>
      </c>
      <c r="F70" s="2528">
        <f ca="1">F42</f>
        <v>2.5000000000000001E-2</v>
      </c>
      <c r="O70" s="2585" t="s">
        <v>2468</v>
      </c>
      <c r="P70" s="2594" t="s">
        <v>2483</v>
      </c>
      <c r="Q70" s="2584">
        <f ca="1">C13</f>
        <v>73899</v>
      </c>
      <c r="R70" s="2584" t="s">
        <v>2475</v>
      </c>
    </row>
    <row r="71" spans="1:18" s="1454" customFormat="1" ht="15.75" thickBot="1">
      <c r="A71" s="2423" t="s">
        <v>2370</v>
      </c>
      <c r="B71" s="2424" t="s">
        <v>383</v>
      </c>
      <c r="C71" s="722">
        <f ca="1">ROUND(C68/F71,0)</f>
        <v>-1824</v>
      </c>
      <c r="D71" s="2425" t="s">
        <v>384</v>
      </c>
      <c r="E71" s="2426" t="s">
        <v>385</v>
      </c>
      <c r="F71" s="725">
        <f ca="1">F43</f>
        <v>29.51</v>
      </c>
      <c r="I71" s="2393"/>
      <c r="K71" s="2393"/>
      <c r="O71" s="2585" t="s">
        <v>2469</v>
      </c>
      <c r="P71" s="2594" t="s">
        <v>2495</v>
      </c>
      <c r="Q71" s="2586">
        <f ca="1">C76</f>
        <v>7.4999999999999997E-2</v>
      </c>
      <c r="R71" s="2584"/>
    </row>
    <row r="72" spans="1:18" s="1454" customFormat="1" ht="15.75" thickBot="1">
      <c r="B72" s="1459"/>
      <c r="C72" s="1459"/>
      <c r="I72" s="2393"/>
      <c r="O72" s="2585" t="s">
        <v>2460</v>
      </c>
      <c r="P72" s="2593" t="s">
        <v>2489</v>
      </c>
      <c r="Q72" s="2586">
        <f>L52</f>
        <v>0</v>
      </c>
      <c r="R72" s="2584"/>
    </row>
    <row r="73" spans="1:18" ht="20.25" thickBot="1">
      <c r="A73" s="1454"/>
      <c r="B73" s="1459"/>
      <c r="C73" s="1459"/>
      <c r="D73" s="1454"/>
      <c r="E73" s="1454"/>
      <c r="F73" s="1454"/>
      <c r="I73" s="2579"/>
      <c r="O73" s="2585" t="s">
        <v>2461</v>
      </c>
      <c r="P73" s="2593" t="s">
        <v>2490</v>
      </c>
      <c r="Q73" s="2584">
        <f ca="1">L58</f>
        <v>0</v>
      </c>
      <c r="R73" s="2584" t="s">
        <v>2465</v>
      </c>
    </row>
    <row r="74" spans="1:18" ht="20.25" thickBot="1">
      <c r="A74" s="1454"/>
      <c r="B74" s="727" t="s">
        <v>386</v>
      </c>
      <c r="C74" s="728"/>
      <c r="D74" s="1454"/>
      <c r="E74" s="1454"/>
      <c r="F74" s="1454"/>
      <c r="O74" s="2585" t="s">
        <v>2499</v>
      </c>
      <c r="P74" s="2593" t="s">
        <v>2491</v>
      </c>
      <c r="Q74" s="2584">
        <f ca="1">L59</f>
        <v>0</v>
      </c>
      <c r="R74" s="2584" t="s">
        <v>2466</v>
      </c>
    </row>
    <row r="75" spans="1:18" ht="15.75" thickBot="1">
      <c r="A75" s="1454"/>
      <c r="B75" s="729" t="s">
        <v>976</v>
      </c>
      <c r="C75" s="730">
        <f ca="1">ROUND(C13*C76,0)</f>
        <v>5542</v>
      </c>
      <c r="D75" s="1454"/>
      <c r="E75" s="1454"/>
      <c r="F75" s="1454"/>
      <c r="K75" s="1455"/>
      <c r="L75" s="1454"/>
      <c r="O75" s="2583" t="s">
        <v>2462</v>
      </c>
      <c r="P75" s="2593" t="s">
        <v>2480</v>
      </c>
      <c r="Q75" s="2584">
        <f ca="1">Q65+Q66</f>
        <v>33680</v>
      </c>
      <c r="R75" s="2584" t="s">
        <v>2463</v>
      </c>
    </row>
    <row r="76" spans="1:18">
      <c r="B76" s="731" t="s">
        <v>977</v>
      </c>
      <c r="C76" s="732">
        <f ca="1">INDIRECT("'数据-取费表'!j"&amp;$G$1)</f>
        <v>7.4999999999999997E-2</v>
      </c>
      <c r="I76" s="1454"/>
      <c r="J76" s="1454"/>
      <c r="K76" s="1455"/>
      <c r="L76" s="1454"/>
    </row>
    <row r="77" spans="1:18">
      <c r="B77" s="733" t="s">
        <v>980</v>
      </c>
      <c r="C77" s="734"/>
      <c r="I77" s="1454"/>
      <c r="J77" s="1454"/>
      <c r="K77" s="1455"/>
      <c r="L77" s="1454"/>
    </row>
    <row r="78" spans="1:18">
      <c r="B78" s="646" t="s">
        <v>966</v>
      </c>
      <c r="C78" s="735"/>
    </row>
    <row r="79" spans="1:18">
      <c r="B79" s="2869" t="s">
        <v>2706</v>
      </c>
      <c r="C79" s="650">
        <f ca="1">1-C80</f>
        <v>-3.306</v>
      </c>
    </row>
    <row r="80" spans="1:18">
      <c r="B80" s="2869" t="s">
        <v>2707</v>
      </c>
      <c r="C80" s="650">
        <f ca="1">ROUND(C75/C39,3)</f>
        <v>4.306</v>
      </c>
    </row>
    <row r="81" spans="2:3">
      <c r="B81" s="646" t="s">
        <v>387</v>
      </c>
      <c r="C81" s="647"/>
    </row>
    <row r="82" spans="2:3">
      <c r="B82" s="2868" t="s">
        <v>2704</v>
      </c>
      <c r="C82" s="651">
        <f ca="1">1-C83</f>
        <v>-1.194</v>
      </c>
    </row>
    <row r="83" spans="2:3">
      <c r="B83" s="2868" t="s">
        <v>2703</v>
      </c>
      <c r="C83" s="650">
        <f ca="1">ROUND(C13/C40,3)</f>
        <v>2.194</v>
      </c>
    </row>
  </sheetData>
  <mergeCells count="3">
    <mergeCell ref="B6:B9"/>
    <mergeCell ref="I6:I9"/>
    <mergeCell ref="K53:L53"/>
  </mergeCells>
  <phoneticPr fontId="205" type="noConversion"/>
  <conditionalFormatting sqref="K55 K60">
    <cfRule type="expression" dxfId="21" priority="10">
      <formula>$L$48&gt;$J$51</formula>
    </cfRule>
  </conditionalFormatting>
  <conditionalFormatting sqref="I55 I60">
    <cfRule type="expression" dxfId="20" priority="9">
      <formula>$J$51&gt;$L$48</formula>
    </cfRule>
  </conditionalFormatting>
  <conditionalFormatting sqref="C11">
    <cfRule type="expression" dxfId="19" priority="8">
      <formula>$F$10="自定义"</formula>
    </cfRule>
  </conditionalFormatting>
  <conditionalFormatting sqref="J11">
    <cfRule type="expression" dxfId="18" priority="7">
      <formula>$M$10="自定义"</formula>
    </cfRule>
  </conditionalFormatting>
  <conditionalFormatting sqref="C54">
    <cfRule type="expression" dxfId="17" priority="6">
      <formula>$F$53="自定义"</formula>
    </cfRule>
  </conditionalFormatting>
  <conditionalFormatting sqref="K55 K60">
    <cfRule type="expression" dxfId="16" priority="5">
      <formula>$L$48&gt;$J$51</formula>
    </cfRule>
  </conditionalFormatting>
  <conditionalFormatting sqref="I55 I60">
    <cfRule type="expression" dxfId="15" priority="4">
      <formula>$J$51&gt;$L$48</formula>
    </cfRule>
  </conditionalFormatting>
  <conditionalFormatting sqref="C11">
    <cfRule type="expression" dxfId="14" priority="3">
      <formula>$F$10="自定义"</formula>
    </cfRule>
  </conditionalFormatting>
  <conditionalFormatting sqref="J11">
    <cfRule type="expression" dxfId="13" priority="2">
      <formula>$M$10="自定义"</formula>
    </cfRule>
  </conditionalFormatting>
  <conditionalFormatting sqref="C54">
    <cfRule type="expression" dxfId="12" priority="1">
      <formula>$F$53="自定义"</formula>
    </cfRule>
  </conditionalFormatting>
  <dataValidations count="8">
    <dataValidation type="list" allowBlank="1" showInputMessage="1" showErrorMessage="1" sqref="F10 F53 M10">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sheetPr>
    <tabColor rgb="FF92D050"/>
  </sheetPr>
  <dimension ref="A1:AS524"/>
  <sheetViews>
    <sheetView workbookViewId="0">
      <selection activeCell="R24" sqref="R24"/>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0"/>
    <col min="19" max="19" width="9" style="470"/>
    <col min="20" max="45" width="9" style="1462"/>
    <col min="46" max="16384" width="9" style="470"/>
  </cols>
  <sheetData>
    <row r="1" spans="1:45" ht="14.25" customHeight="1" thickBot="1">
      <c r="A1" s="487"/>
      <c r="B1" s="2437" t="s">
        <v>2389</v>
      </c>
      <c r="C1" s="3727" t="s">
        <v>2390</v>
      </c>
      <c r="D1" s="3728"/>
      <c r="E1" s="3728"/>
      <c r="F1" s="3728"/>
      <c r="G1" s="3728"/>
      <c r="H1" s="3728"/>
      <c r="I1" s="3728"/>
      <c r="J1" s="3728"/>
      <c r="K1" s="3728"/>
      <c r="L1" s="3728"/>
      <c r="M1" s="3728"/>
      <c r="N1" s="3728"/>
      <c r="O1" s="3728"/>
      <c r="P1" s="3728"/>
      <c r="Q1" s="3728"/>
      <c r="R1" s="3728"/>
      <c r="S1" s="3729"/>
      <c r="T1" s="2437" t="s">
        <v>2391</v>
      </c>
    </row>
    <row r="2" spans="1:45" s="1115" customFormat="1" ht="25.5">
      <c r="A2" s="2438"/>
      <c r="B2" s="1111" t="s">
        <v>2392</v>
      </c>
      <c r="C2" s="1112" t="str">
        <f t="shared" ref="C2:R2" si="0">C3&amp;"(含)"&amp;"-"&amp;D3</f>
        <v>0(含)-30</v>
      </c>
      <c r="D2" s="1113" t="str">
        <f t="shared" si="0"/>
        <v>30(含)-50</v>
      </c>
      <c r="E2" s="1113" t="str">
        <f t="shared" si="0"/>
        <v>50(含)-80</v>
      </c>
      <c r="F2" s="1113" t="str">
        <f t="shared" si="0"/>
        <v>80(含)-</v>
      </c>
      <c r="G2" s="1113" t="str">
        <f t="shared" si="0"/>
        <v>(含)-</v>
      </c>
      <c r="H2" s="1113" t="str">
        <f t="shared" si="0"/>
        <v>(含)-</v>
      </c>
      <c r="I2" s="1113" t="str">
        <f t="shared" si="0"/>
        <v>(含)-</v>
      </c>
      <c r="J2" s="1113" t="str">
        <f t="shared" si="0"/>
        <v>(含)-</v>
      </c>
      <c r="K2" s="1113" t="str">
        <f t="shared" si="0"/>
        <v>(含)-</v>
      </c>
      <c r="L2" s="1113" t="str">
        <f t="shared" si="0"/>
        <v>(含)-</v>
      </c>
      <c r="M2" s="1113" t="str">
        <f t="shared" si="0"/>
        <v>(含)-</v>
      </c>
      <c r="N2" s="1113" t="str">
        <f t="shared" si="0"/>
        <v>(含)-</v>
      </c>
      <c r="O2" s="1113" t="str">
        <f t="shared" si="0"/>
        <v>(含)-</v>
      </c>
      <c r="P2" s="1113" t="str">
        <f t="shared" si="0"/>
        <v>(含)-</v>
      </c>
      <c r="Q2" s="1113" t="str">
        <f t="shared" si="0"/>
        <v>(含)-</v>
      </c>
      <c r="R2" s="1113" t="str">
        <f t="shared" si="0"/>
        <v>(含)-</v>
      </c>
      <c r="S2" s="2439" t="str">
        <f>S3&amp;"(含)"&amp;"-"</f>
        <v>(含)-</v>
      </c>
      <c r="T2" s="1114"/>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row>
    <row r="3" spans="1:45" s="1120" customFormat="1">
      <c r="A3" s="2440"/>
      <c r="B3" s="1116"/>
      <c r="C3" s="1117">
        <v>0</v>
      </c>
      <c r="D3" s="1118">
        <v>30</v>
      </c>
      <c r="E3" s="1118">
        <v>50</v>
      </c>
      <c r="F3" s="3204">
        <v>80</v>
      </c>
      <c r="G3" s="3204"/>
      <c r="H3" s="3204"/>
      <c r="I3" s="3204"/>
      <c r="J3" s="3204"/>
      <c r="K3" s="3204"/>
      <c r="L3" s="3205"/>
      <c r="M3" s="3206"/>
      <c r="N3" s="3206"/>
      <c r="O3" s="3204"/>
      <c r="P3" s="3204"/>
      <c r="Q3" s="3204"/>
      <c r="R3" s="3204"/>
      <c r="S3" s="3207"/>
      <c r="T3" s="1119"/>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row>
    <row r="4" spans="1:45" s="1120" customFormat="1" ht="13.5" thickBot="1">
      <c r="A4" s="2441"/>
      <c r="B4" s="2442"/>
      <c r="C4" s="2443">
        <v>100</v>
      </c>
      <c r="D4" s="2444">
        <v>103</v>
      </c>
      <c r="E4" s="2444">
        <v>106</v>
      </c>
      <c r="F4" s="3208">
        <v>109</v>
      </c>
      <c r="G4" s="3208"/>
      <c r="H4" s="3208"/>
      <c r="I4" s="3208"/>
      <c r="J4" s="3208"/>
      <c r="K4" s="3208"/>
      <c r="L4" s="3208"/>
      <c r="M4" s="3209"/>
      <c r="N4" s="3209"/>
      <c r="O4" s="3208"/>
      <c r="P4" s="3208"/>
      <c r="Q4" s="3208"/>
      <c r="R4" s="3208"/>
      <c r="S4" s="3210"/>
      <c r="T4" s="2447"/>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row>
    <row r="5" spans="1:45" s="408" customFormat="1">
      <c r="A5" s="2448"/>
      <c r="B5" s="3302" t="s">
        <v>3030</v>
      </c>
      <c r="C5" s="2449"/>
      <c r="D5" s="2450"/>
      <c r="E5" s="2450"/>
      <c r="F5" s="3211"/>
      <c r="G5" s="3211"/>
      <c r="H5" s="3211"/>
      <c r="I5" s="3211"/>
      <c r="J5" s="3211"/>
      <c r="K5" s="3211"/>
      <c r="L5" s="3212"/>
      <c r="M5" s="3213"/>
      <c r="N5" s="3213"/>
      <c r="O5" s="3211"/>
      <c r="P5" s="3211"/>
      <c r="Q5" s="3211"/>
      <c r="R5" s="3211"/>
      <c r="S5" s="3214"/>
      <c r="T5" s="2452"/>
      <c r="U5" s="1465"/>
      <c r="V5" s="1465"/>
      <c r="W5" s="1465"/>
      <c r="X5" s="1465"/>
      <c r="Y5" s="1465"/>
      <c r="Z5" s="1465"/>
      <c r="AA5" s="1465"/>
      <c r="AB5" s="1465"/>
      <c r="AC5" s="1465"/>
      <c r="AD5" s="1465"/>
      <c r="AE5" s="1465"/>
      <c r="AF5" s="1465"/>
      <c r="AG5" s="1465"/>
      <c r="AH5" s="1465"/>
      <c r="AI5" s="1465"/>
      <c r="AJ5" s="1465"/>
      <c r="AK5" s="1465"/>
      <c r="AL5" s="1465"/>
      <c r="AM5" s="1465"/>
      <c r="AN5" s="1465"/>
      <c r="AO5" s="1465"/>
      <c r="AP5" s="1465"/>
      <c r="AQ5" s="1465"/>
      <c r="AR5" s="1465"/>
      <c r="AS5" s="1465"/>
    </row>
    <row r="6" spans="1:45" s="408" customFormat="1" ht="13.5" thickBot="1">
      <c r="A6" s="2448"/>
      <c r="B6" s="2199"/>
      <c r="C6" s="2205">
        <v>100</v>
      </c>
      <c r="D6" s="2202">
        <f>C6-$T5</f>
        <v>100</v>
      </c>
      <c r="E6" s="2202">
        <f t="shared" ref="E6:S6" si="1">D6-$T5</f>
        <v>100</v>
      </c>
      <c r="F6" s="3215">
        <f t="shared" si="1"/>
        <v>100</v>
      </c>
      <c r="G6" s="3215">
        <f t="shared" si="1"/>
        <v>100</v>
      </c>
      <c r="H6" s="3215">
        <f t="shared" si="1"/>
        <v>100</v>
      </c>
      <c r="I6" s="3215">
        <f t="shared" si="1"/>
        <v>100</v>
      </c>
      <c r="J6" s="3215">
        <f t="shared" si="1"/>
        <v>100</v>
      </c>
      <c r="K6" s="3215">
        <f t="shared" si="1"/>
        <v>100</v>
      </c>
      <c r="L6" s="3215">
        <f t="shared" si="1"/>
        <v>100</v>
      </c>
      <c r="M6" s="3215">
        <f t="shared" si="1"/>
        <v>100</v>
      </c>
      <c r="N6" s="3215">
        <f t="shared" si="1"/>
        <v>100</v>
      </c>
      <c r="O6" s="3215">
        <f t="shared" si="1"/>
        <v>100</v>
      </c>
      <c r="P6" s="3215">
        <f t="shared" si="1"/>
        <v>100</v>
      </c>
      <c r="Q6" s="3215">
        <f t="shared" si="1"/>
        <v>100</v>
      </c>
      <c r="R6" s="3215">
        <f t="shared" si="1"/>
        <v>100</v>
      </c>
      <c r="S6" s="3215">
        <f t="shared" si="1"/>
        <v>100</v>
      </c>
      <c r="T6" s="2201"/>
      <c r="U6" s="1465"/>
      <c r="V6" s="1465"/>
      <c r="W6" s="1465"/>
      <c r="X6" s="1465"/>
      <c r="Y6" s="1465"/>
      <c r="Z6" s="1465"/>
      <c r="AA6" s="1465"/>
      <c r="AB6" s="1465"/>
      <c r="AC6" s="1465"/>
      <c r="AD6" s="1465"/>
      <c r="AE6" s="1465"/>
      <c r="AF6" s="1465"/>
      <c r="AG6" s="1465"/>
      <c r="AH6" s="1465"/>
      <c r="AI6" s="1465"/>
      <c r="AJ6" s="1465"/>
      <c r="AK6" s="1465"/>
      <c r="AL6" s="1465"/>
      <c r="AM6" s="1465"/>
      <c r="AN6" s="1465"/>
      <c r="AO6" s="1465"/>
      <c r="AP6" s="1465"/>
      <c r="AQ6" s="1465"/>
      <c r="AR6" s="1465"/>
      <c r="AS6" s="1465"/>
    </row>
    <row r="7" spans="1:45" s="408" customFormat="1">
      <c r="A7" s="2448"/>
      <c r="B7" s="3303" t="s">
        <v>3029</v>
      </c>
      <c r="C7" s="2204"/>
      <c r="D7" s="2198"/>
      <c r="E7" s="2198"/>
      <c r="F7" s="3216"/>
      <c r="G7" s="3216"/>
      <c r="H7" s="3216"/>
      <c r="I7" s="3216"/>
      <c r="J7" s="3216"/>
      <c r="K7" s="3216"/>
      <c r="L7" s="3216"/>
      <c r="M7" s="3217"/>
      <c r="N7" s="3218"/>
      <c r="O7" s="3219"/>
      <c r="P7" s="3220"/>
      <c r="Q7" s="3221"/>
      <c r="R7" s="3222"/>
      <c r="S7" s="3223"/>
      <c r="T7" s="1121"/>
      <c r="U7" s="1465"/>
      <c r="V7" s="1465"/>
      <c r="W7" s="1465"/>
      <c r="X7" s="1465"/>
      <c r="Y7" s="1465"/>
      <c r="Z7" s="1465"/>
      <c r="AA7" s="1465"/>
      <c r="AB7" s="1465"/>
      <c r="AC7" s="1465"/>
      <c r="AD7" s="1465"/>
      <c r="AE7" s="1465"/>
      <c r="AF7" s="1465"/>
      <c r="AG7" s="1465"/>
      <c r="AH7" s="1465"/>
      <c r="AI7" s="1465"/>
      <c r="AJ7" s="1465"/>
      <c r="AK7" s="1465"/>
      <c r="AL7" s="1465"/>
      <c r="AM7" s="1465"/>
      <c r="AN7" s="1465"/>
      <c r="AO7" s="1465"/>
      <c r="AP7" s="1465"/>
      <c r="AQ7" s="1465"/>
      <c r="AR7" s="1465"/>
      <c r="AS7" s="1465"/>
    </row>
    <row r="8" spans="1:45" s="408" customFormat="1" ht="13.5" thickBot="1">
      <c r="A8" s="2448"/>
      <c r="B8" s="2199"/>
      <c r="C8" s="2205">
        <v>100</v>
      </c>
      <c r="D8" s="2202">
        <f>C8-$T7</f>
        <v>100</v>
      </c>
      <c r="E8" s="2202">
        <f t="shared" ref="E8:S8" si="2">D8-$T7</f>
        <v>100</v>
      </c>
      <c r="F8" s="3215">
        <f t="shared" si="2"/>
        <v>100</v>
      </c>
      <c r="G8" s="3215">
        <f t="shared" si="2"/>
        <v>100</v>
      </c>
      <c r="H8" s="3215">
        <f t="shared" si="2"/>
        <v>100</v>
      </c>
      <c r="I8" s="3215">
        <f t="shared" si="2"/>
        <v>100</v>
      </c>
      <c r="J8" s="3215">
        <f t="shared" si="2"/>
        <v>100</v>
      </c>
      <c r="K8" s="3215">
        <f t="shared" si="2"/>
        <v>100</v>
      </c>
      <c r="L8" s="3215">
        <f t="shared" si="2"/>
        <v>100</v>
      </c>
      <c r="M8" s="3215">
        <f t="shared" si="2"/>
        <v>100</v>
      </c>
      <c r="N8" s="3215">
        <f t="shared" si="2"/>
        <v>100</v>
      </c>
      <c r="O8" s="3215">
        <f t="shared" si="2"/>
        <v>100</v>
      </c>
      <c r="P8" s="3215">
        <f t="shared" si="2"/>
        <v>100</v>
      </c>
      <c r="Q8" s="3215">
        <f t="shared" si="2"/>
        <v>100</v>
      </c>
      <c r="R8" s="3215">
        <f t="shared" si="2"/>
        <v>100</v>
      </c>
      <c r="S8" s="3215">
        <f t="shared" si="2"/>
        <v>100</v>
      </c>
      <c r="T8" s="2201"/>
      <c r="U8" s="1465"/>
      <c r="V8" s="1465"/>
      <c r="W8" s="1465"/>
      <c r="X8" s="1465"/>
      <c r="Y8" s="1465"/>
      <c r="Z8" s="1465"/>
      <c r="AA8" s="1465"/>
      <c r="AB8" s="1465"/>
      <c r="AC8" s="1465"/>
      <c r="AD8" s="1465"/>
      <c r="AE8" s="1465"/>
      <c r="AF8" s="1465"/>
      <c r="AG8" s="1465"/>
      <c r="AH8" s="1465"/>
      <c r="AI8" s="1465"/>
      <c r="AJ8" s="1465"/>
      <c r="AK8" s="1465"/>
      <c r="AL8" s="1465"/>
      <c r="AM8" s="1465"/>
      <c r="AN8" s="1465"/>
      <c r="AO8" s="1465"/>
      <c r="AP8" s="1465"/>
      <c r="AQ8" s="1465"/>
      <c r="AR8" s="1465"/>
      <c r="AS8" s="1465"/>
    </row>
    <row r="9" spans="1:45" s="408" customFormat="1">
      <c r="A9" s="2448"/>
      <c r="B9" s="3303" t="s">
        <v>3028</v>
      </c>
      <c r="C9" s="2204"/>
      <c r="D9" s="2198"/>
      <c r="E9" s="2198"/>
      <c r="F9" s="3216"/>
      <c r="G9" s="3216"/>
      <c r="H9" s="3216"/>
      <c r="I9" s="3216"/>
      <c r="J9" s="3216"/>
      <c r="K9" s="3216"/>
      <c r="L9" s="3224"/>
      <c r="M9" s="3217"/>
      <c r="N9" s="3218"/>
      <c r="O9" s="3219"/>
      <c r="P9" s="3220"/>
      <c r="Q9" s="3221"/>
      <c r="R9" s="3222"/>
      <c r="S9" s="3223"/>
      <c r="T9" s="1121"/>
      <c r="U9" s="1465"/>
      <c r="V9" s="1465"/>
      <c r="W9" s="1465"/>
      <c r="X9" s="1465"/>
      <c r="Y9" s="1465"/>
      <c r="Z9" s="1465"/>
      <c r="AA9" s="1465"/>
      <c r="AB9" s="1465"/>
      <c r="AC9" s="1465"/>
      <c r="AD9" s="1465"/>
      <c r="AE9" s="1465"/>
      <c r="AF9" s="1465"/>
      <c r="AG9" s="1465"/>
      <c r="AH9" s="1465"/>
      <c r="AI9" s="1465"/>
      <c r="AJ9" s="1465"/>
      <c r="AK9" s="1465"/>
      <c r="AL9" s="1465"/>
      <c r="AM9" s="1465"/>
      <c r="AN9" s="1465"/>
      <c r="AO9" s="1465"/>
      <c r="AP9" s="1465"/>
      <c r="AQ9" s="1465"/>
      <c r="AR9" s="1465"/>
      <c r="AS9" s="1465"/>
    </row>
    <row r="10" spans="1:45" s="408" customFormat="1" ht="13.5" thickBot="1">
      <c r="A10" s="2448"/>
      <c r="B10" s="2442"/>
      <c r="C10" s="2453">
        <v>100</v>
      </c>
      <c r="D10" s="2454">
        <f>C10-$T9</f>
        <v>100</v>
      </c>
      <c r="E10" s="2454">
        <f t="shared" ref="E10:S10" si="3">D10-$T9</f>
        <v>100</v>
      </c>
      <c r="F10" s="3225">
        <f t="shared" si="3"/>
        <v>100</v>
      </c>
      <c r="G10" s="3225">
        <f t="shared" si="3"/>
        <v>100</v>
      </c>
      <c r="H10" s="3225">
        <f t="shared" si="3"/>
        <v>100</v>
      </c>
      <c r="I10" s="3225">
        <f t="shared" si="3"/>
        <v>100</v>
      </c>
      <c r="J10" s="3225">
        <f t="shared" si="3"/>
        <v>100</v>
      </c>
      <c r="K10" s="3225">
        <f t="shared" si="3"/>
        <v>100</v>
      </c>
      <c r="L10" s="3225">
        <f t="shared" si="3"/>
        <v>100</v>
      </c>
      <c r="M10" s="3225">
        <f t="shared" si="3"/>
        <v>100</v>
      </c>
      <c r="N10" s="3225">
        <f t="shared" si="3"/>
        <v>100</v>
      </c>
      <c r="O10" s="3225">
        <f t="shared" si="3"/>
        <v>100</v>
      </c>
      <c r="P10" s="3225">
        <f t="shared" si="3"/>
        <v>100</v>
      </c>
      <c r="Q10" s="3225">
        <f t="shared" si="3"/>
        <v>100</v>
      </c>
      <c r="R10" s="3225">
        <f t="shared" si="3"/>
        <v>100</v>
      </c>
      <c r="S10" s="3225">
        <f t="shared" si="3"/>
        <v>100</v>
      </c>
      <c r="T10" s="2447"/>
      <c r="U10" s="1465"/>
      <c r="V10" s="1465"/>
      <c r="W10" s="1465"/>
      <c r="X10" s="1465"/>
      <c r="Y10" s="1465"/>
      <c r="Z10" s="1465"/>
      <c r="AA10" s="1465"/>
      <c r="AB10" s="1465"/>
      <c r="AC10" s="1465"/>
      <c r="AD10" s="1465"/>
      <c r="AE10" s="1465"/>
      <c r="AF10" s="1465"/>
      <c r="AG10" s="1465"/>
      <c r="AH10" s="1465"/>
      <c r="AI10" s="1465"/>
      <c r="AJ10" s="1465"/>
      <c r="AK10" s="1465"/>
      <c r="AL10" s="1465"/>
      <c r="AM10" s="1465"/>
      <c r="AN10" s="1465"/>
      <c r="AO10" s="1465"/>
      <c r="AP10" s="1465"/>
      <c r="AQ10" s="1465"/>
      <c r="AR10" s="1465"/>
      <c r="AS10" s="1465"/>
    </row>
    <row r="11" spans="1:45" s="408" customFormat="1">
      <c r="A11" s="2448"/>
      <c r="B11" s="3302" t="s">
        <v>3027</v>
      </c>
      <c r="C11" s="2449"/>
      <c r="D11" s="2450"/>
      <c r="E11" s="2450"/>
      <c r="F11" s="2450"/>
      <c r="G11" s="2450"/>
      <c r="H11" s="2450"/>
      <c r="I11" s="2450"/>
      <c r="J11" s="2450"/>
      <c r="K11" s="2450"/>
      <c r="L11" s="2450"/>
      <c r="M11" s="2451"/>
      <c r="N11" s="2455"/>
      <c r="O11" s="2456"/>
      <c r="P11" s="2457"/>
      <c r="Q11" s="2458"/>
      <c r="R11" s="2459"/>
      <c r="S11" s="2460"/>
      <c r="T11" s="2452"/>
      <c r="U11" s="1465"/>
      <c r="V11" s="1465"/>
      <c r="W11" s="1465"/>
      <c r="X11" s="1465"/>
      <c r="Y11" s="1465"/>
      <c r="Z11" s="1465"/>
      <c r="AA11" s="1465"/>
      <c r="AB11" s="1465"/>
      <c r="AC11" s="1465"/>
      <c r="AD11" s="1465"/>
      <c r="AE11" s="1465"/>
      <c r="AF11" s="1465"/>
      <c r="AG11" s="1465"/>
      <c r="AH11" s="1465"/>
      <c r="AI11" s="1465"/>
      <c r="AJ11" s="1465"/>
      <c r="AK11" s="1465"/>
      <c r="AL11" s="1465"/>
      <c r="AM11" s="1465"/>
      <c r="AN11" s="1465"/>
      <c r="AO11" s="1465"/>
      <c r="AP11" s="1465"/>
      <c r="AQ11" s="1465"/>
      <c r="AR11" s="1465"/>
      <c r="AS11" s="1465"/>
    </row>
    <row r="12" spans="1:45" s="408" customFormat="1" ht="13.5" thickBot="1">
      <c r="A12" s="2448"/>
      <c r="B12" s="2199"/>
      <c r="C12" s="2205">
        <v>100</v>
      </c>
      <c r="D12" s="2202">
        <f>C12-$T11</f>
        <v>100</v>
      </c>
      <c r="E12" s="2202">
        <f t="shared" ref="E12:S12" si="4">D12-$T11</f>
        <v>100</v>
      </c>
      <c r="F12" s="2202">
        <f t="shared" si="4"/>
        <v>100</v>
      </c>
      <c r="G12" s="2202">
        <f t="shared" si="4"/>
        <v>100</v>
      </c>
      <c r="H12" s="2202">
        <f t="shared" si="4"/>
        <v>100</v>
      </c>
      <c r="I12" s="2202">
        <f t="shared" si="4"/>
        <v>100</v>
      </c>
      <c r="J12" s="2202">
        <f t="shared" si="4"/>
        <v>100</v>
      </c>
      <c r="K12" s="2202">
        <f t="shared" si="4"/>
        <v>100</v>
      </c>
      <c r="L12" s="2202">
        <f t="shared" si="4"/>
        <v>100</v>
      </c>
      <c r="M12" s="2202">
        <f t="shared" si="4"/>
        <v>100</v>
      </c>
      <c r="N12" s="2202">
        <f t="shared" si="4"/>
        <v>100</v>
      </c>
      <c r="O12" s="2202">
        <f t="shared" si="4"/>
        <v>100</v>
      </c>
      <c r="P12" s="2202">
        <f t="shared" si="4"/>
        <v>100</v>
      </c>
      <c r="Q12" s="2202">
        <f t="shared" si="4"/>
        <v>100</v>
      </c>
      <c r="R12" s="2202">
        <f>Q12-$T11</f>
        <v>100</v>
      </c>
      <c r="S12" s="2202">
        <f t="shared" si="4"/>
        <v>100</v>
      </c>
      <c r="T12" s="2201"/>
      <c r="U12" s="1465"/>
      <c r="V12" s="1465"/>
      <c r="W12" s="1465"/>
      <c r="X12" s="1465"/>
      <c r="Y12" s="1465"/>
      <c r="Z12" s="1465"/>
      <c r="AA12" s="1465"/>
      <c r="AB12" s="1465"/>
      <c r="AC12" s="1465"/>
      <c r="AD12" s="1465"/>
      <c r="AE12" s="1465"/>
      <c r="AF12" s="1465"/>
      <c r="AG12" s="1465"/>
      <c r="AH12" s="1465"/>
      <c r="AI12" s="1465"/>
      <c r="AJ12" s="1465"/>
      <c r="AK12" s="1465"/>
      <c r="AL12" s="1465"/>
      <c r="AM12" s="1465"/>
      <c r="AN12" s="1465"/>
      <c r="AO12" s="1465"/>
      <c r="AP12" s="1465"/>
      <c r="AQ12" s="1465"/>
      <c r="AR12" s="1465"/>
      <c r="AS12" s="1465"/>
    </row>
    <row r="13" spans="1:45" s="408" customFormat="1">
      <c r="A13" s="2448"/>
      <c r="B13" s="3302" t="s">
        <v>3026</v>
      </c>
      <c r="C13" s="2449"/>
      <c r="D13" s="2450"/>
      <c r="E13" s="2450"/>
      <c r="F13" s="2450"/>
      <c r="G13" s="2450"/>
      <c r="H13" s="2450"/>
      <c r="I13" s="2450"/>
      <c r="J13" s="2450"/>
      <c r="K13" s="2450"/>
      <c r="L13" s="2450"/>
      <c r="M13" s="2451"/>
      <c r="N13" s="2455"/>
      <c r="O13" s="2456"/>
      <c r="P13" s="2457"/>
      <c r="Q13" s="2458"/>
      <c r="R13" s="2459"/>
      <c r="S13" s="2460"/>
      <c r="T13" s="2461"/>
      <c r="U13" s="1465"/>
      <c r="V13" s="1465"/>
      <c r="W13" s="1465"/>
      <c r="X13" s="1465"/>
      <c r="Y13" s="1465"/>
      <c r="Z13" s="1465"/>
      <c r="AA13" s="1465"/>
      <c r="AB13" s="1465"/>
      <c r="AC13" s="1465"/>
      <c r="AD13" s="1465"/>
      <c r="AE13" s="1465"/>
      <c r="AF13" s="1465"/>
      <c r="AG13" s="1465"/>
      <c r="AH13" s="1465"/>
      <c r="AI13" s="1465"/>
      <c r="AJ13" s="1465"/>
      <c r="AK13" s="1465"/>
      <c r="AL13" s="1465"/>
      <c r="AM13" s="1465"/>
      <c r="AN13" s="1465"/>
      <c r="AO13" s="1465"/>
      <c r="AP13" s="1465"/>
      <c r="AQ13" s="1465"/>
      <c r="AR13" s="1465"/>
      <c r="AS13" s="1465"/>
    </row>
    <row r="14" spans="1:45" s="408" customFormat="1" ht="13.5" thickBot="1">
      <c r="A14" s="2448"/>
      <c r="B14" s="2199"/>
      <c r="C14" s="2203"/>
      <c r="D14" s="2200"/>
      <c r="E14" s="2200"/>
      <c r="F14" s="2200"/>
      <c r="G14" s="2200"/>
      <c r="H14" s="2200"/>
      <c r="I14" s="2200"/>
      <c r="J14" s="2200"/>
      <c r="K14" s="2200"/>
      <c r="L14" s="2200"/>
      <c r="M14" s="2462"/>
      <c r="N14" s="2462"/>
      <c r="O14" s="2200"/>
      <c r="P14" s="2200"/>
      <c r="Q14" s="2200"/>
      <c r="R14" s="2200"/>
      <c r="S14" s="2463"/>
      <c r="T14" s="2201"/>
      <c r="U14" s="1465"/>
      <c r="V14" s="1465"/>
      <c r="W14" s="1465"/>
      <c r="X14" s="1465"/>
      <c r="Y14" s="1465"/>
      <c r="Z14" s="1465"/>
      <c r="AA14" s="1465"/>
      <c r="AB14" s="1465"/>
      <c r="AC14" s="1465"/>
      <c r="AD14" s="1465"/>
      <c r="AE14" s="1465"/>
      <c r="AF14" s="1465"/>
      <c r="AG14" s="1465"/>
      <c r="AH14" s="1465"/>
      <c r="AI14" s="1465"/>
      <c r="AJ14" s="1465"/>
      <c r="AK14" s="1465"/>
      <c r="AL14" s="1465"/>
      <c r="AM14" s="1465"/>
      <c r="AN14" s="1465"/>
      <c r="AO14" s="1465"/>
      <c r="AP14" s="1465"/>
      <c r="AQ14" s="1465"/>
      <c r="AR14" s="1465"/>
      <c r="AS14" s="1465"/>
    </row>
    <row r="15" spans="1:45" s="408" customFormat="1">
      <c r="A15" s="2448"/>
      <c r="B15" s="3302" t="s">
        <v>3025</v>
      </c>
      <c r="C15" s="2449"/>
      <c r="D15" s="2450"/>
      <c r="E15" s="2450"/>
      <c r="F15" s="2450"/>
      <c r="G15" s="2450"/>
      <c r="H15" s="2450"/>
      <c r="I15" s="2450"/>
      <c r="J15" s="2450"/>
      <c r="K15" s="2450"/>
      <c r="L15" s="2450"/>
      <c r="M15" s="2451"/>
      <c r="N15" s="2455"/>
      <c r="O15" s="2456"/>
      <c r="P15" s="2457"/>
      <c r="Q15" s="2458"/>
      <c r="R15" s="2459"/>
      <c r="S15" s="2460"/>
      <c r="T15" s="2461"/>
      <c r="U15" s="1465"/>
      <c r="V15" s="1465"/>
      <c r="W15" s="1465"/>
      <c r="X15" s="1465"/>
      <c r="Y15" s="1465"/>
      <c r="Z15" s="1465"/>
      <c r="AA15" s="1465"/>
      <c r="AB15" s="1465"/>
      <c r="AC15" s="1465"/>
      <c r="AD15" s="1465"/>
      <c r="AE15" s="1465"/>
      <c r="AF15" s="1465"/>
      <c r="AG15" s="1465"/>
      <c r="AH15" s="1465"/>
      <c r="AI15" s="1465"/>
      <c r="AJ15" s="1465"/>
      <c r="AK15" s="1465"/>
      <c r="AL15" s="1465"/>
      <c r="AM15" s="1465"/>
      <c r="AN15" s="1465"/>
      <c r="AO15" s="1465"/>
      <c r="AP15" s="1465"/>
      <c r="AQ15" s="1465"/>
      <c r="AR15" s="1465"/>
      <c r="AS15" s="1465"/>
    </row>
    <row r="16" spans="1:45" s="408" customFormat="1" ht="13.5" thickBot="1">
      <c r="A16" s="2448"/>
      <c r="B16" s="2442"/>
      <c r="C16" s="2443"/>
      <c r="D16" s="2444"/>
      <c r="E16" s="2444"/>
      <c r="F16" s="2444"/>
      <c r="G16" s="2444"/>
      <c r="H16" s="2444"/>
      <c r="I16" s="2444"/>
      <c r="J16" s="2444"/>
      <c r="K16" s="2444"/>
      <c r="L16" s="2444"/>
      <c r="M16" s="2445"/>
      <c r="N16" s="2445"/>
      <c r="O16" s="2444"/>
      <c r="P16" s="2444"/>
      <c r="Q16" s="2444"/>
      <c r="R16" s="2444"/>
      <c r="S16" s="2446"/>
      <c r="T16" s="2447"/>
      <c r="U16" s="1465"/>
      <c r="V16" s="1465"/>
      <c r="W16" s="1465"/>
      <c r="X16" s="1465"/>
      <c r="Y16" s="1465"/>
      <c r="Z16" s="1465"/>
      <c r="AA16" s="1465"/>
      <c r="AB16" s="1465"/>
      <c r="AC16" s="1465"/>
      <c r="AD16" s="1465"/>
      <c r="AE16" s="1465"/>
      <c r="AF16" s="1465"/>
      <c r="AG16" s="1465"/>
      <c r="AH16" s="1465"/>
      <c r="AI16" s="1465"/>
      <c r="AJ16" s="1465"/>
      <c r="AK16" s="1465"/>
      <c r="AL16" s="1465"/>
      <c r="AM16" s="1465"/>
      <c r="AN16" s="1465"/>
      <c r="AO16" s="1465"/>
      <c r="AP16" s="1465"/>
      <c r="AQ16" s="1465"/>
      <c r="AR16" s="1465"/>
      <c r="AS16" s="1465"/>
    </row>
    <row r="17" spans="1:45" s="1115" customFormat="1">
      <c r="A17" s="2480" t="s">
        <v>2393</v>
      </c>
      <c r="B17" s="2481" t="s">
        <v>2394</v>
      </c>
      <c r="C17" s="2464"/>
      <c r="D17" s="2465"/>
      <c r="E17" s="2465"/>
      <c r="F17" s="2465"/>
      <c r="G17" s="2465"/>
      <c r="H17" s="2465"/>
      <c r="I17" s="2465"/>
      <c r="J17" s="2465"/>
      <c r="K17" s="2465"/>
      <c r="L17" s="2466"/>
      <c r="M17" s="2467"/>
      <c r="N17" s="2468"/>
      <c r="O17" s="2469"/>
      <c r="P17" s="2470"/>
      <c r="Q17" s="2471"/>
      <c r="R17" s="2472"/>
      <c r="S17" s="2473"/>
      <c r="T17" s="2473"/>
      <c r="U17" s="2473"/>
      <c r="V17" s="2473"/>
      <c r="W17" s="2473"/>
      <c r="X17" s="2473"/>
      <c r="Y17" s="2473"/>
      <c r="Z17" s="2473"/>
      <c r="AA17" s="2473"/>
      <c r="AB17" s="2473"/>
      <c r="AC17" s="2473"/>
      <c r="AD17" s="2473"/>
      <c r="AE17" s="2473"/>
      <c r="AF17" s="2473"/>
      <c r="AG17" s="2473"/>
      <c r="AH17" s="2473"/>
      <c r="AI17" s="2473"/>
      <c r="AJ17" s="2473"/>
      <c r="AK17" s="2473"/>
      <c r="AL17" s="2473"/>
      <c r="AM17" s="2473"/>
      <c r="AN17" s="2473"/>
      <c r="AO17" s="2473"/>
      <c r="AP17" s="2473"/>
      <c r="AQ17" s="2473"/>
      <c r="AR17" s="1463"/>
      <c r="AS17" s="1463"/>
    </row>
    <row r="18" spans="1:45" s="1115" customFormat="1" ht="13.5" thickBot="1">
      <c r="A18" s="2474"/>
      <c r="B18" s="2475"/>
      <c r="C18" s="2476"/>
      <c r="D18" s="2477"/>
      <c r="E18" s="2477"/>
      <c r="F18" s="2477"/>
      <c r="G18" s="2477"/>
      <c r="H18" s="2477"/>
      <c r="I18" s="2477"/>
      <c r="J18" s="2477"/>
      <c r="K18" s="2477"/>
      <c r="L18" s="2477"/>
      <c r="M18" s="2478"/>
      <c r="N18" s="2478"/>
      <c r="O18" s="2477"/>
      <c r="P18" s="2477"/>
      <c r="Q18" s="2477"/>
      <c r="R18" s="2477"/>
      <c r="S18" s="2479"/>
      <c r="T18" s="2479"/>
      <c r="U18" s="2479"/>
      <c r="V18" s="2479"/>
      <c r="W18" s="2479"/>
      <c r="X18" s="2479"/>
      <c r="Y18" s="2479"/>
      <c r="Z18" s="2479"/>
      <c r="AA18" s="2479"/>
      <c r="AB18" s="2479"/>
      <c r="AC18" s="2479"/>
      <c r="AD18" s="2479"/>
      <c r="AE18" s="2479"/>
      <c r="AF18" s="2479"/>
      <c r="AG18" s="2479"/>
      <c r="AH18" s="2479"/>
      <c r="AI18" s="2479"/>
      <c r="AJ18" s="2479"/>
      <c r="AK18" s="2479"/>
      <c r="AL18" s="2479"/>
      <c r="AM18" s="2479"/>
      <c r="AN18" s="2479"/>
      <c r="AO18" s="2479"/>
      <c r="AP18" s="2479"/>
      <c r="AQ18" s="2479"/>
      <c r="AR18" s="1463"/>
      <c r="AS18" s="1463"/>
    </row>
    <row r="19" spans="1:45">
      <c r="A19" s="469"/>
      <c r="B19" s="500"/>
      <c r="C19" s="500"/>
      <c r="D19" s="3353" t="s">
        <v>3063</v>
      </c>
      <c r="E19" s="3348"/>
      <c r="F19" s="3348"/>
      <c r="G19" s="3348"/>
      <c r="H19" s="2534"/>
      <c r="I19" s="500"/>
      <c r="J19" s="500"/>
      <c r="K19" s="500"/>
      <c r="L19" s="500"/>
      <c r="M19" s="500"/>
      <c r="N19" s="500"/>
      <c r="O19" s="500"/>
      <c r="P19" s="500"/>
      <c r="Q19" s="500"/>
      <c r="R19" s="1415"/>
      <c r="S19" s="469"/>
    </row>
    <row r="20" spans="1:45" ht="16.5" thickBot="1">
      <c r="A20" s="1123" t="s">
        <v>521</v>
      </c>
      <c r="B20" s="673">
        <f ca="1">IF(D20="——",S22,S22-F20)</f>
        <v>812</v>
      </c>
      <c r="C20" s="500"/>
      <c r="D20" s="3349" t="s">
        <v>530</v>
      </c>
      <c r="E20" s="3350"/>
      <c r="F20" s="2437" t="e">
        <f ca="1">SUMIF(INDIRECT("'"&amp;H20&amp;"'"&amp;"!A:A"),"承租人权益价值",INDIRECT("'"&amp;H20&amp;"'"&amp;"!c:c"))</f>
        <v>#REF!</v>
      </c>
      <c r="G20" s="3351" t="s">
        <v>3051</v>
      </c>
      <c r="H20" s="3352"/>
      <c r="I20" s="500"/>
      <c r="J20" s="500"/>
      <c r="K20" s="500"/>
      <c r="L20" s="500"/>
      <c r="M20" s="500"/>
      <c r="N20" s="500"/>
      <c r="O20" s="500"/>
      <c r="P20" s="500"/>
      <c r="Q20" s="500"/>
      <c r="R20" s="1415"/>
      <c r="S20" s="469"/>
    </row>
    <row r="21" spans="1:45" ht="15.75">
      <c r="A21" s="1123" t="s">
        <v>522</v>
      </c>
      <c r="B21" s="673">
        <f ca="1">R22</f>
        <v>3397</v>
      </c>
      <c r="C21" s="500"/>
      <c r="D21" s="500"/>
      <c r="E21" s="500"/>
      <c r="F21" s="500"/>
      <c r="G21" s="500"/>
      <c r="H21" s="500"/>
      <c r="I21" s="500"/>
      <c r="J21" s="500"/>
      <c r="K21" s="500"/>
      <c r="L21" s="500"/>
      <c r="M21" s="500"/>
      <c r="N21" s="500"/>
      <c r="O21" s="500"/>
      <c r="P21" s="500"/>
      <c r="Q21" s="500"/>
      <c r="R21" s="1415"/>
      <c r="S21" s="469"/>
    </row>
    <row r="22" spans="1:45">
      <c r="A22" s="698" t="s">
        <v>523</v>
      </c>
      <c r="B22" s="313">
        <f>SUM(B24:B10000)</f>
        <v>2390.3100000000022</v>
      </c>
      <c r="C22" s="3724" t="s">
        <v>169</v>
      </c>
      <c r="D22" s="3725"/>
      <c r="E22" s="3725"/>
      <c r="F22" s="3725"/>
      <c r="G22" s="3725"/>
      <c r="H22" s="3725"/>
      <c r="I22" s="3725"/>
      <c r="J22" s="3725"/>
      <c r="K22" s="3725"/>
      <c r="L22" s="3725"/>
      <c r="M22" s="3725"/>
      <c r="N22" s="3725"/>
      <c r="O22" s="3725"/>
      <c r="P22" s="3725"/>
      <c r="Q22" s="3726"/>
      <c r="R22" s="1124">
        <f ca="1">ROUND(S22*10000/B22,0)</f>
        <v>3397</v>
      </c>
      <c r="S22" s="313">
        <f ca="1">SUM(S24:S10000)</f>
        <v>812</v>
      </c>
    </row>
    <row r="23" spans="1:45" s="300" customFormat="1" ht="24">
      <c r="A23" s="299" t="s">
        <v>524</v>
      </c>
      <c r="B23" s="299" t="s">
        <v>525</v>
      </c>
      <c r="C23" s="299" t="s">
        <v>526</v>
      </c>
      <c r="D23" s="299" t="str">
        <f>B5</f>
        <v>修正项2</v>
      </c>
      <c r="E23" s="299" t="s">
        <v>526</v>
      </c>
      <c r="F23" s="299" t="str">
        <f>B7</f>
        <v>修正项3</v>
      </c>
      <c r="G23" s="299" t="s">
        <v>526</v>
      </c>
      <c r="H23" s="299" t="str">
        <f>B9</f>
        <v>修正项4</v>
      </c>
      <c r="I23" s="299" t="s">
        <v>526</v>
      </c>
      <c r="J23" s="299" t="str">
        <f>B11</f>
        <v>修正项5</v>
      </c>
      <c r="K23" s="299" t="s">
        <v>526</v>
      </c>
      <c r="L23" s="299" t="str">
        <f>B13</f>
        <v>修正项6</v>
      </c>
      <c r="M23" s="299" t="s">
        <v>526</v>
      </c>
      <c r="N23" s="299" t="str">
        <f>B15</f>
        <v>修正项7</v>
      </c>
      <c r="O23" s="299" t="s">
        <v>526</v>
      </c>
      <c r="P23" s="299" t="str">
        <f>B17</f>
        <v>楼层</v>
      </c>
      <c r="Q23" s="299" t="s">
        <v>526</v>
      </c>
      <c r="R23" s="1125" t="s">
        <v>527</v>
      </c>
      <c r="S23" s="299" t="s">
        <v>528</v>
      </c>
      <c r="T23" s="1466"/>
      <c r="U23" s="1466"/>
      <c r="V23" s="1466"/>
      <c r="W23" s="1466"/>
      <c r="X23" s="1466"/>
      <c r="Y23" s="1466"/>
      <c r="Z23" s="1466"/>
      <c r="AA23" s="1466"/>
      <c r="AB23" s="1466"/>
      <c r="AC23" s="1466"/>
      <c r="AD23" s="1466"/>
      <c r="AE23" s="1466"/>
      <c r="AF23" s="1466"/>
      <c r="AG23" s="1466"/>
      <c r="AH23" s="1466"/>
      <c r="AI23" s="1466"/>
      <c r="AJ23" s="1466"/>
      <c r="AK23" s="1466"/>
      <c r="AL23" s="1466"/>
      <c r="AM23" s="1466"/>
      <c r="AN23" s="1466"/>
      <c r="AO23" s="1466"/>
      <c r="AP23" s="1466"/>
      <c r="AQ23" s="1466"/>
      <c r="AR23" s="1466"/>
      <c r="AS23" s="1466"/>
    </row>
    <row r="24" spans="1:45" s="1130" customFormat="1">
      <c r="A24" s="1126" t="str">
        <f>面积及价值汇总!D28</f>
        <v>1F101</v>
      </c>
      <c r="B24" s="1126">
        <f>面积及价值汇总!E28</f>
        <v>29.51</v>
      </c>
      <c r="C24" s="1127">
        <v>1</v>
      </c>
      <c r="D24" s="1128"/>
      <c r="E24" s="1127">
        <v>1</v>
      </c>
      <c r="F24" s="1128"/>
      <c r="G24" s="1127">
        <v>1</v>
      </c>
      <c r="H24" s="1128"/>
      <c r="I24" s="1127">
        <v>1</v>
      </c>
      <c r="J24" s="1128"/>
      <c r="K24" s="1127">
        <v>1</v>
      </c>
      <c r="L24" s="1128"/>
      <c r="M24" s="1127">
        <v>1</v>
      </c>
      <c r="N24" s="1128"/>
      <c r="O24" s="1127">
        <v>1</v>
      </c>
      <c r="P24" s="1128"/>
      <c r="Q24" s="1127">
        <v>1</v>
      </c>
      <c r="R24" s="3422">
        <f ca="1">ROUND('比较法-车位'!B3*0.6+'收益法-车位1'!B3*0.4,0)</f>
        <v>3374</v>
      </c>
      <c r="S24" s="1127">
        <f t="shared" ref="S24:S87" ca="1" si="5">ROUND(R24*B24/10000,0)</f>
        <v>10</v>
      </c>
      <c r="T24" s="1467"/>
      <c r="U24" s="1467"/>
      <c r="V24" s="1467"/>
      <c r="W24" s="1467"/>
      <c r="X24" s="1467"/>
      <c r="Y24" s="1467"/>
      <c r="Z24" s="1467"/>
      <c r="AA24" s="1467"/>
      <c r="AB24" s="1467"/>
      <c r="AC24" s="1467"/>
      <c r="AD24" s="1467"/>
      <c r="AE24" s="1467"/>
      <c r="AF24" s="1467"/>
      <c r="AG24" s="1467"/>
      <c r="AH24" s="1467"/>
      <c r="AI24" s="1467"/>
      <c r="AJ24" s="1467"/>
      <c r="AK24" s="1467"/>
      <c r="AL24" s="1467"/>
      <c r="AM24" s="1467"/>
      <c r="AN24" s="1467"/>
      <c r="AO24" s="1467"/>
      <c r="AP24" s="1467"/>
      <c r="AQ24" s="1467"/>
      <c r="AR24" s="1467"/>
      <c r="AS24" s="1467"/>
    </row>
    <row r="25" spans="1:45">
      <c r="A25" s="1126" t="str">
        <f>面积及价值汇总!D29</f>
        <v>1F103</v>
      </c>
      <c r="B25" s="1126">
        <f>面积及价值汇总!E29</f>
        <v>29.51</v>
      </c>
      <c r="C25" s="313">
        <f>IF(B25="",1,(LOOKUP(B25,$3:$3,$4:$4)-LOOKUP($B$24,$3:$3,$4:$4)+100)/100)</f>
        <v>1</v>
      </c>
      <c r="D25" s="1128"/>
      <c r="E25" s="313">
        <f>(SUMIF($5:$5,D25,$6:$6)-SUMIF($5:$5,$D$24,$6:$6)+100)/100</f>
        <v>1</v>
      </c>
      <c r="F25" s="1128"/>
      <c r="G25" s="313">
        <f>(SUMIF($7:$7,F25,$8:$8)-SUMIF($7:$7,$F$24,$8:$8)+100)/100</f>
        <v>1</v>
      </c>
      <c r="H25" s="1128"/>
      <c r="I25" s="313">
        <f>(SUMIF($9:$9,H25,$10:$10)-SUMIF($9:$9,$H$24,$10:$10)+100)/100</f>
        <v>1</v>
      </c>
      <c r="J25" s="1128"/>
      <c r="K25" s="313">
        <f>(SUMIF($11:$11,J25,$12:$12)-SUMIF($11:$11,$J$24,$12:$12)+100)/100</f>
        <v>1</v>
      </c>
      <c r="L25" s="1128"/>
      <c r="M25" s="313">
        <f>(SUMIF($13:$13,L25,$14:$14)-SUMIF($13:$13,$L$24,$14:$14)+100)/100</f>
        <v>1</v>
      </c>
      <c r="N25" s="1128"/>
      <c r="O25" s="313">
        <f>(SUMIF($15:$15,N25,$16:$16)-SUMIF($15:$15,$N$24,$16:$16)+100)/100</f>
        <v>1</v>
      </c>
      <c r="P25" s="1128"/>
      <c r="Q25" s="313">
        <f>(SUMIF($17:$17,P25,$18:$18)-SUMIF($17:$17,$P$24,$18:$18)+100)/100</f>
        <v>1</v>
      </c>
      <c r="R25" s="1124">
        <f ca="1">IF(B25="",0,ROUND($R$24*C25*E25*G25*I25*K25*M25*O25*Q25,0))</f>
        <v>3374</v>
      </c>
      <c r="S25" s="698">
        <f t="shared" ca="1" si="5"/>
        <v>10</v>
      </c>
    </row>
    <row r="26" spans="1:45">
      <c r="A26" s="1126" t="str">
        <f>面积及价值汇总!D30</f>
        <v>1F104</v>
      </c>
      <c r="B26" s="1126">
        <f>面积及价值汇总!E30</f>
        <v>29.51</v>
      </c>
      <c r="C26" s="313">
        <f t="shared" ref="C26:C89" si="6">IF(B26="",1,(LOOKUP(B26,$3:$3,$4:$4)-LOOKUP($B$24,$3:$3,$4:$4)+100)/100)</f>
        <v>1</v>
      </c>
      <c r="D26" s="1128"/>
      <c r="E26" s="313">
        <f t="shared" ref="E26:E89" si="7">(SUMIF($5:$5,D26,$6:$6)-SUMIF($5:$5,$D$24,$6:$6)+100)/100</f>
        <v>1</v>
      </c>
      <c r="F26" s="1128"/>
      <c r="G26" s="313">
        <f t="shared" ref="G26:G89" si="8">(SUMIF($7:$7,F26,$8:$8)-SUMIF($7:$7,$F$24,$8:$8)+100)/100</f>
        <v>1</v>
      </c>
      <c r="H26" s="1128"/>
      <c r="I26" s="313">
        <f t="shared" ref="I26:I89" si="9">(SUMIF($9:$9,H26,$10:$10)-SUMIF($9:$9,$H$24,$10:$10)+100)/100</f>
        <v>1</v>
      </c>
      <c r="J26" s="1128"/>
      <c r="K26" s="313">
        <f t="shared" ref="K26:K89" si="10">(SUMIF($11:$11,J26,$12:$12)-SUMIF($11:$11,$J$24,$12:$12)+100)/100</f>
        <v>1</v>
      </c>
      <c r="L26" s="1128"/>
      <c r="M26" s="313">
        <f t="shared" ref="M26:M89" si="11">(SUMIF($13:$13,L26,$14:$14)-SUMIF($13:$13,$L$24,$14:$14)+100)/100</f>
        <v>1</v>
      </c>
      <c r="N26" s="1128"/>
      <c r="O26" s="313">
        <f t="shared" ref="O26:O89" si="12">(SUMIF($15:$15,N26,$16:$16)-SUMIF($15:$15,$N$24,$16:$16)+100)/100</f>
        <v>1</v>
      </c>
      <c r="P26" s="1128"/>
      <c r="Q26" s="313">
        <f t="shared" ref="Q26:Q89" si="13">(SUMIF($17:$17,P26,$18:$18)-SUMIF($17:$17,$P$24,$18:$18)+100)/100</f>
        <v>1</v>
      </c>
      <c r="R26" s="1124">
        <f t="shared" ref="R26:R89" ca="1" si="14">IF(B26="",0,ROUND($R$24*C26*E26*G26*I26*K26*M26*O26*Q26,0))</f>
        <v>3374</v>
      </c>
      <c r="S26" s="698">
        <f t="shared" ca="1" si="5"/>
        <v>10</v>
      </c>
    </row>
    <row r="27" spans="1:45">
      <c r="A27" s="1126" t="str">
        <f>面积及价值汇总!D31</f>
        <v>1F105</v>
      </c>
      <c r="B27" s="1126">
        <f>面积及价值汇总!E31</f>
        <v>29.51</v>
      </c>
      <c r="C27" s="313">
        <f t="shared" si="6"/>
        <v>1</v>
      </c>
      <c r="D27" s="1128"/>
      <c r="E27" s="313">
        <f t="shared" si="7"/>
        <v>1</v>
      </c>
      <c r="F27" s="1128"/>
      <c r="G27" s="313">
        <f t="shared" si="8"/>
        <v>1</v>
      </c>
      <c r="H27" s="1128"/>
      <c r="I27" s="313">
        <f t="shared" si="9"/>
        <v>1</v>
      </c>
      <c r="J27" s="1128"/>
      <c r="K27" s="313">
        <f t="shared" si="10"/>
        <v>1</v>
      </c>
      <c r="L27" s="1128"/>
      <c r="M27" s="313">
        <f t="shared" si="11"/>
        <v>1</v>
      </c>
      <c r="N27" s="1128"/>
      <c r="O27" s="313">
        <f t="shared" si="12"/>
        <v>1</v>
      </c>
      <c r="P27" s="1128"/>
      <c r="Q27" s="313">
        <f t="shared" si="13"/>
        <v>1</v>
      </c>
      <c r="R27" s="1124">
        <f t="shared" ca="1" si="14"/>
        <v>3374</v>
      </c>
      <c r="S27" s="698">
        <f t="shared" ca="1" si="5"/>
        <v>10</v>
      </c>
    </row>
    <row r="28" spans="1:45">
      <c r="A28" s="1126" t="str">
        <f>面积及价值汇总!D32</f>
        <v>1F106</v>
      </c>
      <c r="B28" s="1126">
        <f>面积及价值汇总!E32</f>
        <v>29.51</v>
      </c>
      <c r="C28" s="313">
        <f t="shared" si="6"/>
        <v>1</v>
      </c>
      <c r="D28" s="1128"/>
      <c r="E28" s="313">
        <f t="shared" si="7"/>
        <v>1</v>
      </c>
      <c r="F28" s="1128"/>
      <c r="G28" s="313">
        <f t="shared" si="8"/>
        <v>1</v>
      </c>
      <c r="H28" s="1128"/>
      <c r="I28" s="313">
        <f t="shared" si="9"/>
        <v>1</v>
      </c>
      <c r="J28" s="1128"/>
      <c r="K28" s="313">
        <f t="shared" si="10"/>
        <v>1</v>
      </c>
      <c r="L28" s="1128"/>
      <c r="M28" s="313">
        <f t="shared" si="11"/>
        <v>1</v>
      </c>
      <c r="N28" s="1128"/>
      <c r="O28" s="313">
        <f t="shared" si="12"/>
        <v>1</v>
      </c>
      <c r="P28" s="1128"/>
      <c r="Q28" s="313">
        <f t="shared" si="13"/>
        <v>1</v>
      </c>
      <c r="R28" s="1124">
        <f t="shared" ca="1" si="14"/>
        <v>3374</v>
      </c>
      <c r="S28" s="698">
        <f t="shared" ca="1" si="5"/>
        <v>10</v>
      </c>
    </row>
    <row r="29" spans="1:45">
      <c r="A29" s="1126" t="str">
        <f>面积及价值汇总!D33</f>
        <v>1F107</v>
      </c>
      <c r="B29" s="1126">
        <f>面积及价值汇总!E33</f>
        <v>29.51</v>
      </c>
      <c r="C29" s="313">
        <f t="shared" si="6"/>
        <v>1</v>
      </c>
      <c r="D29" s="1128"/>
      <c r="E29" s="313">
        <f t="shared" si="7"/>
        <v>1</v>
      </c>
      <c r="F29" s="1128"/>
      <c r="G29" s="313">
        <f t="shared" si="8"/>
        <v>1</v>
      </c>
      <c r="H29" s="1128"/>
      <c r="I29" s="313">
        <f t="shared" si="9"/>
        <v>1</v>
      </c>
      <c r="J29" s="1128"/>
      <c r="K29" s="313">
        <f t="shared" si="10"/>
        <v>1</v>
      </c>
      <c r="L29" s="1128"/>
      <c r="M29" s="313">
        <f t="shared" si="11"/>
        <v>1</v>
      </c>
      <c r="N29" s="1128"/>
      <c r="O29" s="313">
        <f t="shared" si="12"/>
        <v>1</v>
      </c>
      <c r="P29" s="1128"/>
      <c r="Q29" s="313">
        <f t="shared" si="13"/>
        <v>1</v>
      </c>
      <c r="R29" s="1124">
        <f t="shared" ca="1" si="14"/>
        <v>3374</v>
      </c>
      <c r="S29" s="698">
        <f t="shared" ca="1" si="5"/>
        <v>10</v>
      </c>
    </row>
    <row r="30" spans="1:45">
      <c r="A30" s="1126" t="str">
        <f>面积及价值汇总!D34</f>
        <v>1F108</v>
      </c>
      <c r="B30" s="1126">
        <f>面积及价值汇总!E34</f>
        <v>29.51</v>
      </c>
      <c r="C30" s="313">
        <f t="shared" si="6"/>
        <v>1</v>
      </c>
      <c r="D30" s="1128"/>
      <c r="E30" s="313">
        <f t="shared" si="7"/>
        <v>1</v>
      </c>
      <c r="F30" s="1128"/>
      <c r="G30" s="313">
        <f t="shared" si="8"/>
        <v>1</v>
      </c>
      <c r="H30" s="1128"/>
      <c r="I30" s="313">
        <f t="shared" si="9"/>
        <v>1</v>
      </c>
      <c r="J30" s="1128"/>
      <c r="K30" s="313">
        <f t="shared" si="10"/>
        <v>1</v>
      </c>
      <c r="L30" s="1128"/>
      <c r="M30" s="313">
        <f t="shared" si="11"/>
        <v>1</v>
      </c>
      <c r="N30" s="1128"/>
      <c r="O30" s="313">
        <f t="shared" si="12"/>
        <v>1</v>
      </c>
      <c r="P30" s="1128"/>
      <c r="Q30" s="313">
        <f t="shared" si="13"/>
        <v>1</v>
      </c>
      <c r="R30" s="1124">
        <f t="shared" ca="1" si="14"/>
        <v>3374</v>
      </c>
      <c r="S30" s="698">
        <f t="shared" ca="1" si="5"/>
        <v>10</v>
      </c>
    </row>
    <row r="31" spans="1:45">
      <c r="A31" s="1126" t="str">
        <f>面积及价值汇总!D35</f>
        <v>1F109</v>
      </c>
      <c r="B31" s="1126">
        <f>面积及价值汇总!E35</f>
        <v>29.51</v>
      </c>
      <c r="C31" s="313">
        <f t="shared" si="6"/>
        <v>1</v>
      </c>
      <c r="D31" s="1128"/>
      <c r="E31" s="313">
        <f t="shared" si="7"/>
        <v>1</v>
      </c>
      <c r="F31" s="1128"/>
      <c r="G31" s="313">
        <f t="shared" si="8"/>
        <v>1</v>
      </c>
      <c r="H31" s="1128"/>
      <c r="I31" s="313">
        <f t="shared" si="9"/>
        <v>1</v>
      </c>
      <c r="J31" s="1128"/>
      <c r="K31" s="313">
        <f t="shared" si="10"/>
        <v>1</v>
      </c>
      <c r="L31" s="1128"/>
      <c r="M31" s="313">
        <f t="shared" si="11"/>
        <v>1</v>
      </c>
      <c r="N31" s="1128"/>
      <c r="O31" s="313">
        <f t="shared" si="12"/>
        <v>1</v>
      </c>
      <c r="P31" s="1128"/>
      <c r="Q31" s="313">
        <f t="shared" si="13"/>
        <v>1</v>
      </c>
      <c r="R31" s="1124">
        <f t="shared" ca="1" si="14"/>
        <v>3374</v>
      </c>
      <c r="S31" s="698">
        <f t="shared" ca="1" si="5"/>
        <v>10</v>
      </c>
    </row>
    <row r="32" spans="1:45">
      <c r="A32" s="1126" t="str">
        <f>面积及价值汇总!D36</f>
        <v>1F110</v>
      </c>
      <c r="B32" s="1126">
        <f>面积及价值汇总!E36</f>
        <v>29.51</v>
      </c>
      <c r="C32" s="313">
        <f t="shared" si="6"/>
        <v>1</v>
      </c>
      <c r="D32" s="1128"/>
      <c r="E32" s="313">
        <f t="shared" si="7"/>
        <v>1</v>
      </c>
      <c r="F32" s="1128"/>
      <c r="G32" s="313">
        <f t="shared" si="8"/>
        <v>1</v>
      </c>
      <c r="H32" s="1128"/>
      <c r="I32" s="313">
        <f t="shared" si="9"/>
        <v>1</v>
      </c>
      <c r="J32" s="1128"/>
      <c r="K32" s="313">
        <f t="shared" si="10"/>
        <v>1</v>
      </c>
      <c r="L32" s="1128"/>
      <c r="M32" s="313">
        <f t="shared" si="11"/>
        <v>1</v>
      </c>
      <c r="N32" s="1128"/>
      <c r="O32" s="313">
        <f t="shared" si="12"/>
        <v>1</v>
      </c>
      <c r="P32" s="1128"/>
      <c r="Q32" s="313">
        <f t="shared" si="13"/>
        <v>1</v>
      </c>
      <c r="R32" s="1124">
        <f t="shared" ca="1" si="14"/>
        <v>3374</v>
      </c>
      <c r="S32" s="698">
        <f t="shared" ca="1" si="5"/>
        <v>10</v>
      </c>
    </row>
    <row r="33" spans="1:19">
      <c r="A33" s="1126" t="str">
        <f>面积及价值汇总!D37</f>
        <v>1F111</v>
      </c>
      <c r="B33" s="1126">
        <f>面积及价值汇总!E37</f>
        <v>29.51</v>
      </c>
      <c r="C33" s="313">
        <f t="shared" si="6"/>
        <v>1</v>
      </c>
      <c r="D33" s="1128"/>
      <c r="E33" s="313">
        <f t="shared" si="7"/>
        <v>1</v>
      </c>
      <c r="F33" s="1128"/>
      <c r="G33" s="313">
        <f t="shared" si="8"/>
        <v>1</v>
      </c>
      <c r="H33" s="1128"/>
      <c r="I33" s="313">
        <f t="shared" si="9"/>
        <v>1</v>
      </c>
      <c r="J33" s="1128"/>
      <c r="K33" s="313">
        <f t="shared" si="10"/>
        <v>1</v>
      </c>
      <c r="L33" s="1128"/>
      <c r="M33" s="313">
        <f t="shared" si="11"/>
        <v>1</v>
      </c>
      <c r="N33" s="1128"/>
      <c r="O33" s="313">
        <f t="shared" si="12"/>
        <v>1</v>
      </c>
      <c r="P33" s="1128"/>
      <c r="Q33" s="313">
        <f t="shared" si="13"/>
        <v>1</v>
      </c>
      <c r="R33" s="1124">
        <f t="shared" ca="1" si="14"/>
        <v>3374</v>
      </c>
      <c r="S33" s="698">
        <f t="shared" ca="1" si="5"/>
        <v>10</v>
      </c>
    </row>
    <row r="34" spans="1:19">
      <c r="A34" s="1126" t="str">
        <f>面积及价值汇总!D38</f>
        <v>1F112</v>
      </c>
      <c r="B34" s="1126">
        <f>面积及价值汇总!E38</f>
        <v>29.51</v>
      </c>
      <c r="C34" s="313">
        <f t="shared" si="6"/>
        <v>1</v>
      </c>
      <c r="D34" s="1128"/>
      <c r="E34" s="313">
        <f t="shared" si="7"/>
        <v>1</v>
      </c>
      <c r="F34" s="1128"/>
      <c r="G34" s="313">
        <f t="shared" si="8"/>
        <v>1</v>
      </c>
      <c r="H34" s="1128"/>
      <c r="I34" s="313">
        <f t="shared" si="9"/>
        <v>1</v>
      </c>
      <c r="J34" s="1128"/>
      <c r="K34" s="313">
        <f t="shared" si="10"/>
        <v>1</v>
      </c>
      <c r="L34" s="1128"/>
      <c r="M34" s="313">
        <f t="shared" si="11"/>
        <v>1</v>
      </c>
      <c r="N34" s="1128"/>
      <c r="O34" s="313">
        <f t="shared" si="12"/>
        <v>1</v>
      </c>
      <c r="P34" s="1128"/>
      <c r="Q34" s="313">
        <f t="shared" si="13"/>
        <v>1</v>
      </c>
      <c r="R34" s="1124">
        <f t="shared" ca="1" si="14"/>
        <v>3374</v>
      </c>
      <c r="S34" s="698">
        <f t="shared" ca="1" si="5"/>
        <v>10</v>
      </c>
    </row>
    <row r="35" spans="1:19">
      <c r="A35" s="1126" t="str">
        <f>面积及价值汇总!D39</f>
        <v>1F114</v>
      </c>
      <c r="B35" s="1126">
        <f>面积及价值汇总!E39</f>
        <v>29.51</v>
      </c>
      <c r="C35" s="313">
        <f t="shared" si="6"/>
        <v>1</v>
      </c>
      <c r="D35" s="1128"/>
      <c r="E35" s="313">
        <f t="shared" si="7"/>
        <v>1</v>
      </c>
      <c r="F35" s="1128"/>
      <c r="G35" s="313">
        <f t="shared" si="8"/>
        <v>1</v>
      </c>
      <c r="H35" s="1128"/>
      <c r="I35" s="313">
        <f t="shared" si="9"/>
        <v>1</v>
      </c>
      <c r="J35" s="1128"/>
      <c r="K35" s="313">
        <f t="shared" si="10"/>
        <v>1</v>
      </c>
      <c r="L35" s="1128"/>
      <c r="M35" s="313">
        <f t="shared" si="11"/>
        <v>1</v>
      </c>
      <c r="N35" s="1128"/>
      <c r="O35" s="313">
        <f t="shared" si="12"/>
        <v>1</v>
      </c>
      <c r="P35" s="1128"/>
      <c r="Q35" s="313">
        <f t="shared" si="13"/>
        <v>1</v>
      </c>
      <c r="R35" s="1124">
        <f t="shared" ca="1" si="14"/>
        <v>3374</v>
      </c>
      <c r="S35" s="698">
        <f t="shared" ca="1" si="5"/>
        <v>10</v>
      </c>
    </row>
    <row r="36" spans="1:19">
      <c r="A36" s="1126" t="str">
        <f>面积及价值汇总!D40</f>
        <v>1F115</v>
      </c>
      <c r="B36" s="1126">
        <f>面积及价值汇总!E40</f>
        <v>29.51</v>
      </c>
      <c r="C36" s="313">
        <f t="shared" si="6"/>
        <v>1</v>
      </c>
      <c r="D36" s="1128"/>
      <c r="E36" s="313">
        <f t="shared" si="7"/>
        <v>1</v>
      </c>
      <c r="F36" s="1128"/>
      <c r="G36" s="313">
        <f t="shared" si="8"/>
        <v>1</v>
      </c>
      <c r="H36" s="1128"/>
      <c r="I36" s="313">
        <f t="shared" si="9"/>
        <v>1</v>
      </c>
      <c r="J36" s="1128"/>
      <c r="K36" s="313">
        <f t="shared" si="10"/>
        <v>1</v>
      </c>
      <c r="L36" s="1128"/>
      <c r="M36" s="313">
        <f t="shared" si="11"/>
        <v>1</v>
      </c>
      <c r="N36" s="1128"/>
      <c r="O36" s="313">
        <f t="shared" si="12"/>
        <v>1</v>
      </c>
      <c r="P36" s="1128"/>
      <c r="Q36" s="313">
        <f t="shared" si="13"/>
        <v>1</v>
      </c>
      <c r="R36" s="1124">
        <f t="shared" ca="1" si="14"/>
        <v>3374</v>
      </c>
      <c r="S36" s="698">
        <f t="shared" ca="1" si="5"/>
        <v>10</v>
      </c>
    </row>
    <row r="37" spans="1:19">
      <c r="A37" s="1126" t="str">
        <f>面积及价值汇总!D41</f>
        <v>1F116</v>
      </c>
      <c r="B37" s="1126">
        <f>面积及价值汇总!E41</f>
        <v>29.51</v>
      </c>
      <c r="C37" s="313">
        <f t="shared" si="6"/>
        <v>1</v>
      </c>
      <c r="D37" s="1128"/>
      <c r="E37" s="313">
        <f t="shared" si="7"/>
        <v>1</v>
      </c>
      <c r="F37" s="1128"/>
      <c r="G37" s="313">
        <f t="shared" si="8"/>
        <v>1</v>
      </c>
      <c r="H37" s="1128"/>
      <c r="I37" s="313">
        <f t="shared" si="9"/>
        <v>1</v>
      </c>
      <c r="J37" s="1128"/>
      <c r="K37" s="313">
        <f t="shared" si="10"/>
        <v>1</v>
      </c>
      <c r="L37" s="1128"/>
      <c r="M37" s="313">
        <f t="shared" si="11"/>
        <v>1</v>
      </c>
      <c r="N37" s="1128"/>
      <c r="O37" s="313">
        <f t="shared" si="12"/>
        <v>1</v>
      </c>
      <c r="P37" s="1128"/>
      <c r="Q37" s="313">
        <f t="shared" si="13"/>
        <v>1</v>
      </c>
      <c r="R37" s="1124">
        <f t="shared" ca="1" si="14"/>
        <v>3374</v>
      </c>
      <c r="S37" s="698">
        <f t="shared" ca="1" si="5"/>
        <v>10</v>
      </c>
    </row>
    <row r="38" spans="1:19">
      <c r="A38" s="1126" t="str">
        <f>面积及价值汇总!D42</f>
        <v>1F118</v>
      </c>
      <c r="B38" s="1126">
        <f>面积及价值汇总!E42</f>
        <v>29.51</v>
      </c>
      <c r="C38" s="313">
        <f t="shared" si="6"/>
        <v>1</v>
      </c>
      <c r="D38" s="1128"/>
      <c r="E38" s="313">
        <f t="shared" si="7"/>
        <v>1</v>
      </c>
      <c r="F38" s="1128"/>
      <c r="G38" s="313">
        <f t="shared" si="8"/>
        <v>1</v>
      </c>
      <c r="H38" s="1128"/>
      <c r="I38" s="313">
        <f t="shared" si="9"/>
        <v>1</v>
      </c>
      <c r="J38" s="1128"/>
      <c r="K38" s="313">
        <f t="shared" si="10"/>
        <v>1</v>
      </c>
      <c r="L38" s="1128"/>
      <c r="M38" s="313">
        <f t="shared" si="11"/>
        <v>1</v>
      </c>
      <c r="N38" s="1128"/>
      <c r="O38" s="313">
        <f t="shared" si="12"/>
        <v>1</v>
      </c>
      <c r="P38" s="1128"/>
      <c r="Q38" s="313">
        <f t="shared" si="13"/>
        <v>1</v>
      </c>
      <c r="R38" s="1124">
        <f t="shared" ca="1" si="14"/>
        <v>3374</v>
      </c>
      <c r="S38" s="698">
        <f t="shared" ca="1" si="5"/>
        <v>10</v>
      </c>
    </row>
    <row r="39" spans="1:19">
      <c r="A39" s="1126" t="str">
        <f>面积及价值汇总!D43</f>
        <v>1F120</v>
      </c>
      <c r="B39" s="1126">
        <f>面积及价值汇总!E43</f>
        <v>29.51</v>
      </c>
      <c r="C39" s="313">
        <f t="shared" si="6"/>
        <v>1</v>
      </c>
      <c r="D39" s="1128"/>
      <c r="E39" s="313">
        <f t="shared" si="7"/>
        <v>1</v>
      </c>
      <c r="F39" s="1128"/>
      <c r="G39" s="313">
        <f t="shared" si="8"/>
        <v>1</v>
      </c>
      <c r="H39" s="1128"/>
      <c r="I39" s="313">
        <f t="shared" si="9"/>
        <v>1</v>
      </c>
      <c r="J39" s="1128"/>
      <c r="K39" s="313">
        <f t="shared" si="10"/>
        <v>1</v>
      </c>
      <c r="L39" s="1128"/>
      <c r="M39" s="313">
        <f t="shared" si="11"/>
        <v>1</v>
      </c>
      <c r="N39" s="1128"/>
      <c r="O39" s="313">
        <f t="shared" si="12"/>
        <v>1</v>
      </c>
      <c r="P39" s="1128"/>
      <c r="Q39" s="313">
        <f t="shared" si="13"/>
        <v>1</v>
      </c>
      <c r="R39" s="1124">
        <f t="shared" ca="1" si="14"/>
        <v>3374</v>
      </c>
      <c r="S39" s="698">
        <f t="shared" ca="1" si="5"/>
        <v>10</v>
      </c>
    </row>
    <row r="40" spans="1:19">
      <c r="A40" s="1126" t="str">
        <f>面积及价值汇总!D44</f>
        <v>1F121</v>
      </c>
      <c r="B40" s="1126">
        <f>面积及价值汇总!E44</f>
        <v>29.51</v>
      </c>
      <c r="C40" s="313">
        <f t="shared" si="6"/>
        <v>1</v>
      </c>
      <c r="D40" s="1128"/>
      <c r="E40" s="313">
        <f t="shared" si="7"/>
        <v>1</v>
      </c>
      <c r="F40" s="1128"/>
      <c r="G40" s="313">
        <f t="shared" si="8"/>
        <v>1</v>
      </c>
      <c r="H40" s="1128"/>
      <c r="I40" s="313">
        <f t="shared" si="9"/>
        <v>1</v>
      </c>
      <c r="J40" s="1128"/>
      <c r="K40" s="313">
        <f t="shared" si="10"/>
        <v>1</v>
      </c>
      <c r="L40" s="1128"/>
      <c r="M40" s="313">
        <f t="shared" si="11"/>
        <v>1</v>
      </c>
      <c r="N40" s="1128"/>
      <c r="O40" s="313">
        <f t="shared" si="12"/>
        <v>1</v>
      </c>
      <c r="P40" s="1128"/>
      <c r="Q40" s="313">
        <f t="shared" si="13"/>
        <v>1</v>
      </c>
      <c r="R40" s="1124">
        <f t="shared" ca="1" si="14"/>
        <v>3374</v>
      </c>
      <c r="S40" s="698">
        <f t="shared" ca="1" si="5"/>
        <v>10</v>
      </c>
    </row>
    <row r="41" spans="1:19">
      <c r="A41" s="1126" t="str">
        <f>面积及价值汇总!D45</f>
        <v>1F124</v>
      </c>
      <c r="B41" s="1126">
        <f>面积及价值汇总!E45</f>
        <v>29.51</v>
      </c>
      <c r="C41" s="313">
        <f t="shared" si="6"/>
        <v>1</v>
      </c>
      <c r="D41" s="1128"/>
      <c r="E41" s="313">
        <f t="shared" si="7"/>
        <v>1</v>
      </c>
      <c r="F41" s="1128"/>
      <c r="G41" s="313">
        <f t="shared" si="8"/>
        <v>1</v>
      </c>
      <c r="H41" s="1128"/>
      <c r="I41" s="313">
        <f t="shared" si="9"/>
        <v>1</v>
      </c>
      <c r="J41" s="1128"/>
      <c r="K41" s="313">
        <f t="shared" si="10"/>
        <v>1</v>
      </c>
      <c r="L41" s="1128"/>
      <c r="M41" s="313">
        <f t="shared" si="11"/>
        <v>1</v>
      </c>
      <c r="N41" s="1128"/>
      <c r="O41" s="313">
        <f t="shared" si="12"/>
        <v>1</v>
      </c>
      <c r="P41" s="1128"/>
      <c r="Q41" s="313">
        <f t="shared" si="13"/>
        <v>1</v>
      </c>
      <c r="R41" s="1124">
        <f t="shared" ca="1" si="14"/>
        <v>3374</v>
      </c>
      <c r="S41" s="698">
        <f t="shared" ca="1" si="5"/>
        <v>10</v>
      </c>
    </row>
    <row r="42" spans="1:19">
      <c r="A42" s="1126" t="str">
        <f>面积及价值汇总!D46</f>
        <v>1F126</v>
      </c>
      <c r="B42" s="1126">
        <f>面积及价值汇总!E46</f>
        <v>29.51</v>
      </c>
      <c r="C42" s="313">
        <f t="shared" si="6"/>
        <v>1</v>
      </c>
      <c r="D42" s="1128"/>
      <c r="E42" s="313">
        <f t="shared" si="7"/>
        <v>1</v>
      </c>
      <c r="F42" s="1128"/>
      <c r="G42" s="313">
        <f t="shared" si="8"/>
        <v>1</v>
      </c>
      <c r="H42" s="1128"/>
      <c r="I42" s="313">
        <f t="shared" si="9"/>
        <v>1</v>
      </c>
      <c r="J42" s="1128"/>
      <c r="K42" s="313">
        <f t="shared" si="10"/>
        <v>1</v>
      </c>
      <c r="L42" s="1128"/>
      <c r="M42" s="313">
        <f t="shared" si="11"/>
        <v>1</v>
      </c>
      <c r="N42" s="1128"/>
      <c r="O42" s="313">
        <f t="shared" si="12"/>
        <v>1</v>
      </c>
      <c r="P42" s="1128"/>
      <c r="Q42" s="313">
        <f t="shared" si="13"/>
        <v>1</v>
      </c>
      <c r="R42" s="1124">
        <f t="shared" ca="1" si="14"/>
        <v>3374</v>
      </c>
      <c r="S42" s="698">
        <f t="shared" ca="1" si="5"/>
        <v>10</v>
      </c>
    </row>
    <row r="43" spans="1:19">
      <c r="A43" s="1126" t="str">
        <f>面积及价值汇总!D47</f>
        <v>1F127</v>
      </c>
      <c r="B43" s="1126">
        <f>面积及价值汇总!E47</f>
        <v>29.51</v>
      </c>
      <c r="C43" s="313">
        <f t="shared" si="6"/>
        <v>1</v>
      </c>
      <c r="D43" s="1128"/>
      <c r="E43" s="313">
        <f t="shared" si="7"/>
        <v>1</v>
      </c>
      <c r="F43" s="1128"/>
      <c r="G43" s="313">
        <f t="shared" si="8"/>
        <v>1</v>
      </c>
      <c r="H43" s="1128"/>
      <c r="I43" s="313">
        <f t="shared" si="9"/>
        <v>1</v>
      </c>
      <c r="J43" s="1128"/>
      <c r="K43" s="313">
        <f t="shared" si="10"/>
        <v>1</v>
      </c>
      <c r="L43" s="1128"/>
      <c r="M43" s="313">
        <f t="shared" si="11"/>
        <v>1</v>
      </c>
      <c r="N43" s="1128"/>
      <c r="O43" s="313">
        <f t="shared" si="12"/>
        <v>1</v>
      </c>
      <c r="P43" s="1128"/>
      <c r="Q43" s="313">
        <f t="shared" si="13"/>
        <v>1</v>
      </c>
      <c r="R43" s="1124">
        <f t="shared" ca="1" si="14"/>
        <v>3374</v>
      </c>
      <c r="S43" s="698">
        <f t="shared" ca="1" si="5"/>
        <v>10</v>
      </c>
    </row>
    <row r="44" spans="1:19">
      <c r="A44" s="1126" t="str">
        <f>面积及价值汇总!D48</f>
        <v>1F128</v>
      </c>
      <c r="B44" s="1126">
        <f>面积及价值汇总!E48</f>
        <v>29.51</v>
      </c>
      <c r="C44" s="313">
        <f t="shared" si="6"/>
        <v>1</v>
      </c>
      <c r="D44" s="1128"/>
      <c r="E44" s="313">
        <f t="shared" si="7"/>
        <v>1</v>
      </c>
      <c r="F44" s="1128"/>
      <c r="G44" s="313">
        <f t="shared" si="8"/>
        <v>1</v>
      </c>
      <c r="H44" s="1128"/>
      <c r="I44" s="313">
        <f t="shared" si="9"/>
        <v>1</v>
      </c>
      <c r="J44" s="1128"/>
      <c r="K44" s="313">
        <f t="shared" si="10"/>
        <v>1</v>
      </c>
      <c r="L44" s="1128"/>
      <c r="M44" s="313">
        <f t="shared" si="11"/>
        <v>1</v>
      </c>
      <c r="N44" s="1128"/>
      <c r="O44" s="313">
        <f t="shared" si="12"/>
        <v>1</v>
      </c>
      <c r="P44" s="1128"/>
      <c r="Q44" s="313">
        <f t="shared" si="13"/>
        <v>1</v>
      </c>
      <c r="R44" s="1124">
        <f t="shared" ca="1" si="14"/>
        <v>3374</v>
      </c>
      <c r="S44" s="698">
        <f t="shared" ca="1" si="5"/>
        <v>10</v>
      </c>
    </row>
    <row r="45" spans="1:19">
      <c r="A45" s="1126" t="str">
        <f>面积及价值汇总!D49</f>
        <v>1F129</v>
      </c>
      <c r="B45" s="1126">
        <f>面积及价值汇总!E49</f>
        <v>29.51</v>
      </c>
      <c r="C45" s="313">
        <f t="shared" si="6"/>
        <v>1</v>
      </c>
      <c r="D45" s="1128"/>
      <c r="E45" s="313">
        <f t="shared" si="7"/>
        <v>1</v>
      </c>
      <c r="F45" s="1128"/>
      <c r="G45" s="313">
        <f t="shared" si="8"/>
        <v>1</v>
      </c>
      <c r="H45" s="1128"/>
      <c r="I45" s="313">
        <f t="shared" si="9"/>
        <v>1</v>
      </c>
      <c r="J45" s="1128"/>
      <c r="K45" s="313">
        <f t="shared" si="10"/>
        <v>1</v>
      </c>
      <c r="L45" s="1128"/>
      <c r="M45" s="313">
        <f t="shared" si="11"/>
        <v>1</v>
      </c>
      <c r="N45" s="1128"/>
      <c r="O45" s="313">
        <f t="shared" si="12"/>
        <v>1</v>
      </c>
      <c r="P45" s="1128"/>
      <c r="Q45" s="313">
        <f t="shared" si="13"/>
        <v>1</v>
      </c>
      <c r="R45" s="1124">
        <f t="shared" ca="1" si="14"/>
        <v>3374</v>
      </c>
      <c r="S45" s="698">
        <f t="shared" ca="1" si="5"/>
        <v>10</v>
      </c>
    </row>
    <row r="46" spans="1:19">
      <c r="A46" s="1126" t="str">
        <f>面积及价值汇总!D50</f>
        <v>1F131</v>
      </c>
      <c r="B46" s="1126">
        <f>面积及价值汇总!E50</f>
        <v>59.02</v>
      </c>
      <c r="C46" s="313">
        <f t="shared" si="6"/>
        <v>1.06</v>
      </c>
      <c r="D46" s="1128"/>
      <c r="E46" s="313">
        <f t="shared" si="7"/>
        <v>1</v>
      </c>
      <c r="F46" s="1128"/>
      <c r="G46" s="313">
        <f t="shared" si="8"/>
        <v>1</v>
      </c>
      <c r="H46" s="1128"/>
      <c r="I46" s="313">
        <f t="shared" si="9"/>
        <v>1</v>
      </c>
      <c r="J46" s="1128"/>
      <c r="K46" s="313">
        <f t="shared" si="10"/>
        <v>1</v>
      </c>
      <c r="L46" s="1128"/>
      <c r="M46" s="313">
        <f t="shared" si="11"/>
        <v>1</v>
      </c>
      <c r="N46" s="1128"/>
      <c r="O46" s="313">
        <f t="shared" si="12"/>
        <v>1</v>
      </c>
      <c r="P46" s="1128"/>
      <c r="Q46" s="313">
        <f t="shared" si="13"/>
        <v>1</v>
      </c>
      <c r="R46" s="1124">
        <f t="shared" ca="1" si="14"/>
        <v>3576</v>
      </c>
      <c r="S46" s="698">
        <f t="shared" ca="1" si="5"/>
        <v>21</v>
      </c>
    </row>
    <row r="47" spans="1:19">
      <c r="A47" s="1126" t="str">
        <f>面积及价值汇总!D51</f>
        <v>1F132</v>
      </c>
      <c r="B47" s="1126">
        <f>面积及价值汇总!E51</f>
        <v>59.02</v>
      </c>
      <c r="C47" s="313">
        <f t="shared" si="6"/>
        <v>1.06</v>
      </c>
      <c r="D47" s="1128"/>
      <c r="E47" s="313">
        <f t="shared" si="7"/>
        <v>1</v>
      </c>
      <c r="F47" s="1128"/>
      <c r="G47" s="313">
        <f t="shared" si="8"/>
        <v>1</v>
      </c>
      <c r="H47" s="1128"/>
      <c r="I47" s="313">
        <f t="shared" si="9"/>
        <v>1</v>
      </c>
      <c r="J47" s="1128"/>
      <c r="K47" s="313">
        <f t="shared" si="10"/>
        <v>1</v>
      </c>
      <c r="L47" s="1128"/>
      <c r="M47" s="313">
        <f t="shared" si="11"/>
        <v>1</v>
      </c>
      <c r="N47" s="1128"/>
      <c r="O47" s="313">
        <f t="shared" si="12"/>
        <v>1</v>
      </c>
      <c r="P47" s="1128"/>
      <c r="Q47" s="313">
        <f t="shared" si="13"/>
        <v>1</v>
      </c>
      <c r="R47" s="1124">
        <f t="shared" ca="1" si="14"/>
        <v>3576</v>
      </c>
      <c r="S47" s="698">
        <f t="shared" ca="1" si="5"/>
        <v>21</v>
      </c>
    </row>
    <row r="48" spans="1:19">
      <c r="A48" s="1126" t="str">
        <f>面积及价值汇总!D52</f>
        <v>1F134</v>
      </c>
      <c r="B48" s="1126">
        <f>面积及价值汇总!E52</f>
        <v>29.51</v>
      </c>
      <c r="C48" s="313">
        <f t="shared" si="6"/>
        <v>1</v>
      </c>
      <c r="D48" s="1128"/>
      <c r="E48" s="313">
        <f t="shared" si="7"/>
        <v>1</v>
      </c>
      <c r="F48" s="1128"/>
      <c r="G48" s="313">
        <f t="shared" si="8"/>
        <v>1</v>
      </c>
      <c r="H48" s="1128"/>
      <c r="I48" s="313">
        <f t="shared" si="9"/>
        <v>1</v>
      </c>
      <c r="J48" s="1128"/>
      <c r="K48" s="313">
        <f t="shared" si="10"/>
        <v>1</v>
      </c>
      <c r="L48" s="1128"/>
      <c r="M48" s="313">
        <f t="shared" si="11"/>
        <v>1</v>
      </c>
      <c r="N48" s="1128"/>
      <c r="O48" s="313">
        <f t="shared" si="12"/>
        <v>1</v>
      </c>
      <c r="P48" s="1128"/>
      <c r="Q48" s="313">
        <f t="shared" si="13"/>
        <v>1</v>
      </c>
      <c r="R48" s="1124">
        <f t="shared" ca="1" si="14"/>
        <v>3374</v>
      </c>
      <c r="S48" s="698">
        <f t="shared" ca="1" si="5"/>
        <v>10</v>
      </c>
    </row>
    <row r="49" spans="1:19">
      <c r="A49" s="1126" t="str">
        <f>面积及价值汇总!D53</f>
        <v>1F135</v>
      </c>
      <c r="B49" s="1126">
        <f>面积及价值汇总!E53</f>
        <v>29.51</v>
      </c>
      <c r="C49" s="313">
        <f t="shared" si="6"/>
        <v>1</v>
      </c>
      <c r="D49" s="1128"/>
      <c r="E49" s="313">
        <f t="shared" si="7"/>
        <v>1</v>
      </c>
      <c r="F49" s="1128"/>
      <c r="G49" s="313">
        <f t="shared" si="8"/>
        <v>1</v>
      </c>
      <c r="H49" s="1128"/>
      <c r="I49" s="313">
        <f t="shared" si="9"/>
        <v>1</v>
      </c>
      <c r="J49" s="1128"/>
      <c r="K49" s="313">
        <f t="shared" si="10"/>
        <v>1</v>
      </c>
      <c r="L49" s="1128"/>
      <c r="M49" s="313">
        <f t="shared" si="11"/>
        <v>1</v>
      </c>
      <c r="N49" s="1128"/>
      <c r="O49" s="313">
        <f t="shared" si="12"/>
        <v>1</v>
      </c>
      <c r="P49" s="1128"/>
      <c r="Q49" s="313">
        <f t="shared" si="13"/>
        <v>1</v>
      </c>
      <c r="R49" s="1124">
        <f t="shared" ca="1" si="14"/>
        <v>3374</v>
      </c>
      <c r="S49" s="698">
        <f t="shared" ca="1" si="5"/>
        <v>10</v>
      </c>
    </row>
    <row r="50" spans="1:19">
      <c r="A50" s="1126" t="str">
        <f>面积及价值汇总!D54</f>
        <v>1F136</v>
      </c>
      <c r="B50" s="1126">
        <f>面积及价值汇总!E54</f>
        <v>29.51</v>
      </c>
      <c r="C50" s="313">
        <f t="shared" si="6"/>
        <v>1</v>
      </c>
      <c r="D50" s="1128"/>
      <c r="E50" s="313">
        <f t="shared" si="7"/>
        <v>1</v>
      </c>
      <c r="F50" s="1128"/>
      <c r="G50" s="313">
        <f t="shared" si="8"/>
        <v>1</v>
      </c>
      <c r="H50" s="1128"/>
      <c r="I50" s="313">
        <f t="shared" si="9"/>
        <v>1</v>
      </c>
      <c r="J50" s="1128"/>
      <c r="K50" s="313">
        <f t="shared" si="10"/>
        <v>1</v>
      </c>
      <c r="L50" s="1128"/>
      <c r="M50" s="313">
        <f t="shared" si="11"/>
        <v>1</v>
      </c>
      <c r="N50" s="1128"/>
      <c r="O50" s="313">
        <f t="shared" si="12"/>
        <v>1</v>
      </c>
      <c r="P50" s="1128"/>
      <c r="Q50" s="313">
        <f t="shared" si="13"/>
        <v>1</v>
      </c>
      <c r="R50" s="1124">
        <f t="shared" ca="1" si="14"/>
        <v>3374</v>
      </c>
      <c r="S50" s="698">
        <f t="shared" ca="1" si="5"/>
        <v>10</v>
      </c>
    </row>
    <row r="51" spans="1:19">
      <c r="A51" s="1126" t="str">
        <f>面积及价值汇总!D55</f>
        <v>1F137</v>
      </c>
      <c r="B51" s="1126">
        <f>面积及价值汇总!E55</f>
        <v>29.51</v>
      </c>
      <c r="C51" s="313">
        <f t="shared" si="6"/>
        <v>1</v>
      </c>
      <c r="D51" s="1128"/>
      <c r="E51" s="313">
        <f t="shared" si="7"/>
        <v>1</v>
      </c>
      <c r="F51" s="1128"/>
      <c r="G51" s="313">
        <f t="shared" si="8"/>
        <v>1</v>
      </c>
      <c r="H51" s="1128"/>
      <c r="I51" s="313">
        <f t="shared" si="9"/>
        <v>1</v>
      </c>
      <c r="J51" s="1128"/>
      <c r="K51" s="313">
        <f t="shared" si="10"/>
        <v>1</v>
      </c>
      <c r="L51" s="1128"/>
      <c r="M51" s="313">
        <f t="shared" si="11"/>
        <v>1</v>
      </c>
      <c r="N51" s="1128"/>
      <c r="O51" s="313">
        <f t="shared" si="12"/>
        <v>1</v>
      </c>
      <c r="P51" s="1128"/>
      <c r="Q51" s="313">
        <f t="shared" si="13"/>
        <v>1</v>
      </c>
      <c r="R51" s="1124">
        <f t="shared" ca="1" si="14"/>
        <v>3374</v>
      </c>
      <c r="S51" s="698">
        <f t="shared" ca="1" si="5"/>
        <v>10</v>
      </c>
    </row>
    <row r="52" spans="1:19">
      <c r="A52" s="1126" t="str">
        <f>面积及价值汇总!D56</f>
        <v>1F138</v>
      </c>
      <c r="B52" s="1126">
        <f>面积及价值汇总!E56</f>
        <v>29.51</v>
      </c>
      <c r="C52" s="313">
        <f t="shared" si="6"/>
        <v>1</v>
      </c>
      <c r="D52" s="1128"/>
      <c r="E52" s="313">
        <f t="shared" si="7"/>
        <v>1</v>
      </c>
      <c r="F52" s="1128"/>
      <c r="G52" s="313">
        <f t="shared" si="8"/>
        <v>1</v>
      </c>
      <c r="H52" s="1128"/>
      <c r="I52" s="313">
        <f t="shared" si="9"/>
        <v>1</v>
      </c>
      <c r="J52" s="1128"/>
      <c r="K52" s="313">
        <f t="shared" si="10"/>
        <v>1</v>
      </c>
      <c r="L52" s="1128"/>
      <c r="M52" s="313">
        <f t="shared" si="11"/>
        <v>1</v>
      </c>
      <c r="N52" s="1128"/>
      <c r="O52" s="313">
        <f t="shared" si="12"/>
        <v>1</v>
      </c>
      <c r="P52" s="1128"/>
      <c r="Q52" s="313">
        <f t="shared" si="13"/>
        <v>1</v>
      </c>
      <c r="R52" s="1124">
        <f t="shared" ca="1" si="14"/>
        <v>3374</v>
      </c>
      <c r="S52" s="698">
        <f t="shared" ca="1" si="5"/>
        <v>10</v>
      </c>
    </row>
    <row r="53" spans="1:19">
      <c r="A53" s="1126" t="str">
        <f>面积及价值汇总!D57</f>
        <v>1F139</v>
      </c>
      <c r="B53" s="1126">
        <f>面积及价值汇总!E57</f>
        <v>29.51</v>
      </c>
      <c r="C53" s="313">
        <f t="shared" si="6"/>
        <v>1</v>
      </c>
      <c r="D53" s="1128"/>
      <c r="E53" s="313">
        <f t="shared" si="7"/>
        <v>1</v>
      </c>
      <c r="F53" s="1128"/>
      <c r="G53" s="313">
        <f t="shared" si="8"/>
        <v>1</v>
      </c>
      <c r="H53" s="1128"/>
      <c r="I53" s="313">
        <f t="shared" si="9"/>
        <v>1</v>
      </c>
      <c r="J53" s="1128"/>
      <c r="K53" s="313">
        <f t="shared" si="10"/>
        <v>1</v>
      </c>
      <c r="L53" s="1128"/>
      <c r="M53" s="313">
        <f t="shared" si="11"/>
        <v>1</v>
      </c>
      <c r="N53" s="1128"/>
      <c r="O53" s="313">
        <f t="shared" si="12"/>
        <v>1</v>
      </c>
      <c r="P53" s="1128"/>
      <c r="Q53" s="313">
        <f t="shared" si="13"/>
        <v>1</v>
      </c>
      <c r="R53" s="1124">
        <f t="shared" ca="1" si="14"/>
        <v>3374</v>
      </c>
      <c r="S53" s="698">
        <f t="shared" ca="1" si="5"/>
        <v>10</v>
      </c>
    </row>
    <row r="54" spans="1:19">
      <c r="A54" s="1126" t="str">
        <f>面积及价值汇总!D58</f>
        <v>1F140</v>
      </c>
      <c r="B54" s="1126">
        <f>面积及价值汇总!E58</f>
        <v>29.51</v>
      </c>
      <c r="C54" s="313">
        <f t="shared" si="6"/>
        <v>1</v>
      </c>
      <c r="D54" s="1128"/>
      <c r="E54" s="313">
        <f t="shared" si="7"/>
        <v>1</v>
      </c>
      <c r="F54" s="1128"/>
      <c r="G54" s="313">
        <f t="shared" si="8"/>
        <v>1</v>
      </c>
      <c r="H54" s="1128"/>
      <c r="I54" s="313">
        <f t="shared" si="9"/>
        <v>1</v>
      </c>
      <c r="J54" s="1128"/>
      <c r="K54" s="313">
        <f t="shared" si="10"/>
        <v>1</v>
      </c>
      <c r="L54" s="1128"/>
      <c r="M54" s="313">
        <f t="shared" si="11"/>
        <v>1</v>
      </c>
      <c r="N54" s="1128"/>
      <c r="O54" s="313">
        <f t="shared" si="12"/>
        <v>1</v>
      </c>
      <c r="P54" s="1128"/>
      <c r="Q54" s="313">
        <f t="shared" si="13"/>
        <v>1</v>
      </c>
      <c r="R54" s="1124">
        <f t="shared" ca="1" si="14"/>
        <v>3374</v>
      </c>
      <c r="S54" s="698">
        <f t="shared" ca="1" si="5"/>
        <v>10</v>
      </c>
    </row>
    <row r="55" spans="1:19">
      <c r="A55" s="1126" t="str">
        <f>面积及价值汇总!D59</f>
        <v>1F141</v>
      </c>
      <c r="B55" s="1126">
        <f>面积及价值汇总!E59</f>
        <v>29.51</v>
      </c>
      <c r="C55" s="313">
        <f t="shared" si="6"/>
        <v>1</v>
      </c>
      <c r="D55" s="1128"/>
      <c r="E55" s="313">
        <f t="shared" si="7"/>
        <v>1</v>
      </c>
      <c r="F55" s="1128"/>
      <c r="G55" s="313">
        <f t="shared" si="8"/>
        <v>1</v>
      </c>
      <c r="H55" s="1128"/>
      <c r="I55" s="313">
        <f t="shared" si="9"/>
        <v>1</v>
      </c>
      <c r="J55" s="1128"/>
      <c r="K55" s="313">
        <f t="shared" si="10"/>
        <v>1</v>
      </c>
      <c r="L55" s="1128"/>
      <c r="M55" s="313">
        <f t="shared" si="11"/>
        <v>1</v>
      </c>
      <c r="N55" s="1128"/>
      <c r="O55" s="313">
        <f t="shared" si="12"/>
        <v>1</v>
      </c>
      <c r="P55" s="1128"/>
      <c r="Q55" s="313">
        <f t="shared" si="13"/>
        <v>1</v>
      </c>
      <c r="R55" s="1124">
        <f t="shared" ca="1" si="14"/>
        <v>3374</v>
      </c>
      <c r="S55" s="698">
        <f t="shared" ca="1" si="5"/>
        <v>10</v>
      </c>
    </row>
    <row r="56" spans="1:19">
      <c r="A56" s="1126" t="str">
        <f>面积及价值汇总!D60</f>
        <v>1F142</v>
      </c>
      <c r="B56" s="1126">
        <f>面积及价值汇总!E60</f>
        <v>29.51</v>
      </c>
      <c r="C56" s="313">
        <f t="shared" si="6"/>
        <v>1</v>
      </c>
      <c r="D56" s="1128"/>
      <c r="E56" s="313">
        <f t="shared" si="7"/>
        <v>1</v>
      </c>
      <c r="F56" s="1128"/>
      <c r="G56" s="313">
        <f t="shared" si="8"/>
        <v>1</v>
      </c>
      <c r="H56" s="1128"/>
      <c r="I56" s="313">
        <f t="shared" si="9"/>
        <v>1</v>
      </c>
      <c r="J56" s="1128"/>
      <c r="K56" s="313">
        <f t="shared" si="10"/>
        <v>1</v>
      </c>
      <c r="L56" s="1128"/>
      <c r="M56" s="313">
        <f t="shared" si="11"/>
        <v>1</v>
      </c>
      <c r="N56" s="1128"/>
      <c r="O56" s="313">
        <f t="shared" si="12"/>
        <v>1</v>
      </c>
      <c r="P56" s="1128"/>
      <c r="Q56" s="313">
        <f t="shared" si="13"/>
        <v>1</v>
      </c>
      <c r="R56" s="1124">
        <f t="shared" ca="1" si="14"/>
        <v>3374</v>
      </c>
      <c r="S56" s="698">
        <f t="shared" ca="1" si="5"/>
        <v>10</v>
      </c>
    </row>
    <row r="57" spans="1:19">
      <c r="A57" s="1126" t="str">
        <f>面积及价值汇总!D61</f>
        <v>1F143</v>
      </c>
      <c r="B57" s="1126">
        <f>面积及价值汇总!E61</f>
        <v>29.51</v>
      </c>
      <c r="C57" s="313">
        <f t="shared" si="6"/>
        <v>1</v>
      </c>
      <c r="D57" s="1128"/>
      <c r="E57" s="313">
        <f t="shared" si="7"/>
        <v>1</v>
      </c>
      <c r="F57" s="1128"/>
      <c r="G57" s="313">
        <f t="shared" si="8"/>
        <v>1</v>
      </c>
      <c r="H57" s="1128"/>
      <c r="I57" s="313">
        <f t="shared" si="9"/>
        <v>1</v>
      </c>
      <c r="J57" s="1128"/>
      <c r="K57" s="313">
        <f t="shared" si="10"/>
        <v>1</v>
      </c>
      <c r="L57" s="1128"/>
      <c r="M57" s="313">
        <f t="shared" si="11"/>
        <v>1</v>
      </c>
      <c r="N57" s="1128"/>
      <c r="O57" s="313">
        <f t="shared" si="12"/>
        <v>1</v>
      </c>
      <c r="P57" s="1128"/>
      <c r="Q57" s="313">
        <f t="shared" si="13"/>
        <v>1</v>
      </c>
      <c r="R57" s="1124">
        <f t="shared" ca="1" si="14"/>
        <v>3374</v>
      </c>
      <c r="S57" s="698">
        <f t="shared" ca="1" si="5"/>
        <v>10</v>
      </c>
    </row>
    <row r="58" spans="1:19">
      <c r="A58" s="1126" t="str">
        <f>面积及价值汇总!D62</f>
        <v>1F144</v>
      </c>
      <c r="B58" s="1126">
        <f>面积及价值汇总!E62</f>
        <v>29.51</v>
      </c>
      <c r="C58" s="313">
        <f t="shared" si="6"/>
        <v>1</v>
      </c>
      <c r="D58" s="1128"/>
      <c r="E58" s="313">
        <f t="shared" si="7"/>
        <v>1</v>
      </c>
      <c r="F58" s="1128"/>
      <c r="G58" s="313">
        <f t="shared" si="8"/>
        <v>1</v>
      </c>
      <c r="H58" s="1128"/>
      <c r="I58" s="313">
        <f t="shared" si="9"/>
        <v>1</v>
      </c>
      <c r="J58" s="1128"/>
      <c r="K58" s="313">
        <f t="shared" si="10"/>
        <v>1</v>
      </c>
      <c r="L58" s="1128"/>
      <c r="M58" s="313">
        <f t="shared" si="11"/>
        <v>1</v>
      </c>
      <c r="N58" s="1128"/>
      <c r="O58" s="313">
        <f t="shared" si="12"/>
        <v>1</v>
      </c>
      <c r="P58" s="1128"/>
      <c r="Q58" s="313">
        <f t="shared" si="13"/>
        <v>1</v>
      </c>
      <c r="R58" s="1124">
        <f t="shared" ca="1" si="14"/>
        <v>3374</v>
      </c>
      <c r="S58" s="698">
        <f t="shared" ca="1" si="5"/>
        <v>10</v>
      </c>
    </row>
    <row r="59" spans="1:19">
      <c r="A59" s="1126" t="str">
        <f>面积及价值汇总!D63</f>
        <v>1F145</v>
      </c>
      <c r="B59" s="1126">
        <f>面积及价值汇总!E63</f>
        <v>29.51</v>
      </c>
      <c r="C59" s="313">
        <f t="shared" si="6"/>
        <v>1</v>
      </c>
      <c r="D59" s="1128"/>
      <c r="E59" s="313">
        <f t="shared" si="7"/>
        <v>1</v>
      </c>
      <c r="F59" s="1128"/>
      <c r="G59" s="313">
        <f t="shared" si="8"/>
        <v>1</v>
      </c>
      <c r="H59" s="1128"/>
      <c r="I59" s="313">
        <f t="shared" si="9"/>
        <v>1</v>
      </c>
      <c r="J59" s="1128"/>
      <c r="K59" s="313">
        <f t="shared" si="10"/>
        <v>1</v>
      </c>
      <c r="L59" s="1128"/>
      <c r="M59" s="313">
        <f t="shared" si="11"/>
        <v>1</v>
      </c>
      <c r="N59" s="1128"/>
      <c r="O59" s="313">
        <f t="shared" si="12"/>
        <v>1</v>
      </c>
      <c r="P59" s="1128"/>
      <c r="Q59" s="313">
        <f t="shared" si="13"/>
        <v>1</v>
      </c>
      <c r="R59" s="1124">
        <f t="shared" ca="1" si="14"/>
        <v>3374</v>
      </c>
      <c r="S59" s="698">
        <f t="shared" ca="1" si="5"/>
        <v>10</v>
      </c>
    </row>
    <row r="60" spans="1:19">
      <c r="A60" s="1126" t="str">
        <f>面积及价值汇总!D64</f>
        <v>1F146</v>
      </c>
      <c r="B60" s="1126">
        <f>面积及价值汇总!E64</f>
        <v>29.51</v>
      </c>
      <c r="C60" s="313">
        <f t="shared" si="6"/>
        <v>1</v>
      </c>
      <c r="D60" s="1128"/>
      <c r="E60" s="313">
        <f t="shared" si="7"/>
        <v>1</v>
      </c>
      <c r="F60" s="1128"/>
      <c r="G60" s="313">
        <f t="shared" si="8"/>
        <v>1</v>
      </c>
      <c r="H60" s="1128"/>
      <c r="I60" s="313">
        <f t="shared" si="9"/>
        <v>1</v>
      </c>
      <c r="J60" s="1128"/>
      <c r="K60" s="313">
        <f t="shared" si="10"/>
        <v>1</v>
      </c>
      <c r="L60" s="1128"/>
      <c r="M60" s="313">
        <f t="shared" si="11"/>
        <v>1</v>
      </c>
      <c r="N60" s="1128"/>
      <c r="O60" s="313">
        <f t="shared" si="12"/>
        <v>1</v>
      </c>
      <c r="P60" s="1128"/>
      <c r="Q60" s="313">
        <f t="shared" si="13"/>
        <v>1</v>
      </c>
      <c r="R60" s="1124">
        <f t="shared" ca="1" si="14"/>
        <v>3374</v>
      </c>
      <c r="S60" s="698">
        <f t="shared" ca="1" si="5"/>
        <v>10</v>
      </c>
    </row>
    <row r="61" spans="1:19">
      <c r="A61" s="1126" t="str">
        <f>面积及价值汇总!D65</f>
        <v>1F147</v>
      </c>
      <c r="B61" s="1126">
        <f>面积及价值汇总!E65</f>
        <v>29.51</v>
      </c>
      <c r="C61" s="313">
        <f t="shared" si="6"/>
        <v>1</v>
      </c>
      <c r="D61" s="1128"/>
      <c r="E61" s="313">
        <f t="shared" si="7"/>
        <v>1</v>
      </c>
      <c r="F61" s="1128"/>
      <c r="G61" s="313">
        <f t="shared" si="8"/>
        <v>1</v>
      </c>
      <c r="H61" s="1128"/>
      <c r="I61" s="313">
        <f t="shared" si="9"/>
        <v>1</v>
      </c>
      <c r="J61" s="1128"/>
      <c r="K61" s="313">
        <f t="shared" si="10"/>
        <v>1</v>
      </c>
      <c r="L61" s="1128"/>
      <c r="M61" s="313">
        <f t="shared" si="11"/>
        <v>1</v>
      </c>
      <c r="N61" s="1128"/>
      <c r="O61" s="313">
        <f t="shared" si="12"/>
        <v>1</v>
      </c>
      <c r="P61" s="1128"/>
      <c r="Q61" s="313">
        <f t="shared" si="13"/>
        <v>1</v>
      </c>
      <c r="R61" s="1124">
        <f t="shared" ca="1" si="14"/>
        <v>3374</v>
      </c>
      <c r="S61" s="698">
        <f t="shared" ca="1" si="5"/>
        <v>10</v>
      </c>
    </row>
    <row r="62" spans="1:19">
      <c r="A62" s="1126" t="str">
        <f>面积及价值汇总!D66</f>
        <v>1F148</v>
      </c>
      <c r="B62" s="1126">
        <f>面积及价值汇总!E66</f>
        <v>29.51</v>
      </c>
      <c r="C62" s="313">
        <f t="shared" si="6"/>
        <v>1</v>
      </c>
      <c r="D62" s="1128"/>
      <c r="E62" s="313">
        <f t="shared" si="7"/>
        <v>1</v>
      </c>
      <c r="F62" s="1128"/>
      <c r="G62" s="313">
        <f t="shared" si="8"/>
        <v>1</v>
      </c>
      <c r="H62" s="1128"/>
      <c r="I62" s="313">
        <f t="shared" si="9"/>
        <v>1</v>
      </c>
      <c r="J62" s="1128"/>
      <c r="K62" s="313">
        <f t="shared" si="10"/>
        <v>1</v>
      </c>
      <c r="L62" s="1128"/>
      <c r="M62" s="313">
        <f t="shared" si="11"/>
        <v>1</v>
      </c>
      <c r="N62" s="1128"/>
      <c r="O62" s="313">
        <f t="shared" si="12"/>
        <v>1</v>
      </c>
      <c r="P62" s="1128"/>
      <c r="Q62" s="313">
        <f t="shared" si="13"/>
        <v>1</v>
      </c>
      <c r="R62" s="1124">
        <f t="shared" ca="1" si="14"/>
        <v>3374</v>
      </c>
      <c r="S62" s="698">
        <f t="shared" ca="1" si="5"/>
        <v>10</v>
      </c>
    </row>
    <row r="63" spans="1:19">
      <c r="A63" s="1126" t="str">
        <f>面积及价值汇总!D67</f>
        <v>1F150</v>
      </c>
      <c r="B63" s="1126">
        <f>面积及价值汇总!E67</f>
        <v>29.51</v>
      </c>
      <c r="C63" s="313">
        <f t="shared" si="6"/>
        <v>1</v>
      </c>
      <c r="D63" s="1128"/>
      <c r="E63" s="313">
        <f t="shared" si="7"/>
        <v>1</v>
      </c>
      <c r="F63" s="1128"/>
      <c r="G63" s="313">
        <f t="shared" si="8"/>
        <v>1</v>
      </c>
      <c r="H63" s="1128"/>
      <c r="I63" s="313">
        <f t="shared" si="9"/>
        <v>1</v>
      </c>
      <c r="J63" s="1128"/>
      <c r="K63" s="313">
        <f t="shared" si="10"/>
        <v>1</v>
      </c>
      <c r="L63" s="1128"/>
      <c r="M63" s="313">
        <f t="shared" si="11"/>
        <v>1</v>
      </c>
      <c r="N63" s="1128"/>
      <c r="O63" s="313">
        <f t="shared" si="12"/>
        <v>1</v>
      </c>
      <c r="P63" s="1128"/>
      <c r="Q63" s="313">
        <f t="shared" si="13"/>
        <v>1</v>
      </c>
      <c r="R63" s="1124">
        <f t="shared" ca="1" si="14"/>
        <v>3374</v>
      </c>
      <c r="S63" s="698">
        <f t="shared" ca="1" si="5"/>
        <v>10</v>
      </c>
    </row>
    <row r="64" spans="1:19">
      <c r="A64" s="1126" t="str">
        <f>面积及价值汇总!D68</f>
        <v>1F151</v>
      </c>
      <c r="B64" s="1126">
        <f>面积及价值汇总!E68</f>
        <v>29.51</v>
      </c>
      <c r="C64" s="313">
        <f t="shared" si="6"/>
        <v>1</v>
      </c>
      <c r="D64" s="1128"/>
      <c r="E64" s="313">
        <f t="shared" si="7"/>
        <v>1</v>
      </c>
      <c r="F64" s="1128"/>
      <c r="G64" s="313">
        <f t="shared" si="8"/>
        <v>1</v>
      </c>
      <c r="H64" s="1128"/>
      <c r="I64" s="313">
        <f t="shared" si="9"/>
        <v>1</v>
      </c>
      <c r="J64" s="1128"/>
      <c r="K64" s="313">
        <f t="shared" si="10"/>
        <v>1</v>
      </c>
      <c r="L64" s="1128"/>
      <c r="M64" s="313">
        <f t="shared" si="11"/>
        <v>1</v>
      </c>
      <c r="N64" s="1128"/>
      <c r="O64" s="313">
        <f t="shared" si="12"/>
        <v>1</v>
      </c>
      <c r="P64" s="1128"/>
      <c r="Q64" s="313">
        <f t="shared" si="13"/>
        <v>1</v>
      </c>
      <c r="R64" s="1124">
        <f t="shared" ca="1" si="14"/>
        <v>3374</v>
      </c>
      <c r="S64" s="698">
        <f t="shared" ca="1" si="5"/>
        <v>10</v>
      </c>
    </row>
    <row r="65" spans="1:19">
      <c r="A65" s="1126" t="str">
        <f>面积及价值汇总!D69</f>
        <v>1F152</v>
      </c>
      <c r="B65" s="1126">
        <f>面积及价值汇总!E69</f>
        <v>29.51</v>
      </c>
      <c r="C65" s="313">
        <f t="shared" si="6"/>
        <v>1</v>
      </c>
      <c r="D65" s="1128"/>
      <c r="E65" s="313">
        <f t="shared" si="7"/>
        <v>1</v>
      </c>
      <c r="F65" s="1128"/>
      <c r="G65" s="313">
        <f t="shared" si="8"/>
        <v>1</v>
      </c>
      <c r="H65" s="1128"/>
      <c r="I65" s="313">
        <f t="shared" si="9"/>
        <v>1</v>
      </c>
      <c r="J65" s="1128"/>
      <c r="K65" s="313">
        <f t="shared" si="10"/>
        <v>1</v>
      </c>
      <c r="L65" s="1128"/>
      <c r="M65" s="313">
        <f t="shared" si="11"/>
        <v>1</v>
      </c>
      <c r="N65" s="1128"/>
      <c r="O65" s="313">
        <f t="shared" si="12"/>
        <v>1</v>
      </c>
      <c r="P65" s="1128"/>
      <c r="Q65" s="313">
        <f t="shared" si="13"/>
        <v>1</v>
      </c>
      <c r="R65" s="1124">
        <f t="shared" ca="1" si="14"/>
        <v>3374</v>
      </c>
      <c r="S65" s="698">
        <f t="shared" ca="1" si="5"/>
        <v>10</v>
      </c>
    </row>
    <row r="66" spans="1:19">
      <c r="A66" s="1126" t="str">
        <f>面积及价值汇总!D70</f>
        <v>1F153</v>
      </c>
      <c r="B66" s="1126">
        <f>面积及价值汇总!E70</f>
        <v>29.51</v>
      </c>
      <c r="C66" s="313">
        <f t="shared" si="6"/>
        <v>1</v>
      </c>
      <c r="D66" s="1128"/>
      <c r="E66" s="313">
        <f t="shared" si="7"/>
        <v>1</v>
      </c>
      <c r="F66" s="1128"/>
      <c r="G66" s="313">
        <f t="shared" si="8"/>
        <v>1</v>
      </c>
      <c r="H66" s="1128"/>
      <c r="I66" s="313">
        <f t="shared" si="9"/>
        <v>1</v>
      </c>
      <c r="J66" s="1128"/>
      <c r="K66" s="313">
        <f t="shared" si="10"/>
        <v>1</v>
      </c>
      <c r="L66" s="1128"/>
      <c r="M66" s="313">
        <f t="shared" si="11"/>
        <v>1</v>
      </c>
      <c r="N66" s="1128"/>
      <c r="O66" s="313">
        <f t="shared" si="12"/>
        <v>1</v>
      </c>
      <c r="P66" s="1128"/>
      <c r="Q66" s="313">
        <f t="shared" si="13"/>
        <v>1</v>
      </c>
      <c r="R66" s="1124">
        <f t="shared" ca="1" si="14"/>
        <v>3374</v>
      </c>
      <c r="S66" s="698">
        <f t="shared" ca="1" si="5"/>
        <v>10</v>
      </c>
    </row>
    <row r="67" spans="1:19">
      <c r="A67" s="1126" t="str">
        <f>面积及价值汇总!D71</f>
        <v>1F154</v>
      </c>
      <c r="B67" s="1126">
        <f>面积及价值汇总!E71</f>
        <v>29.51</v>
      </c>
      <c r="C67" s="313">
        <f t="shared" si="6"/>
        <v>1</v>
      </c>
      <c r="D67" s="1128"/>
      <c r="E67" s="313">
        <f t="shared" si="7"/>
        <v>1</v>
      </c>
      <c r="F67" s="1128"/>
      <c r="G67" s="313">
        <f t="shared" si="8"/>
        <v>1</v>
      </c>
      <c r="H67" s="1128"/>
      <c r="I67" s="313">
        <f t="shared" si="9"/>
        <v>1</v>
      </c>
      <c r="J67" s="1128"/>
      <c r="K67" s="313">
        <f t="shared" si="10"/>
        <v>1</v>
      </c>
      <c r="L67" s="1128"/>
      <c r="M67" s="313">
        <f t="shared" si="11"/>
        <v>1</v>
      </c>
      <c r="N67" s="1128"/>
      <c r="O67" s="313">
        <f t="shared" si="12"/>
        <v>1</v>
      </c>
      <c r="P67" s="1128"/>
      <c r="Q67" s="313">
        <f t="shared" si="13"/>
        <v>1</v>
      </c>
      <c r="R67" s="1124">
        <f t="shared" ca="1" si="14"/>
        <v>3374</v>
      </c>
      <c r="S67" s="698">
        <f t="shared" ca="1" si="5"/>
        <v>10</v>
      </c>
    </row>
    <row r="68" spans="1:19">
      <c r="A68" s="1126" t="str">
        <f>面积及价值汇总!D72</f>
        <v>1F155</v>
      </c>
      <c r="B68" s="1126">
        <f>面积及价值汇总!E72</f>
        <v>29.51</v>
      </c>
      <c r="C68" s="313">
        <f t="shared" si="6"/>
        <v>1</v>
      </c>
      <c r="D68" s="1128"/>
      <c r="E68" s="313">
        <f t="shared" si="7"/>
        <v>1</v>
      </c>
      <c r="F68" s="1128"/>
      <c r="G68" s="313">
        <f t="shared" si="8"/>
        <v>1</v>
      </c>
      <c r="H68" s="1128"/>
      <c r="I68" s="313">
        <f t="shared" si="9"/>
        <v>1</v>
      </c>
      <c r="J68" s="1128"/>
      <c r="K68" s="313">
        <f t="shared" si="10"/>
        <v>1</v>
      </c>
      <c r="L68" s="1128"/>
      <c r="M68" s="313">
        <f t="shared" si="11"/>
        <v>1</v>
      </c>
      <c r="N68" s="1128"/>
      <c r="O68" s="313">
        <f t="shared" si="12"/>
        <v>1</v>
      </c>
      <c r="P68" s="1128"/>
      <c r="Q68" s="313">
        <f t="shared" si="13"/>
        <v>1</v>
      </c>
      <c r="R68" s="1124">
        <f t="shared" ca="1" si="14"/>
        <v>3374</v>
      </c>
      <c r="S68" s="698">
        <f t="shared" ca="1" si="5"/>
        <v>10</v>
      </c>
    </row>
    <row r="69" spans="1:19">
      <c r="A69" s="1126" t="str">
        <f>面积及价值汇总!D73</f>
        <v>1F156</v>
      </c>
      <c r="B69" s="1126">
        <f>面积及价值汇总!E73</f>
        <v>29.51</v>
      </c>
      <c r="C69" s="313">
        <f t="shared" si="6"/>
        <v>1</v>
      </c>
      <c r="D69" s="1128"/>
      <c r="E69" s="313">
        <f t="shared" si="7"/>
        <v>1</v>
      </c>
      <c r="F69" s="1128"/>
      <c r="G69" s="313">
        <f t="shared" si="8"/>
        <v>1</v>
      </c>
      <c r="H69" s="1128"/>
      <c r="I69" s="313">
        <f t="shared" si="9"/>
        <v>1</v>
      </c>
      <c r="J69" s="1128"/>
      <c r="K69" s="313">
        <f t="shared" si="10"/>
        <v>1</v>
      </c>
      <c r="L69" s="1128"/>
      <c r="M69" s="313">
        <f t="shared" si="11"/>
        <v>1</v>
      </c>
      <c r="N69" s="1128"/>
      <c r="O69" s="313">
        <f t="shared" si="12"/>
        <v>1</v>
      </c>
      <c r="P69" s="1128"/>
      <c r="Q69" s="313">
        <f t="shared" si="13"/>
        <v>1</v>
      </c>
      <c r="R69" s="1124">
        <f t="shared" ca="1" si="14"/>
        <v>3374</v>
      </c>
      <c r="S69" s="698">
        <f t="shared" ca="1" si="5"/>
        <v>10</v>
      </c>
    </row>
    <row r="70" spans="1:19">
      <c r="A70" s="1126" t="str">
        <f>面积及价值汇总!D74</f>
        <v>1F157</v>
      </c>
      <c r="B70" s="1126">
        <f>面积及价值汇总!E74</f>
        <v>29.51</v>
      </c>
      <c r="C70" s="313">
        <f t="shared" si="6"/>
        <v>1</v>
      </c>
      <c r="D70" s="1128"/>
      <c r="E70" s="313">
        <f t="shared" si="7"/>
        <v>1</v>
      </c>
      <c r="F70" s="1128"/>
      <c r="G70" s="313">
        <f t="shared" si="8"/>
        <v>1</v>
      </c>
      <c r="H70" s="1128"/>
      <c r="I70" s="313">
        <f t="shared" si="9"/>
        <v>1</v>
      </c>
      <c r="J70" s="1128"/>
      <c r="K70" s="313">
        <f t="shared" si="10"/>
        <v>1</v>
      </c>
      <c r="L70" s="1128"/>
      <c r="M70" s="313">
        <f t="shared" si="11"/>
        <v>1</v>
      </c>
      <c r="N70" s="1128"/>
      <c r="O70" s="313">
        <f t="shared" si="12"/>
        <v>1</v>
      </c>
      <c r="P70" s="1128"/>
      <c r="Q70" s="313">
        <f t="shared" si="13"/>
        <v>1</v>
      </c>
      <c r="R70" s="1124">
        <f t="shared" ca="1" si="14"/>
        <v>3374</v>
      </c>
      <c r="S70" s="698">
        <f t="shared" ca="1" si="5"/>
        <v>10</v>
      </c>
    </row>
    <row r="71" spans="1:19">
      <c r="A71" s="1126" t="str">
        <f>面积及价值汇总!D75</f>
        <v>1F158</v>
      </c>
      <c r="B71" s="1126">
        <f>面积及价值汇总!E75</f>
        <v>29.51</v>
      </c>
      <c r="C71" s="313">
        <f t="shared" si="6"/>
        <v>1</v>
      </c>
      <c r="D71" s="1128"/>
      <c r="E71" s="313">
        <f t="shared" si="7"/>
        <v>1</v>
      </c>
      <c r="F71" s="1128"/>
      <c r="G71" s="313">
        <f t="shared" si="8"/>
        <v>1</v>
      </c>
      <c r="H71" s="1128"/>
      <c r="I71" s="313">
        <f t="shared" si="9"/>
        <v>1</v>
      </c>
      <c r="J71" s="1128"/>
      <c r="K71" s="313">
        <f t="shared" si="10"/>
        <v>1</v>
      </c>
      <c r="L71" s="1128"/>
      <c r="M71" s="313">
        <f t="shared" si="11"/>
        <v>1</v>
      </c>
      <c r="N71" s="1128"/>
      <c r="O71" s="313">
        <f t="shared" si="12"/>
        <v>1</v>
      </c>
      <c r="P71" s="1128"/>
      <c r="Q71" s="313">
        <f t="shared" si="13"/>
        <v>1</v>
      </c>
      <c r="R71" s="1124">
        <f t="shared" ca="1" si="14"/>
        <v>3374</v>
      </c>
      <c r="S71" s="698">
        <f t="shared" ca="1" si="5"/>
        <v>10</v>
      </c>
    </row>
    <row r="72" spans="1:19">
      <c r="A72" s="1126" t="str">
        <f>面积及价值汇总!D76</f>
        <v>1F159</v>
      </c>
      <c r="B72" s="1126">
        <f>面积及价值汇总!E76</f>
        <v>29.51</v>
      </c>
      <c r="C72" s="313">
        <f t="shared" si="6"/>
        <v>1</v>
      </c>
      <c r="D72" s="1128"/>
      <c r="E72" s="313">
        <f t="shared" si="7"/>
        <v>1</v>
      </c>
      <c r="F72" s="1128"/>
      <c r="G72" s="313">
        <f t="shared" si="8"/>
        <v>1</v>
      </c>
      <c r="H72" s="1128"/>
      <c r="I72" s="313">
        <f t="shared" si="9"/>
        <v>1</v>
      </c>
      <c r="J72" s="1128"/>
      <c r="K72" s="313">
        <f t="shared" si="10"/>
        <v>1</v>
      </c>
      <c r="L72" s="1128"/>
      <c r="M72" s="313">
        <f t="shared" si="11"/>
        <v>1</v>
      </c>
      <c r="N72" s="1128"/>
      <c r="O72" s="313">
        <f t="shared" si="12"/>
        <v>1</v>
      </c>
      <c r="P72" s="1128"/>
      <c r="Q72" s="313">
        <f t="shared" si="13"/>
        <v>1</v>
      </c>
      <c r="R72" s="1124">
        <f t="shared" ca="1" si="14"/>
        <v>3374</v>
      </c>
      <c r="S72" s="698">
        <f t="shared" ca="1" si="5"/>
        <v>10</v>
      </c>
    </row>
    <row r="73" spans="1:19">
      <c r="A73" s="1126" t="str">
        <f>面积及价值汇总!D77</f>
        <v>1F160</v>
      </c>
      <c r="B73" s="1126">
        <f>面积及价值汇总!E77</f>
        <v>29.51</v>
      </c>
      <c r="C73" s="313">
        <f t="shared" si="6"/>
        <v>1</v>
      </c>
      <c r="D73" s="1128"/>
      <c r="E73" s="313">
        <f t="shared" si="7"/>
        <v>1</v>
      </c>
      <c r="F73" s="1128"/>
      <c r="G73" s="313">
        <f t="shared" si="8"/>
        <v>1</v>
      </c>
      <c r="H73" s="1128"/>
      <c r="I73" s="313">
        <f t="shared" si="9"/>
        <v>1</v>
      </c>
      <c r="J73" s="1128"/>
      <c r="K73" s="313">
        <f t="shared" si="10"/>
        <v>1</v>
      </c>
      <c r="L73" s="1128"/>
      <c r="M73" s="313">
        <f t="shared" si="11"/>
        <v>1</v>
      </c>
      <c r="N73" s="1128"/>
      <c r="O73" s="313">
        <f t="shared" si="12"/>
        <v>1</v>
      </c>
      <c r="P73" s="1128"/>
      <c r="Q73" s="313">
        <f t="shared" si="13"/>
        <v>1</v>
      </c>
      <c r="R73" s="1124">
        <f t="shared" ca="1" si="14"/>
        <v>3374</v>
      </c>
      <c r="S73" s="698">
        <f t="shared" ca="1" si="5"/>
        <v>10</v>
      </c>
    </row>
    <row r="74" spans="1:19">
      <c r="A74" s="1126" t="str">
        <f>面积及价值汇总!D78</f>
        <v>1F161</v>
      </c>
      <c r="B74" s="1126">
        <f>面积及价值汇总!E78</f>
        <v>29.51</v>
      </c>
      <c r="C74" s="313">
        <f t="shared" si="6"/>
        <v>1</v>
      </c>
      <c r="D74" s="1128"/>
      <c r="E74" s="313">
        <f t="shared" si="7"/>
        <v>1</v>
      </c>
      <c r="F74" s="1128"/>
      <c r="G74" s="313">
        <f t="shared" si="8"/>
        <v>1</v>
      </c>
      <c r="H74" s="1128"/>
      <c r="I74" s="313">
        <f t="shared" si="9"/>
        <v>1</v>
      </c>
      <c r="J74" s="1128"/>
      <c r="K74" s="313">
        <f t="shared" si="10"/>
        <v>1</v>
      </c>
      <c r="L74" s="1128"/>
      <c r="M74" s="313">
        <f t="shared" si="11"/>
        <v>1</v>
      </c>
      <c r="N74" s="1128"/>
      <c r="O74" s="313">
        <f t="shared" si="12"/>
        <v>1</v>
      </c>
      <c r="P74" s="1128"/>
      <c r="Q74" s="313">
        <f t="shared" si="13"/>
        <v>1</v>
      </c>
      <c r="R74" s="1124">
        <f t="shared" ca="1" si="14"/>
        <v>3374</v>
      </c>
      <c r="S74" s="698">
        <f t="shared" ca="1" si="5"/>
        <v>10</v>
      </c>
    </row>
    <row r="75" spans="1:19">
      <c r="A75" s="1126" t="str">
        <f>面积及价值汇总!D79</f>
        <v>1F162</v>
      </c>
      <c r="B75" s="1126">
        <f>面积及价值汇总!E79</f>
        <v>29.51</v>
      </c>
      <c r="C75" s="313">
        <f t="shared" si="6"/>
        <v>1</v>
      </c>
      <c r="D75" s="1128"/>
      <c r="E75" s="313">
        <f t="shared" si="7"/>
        <v>1</v>
      </c>
      <c r="F75" s="1128"/>
      <c r="G75" s="313">
        <f t="shared" si="8"/>
        <v>1</v>
      </c>
      <c r="H75" s="1128"/>
      <c r="I75" s="313">
        <f t="shared" si="9"/>
        <v>1</v>
      </c>
      <c r="J75" s="1128"/>
      <c r="K75" s="313">
        <f t="shared" si="10"/>
        <v>1</v>
      </c>
      <c r="L75" s="1128"/>
      <c r="M75" s="313">
        <f t="shared" si="11"/>
        <v>1</v>
      </c>
      <c r="N75" s="1128"/>
      <c r="O75" s="313">
        <f t="shared" si="12"/>
        <v>1</v>
      </c>
      <c r="P75" s="1128"/>
      <c r="Q75" s="313">
        <f t="shared" si="13"/>
        <v>1</v>
      </c>
      <c r="R75" s="1124">
        <f t="shared" ca="1" si="14"/>
        <v>3374</v>
      </c>
      <c r="S75" s="698">
        <f t="shared" ca="1" si="5"/>
        <v>10</v>
      </c>
    </row>
    <row r="76" spans="1:19">
      <c r="A76" s="1126" t="str">
        <f>面积及价值汇总!D80</f>
        <v>1F163</v>
      </c>
      <c r="B76" s="1126">
        <f>面积及价值汇总!E80</f>
        <v>29.51</v>
      </c>
      <c r="C76" s="313">
        <f t="shared" si="6"/>
        <v>1</v>
      </c>
      <c r="D76" s="1128"/>
      <c r="E76" s="313">
        <f t="shared" si="7"/>
        <v>1</v>
      </c>
      <c r="F76" s="1128"/>
      <c r="G76" s="313">
        <f t="shared" si="8"/>
        <v>1</v>
      </c>
      <c r="H76" s="1128"/>
      <c r="I76" s="313">
        <f t="shared" si="9"/>
        <v>1</v>
      </c>
      <c r="J76" s="1128"/>
      <c r="K76" s="313">
        <f t="shared" si="10"/>
        <v>1</v>
      </c>
      <c r="L76" s="1128"/>
      <c r="M76" s="313">
        <f t="shared" si="11"/>
        <v>1</v>
      </c>
      <c r="N76" s="1128"/>
      <c r="O76" s="313">
        <f t="shared" si="12"/>
        <v>1</v>
      </c>
      <c r="P76" s="1128"/>
      <c r="Q76" s="313">
        <f t="shared" si="13"/>
        <v>1</v>
      </c>
      <c r="R76" s="1124">
        <f t="shared" ca="1" si="14"/>
        <v>3374</v>
      </c>
      <c r="S76" s="698">
        <f t="shared" ca="1" si="5"/>
        <v>10</v>
      </c>
    </row>
    <row r="77" spans="1:19">
      <c r="A77" s="1126" t="str">
        <f>面积及价值汇总!D81</f>
        <v>1F164</v>
      </c>
      <c r="B77" s="1126">
        <f>面积及价值汇总!E81</f>
        <v>29.51</v>
      </c>
      <c r="C77" s="313">
        <f t="shared" si="6"/>
        <v>1</v>
      </c>
      <c r="D77" s="1128"/>
      <c r="E77" s="313">
        <f t="shared" si="7"/>
        <v>1</v>
      </c>
      <c r="F77" s="1128"/>
      <c r="G77" s="313">
        <f t="shared" si="8"/>
        <v>1</v>
      </c>
      <c r="H77" s="1128"/>
      <c r="I77" s="313">
        <f t="shared" si="9"/>
        <v>1</v>
      </c>
      <c r="J77" s="1128"/>
      <c r="K77" s="313">
        <f t="shared" si="10"/>
        <v>1</v>
      </c>
      <c r="L77" s="1128"/>
      <c r="M77" s="313">
        <f t="shared" si="11"/>
        <v>1</v>
      </c>
      <c r="N77" s="1128"/>
      <c r="O77" s="313">
        <f t="shared" si="12"/>
        <v>1</v>
      </c>
      <c r="P77" s="1128"/>
      <c r="Q77" s="313">
        <f t="shared" si="13"/>
        <v>1</v>
      </c>
      <c r="R77" s="1124">
        <f t="shared" ca="1" si="14"/>
        <v>3374</v>
      </c>
      <c r="S77" s="698">
        <f t="shared" ca="1" si="5"/>
        <v>10</v>
      </c>
    </row>
    <row r="78" spans="1:19">
      <c r="A78" s="1126" t="str">
        <f>面积及价值汇总!D82</f>
        <v>1F165</v>
      </c>
      <c r="B78" s="1126">
        <f>面积及价值汇总!E82</f>
        <v>29.51</v>
      </c>
      <c r="C78" s="313">
        <f t="shared" si="6"/>
        <v>1</v>
      </c>
      <c r="D78" s="1128"/>
      <c r="E78" s="313">
        <f t="shared" si="7"/>
        <v>1</v>
      </c>
      <c r="F78" s="1128"/>
      <c r="G78" s="313">
        <f t="shared" si="8"/>
        <v>1</v>
      </c>
      <c r="H78" s="1128"/>
      <c r="I78" s="313">
        <f t="shared" si="9"/>
        <v>1</v>
      </c>
      <c r="J78" s="1128"/>
      <c r="K78" s="313">
        <f t="shared" si="10"/>
        <v>1</v>
      </c>
      <c r="L78" s="1128"/>
      <c r="M78" s="313">
        <f t="shared" si="11"/>
        <v>1</v>
      </c>
      <c r="N78" s="1128"/>
      <c r="O78" s="313">
        <f t="shared" si="12"/>
        <v>1</v>
      </c>
      <c r="P78" s="1128"/>
      <c r="Q78" s="313">
        <f t="shared" si="13"/>
        <v>1</v>
      </c>
      <c r="R78" s="1124">
        <f t="shared" ca="1" si="14"/>
        <v>3374</v>
      </c>
      <c r="S78" s="698">
        <f t="shared" ca="1" si="5"/>
        <v>10</v>
      </c>
    </row>
    <row r="79" spans="1:19">
      <c r="A79" s="1126" t="str">
        <f>面积及价值汇总!D83</f>
        <v>1F166</v>
      </c>
      <c r="B79" s="1126">
        <f>面积及价值汇总!E83</f>
        <v>29.51</v>
      </c>
      <c r="C79" s="313">
        <f t="shared" si="6"/>
        <v>1</v>
      </c>
      <c r="D79" s="1128"/>
      <c r="E79" s="313">
        <f t="shared" si="7"/>
        <v>1</v>
      </c>
      <c r="F79" s="1128"/>
      <c r="G79" s="313">
        <f t="shared" si="8"/>
        <v>1</v>
      </c>
      <c r="H79" s="1128"/>
      <c r="I79" s="313">
        <f t="shared" si="9"/>
        <v>1</v>
      </c>
      <c r="J79" s="1128"/>
      <c r="K79" s="313">
        <f t="shared" si="10"/>
        <v>1</v>
      </c>
      <c r="L79" s="1128"/>
      <c r="M79" s="313">
        <f t="shared" si="11"/>
        <v>1</v>
      </c>
      <c r="N79" s="1128"/>
      <c r="O79" s="313">
        <f t="shared" si="12"/>
        <v>1</v>
      </c>
      <c r="P79" s="1128"/>
      <c r="Q79" s="313">
        <f t="shared" si="13"/>
        <v>1</v>
      </c>
      <c r="R79" s="1124">
        <f t="shared" ca="1" si="14"/>
        <v>3374</v>
      </c>
      <c r="S79" s="698">
        <f t="shared" ca="1" si="5"/>
        <v>10</v>
      </c>
    </row>
    <row r="80" spans="1:19">
      <c r="A80" s="1126" t="str">
        <f>面积及价值汇总!D84</f>
        <v>1F167</v>
      </c>
      <c r="B80" s="1126">
        <f>面积及价值汇总!E84</f>
        <v>29.51</v>
      </c>
      <c r="C80" s="313">
        <f t="shared" si="6"/>
        <v>1</v>
      </c>
      <c r="D80" s="1128"/>
      <c r="E80" s="313">
        <f t="shared" si="7"/>
        <v>1</v>
      </c>
      <c r="F80" s="1128"/>
      <c r="G80" s="313">
        <f t="shared" si="8"/>
        <v>1</v>
      </c>
      <c r="H80" s="1128"/>
      <c r="I80" s="313">
        <f t="shared" si="9"/>
        <v>1</v>
      </c>
      <c r="J80" s="1128"/>
      <c r="K80" s="313">
        <f t="shared" si="10"/>
        <v>1</v>
      </c>
      <c r="L80" s="1128"/>
      <c r="M80" s="313">
        <f t="shared" si="11"/>
        <v>1</v>
      </c>
      <c r="N80" s="1128"/>
      <c r="O80" s="313">
        <f t="shared" si="12"/>
        <v>1</v>
      </c>
      <c r="P80" s="1128"/>
      <c r="Q80" s="313">
        <f t="shared" si="13"/>
        <v>1</v>
      </c>
      <c r="R80" s="1124">
        <f t="shared" ca="1" si="14"/>
        <v>3374</v>
      </c>
      <c r="S80" s="698">
        <f t="shared" ca="1" si="5"/>
        <v>10</v>
      </c>
    </row>
    <row r="81" spans="1:19">
      <c r="A81" s="1126" t="str">
        <f>面积及价值汇总!D85</f>
        <v>1F168</v>
      </c>
      <c r="B81" s="1126">
        <f>面积及价值汇总!E85</f>
        <v>29.51</v>
      </c>
      <c r="C81" s="313">
        <f t="shared" si="6"/>
        <v>1</v>
      </c>
      <c r="D81" s="1128"/>
      <c r="E81" s="313">
        <f t="shared" si="7"/>
        <v>1</v>
      </c>
      <c r="F81" s="1128"/>
      <c r="G81" s="313">
        <f t="shared" si="8"/>
        <v>1</v>
      </c>
      <c r="H81" s="1128"/>
      <c r="I81" s="313">
        <f t="shared" si="9"/>
        <v>1</v>
      </c>
      <c r="J81" s="1128"/>
      <c r="K81" s="313">
        <f t="shared" si="10"/>
        <v>1</v>
      </c>
      <c r="L81" s="1128"/>
      <c r="M81" s="313">
        <f t="shared" si="11"/>
        <v>1</v>
      </c>
      <c r="N81" s="1128"/>
      <c r="O81" s="313">
        <f t="shared" si="12"/>
        <v>1</v>
      </c>
      <c r="P81" s="1128"/>
      <c r="Q81" s="313">
        <f t="shared" si="13"/>
        <v>1</v>
      </c>
      <c r="R81" s="1124">
        <f t="shared" ca="1" si="14"/>
        <v>3374</v>
      </c>
      <c r="S81" s="698">
        <f t="shared" ca="1" si="5"/>
        <v>10</v>
      </c>
    </row>
    <row r="82" spans="1:19">
      <c r="A82" s="1126" t="str">
        <f>面积及价值汇总!D86</f>
        <v>1F169</v>
      </c>
      <c r="B82" s="1126">
        <f>面积及价值汇总!E86</f>
        <v>29.51</v>
      </c>
      <c r="C82" s="313">
        <f t="shared" si="6"/>
        <v>1</v>
      </c>
      <c r="D82" s="1128"/>
      <c r="E82" s="313">
        <f t="shared" si="7"/>
        <v>1</v>
      </c>
      <c r="F82" s="1128"/>
      <c r="G82" s="313">
        <f t="shared" si="8"/>
        <v>1</v>
      </c>
      <c r="H82" s="1128"/>
      <c r="I82" s="313">
        <f t="shared" si="9"/>
        <v>1</v>
      </c>
      <c r="J82" s="1128"/>
      <c r="K82" s="313">
        <f t="shared" si="10"/>
        <v>1</v>
      </c>
      <c r="L82" s="1128"/>
      <c r="M82" s="313">
        <f t="shared" si="11"/>
        <v>1</v>
      </c>
      <c r="N82" s="1128"/>
      <c r="O82" s="313">
        <f t="shared" si="12"/>
        <v>1</v>
      </c>
      <c r="P82" s="1128"/>
      <c r="Q82" s="313">
        <f t="shared" si="13"/>
        <v>1</v>
      </c>
      <c r="R82" s="1124">
        <f t="shared" ca="1" si="14"/>
        <v>3374</v>
      </c>
      <c r="S82" s="698">
        <f t="shared" ca="1" si="5"/>
        <v>10</v>
      </c>
    </row>
    <row r="83" spans="1:19">
      <c r="A83" s="1126" t="str">
        <f>面积及价值汇总!D87</f>
        <v>1F170</v>
      </c>
      <c r="B83" s="1126">
        <f>面积及价值汇总!E87</f>
        <v>29.51</v>
      </c>
      <c r="C83" s="313">
        <f t="shared" si="6"/>
        <v>1</v>
      </c>
      <c r="D83" s="1128"/>
      <c r="E83" s="313">
        <f t="shared" si="7"/>
        <v>1</v>
      </c>
      <c r="F83" s="1128"/>
      <c r="G83" s="313">
        <f t="shared" si="8"/>
        <v>1</v>
      </c>
      <c r="H83" s="1128"/>
      <c r="I83" s="313">
        <f t="shared" si="9"/>
        <v>1</v>
      </c>
      <c r="J83" s="1128"/>
      <c r="K83" s="313">
        <f t="shared" si="10"/>
        <v>1</v>
      </c>
      <c r="L83" s="1128"/>
      <c r="M83" s="313">
        <f t="shared" si="11"/>
        <v>1</v>
      </c>
      <c r="N83" s="1128"/>
      <c r="O83" s="313">
        <f t="shared" si="12"/>
        <v>1</v>
      </c>
      <c r="P83" s="1128"/>
      <c r="Q83" s="313">
        <f t="shared" si="13"/>
        <v>1</v>
      </c>
      <c r="R83" s="1124">
        <f t="shared" ca="1" si="14"/>
        <v>3374</v>
      </c>
      <c r="S83" s="698">
        <f t="shared" ca="1" si="5"/>
        <v>10</v>
      </c>
    </row>
    <row r="84" spans="1:19">
      <c r="A84" s="1126" t="str">
        <f>面积及价值汇总!D88</f>
        <v>1F171</v>
      </c>
      <c r="B84" s="1126">
        <f>面积及价值汇总!E88</f>
        <v>29.51</v>
      </c>
      <c r="C84" s="313">
        <f t="shared" si="6"/>
        <v>1</v>
      </c>
      <c r="D84" s="1128"/>
      <c r="E84" s="313">
        <f t="shared" si="7"/>
        <v>1</v>
      </c>
      <c r="F84" s="1128"/>
      <c r="G84" s="313">
        <f t="shared" si="8"/>
        <v>1</v>
      </c>
      <c r="H84" s="1128"/>
      <c r="I84" s="313">
        <f t="shared" si="9"/>
        <v>1</v>
      </c>
      <c r="J84" s="1128"/>
      <c r="K84" s="313">
        <f t="shared" si="10"/>
        <v>1</v>
      </c>
      <c r="L84" s="1128"/>
      <c r="M84" s="313">
        <f t="shared" si="11"/>
        <v>1</v>
      </c>
      <c r="N84" s="1128"/>
      <c r="O84" s="313">
        <f t="shared" si="12"/>
        <v>1</v>
      </c>
      <c r="P84" s="1128"/>
      <c r="Q84" s="313">
        <f t="shared" si="13"/>
        <v>1</v>
      </c>
      <c r="R84" s="1124">
        <f t="shared" ca="1" si="14"/>
        <v>3374</v>
      </c>
      <c r="S84" s="698">
        <f t="shared" ca="1" si="5"/>
        <v>10</v>
      </c>
    </row>
    <row r="85" spans="1:19">
      <c r="A85" s="1126" t="str">
        <f>面积及价值汇总!D89</f>
        <v>1F172</v>
      </c>
      <c r="B85" s="1126">
        <f>面积及价值汇总!E89</f>
        <v>29.51</v>
      </c>
      <c r="C85" s="313">
        <f t="shared" si="6"/>
        <v>1</v>
      </c>
      <c r="D85" s="1128"/>
      <c r="E85" s="313">
        <f t="shared" si="7"/>
        <v>1</v>
      </c>
      <c r="F85" s="1128"/>
      <c r="G85" s="313">
        <f t="shared" si="8"/>
        <v>1</v>
      </c>
      <c r="H85" s="1128"/>
      <c r="I85" s="313">
        <f t="shared" si="9"/>
        <v>1</v>
      </c>
      <c r="J85" s="1128"/>
      <c r="K85" s="313">
        <f t="shared" si="10"/>
        <v>1</v>
      </c>
      <c r="L85" s="1128"/>
      <c r="M85" s="313">
        <f t="shared" si="11"/>
        <v>1</v>
      </c>
      <c r="N85" s="1128"/>
      <c r="O85" s="313">
        <f t="shared" si="12"/>
        <v>1</v>
      </c>
      <c r="P85" s="1128"/>
      <c r="Q85" s="313">
        <f t="shared" si="13"/>
        <v>1</v>
      </c>
      <c r="R85" s="1124">
        <f t="shared" ca="1" si="14"/>
        <v>3374</v>
      </c>
      <c r="S85" s="698">
        <f t="shared" ca="1" si="5"/>
        <v>10</v>
      </c>
    </row>
    <row r="86" spans="1:19">
      <c r="A86" s="1126" t="str">
        <f>面积及价值汇总!D90</f>
        <v>1F173</v>
      </c>
      <c r="B86" s="1126">
        <f>面积及价值汇总!E90</f>
        <v>29.51</v>
      </c>
      <c r="C86" s="313">
        <f t="shared" si="6"/>
        <v>1</v>
      </c>
      <c r="D86" s="1128"/>
      <c r="E86" s="313">
        <f t="shared" si="7"/>
        <v>1</v>
      </c>
      <c r="F86" s="1128"/>
      <c r="G86" s="313">
        <f t="shared" si="8"/>
        <v>1</v>
      </c>
      <c r="H86" s="1128"/>
      <c r="I86" s="313">
        <f t="shared" si="9"/>
        <v>1</v>
      </c>
      <c r="J86" s="1128"/>
      <c r="K86" s="313">
        <f t="shared" si="10"/>
        <v>1</v>
      </c>
      <c r="L86" s="1128"/>
      <c r="M86" s="313">
        <f t="shared" si="11"/>
        <v>1</v>
      </c>
      <c r="N86" s="1128"/>
      <c r="O86" s="313">
        <f t="shared" si="12"/>
        <v>1</v>
      </c>
      <c r="P86" s="1128"/>
      <c r="Q86" s="313">
        <f t="shared" si="13"/>
        <v>1</v>
      </c>
      <c r="R86" s="1124">
        <f t="shared" ca="1" si="14"/>
        <v>3374</v>
      </c>
      <c r="S86" s="698">
        <f t="shared" ca="1" si="5"/>
        <v>10</v>
      </c>
    </row>
    <row r="87" spans="1:19">
      <c r="A87" s="1126" t="str">
        <f>面积及价值汇总!D91</f>
        <v>1F174</v>
      </c>
      <c r="B87" s="1126">
        <f>面积及价值汇总!E91</f>
        <v>29.51</v>
      </c>
      <c r="C87" s="313">
        <f t="shared" si="6"/>
        <v>1</v>
      </c>
      <c r="D87" s="1128"/>
      <c r="E87" s="313">
        <f t="shared" si="7"/>
        <v>1</v>
      </c>
      <c r="F87" s="1128"/>
      <c r="G87" s="313">
        <f t="shared" si="8"/>
        <v>1</v>
      </c>
      <c r="H87" s="1128"/>
      <c r="I87" s="313">
        <f t="shared" si="9"/>
        <v>1</v>
      </c>
      <c r="J87" s="1128"/>
      <c r="K87" s="313">
        <f t="shared" si="10"/>
        <v>1</v>
      </c>
      <c r="L87" s="1128"/>
      <c r="M87" s="313">
        <f t="shared" si="11"/>
        <v>1</v>
      </c>
      <c r="N87" s="1128"/>
      <c r="O87" s="313">
        <f t="shared" si="12"/>
        <v>1</v>
      </c>
      <c r="P87" s="1128"/>
      <c r="Q87" s="313">
        <f t="shared" si="13"/>
        <v>1</v>
      </c>
      <c r="R87" s="1124">
        <f t="shared" ca="1" si="14"/>
        <v>3374</v>
      </c>
      <c r="S87" s="698">
        <f t="shared" ca="1" si="5"/>
        <v>10</v>
      </c>
    </row>
    <row r="88" spans="1:19">
      <c r="A88" s="1126" t="str">
        <f>面积及价值汇总!D92</f>
        <v>1F175</v>
      </c>
      <c r="B88" s="1126">
        <f>面积及价值汇总!E92</f>
        <v>29.51</v>
      </c>
      <c r="C88" s="313">
        <f t="shared" si="6"/>
        <v>1</v>
      </c>
      <c r="D88" s="1128"/>
      <c r="E88" s="313">
        <f t="shared" si="7"/>
        <v>1</v>
      </c>
      <c r="F88" s="1128"/>
      <c r="G88" s="313">
        <f t="shared" si="8"/>
        <v>1</v>
      </c>
      <c r="H88" s="1128"/>
      <c r="I88" s="313">
        <f t="shared" si="9"/>
        <v>1</v>
      </c>
      <c r="J88" s="1128"/>
      <c r="K88" s="313">
        <f t="shared" si="10"/>
        <v>1</v>
      </c>
      <c r="L88" s="1128"/>
      <c r="M88" s="313">
        <f t="shared" si="11"/>
        <v>1</v>
      </c>
      <c r="N88" s="1128"/>
      <c r="O88" s="313">
        <f t="shared" si="12"/>
        <v>1</v>
      </c>
      <c r="P88" s="1128"/>
      <c r="Q88" s="313">
        <f t="shared" si="13"/>
        <v>1</v>
      </c>
      <c r="R88" s="1124">
        <f t="shared" ca="1" si="14"/>
        <v>3374</v>
      </c>
      <c r="S88" s="698">
        <f t="shared" ref="S88:S151" ca="1" si="15">ROUND(R88*B88/10000,0)</f>
        <v>10</v>
      </c>
    </row>
    <row r="89" spans="1:19">
      <c r="A89" s="1126" t="str">
        <f>面积及价值汇总!D93</f>
        <v>1F176</v>
      </c>
      <c r="B89" s="1126">
        <f>面积及价值汇总!E93</f>
        <v>29.51</v>
      </c>
      <c r="C89" s="313">
        <f t="shared" si="6"/>
        <v>1</v>
      </c>
      <c r="D89" s="1128"/>
      <c r="E89" s="313">
        <f t="shared" si="7"/>
        <v>1</v>
      </c>
      <c r="F89" s="1128"/>
      <c r="G89" s="313">
        <f t="shared" si="8"/>
        <v>1</v>
      </c>
      <c r="H89" s="1128"/>
      <c r="I89" s="313">
        <f t="shared" si="9"/>
        <v>1</v>
      </c>
      <c r="J89" s="1128"/>
      <c r="K89" s="313">
        <f t="shared" si="10"/>
        <v>1</v>
      </c>
      <c r="L89" s="1128"/>
      <c r="M89" s="313">
        <f t="shared" si="11"/>
        <v>1</v>
      </c>
      <c r="N89" s="1128"/>
      <c r="O89" s="313">
        <f t="shared" si="12"/>
        <v>1</v>
      </c>
      <c r="P89" s="1128"/>
      <c r="Q89" s="313">
        <f t="shared" si="13"/>
        <v>1</v>
      </c>
      <c r="R89" s="1124">
        <f t="shared" ca="1" si="14"/>
        <v>3374</v>
      </c>
      <c r="S89" s="698">
        <f t="shared" ca="1" si="15"/>
        <v>10</v>
      </c>
    </row>
    <row r="90" spans="1:19">
      <c r="A90" s="1126" t="str">
        <f>面积及价值汇总!D94</f>
        <v>1F177</v>
      </c>
      <c r="B90" s="1126">
        <f>面积及价值汇总!E94</f>
        <v>29.51</v>
      </c>
      <c r="C90" s="313">
        <f t="shared" ref="C90:C153" si="16">IF(B90="",1,(LOOKUP(B90,$3:$3,$4:$4)-LOOKUP($B$24,$3:$3,$4:$4)+100)/100)</f>
        <v>1</v>
      </c>
      <c r="D90" s="1128"/>
      <c r="E90" s="313">
        <f t="shared" ref="E90:E153" si="17">(SUMIF($5:$5,D90,$6:$6)-SUMIF($5:$5,$D$24,$6:$6)+100)/100</f>
        <v>1</v>
      </c>
      <c r="F90" s="1128"/>
      <c r="G90" s="313">
        <f t="shared" ref="G90:G153" si="18">(SUMIF($7:$7,F90,$8:$8)-SUMIF($7:$7,$F$24,$8:$8)+100)/100</f>
        <v>1</v>
      </c>
      <c r="H90" s="1128"/>
      <c r="I90" s="313">
        <f t="shared" ref="I90:I153" si="19">(SUMIF($9:$9,H90,$10:$10)-SUMIF($9:$9,$H$24,$10:$10)+100)/100</f>
        <v>1</v>
      </c>
      <c r="J90" s="1128"/>
      <c r="K90" s="313">
        <f t="shared" ref="K90:K153" si="20">(SUMIF($11:$11,J90,$12:$12)-SUMIF($11:$11,$J$24,$12:$12)+100)/100</f>
        <v>1</v>
      </c>
      <c r="L90" s="1128"/>
      <c r="M90" s="313">
        <f t="shared" ref="M90:M153" si="21">(SUMIF($13:$13,L90,$14:$14)-SUMIF($13:$13,$L$24,$14:$14)+100)/100</f>
        <v>1</v>
      </c>
      <c r="N90" s="1128"/>
      <c r="O90" s="313">
        <f t="shared" ref="O90:O153" si="22">(SUMIF($15:$15,N90,$16:$16)-SUMIF($15:$15,$N$24,$16:$16)+100)/100</f>
        <v>1</v>
      </c>
      <c r="P90" s="1128"/>
      <c r="Q90" s="313">
        <f t="shared" ref="Q90:Q153" si="23">(SUMIF($17:$17,P90,$18:$18)-SUMIF($17:$17,$P$24,$18:$18)+100)/100</f>
        <v>1</v>
      </c>
      <c r="R90" s="1124">
        <f t="shared" ref="R90:R153" ca="1" si="24">IF(B90="",0,ROUND($R$24*C90*E90*G90*I90*K90*M90*O90*Q90,0))</f>
        <v>3374</v>
      </c>
      <c r="S90" s="698">
        <f t="shared" ca="1" si="15"/>
        <v>10</v>
      </c>
    </row>
    <row r="91" spans="1:19">
      <c r="A91" s="1126" t="str">
        <f>面积及价值汇总!D95</f>
        <v>1F180</v>
      </c>
      <c r="B91" s="1126">
        <f>面积及价值汇总!E95</f>
        <v>29.51</v>
      </c>
      <c r="C91" s="313">
        <f t="shared" si="16"/>
        <v>1</v>
      </c>
      <c r="D91" s="1128"/>
      <c r="E91" s="313">
        <f t="shared" si="17"/>
        <v>1</v>
      </c>
      <c r="F91" s="1128"/>
      <c r="G91" s="313">
        <f t="shared" si="18"/>
        <v>1</v>
      </c>
      <c r="H91" s="1128"/>
      <c r="I91" s="313">
        <f t="shared" si="19"/>
        <v>1</v>
      </c>
      <c r="J91" s="1128"/>
      <c r="K91" s="313">
        <f t="shared" si="20"/>
        <v>1</v>
      </c>
      <c r="L91" s="1128"/>
      <c r="M91" s="313">
        <f t="shared" si="21"/>
        <v>1</v>
      </c>
      <c r="N91" s="1128"/>
      <c r="O91" s="313">
        <f t="shared" si="22"/>
        <v>1</v>
      </c>
      <c r="P91" s="1128"/>
      <c r="Q91" s="313">
        <f t="shared" si="23"/>
        <v>1</v>
      </c>
      <c r="R91" s="1124">
        <f t="shared" ca="1" si="24"/>
        <v>3374</v>
      </c>
      <c r="S91" s="698">
        <f t="shared" ca="1" si="15"/>
        <v>10</v>
      </c>
    </row>
    <row r="92" spans="1:19">
      <c r="A92" s="1126" t="str">
        <f>面积及价值汇总!D96</f>
        <v>1F181</v>
      </c>
      <c r="B92" s="1126">
        <f>面积及价值汇总!E96</f>
        <v>29.51</v>
      </c>
      <c r="C92" s="313">
        <f t="shared" si="16"/>
        <v>1</v>
      </c>
      <c r="D92" s="1128"/>
      <c r="E92" s="313">
        <f t="shared" si="17"/>
        <v>1</v>
      </c>
      <c r="F92" s="1128"/>
      <c r="G92" s="313">
        <f t="shared" si="18"/>
        <v>1</v>
      </c>
      <c r="H92" s="1128"/>
      <c r="I92" s="313">
        <f t="shared" si="19"/>
        <v>1</v>
      </c>
      <c r="J92" s="1128"/>
      <c r="K92" s="313">
        <f t="shared" si="20"/>
        <v>1</v>
      </c>
      <c r="L92" s="1128"/>
      <c r="M92" s="313">
        <f t="shared" si="21"/>
        <v>1</v>
      </c>
      <c r="N92" s="1128"/>
      <c r="O92" s="313">
        <f t="shared" si="22"/>
        <v>1</v>
      </c>
      <c r="P92" s="1128"/>
      <c r="Q92" s="313">
        <f t="shared" si="23"/>
        <v>1</v>
      </c>
      <c r="R92" s="1124">
        <f t="shared" ca="1" si="24"/>
        <v>3374</v>
      </c>
      <c r="S92" s="698">
        <f t="shared" ca="1" si="15"/>
        <v>10</v>
      </c>
    </row>
    <row r="93" spans="1:19">
      <c r="A93" s="1126" t="str">
        <f>面积及价值汇总!D97</f>
        <v>1F182</v>
      </c>
      <c r="B93" s="1126">
        <f>面积及价值汇总!E97</f>
        <v>29.51</v>
      </c>
      <c r="C93" s="313">
        <f t="shared" si="16"/>
        <v>1</v>
      </c>
      <c r="D93" s="1128"/>
      <c r="E93" s="313">
        <f t="shared" si="17"/>
        <v>1</v>
      </c>
      <c r="F93" s="1128"/>
      <c r="G93" s="313">
        <f t="shared" si="18"/>
        <v>1</v>
      </c>
      <c r="H93" s="1128"/>
      <c r="I93" s="313">
        <f t="shared" si="19"/>
        <v>1</v>
      </c>
      <c r="J93" s="1128"/>
      <c r="K93" s="313">
        <f t="shared" si="20"/>
        <v>1</v>
      </c>
      <c r="L93" s="1128"/>
      <c r="M93" s="313">
        <f t="shared" si="21"/>
        <v>1</v>
      </c>
      <c r="N93" s="1128"/>
      <c r="O93" s="313">
        <f t="shared" si="22"/>
        <v>1</v>
      </c>
      <c r="P93" s="1128"/>
      <c r="Q93" s="313">
        <f t="shared" si="23"/>
        <v>1</v>
      </c>
      <c r="R93" s="1124">
        <f t="shared" ca="1" si="24"/>
        <v>3374</v>
      </c>
      <c r="S93" s="698">
        <f t="shared" ca="1" si="15"/>
        <v>10</v>
      </c>
    </row>
    <row r="94" spans="1:19">
      <c r="A94" s="1126" t="str">
        <f>面积及价值汇总!D98</f>
        <v>1F183</v>
      </c>
      <c r="B94" s="1126">
        <f>面积及价值汇总!E98</f>
        <v>29.51</v>
      </c>
      <c r="C94" s="313">
        <f t="shared" si="16"/>
        <v>1</v>
      </c>
      <c r="D94" s="1128"/>
      <c r="E94" s="313">
        <f t="shared" si="17"/>
        <v>1</v>
      </c>
      <c r="F94" s="1128"/>
      <c r="G94" s="313">
        <f t="shared" si="18"/>
        <v>1</v>
      </c>
      <c r="H94" s="1128"/>
      <c r="I94" s="313">
        <f t="shared" si="19"/>
        <v>1</v>
      </c>
      <c r="J94" s="1128"/>
      <c r="K94" s="313">
        <f t="shared" si="20"/>
        <v>1</v>
      </c>
      <c r="L94" s="1128"/>
      <c r="M94" s="313">
        <f t="shared" si="21"/>
        <v>1</v>
      </c>
      <c r="N94" s="1128"/>
      <c r="O94" s="313">
        <f t="shared" si="22"/>
        <v>1</v>
      </c>
      <c r="P94" s="1128"/>
      <c r="Q94" s="313">
        <f t="shared" si="23"/>
        <v>1</v>
      </c>
      <c r="R94" s="1124">
        <f t="shared" ca="1" si="24"/>
        <v>3374</v>
      </c>
      <c r="S94" s="698">
        <f t="shared" ca="1" si="15"/>
        <v>10</v>
      </c>
    </row>
    <row r="95" spans="1:19">
      <c r="A95" s="1126" t="str">
        <f>面积及价值汇总!D99</f>
        <v>1F184</v>
      </c>
      <c r="B95" s="1126">
        <f>面积及价值汇总!E99</f>
        <v>29.51</v>
      </c>
      <c r="C95" s="313">
        <f t="shared" si="16"/>
        <v>1</v>
      </c>
      <c r="D95" s="1128"/>
      <c r="E95" s="313">
        <f t="shared" si="17"/>
        <v>1</v>
      </c>
      <c r="F95" s="1128"/>
      <c r="G95" s="313">
        <f t="shared" si="18"/>
        <v>1</v>
      </c>
      <c r="H95" s="1128"/>
      <c r="I95" s="313">
        <f t="shared" si="19"/>
        <v>1</v>
      </c>
      <c r="J95" s="1128"/>
      <c r="K95" s="313">
        <f t="shared" si="20"/>
        <v>1</v>
      </c>
      <c r="L95" s="1128"/>
      <c r="M95" s="313">
        <f t="shared" si="21"/>
        <v>1</v>
      </c>
      <c r="N95" s="1128"/>
      <c r="O95" s="313">
        <f t="shared" si="22"/>
        <v>1</v>
      </c>
      <c r="P95" s="1128"/>
      <c r="Q95" s="313">
        <f t="shared" si="23"/>
        <v>1</v>
      </c>
      <c r="R95" s="1124">
        <f t="shared" ca="1" si="24"/>
        <v>3374</v>
      </c>
      <c r="S95" s="698">
        <f t="shared" ca="1" si="15"/>
        <v>10</v>
      </c>
    </row>
    <row r="96" spans="1:19">
      <c r="A96" s="1126" t="str">
        <f>面积及价值汇总!D100</f>
        <v>1F185</v>
      </c>
      <c r="B96" s="1126">
        <f>面积及价值汇总!E100</f>
        <v>29.51</v>
      </c>
      <c r="C96" s="313">
        <f t="shared" si="16"/>
        <v>1</v>
      </c>
      <c r="D96" s="1128"/>
      <c r="E96" s="313">
        <f t="shared" si="17"/>
        <v>1</v>
      </c>
      <c r="F96" s="1128"/>
      <c r="G96" s="313">
        <f t="shared" si="18"/>
        <v>1</v>
      </c>
      <c r="H96" s="1128"/>
      <c r="I96" s="313">
        <f t="shared" si="19"/>
        <v>1</v>
      </c>
      <c r="J96" s="1128"/>
      <c r="K96" s="313">
        <f t="shared" si="20"/>
        <v>1</v>
      </c>
      <c r="L96" s="1128"/>
      <c r="M96" s="313">
        <f t="shared" si="21"/>
        <v>1</v>
      </c>
      <c r="N96" s="1128"/>
      <c r="O96" s="313">
        <f t="shared" si="22"/>
        <v>1</v>
      </c>
      <c r="P96" s="1128"/>
      <c r="Q96" s="313">
        <f t="shared" si="23"/>
        <v>1</v>
      </c>
      <c r="R96" s="1124">
        <f t="shared" ca="1" si="24"/>
        <v>3374</v>
      </c>
      <c r="S96" s="698">
        <f t="shared" ca="1" si="15"/>
        <v>10</v>
      </c>
    </row>
    <row r="97" spans="1:19">
      <c r="A97" s="1126" t="str">
        <f>面积及价值汇总!D101</f>
        <v>1F186</v>
      </c>
      <c r="B97" s="1126">
        <f>面积及价值汇总!E101</f>
        <v>29.51</v>
      </c>
      <c r="C97" s="313">
        <f t="shared" si="16"/>
        <v>1</v>
      </c>
      <c r="D97" s="1128"/>
      <c r="E97" s="313">
        <f t="shared" si="17"/>
        <v>1</v>
      </c>
      <c r="F97" s="1128"/>
      <c r="G97" s="313">
        <f t="shared" si="18"/>
        <v>1</v>
      </c>
      <c r="H97" s="1128"/>
      <c r="I97" s="313">
        <f t="shared" si="19"/>
        <v>1</v>
      </c>
      <c r="J97" s="1128"/>
      <c r="K97" s="313">
        <f t="shared" si="20"/>
        <v>1</v>
      </c>
      <c r="L97" s="1128"/>
      <c r="M97" s="313">
        <f t="shared" si="21"/>
        <v>1</v>
      </c>
      <c r="N97" s="1128"/>
      <c r="O97" s="313">
        <f t="shared" si="22"/>
        <v>1</v>
      </c>
      <c r="P97" s="1128"/>
      <c r="Q97" s="313">
        <f t="shared" si="23"/>
        <v>1</v>
      </c>
      <c r="R97" s="1124">
        <f t="shared" ca="1" si="24"/>
        <v>3374</v>
      </c>
      <c r="S97" s="698">
        <f t="shared" ca="1" si="15"/>
        <v>10</v>
      </c>
    </row>
    <row r="98" spans="1:19">
      <c r="A98" s="1126" t="str">
        <f>面积及价值汇总!D102</f>
        <v>1F187</v>
      </c>
      <c r="B98" s="1126">
        <f>面积及价值汇总!E102</f>
        <v>29.51</v>
      </c>
      <c r="C98" s="313">
        <f t="shared" si="16"/>
        <v>1</v>
      </c>
      <c r="D98" s="1128"/>
      <c r="E98" s="313">
        <f t="shared" si="17"/>
        <v>1</v>
      </c>
      <c r="F98" s="1128"/>
      <c r="G98" s="313">
        <f t="shared" si="18"/>
        <v>1</v>
      </c>
      <c r="H98" s="1128"/>
      <c r="I98" s="313">
        <f t="shared" si="19"/>
        <v>1</v>
      </c>
      <c r="J98" s="1128"/>
      <c r="K98" s="313">
        <f t="shared" si="20"/>
        <v>1</v>
      </c>
      <c r="L98" s="1128"/>
      <c r="M98" s="313">
        <f t="shared" si="21"/>
        <v>1</v>
      </c>
      <c r="N98" s="1128"/>
      <c r="O98" s="313">
        <f t="shared" si="22"/>
        <v>1</v>
      </c>
      <c r="P98" s="1128"/>
      <c r="Q98" s="313">
        <f t="shared" si="23"/>
        <v>1</v>
      </c>
      <c r="R98" s="1124">
        <f t="shared" ca="1" si="24"/>
        <v>3374</v>
      </c>
      <c r="S98" s="698">
        <f t="shared" ca="1" si="15"/>
        <v>10</v>
      </c>
    </row>
    <row r="99" spans="1:19">
      <c r="A99" s="1126" t="str">
        <f>面积及价值汇总!D103</f>
        <v>1F188</v>
      </c>
      <c r="B99" s="1126">
        <f>面积及价值汇总!E103</f>
        <v>29.51</v>
      </c>
      <c r="C99" s="313">
        <f t="shared" si="16"/>
        <v>1</v>
      </c>
      <c r="D99" s="1128"/>
      <c r="E99" s="313">
        <f t="shared" si="17"/>
        <v>1</v>
      </c>
      <c r="F99" s="1128"/>
      <c r="G99" s="313">
        <f t="shared" si="18"/>
        <v>1</v>
      </c>
      <c r="H99" s="1128"/>
      <c r="I99" s="313">
        <f t="shared" si="19"/>
        <v>1</v>
      </c>
      <c r="J99" s="1128"/>
      <c r="K99" s="313">
        <f t="shared" si="20"/>
        <v>1</v>
      </c>
      <c r="L99" s="1128"/>
      <c r="M99" s="313">
        <f t="shared" si="21"/>
        <v>1</v>
      </c>
      <c r="N99" s="1128"/>
      <c r="O99" s="313">
        <f t="shared" si="22"/>
        <v>1</v>
      </c>
      <c r="P99" s="1128"/>
      <c r="Q99" s="313">
        <f t="shared" si="23"/>
        <v>1</v>
      </c>
      <c r="R99" s="1124">
        <f t="shared" ca="1" si="24"/>
        <v>3374</v>
      </c>
      <c r="S99" s="698">
        <f t="shared" ca="1" si="15"/>
        <v>10</v>
      </c>
    </row>
    <row r="100" spans="1:19">
      <c r="A100" s="1126" t="str">
        <f>面积及价值汇总!D104</f>
        <v>1F189</v>
      </c>
      <c r="B100" s="1126">
        <f>面积及价值汇总!E104</f>
        <v>29.51</v>
      </c>
      <c r="C100" s="313">
        <f t="shared" si="16"/>
        <v>1</v>
      </c>
      <c r="D100" s="1128"/>
      <c r="E100" s="313">
        <f t="shared" si="17"/>
        <v>1</v>
      </c>
      <c r="F100" s="1128"/>
      <c r="G100" s="313">
        <f t="shared" si="18"/>
        <v>1</v>
      </c>
      <c r="H100" s="1128"/>
      <c r="I100" s="313">
        <f t="shared" si="19"/>
        <v>1</v>
      </c>
      <c r="J100" s="1128"/>
      <c r="K100" s="313">
        <f t="shared" si="20"/>
        <v>1</v>
      </c>
      <c r="L100" s="1128"/>
      <c r="M100" s="313">
        <f t="shared" si="21"/>
        <v>1</v>
      </c>
      <c r="N100" s="1128"/>
      <c r="O100" s="313">
        <f t="shared" si="22"/>
        <v>1</v>
      </c>
      <c r="P100" s="1128"/>
      <c r="Q100" s="313">
        <f t="shared" si="23"/>
        <v>1</v>
      </c>
      <c r="R100" s="1124">
        <f t="shared" ca="1" si="24"/>
        <v>3374</v>
      </c>
      <c r="S100" s="698">
        <f t="shared" ca="1" si="15"/>
        <v>10</v>
      </c>
    </row>
    <row r="101" spans="1:19">
      <c r="A101" s="1126" t="str">
        <f>面积及价值汇总!D105</f>
        <v>1F190</v>
      </c>
      <c r="B101" s="1126">
        <f>面积及价值汇总!E105</f>
        <v>29.51</v>
      </c>
      <c r="C101" s="313">
        <f t="shared" si="16"/>
        <v>1</v>
      </c>
      <c r="D101" s="1128"/>
      <c r="E101" s="313">
        <f t="shared" si="17"/>
        <v>1</v>
      </c>
      <c r="F101" s="1128"/>
      <c r="G101" s="313">
        <f t="shared" si="18"/>
        <v>1</v>
      </c>
      <c r="H101" s="1128"/>
      <c r="I101" s="313">
        <f t="shared" si="19"/>
        <v>1</v>
      </c>
      <c r="J101" s="1128"/>
      <c r="K101" s="313">
        <f t="shared" si="20"/>
        <v>1</v>
      </c>
      <c r="L101" s="1128"/>
      <c r="M101" s="313">
        <f t="shared" si="21"/>
        <v>1</v>
      </c>
      <c r="N101" s="1128"/>
      <c r="O101" s="313">
        <f t="shared" si="22"/>
        <v>1</v>
      </c>
      <c r="P101" s="1128"/>
      <c r="Q101" s="313">
        <f t="shared" si="23"/>
        <v>1</v>
      </c>
      <c r="R101" s="1124">
        <f t="shared" ca="1" si="24"/>
        <v>3374</v>
      </c>
      <c r="S101" s="698">
        <f t="shared" ca="1" si="15"/>
        <v>10</v>
      </c>
    </row>
    <row r="102" spans="1:19">
      <c r="A102" s="1126" t="str">
        <f>面积及价值汇总!D106</f>
        <v>1F191</v>
      </c>
      <c r="B102" s="1126">
        <f>面积及价值汇总!E106</f>
        <v>29.51</v>
      </c>
      <c r="C102" s="313">
        <f t="shared" si="16"/>
        <v>1</v>
      </c>
      <c r="D102" s="1128"/>
      <c r="E102" s="313">
        <f t="shared" si="17"/>
        <v>1</v>
      </c>
      <c r="F102" s="1128"/>
      <c r="G102" s="313">
        <f t="shared" si="18"/>
        <v>1</v>
      </c>
      <c r="H102" s="1128"/>
      <c r="I102" s="313">
        <f t="shared" si="19"/>
        <v>1</v>
      </c>
      <c r="J102" s="1128"/>
      <c r="K102" s="313">
        <f t="shared" si="20"/>
        <v>1</v>
      </c>
      <c r="L102" s="1128"/>
      <c r="M102" s="313">
        <f t="shared" si="21"/>
        <v>1</v>
      </c>
      <c r="N102" s="1128"/>
      <c r="O102" s="313">
        <f t="shared" si="22"/>
        <v>1</v>
      </c>
      <c r="P102" s="1128"/>
      <c r="Q102" s="313">
        <f t="shared" si="23"/>
        <v>1</v>
      </c>
      <c r="R102" s="1124">
        <f t="shared" ca="1" si="24"/>
        <v>3374</v>
      </c>
      <c r="S102" s="698">
        <f t="shared" ca="1" si="15"/>
        <v>10</v>
      </c>
    </row>
    <row r="103" spans="1:19">
      <c r="A103" s="1126"/>
      <c r="B103" s="1126"/>
      <c r="C103" s="313">
        <f t="shared" si="16"/>
        <v>1</v>
      </c>
      <c r="D103" s="1128"/>
      <c r="E103" s="313">
        <f t="shared" si="17"/>
        <v>1</v>
      </c>
      <c r="F103" s="1128"/>
      <c r="G103" s="313">
        <f t="shared" si="18"/>
        <v>1</v>
      </c>
      <c r="H103" s="1128"/>
      <c r="I103" s="313">
        <f t="shared" si="19"/>
        <v>1</v>
      </c>
      <c r="J103" s="1128"/>
      <c r="K103" s="313">
        <f t="shared" si="20"/>
        <v>1</v>
      </c>
      <c r="L103" s="1128"/>
      <c r="M103" s="313">
        <f t="shared" si="21"/>
        <v>1</v>
      </c>
      <c r="N103" s="1128"/>
      <c r="O103" s="313">
        <f t="shared" si="22"/>
        <v>1</v>
      </c>
      <c r="P103" s="1128"/>
      <c r="Q103" s="313">
        <f t="shared" si="23"/>
        <v>1</v>
      </c>
      <c r="R103" s="1124">
        <f t="shared" si="24"/>
        <v>0</v>
      </c>
      <c r="S103" s="698">
        <f t="shared" si="15"/>
        <v>0</v>
      </c>
    </row>
    <row r="104" spans="1:19">
      <c r="A104" s="1126"/>
      <c r="B104" s="1126"/>
      <c r="C104" s="313">
        <f t="shared" si="16"/>
        <v>1</v>
      </c>
      <c r="D104" s="1128"/>
      <c r="E104" s="313">
        <f t="shared" si="17"/>
        <v>1</v>
      </c>
      <c r="F104" s="1128"/>
      <c r="G104" s="313">
        <f t="shared" si="18"/>
        <v>1</v>
      </c>
      <c r="H104" s="1128"/>
      <c r="I104" s="313">
        <f t="shared" si="19"/>
        <v>1</v>
      </c>
      <c r="J104" s="1128"/>
      <c r="K104" s="313">
        <f t="shared" si="20"/>
        <v>1</v>
      </c>
      <c r="L104" s="1128"/>
      <c r="M104" s="313">
        <f t="shared" si="21"/>
        <v>1</v>
      </c>
      <c r="N104" s="1128"/>
      <c r="O104" s="313">
        <f t="shared" si="22"/>
        <v>1</v>
      </c>
      <c r="P104" s="1128"/>
      <c r="Q104" s="313">
        <f t="shared" si="23"/>
        <v>1</v>
      </c>
      <c r="R104" s="1124">
        <f t="shared" si="24"/>
        <v>0</v>
      </c>
      <c r="S104" s="698">
        <f t="shared" si="15"/>
        <v>0</v>
      </c>
    </row>
    <row r="105" spans="1:19">
      <c r="A105" s="1126"/>
      <c r="B105" s="1126"/>
      <c r="C105" s="313">
        <f t="shared" si="16"/>
        <v>1</v>
      </c>
      <c r="D105" s="1128"/>
      <c r="E105" s="313">
        <f t="shared" si="17"/>
        <v>1</v>
      </c>
      <c r="F105" s="1128"/>
      <c r="G105" s="313">
        <f t="shared" si="18"/>
        <v>1</v>
      </c>
      <c r="H105" s="1128"/>
      <c r="I105" s="313">
        <f t="shared" si="19"/>
        <v>1</v>
      </c>
      <c r="J105" s="1128"/>
      <c r="K105" s="313">
        <f t="shared" si="20"/>
        <v>1</v>
      </c>
      <c r="L105" s="1128"/>
      <c r="M105" s="313">
        <f t="shared" si="21"/>
        <v>1</v>
      </c>
      <c r="N105" s="1128"/>
      <c r="O105" s="313">
        <f t="shared" si="22"/>
        <v>1</v>
      </c>
      <c r="P105" s="1128"/>
      <c r="Q105" s="313">
        <f t="shared" si="23"/>
        <v>1</v>
      </c>
      <c r="R105" s="1124">
        <f t="shared" si="24"/>
        <v>0</v>
      </c>
      <c r="S105" s="698">
        <f t="shared" si="15"/>
        <v>0</v>
      </c>
    </row>
    <row r="106" spans="1:19">
      <c r="A106" s="1126"/>
      <c r="B106" s="1126"/>
      <c r="C106" s="313">
        <f t="shared" si="16"/>
        <v>1</v>
      </c>
      <c r="D106" s="1128"/>
      <c r="E106" s="313">
        <f t="shared" si="17"/>
        <v>1</v>
      </c>
      <c r="F106" s="1128"/>
      <c r="G106" s="313">
        <f t="shared" si="18"/>
        <v>1</v>
      </c>
      <c r="H106" s="1128"/>
      <c r="I106" s="313">
        <f t="shared" si="19"/>
        <v>1</v>
      </c>
      <c r="J106" s="1128"/>
      <c r="K106" s="313">
        <f t="shared" si="20"/>
        <v>1</v>
      </c>
      <c r="L106" s="1128"/>
      <c r="M106" s="313">
        <f t="shared" si="21"/>
        <v>1</v>
      </c>
      <c r="N106" s="1128"/>
      <c r="O106" s="313">
        <f t="shared" si="22"/>
        <v>1</v>
      </c>
      <c r="P106" s="1128"/>
      <c r="Q106" s="313">
        <f t="shared" si="23"/>
        <v>1</v>
      </c>
      <c r="R106" s="1124">
        <f t="shared" si="24"/>
        <v>0</v>
      </c>
      <c r="S106" s="698">
        <f t="shared" si="15"/>
        <v>0</v>
      </c>
    </row>
    <row r="107" spans="1:19">
      <c r="A107" s="1126"/>
      <c r="B107" s="1126"/>
      <c r="C107" s="313">
        <f t="shared" si="16"/>
        <v>1</v>
      </c>
      <c r="D107" s="1128"/>
      <c r="E107" s="313">
        <f t="shared" si="17"/>
        <v>1</v>
      </c>
      <c r="F107" s="1128"/>
      <c r="G107" s="313">
        <f t="shared" si="18"/>
        <v>1</v>
      </c>
      <c r="H107" s="1128"/>
      <c r="I107" s="313">
        <f t="shared" si="19"/>
        <v>1</v>
      </c>
      <c r="J107" s="1128"/>
      <c r="K107" s="313">
        <f t="shared" si="20"/>
        <v>1</v>
      </c>
      <c r="L107" s="1128"/>
      <c r="M107" s="313">
        <f t="shared" si="21"/>
        <v>1</v>
      </c>
      <c r="N107" s="1128"/>
      <c r="O107" s="313">
        <f t="shared" si="22"/>
        <v>1</v>
      </c>
      <c r="P107" s="1128"/>
      <c r="Q107" s="313">
        <f t="shared" si="23"/>
        <v>1</v>
      </c>
      <c r="R107" s="1124">
        <f t="shared" si="24"/>
        <v>0</v>
      </c>
      <c r="S107" s="698">
        <f t="shared" si="15"/>
        <v>0</v>
      </c>
    </row>
    <row r="108" spans="1:19">
      <c r="A108" s="1126"/>
      <c r="B108" s="1126"/>
      <c r="C108" s="313">
        <f t="shared" si="16"/>
        <v>1</v>
      </c>
      <c r="D108" s="1128"/>
      <c r="E108" s="313">
        <f t="shared" si="17"/>
        <v>1</v>
      </c>
      <c r="F108" s="1128"/>
      <c r="G108" s="313">
        <f t="shared" si="18"/>
        <v>1</v>
      </c>
      <c r="H108" s="1128"/>
      <c r="I108" s="313">
        <f t="shared" si="19"/>
        <v>1</v>
      </c>
      <c r="J108" s="1128"/>
      <c r="K108" s="313">
        <f t="shared" si="20"/>
        <v>1</v>
      </c>
      <c r="L108" s="1128"/>
      <c r="M108" s="313">
        <f t="shared" si="21"/>
        <v>1</v>
      </c>
      <c r="N108" s="1128"/>
      <c r="O108" s="313">
        <f t="shared" si="22"/>
        <v>1</v>
      </c>
      <c r="P108" s="1128"/>
      <c r="Q108" s="313">
        <f t="shared" si="23"/>
        <v>1</v>
      </c>
      <c r="R108" s="1124">
        <f t="shared" si="24"/>
        <v>0</v>
      </c>
      <c r="S108" s="698">
        <f t="shared" si="15"/>
        <v>0</v>
      </c>
    </row>
    <row r="109" spans="1:19">
      <c r="A109" s="1126"/>
      <c r="B109" s="1126"/>
      <c r="C109" s="313">
        <f t="shared" si="16"/>
        <v>1</v>
      </c>
      <c r="D109" s="1128"/>
      <c r="E109" s="313">
        <f t="shared" si="17"/>
        <v>1</v>
      </c>
      <c r="F109" s="1128"/>
      <c r="G109" s="313">
        <f t="shared" si="18"/>
        <v>1</v>
      </c>
      <c r="H109" s="1128"/>
      <c r="I109" s="313">
        <f t="shared" si="19"/>
        <v>1</v>
      </c>
      <c r="J109" s="1128"/>
      <c r="K109" s="313">
        <f t="shared" si="20"/>
        <v>1</v>
      </c>
      <c r="L109" s="1128"/>
      <c r="M109" s="313">
        <f t="shared" si="21"/>
        <v>1</v>
      </c>
      <c r="N109" s="1128"/>
      <c r="O109" s="313">
        <f t="shared" si="22"/>
        <v>1</v>
      </c>
      <c r="P109" s="1128"/>
      <c r="Q109" s="313">
        <f t="shared" si="23"/>
        <v>1</v>
      </c>
      <c r="R109" s="1124">
        <f t="shared" si="24"/>
        <v>0</v>
      </c>
      <c r="S109" s="698">
        <f t="shared" si="15"/>
        <v>0</v>
      </c>
    </row>
    <row r="110" spans="1:19">
      <c r="A110" s="1126"/>
      <c r="B110" s="1126"/>
      <c r="C110" s="313">
        <f t="shared" si="16"/>
        <v>1</v>
      </c>
      <c r="D110" s="1128"/>
      <c r="E110" s="313">
        <f t="shared" si="17"/>
        <v>1</v>
      </c>
      <c r="F110" s="1128"/>
      <c r="G110" s="313">
        <f t="shared" si="18"/>
        <v>1</v>
      </c>
      <c r="H110" s="1128"/>
      <c r="I110" s="313">
        <f t="shared" si="19"/>
        <v>1</v>
      </c>
      <c r="J110" s="1128"/>
      <c r="K110" s="313">
        <f t="shared" si="20"/>
        <v>1</v>
      </c>
      <c r="L110" s="1128"/>
      <c r="M110" s="313">
        <f t="shared" si="21"/>
        <v>1</v>
      </c>
      <c r="N110" s="1128"/>
      <c r="O110" s="313">
        <f t="shared" si="22"/>
        <v>1</v>
      </c>
      <c r="P110" s="1128"/>
      <c r="Q110" s="313">
        <f t="shared" si="23"/>
        <v>1</v>
      </c>
      <c r="R110" s="1124">
        <f t="shared" si="24"/>
        <v>0</v>
      </c>
      <c r="S110" s="698">
        <f t="shared" si="15"/>
        <v>0</v>
      </c>
    </row>
    <row r="111" spans="1:19">
      <c r="A111" s="1126"/>
      <c r="B111" s="1126"/>
      <c r="C111" s="313">
        <f t="shared" si="16"/>
        <v>1</v>
      </c>
      <c r="D111" s="1128"/>
      <c r="E111" s="313">
        <f t="shared" si="17"/>
        <v>1</v>
      </c>
      <c r="F111" s="1128"/>
      <c r="G111" s="313">
        <f t="shared" si="18"/>
        <v>1</v>
      </c>
      <c r="H111" s="1128"/>
      <c r="I111" s="313">
        <f t="shared" si="19"/>
        <v>1</v>
      </c>
      <c r="J111" s="1128"/>
      <c r="K111" s="313">
        <f t="shared" si="20"/>
        <v>1</v>
      </c>
      <c r="L111" s="1128"/>
      <c r="M111" s="313">
        <f t="shared" si="21"/>
        <v>1</v>
      </c>
      <c r="N111" s="1128"/>
      <c r="O111" s="313">
        <f t="shared" si="22"/>
        <v>1</v>
      </c>
      <c r="P111" s="1128"/>
      <c r="Q111" s="313">
        <f t="shared" si="23"/>
        <v>1</v>
      </c>
      <c r="R111" s="1124">
        <f t="shared" si="24"/>
        <v>0</v>
      </c>
      <c r="S111" s="698">
        <f t="shared" si="15"/>
        <v>0</v>
      </c>
    </row>
    <row r="112" spans="1:19">
      <c r="A112" s="1126"/>
      <c r="B112" s="1126"/>
      <c r="C112" s="313">
        <f t="shared" si="16"/>
        <v>1</v>
      </c>
      <c r="D112" s="1128"/>
      <c r="E112" s="313">
        <f t="shared" si="17"/>
        <v>1</v>
      </c>
      <c r="F112" s="1128"/>
      <c r="G112" s="313">
        <f t="shared" si="18"/>
        <v>1</v>
      </c>
      <c r="H112" s="1128"/>
      <c r="I112" s="313">
        <f t="shared" si="19"/>
        <v>1</v>
      </c>
      <c r="J112" s="1128"/>
      <c r="K112" s="313">
        <f t="shared" si="20"/>
        <v>1</v>
      </c>
      <c r="L112" s="1128"/>
      <c r="M112" s="313">
        <f t="shared" si="21"/>
        <v>1</v>
      </c>
      <c r="N112" s="1128"/>
      <c r="O112" s="313">
        <f t="shared" si="22"/>
        <v>1</v>
      </c>
      <c r="P112" s="1128"/>
      <c r="Q112" s="313">
        <f t="shared" si="23"/>
        <v>1</v>
      </c>
      <c r="R112" s="1124">
        <f t="shared" si="24"/>
        <v>0</v>
      </c>
      <c r="S112" s="698">
        <f t="shared" si="15"/>
        <v>0</v>
      </c>
    </row>
    <row r="113" spans="1:19">
      <c r="A113" s="1126"/>
      <c r="B113" s="1126"/>
      <c r="C113" s="313">
        <f t="shared" si="16"/>
        <v>1</v>
      </c>
      <c r="D113" s="1128"/>
      <c r="E113" s="313">
        <f t="shared" si="17"/>
        <v>1</v>
      </c>
      <c r="F113" s="1128"/>
      <c r="G113" s="313">
        <f t="shared" si="18"/>
        <v>1</v>
      </c>
      <c r="H113" s="1128"/>
      <c r="I113" s="313">
        <f t="shared" si="19"/>
        <v>1</v>
      </c>
      <c r="J113" s="1128"/>
      <c r="K113" s="313">
        <f t="shared" si="20"/>
        <v>1</v>
      </c>
      <c r="L113" s="1128"/>
      <c r="M113" s="313">
        <f t="shared" si="21"/>
        <v>1</v>
      </c>
      <c r="N113" s="1128"/>
      <c r="O113" s="313">
        <f t="shared" si="22"/>
        <v>1</v>
      </c>
      <c r="P113" s="1128"/>
      <c r="Q113" s="313">
        <f t="shared" si="23"/>
        <v>1</v>
      </c>
      <c r="R113" s="1124">
        <f t="shared" si="24"/>
        <v>0</v>
      </c>
      <c r="S113" s="698">
        <f t="shared" si="15"/>
        <v>0</v>
      </c>
    </row>
    <row r="114" spans="1:19">
      <c r="A114" s="1126"/>
      <c r="B114" s="1126"/>
      <c r="C114" s="313">
        <f t="shared" si="16"/>
        <v>1</v>
      </c>
      <c r="D114" s="1128"/>
      <c r="E114" s="313">
        <f t="shared" si="17"/>
        <v>1</v>
      </c>
      <c r="F114" s="1128"/>
      <c r="G114" s="313">
        <f t="shared" si="18"/>
        <v>1</v>
      </c>
      <c r="H114" s="1128"/>
      <c r="I114" s="313">
        <f t="shared" si="19"/>
        <v>1</v>
      </c>
      <c r="J114" s="1128"/>
      <c r="K114" s="313">
        <f t="shared" si="20"/>
        <v>1</v>
      </c>
      <c r="L114" s="1128"/>
      <c r="M114" s="313">
        <f t="shared" si="21"/>
        <v>1</v>
      </c>
      <c r="N114" s="1128"/>
      <c r="O114" s="313">
        <f t="shared" si="22"/>
        <v>1</v>
      </c>
      <c r="P114" s="1128"/>
      <c r="Q114" s="313">
        <f t="shared" si="23"/>
        <v>1</v>
      </c>
      <c r="R114" s="1124">
        <f t="shared" si="24"/>
        <v>0</v>
      </c>
      <c r="S114" s="698">
        <f t="shared" si="15"/>
        <v>0</v>
      </c>
    </row>
    <row r="115" spans="1:19">
      <c r="A115" s="1126"/>
      <c r="B115" s="1126"/>
      <c r="C115" s="313">
        <f t="shared" si="16"/>
        <v>1</v>
      </c>
      <c r="D115" s="1128"/>
      <c r="E115" s="313">
        <f t="shared" si="17"/>
        <v>1</v>
      </c>
      <c r="F115" s="1128"/>
      <c r="G115" s="313">
        <f t="shared" si="18"/>
        <v>1</v>
      </c>
      <c r="H115" s="1128"/>
      <c r="I115" s="313">
        <f t="shared" si="19"/>
        <v>1</v>
      </c>
      <c r="J115" s="1128"/>
      <c r="K115" s="313">
        <f t="shared" si="20"/>
        <v>1</v>
      </c>
      <c r="L115" s="1128"/>
      <c r="M115" s="313">
        <f t="shared" si="21"/>
        <v>1</v>
      </c>
      <c r="N115" s="1128"/>
      <c r="O115" s="313">
        <f t="shared" si="22"/>
        <v>1</v>
      </c>
      <c r="P115" s="1128"/>
      <c r="Q115" s="313">
        <f t="shared" si="23"/>
        <v>1</v>
      </c>
      <c r="R115" s="1124">
        <f t="shared" si="24"/>
        <v>0</v>
      </c>
      <c r="S115" s="698">
        <f t="shared" si="15"/>
        <v>0</v>
      </c>
    </row>
    <row r="116" spans="1:19">
      <c r="A116" s="1126"/>
      <c r="B116" s="1126"/>
      <c r="C116" s="313">
        <f t="shared" si="16"/>
        <v>1</v>
      </c>
      <c r="D116" s="1128"/>
      <c r="E116" s="313">
        <f t="shared" si="17"/>
        <v>1</v>
      </c>
      <c r="F116" s="1128"/>
      <c r="G116" s="313">
        <f t="shared" si="18"/>
        <v>1</v>
      </c>
      <c r="H116" s="1128"/>
      <c r="I116" s="313">
        <f t="shared" si="19"/>
        <v>1</v>
      </c>
      <c r="J116" s="1128"/>
      <c r="K116" s="313">
        <f t="shared" si="20"/>
        <v>1</v>
      </c>
      <c r="L116" s="1128"/>
      <c r="M116" s="313">
        <f t="shared" si="21"/>
        <v>1</v>
      </c>
      <c r="N116" s="1128"/>
      <c r="O116" s="313">
        <f t="shared" si="22"/>
        <v>1</v>
      </c>
      <c r="P116" s="1128"/>
      <c r="Q116" s="313">
        <f t="shared" si="23"/>
        <v>1</v>
      </c>
      <c r="R116" s="1124">
        <f t="shared" si="24"/>
        <v>0</v>
      </c>
      <c r="S116" s="698">
        <f t="shared" si="15"/>
        <v>0</v>
      </c>
    </row>
    <row r="117" spans="1:19">
      <c r="A117" s="1126"/>
      <c r="B117" s="1126"/>
      <c r="C117" s="313">
        <f t="shared" si="16"/>
        <v>1</v>
      </c>
      <c r="D117" s="1128"/>
      <c r="E117" s="313">
        <f t="shared" si="17"/>
        <v>1</v>
      </c>
      <c r="F117" s="1128"/>
      <c r="G117" s="313">
        <f t="shared" si="18"/>
        <v>1</v>
      </c>
      <c r="H117" s="1128"/>
      <c r="I117" s="313">
        <f t="shared" si="19"/>
        <v>1</v>
      </c>
      <c r="J117" s="1128"/>
      <c r="K117" s="313">
        <f t="shared" si="20"/>
        <v>1</v>
      </c>
      <c r="L117" s="1128"/>
      <c r="M117" s="313">
        <f t="shared" si="21"/>
        <v>1</v>
      </c>
      <c r="N117" s="1128"/>
      <c r="O117" s="313">
        <f t="shared" si="22"/>
        <v>1</v>
      </c>
      <c r="P117" s="1128"/>
      <c r="Q117" s="313">
        <f t="shared" si="23"/>
        <v>1</v>
      </c>
      <c r="R117" s="1124">
        <f t="shared" si="24"/>
        <v>0</v>
      </c>
      <c r="S117" s="698">
        <f t="shared" si="15"/>
        <v>0</v>
      </c>
    </row>
    <row r="118" spans="1:19">
      <c r="A118" s="1126"/>
      <c r="B118" s="1126"/>
      <c r="C118" s="313">
        <f t="shared" si="16"/>
        <v>1</v>
      </c>
      <c r="D118" s="1128"/>
      <c r="E118" s="313">
        <f t="shared" si="17"/>
        <v>1</v>
      </c>
      <c r="F118" s="1128"/>
      <c r="G118" s="313">
        <f t="shared" si="18"/>
        <v>1</v>
      </c>
      <c r="H118" s="1128"/>
      <c r="I118" s="313">
        <f t="shared" si="19"/>
        <v>1</v>
      </c>
      <c r="J118" s="1128"/>
      <c r="K118" s="313">
        <f t="shared" si="20"/>
        <v>1</v>
      </c>
      <c r="L118" s="1128"/>
      <c r="M118" s="313">
        <f t="shared" si="21"/>
        <v>1</v>
      </c>
      <c r="N118" s="1128"/>
      <c r="O118" s="313">
        <f t="shared" si="22"/>
        <v>1</v>
      </c>
      <c r="P118" s="1128"/>
      <c r="Q118" s="313">
        <f t="shared" si="23"/>
        <v>1</v>
      </c>
      <c r="R118" s="1124">
        <f t="shared" si="24"/>
        <v>0</v>
      </c>
      <c r="S118" s="698">
        <f t="shared" si="15"/>
        <v>0</v>
      </c>
    </row>
    <row r="119" spans="1:19">
      <c r="A119" s="1126"/>
      <c r="B119" s="1126"/>
      <c r="C119" s="313">
        <f t="shared" si="16"/>
        <v>1</v>
      </c>
      <c r="D119" s="1128"/>
      <c r="E119" s="313">
        <f t="shared" si="17"/>
        <v>1</v>
      </c>
      <c r="F119" s="1128"/>
      <c r="G119" s="313">
        <f t="shared" si="18"/>
        <v>1</v>
      </c>
      <c r="H119" s="1128"/>
      <c r="I119" s="313">
        <f t="shared" si="19"/>
        <v>1</v>
      </c>
      <c r="J119" s="1128"/>
      <c r="K119" s="313">
        <f t="shared" si="20"/>
        <v>1</v>
      </c>
      <c r="L119" s="1128"/>
      <c r="M119" s="313">
        <f t="shared" si="21"/>
        <v>1</v>
      </c>
      <c r="N119" s="1128"/>
      <c r="O119" s="313">
        <f t="shared" si="22"/>
        <v>1</v>
      </c>
      <c r="P119" s="1128"/>
      <c r="Q119" s="313">
        <f t="shared" si="23"/>
        <v>1</v>
      </c>
      <c r="R119" s="1124">
        <f t="shared" si="24"/>
        <v>0</v>
      </c>
      <c r="S119" s="698">
        <f t="shared" si="15"/>
        <v>0</v>
      </c>
    </row>
    <row r="120" spans="1:19">
      <c r="A120" s="1126"/>
      <c r="B120" s="1126"/>
      <c r="C120" s="313">
        <f t="shared" si="16"/>
        <v>1</v>
      </c>
      <c r="D120" s="1128"/>
      <c r="E120" s="313">
        <f t="shared" si="17"/>
        <v>1</v>
      </c>
      <c r="F120" s="1128"/>
      <c r="G120" s="313">
        <f t="shared" si="18"/>
        <v>1</v>
      </c>
      <c r="H120" s="1128"/>
      <c r="I120" s="313">
        <f t="shared" si="19"/>
        <v>1</v>
      </c>
      <c r="J120" s="1128"/>
      <c r="K120" s="313">
        <f t="shared" si="20"/>
        <v>1</v>
      </c>
      <c r="L120" s="1128"/>
      <c r="M120" s="313">
        <f t="shared" si="21"/>
        <v>1</v>
      </c>
      <c r="N120" s="1128"/>
      <c r="O120" s="313">
        <f t="shared" si="22"/>
        <v>1</v>
      </c>
      <c r="P120" s="1128"/>
      <c r="Q120" s="313">
        <f t="shared" si="23"/>
        <v>1</v>
      </c>
      <c r="R120" s="1124">
        <f t="shared" si="24"/>
        <v>0</v>
      </c>
      <c r="S120" s="698">
        <f t="shared" si="15"/>
        <v>0</v>
      </c>
    </row>
    <row r="121" spans="1:19">
      <c r="A121" s="1126"/>
      <c r="B121" s="1126"/>
      <c r="C121" s="313">
        <f t="shared" si="16"/>
        <v>1</v>
      </c>
      <c r="D121" s="1128"/>
      <c r="E121" s="313">
        <f t="shared" si="17"/>
        <v>1</v>
      </c>
      <c r="F121" s="1128"/>
      <c r="G121" s="313">
        <f t="shared" si="18"/>
        <v>1</v>
      </c>
      <c r="H121" s="1128"/>
      <c r="I121" s="313">
        <f t="shared" si="19"/>
        <v>1</v>
      </c>
      <c r="J121" s="1128"/>
      <c r="K121" s="313">
        <f t="shared" si="20"/>
        <v>1</v>
      </c>
      <c r="L121" s="1128"/>
      <c r="M121" s="313">
        <f t="shared" si="21"/>
        <v>1</v>
      </c>
      <c r="N121" s="1128"/>
      <c r="O121" s="313">
        <f t="shared" si="22"/>
        <v>1</v>
      </c>
      <c r="P121" s="1128"/>
      <c r="Q121" s="313">
        <f t="shared" si="23"/>
        <v>1</v>
      </c>
      <c r="R121" s="1124">
        <f t="shared" si="24"/>
        <v>0</v>
      </c>
      <c r="S121" s="698">
        <f t="shared" si="15"/>
        <v>0</v>
      </c>
    </row>
    <row r="122" spans="1:19">
      <c r="A122" s="1126"/>
      <c r="B122" s="1126"/>
      <c r="C122" s="313">
        <f t="shared" si="16"/>
        <v>1</v>
      </c>
      <c r="D122" s="1128"/>
      <c r="E122" s="313">
        <f t="shared" si="17"/>
        <v>1</v>
      </c>
      <c r="F122" s="1128"/>
      <c r="G122" s="313">
        <f t="shared" si="18"/>
        <v>1</v>
      </c>
      <c r="H122" s="1128"/>
      <c r="I122" s="313">
        <f t="shared" si="19"/>
        <v>1</v>
      </c>
      <c r="J122" s="1128"/>
      <c r="K122" s="313">
        <f t="shared" si="20"/>
        <v>1</v>
      </c>
      <c r="L122" s="1128"/>
      <c r="M122" s="313">
        <f t="shared" si="21"/>
        <v>1</v>
      </c>
      <c r="N122" s="1128"/>
      <c r="O122" s="313">
        <f t="shared" si="22"/>
        <v>1</v>
      </c>
      <c r="P122" s="1128"/>
      <c r="Q122" s="313">
        <f t="shared" si="23"/>
        <v>1</v>
      </c>
      <c r="R122" s="1124">
        <f t="shared" si="24"/>
        <v>0</v>
      </c>
      <c r="S122" s="698">
        <f t="shared" si="15"/>
        <v>0</v>
      </c>
    </row>
    <row r="123" spans="1:19">
      <c r="A123" s="1126"/>
      <c r="B123" s="1126"/>
      <c r="C123" s="313">
        <f t="shared" si="16"/>
        <v>1</v>
      </c>
      <c r="D123" s="1128"/>
      <c r="E123" s="313">
        <f t="shared" si="17"/>
        <v>1</v>
      </c>
      <c r="F123" s="1128"/>
      <c r="G123" s="313">
        <f t="shared" si="18"/>
        <v>1</v>
      </c>
      <c r="H123" s="1128"/>
      <c r="I123" s="313">
        <f t="shared" si="19"/>
        <v>1</v>
      </c>
      <c r="J123" s="1128"/>
      <c r="K123" s="313">
        <f t="shared" si="20"/>
        <v>1</v>
      </c>
      <c r="L123" s="1128"/>
      <c r="M123" s="313">
        <f t="shared" si="21"/>
        <v>1</v>
      </c>
      <c r="N123" s="1128"/>
      <c r="O123" s="313">
        <f t="shared" si="22"/>
        <v>1</v>
      </c>
      <c r="P123" s="1128"/>
      <c r="Q123" s="313">
        <f t="shared" si="23"/>
        <v>1</v>
      </c>
      <c r="R123" s="1124">
        <f t="shared" si="24"/>
        <v>0</v>
      </c>
      <c r="S123" s="698">
        <f t="shared" si="15"/>
        <v>0</v>
      </c>
    </row>
    <row r="124" spans="1:19">
      <c r="A124" s="1126"/>
      <c r="B124" s="1126"/>
      <c r="C124" s="313">
        <f t="shared" si="16"/>
        <v>1</v>
      </c>
      <c r="D124" s="1128"/>
      <c r="E124" s="313">
        <f t="shared" si="17"/>
        <v>1</v>
      </c>
      <c r="F124" s="1128"/>
      <c r="G124" s="313">
        <f t="shared" si="18"/>
        <v>1</v>
      </c>
      <c r="H124" s="1128"/>
      <c r="I124" s="313">
        <f t="shared" si="19"/>
        <v>1</v>
      </c>
      <c r="J124" s="1128"/>
      <c r="K124" s="313">
        <f t="shared" si="20"/>
        <v>1</v>
      </c>
      <c r="L124" s="1128"/>
      <c r="M124" s="313">
        <f t="shared" si="21"/>
        <v>1</v>
      </c>
      <c r="N124" s="1128"/>
      <c r="O124" s="313">
        <f t="shared" si="22"/>
        <v>1</v>
      </c>
      <c r="P124" s="1128"/>
      <c r="Q124" s="313">
        <f t="shared" si="23"/>
        <v>1</v>
      </c>
      <c r="R124" s="1124">
        <f t="shared" si="24"/>
        <v>0</v>
      </c>
      <c r="S124" s="698">
        <f t="shared" si="15"/>
        <v>0</v>
      </c>
    </row>
    <row r="125" spans="1:19">
      <c r="A125" s="1126"/>
      <c r="B125" s="1126"/>
      <c r="C125" s="313">
        <f t="shared" si="16"/>
        <v>1</v>
      </c>
      <c r="D125" s="1128"/>
      <c r="E125" s="313">
        <f t="shared" si="17"/>
        <v>1</v>
      </c>
      <c r="F125" s="1128"/>
      <c r="G125" s="313">
        <f t="shared" si="18"/>
        <v>1</v>
      </c>
      <c r="H125" s="1128"/>
      <c r="I125" s="313">
        <f t="shared" si="19"/>
        <v>1</v>
      </c>
      <c r="J125" s="1128"/>
      <c r="K125" s="313">
        <f t="shared" si="20"/>
        <v>1</v>
      </c>
      <c r="L125" s="1128"/>
      <c r="M125" s="313">
        <f t="shared" si="21"/>
        <v>1</v>
      </c>
      <c r="N125" s="1128"/>
      <c r="O125" s="313">
        <f t="shared" si="22"/>
        <v>1</v>
      </c>
      <c r="P125" s="1128"/>
      <c r="Q125" s="313">
        <f t="shared" si="23"/>
        <v>1</v>
      </c>
      <c r="R125" s="1124">
        <f t="shared" si="24"/>
        <v>0</v>
      </c>
      <c r="S125" s="698">
        <f t="shared" si="15"/>
        <v>0</v>
      </c>
    </row>
    <row r="126" spans="1:19">
      <c r="A126" s="1126"/>
      <c r="B126" s="1126"/>
      <c r="C126" s="313">
        <f t="shared" si="16"/>
        <v>1</v>
      </c>
      <c r="D126" s="1128"/>
      <c r="E126" s="313">
        <f t="shared" si="17"/>
        <v>1</v>
      </c>
      <c r="F126" s="1128"/>
      <c r="G126" s="313">
        <f t="shared" si="18"/>
        <v>1</v>
      </c>
      <c r="H126" s="1128"/>
      <c r="I126" s="313">
        <f t="shared" si="19"/>
        <v>1</v>
      </c>
      <c r="J126" s="1128"/>
      <c r="K126" s="313">
        <f t="shared" si="20"/>
        <v>1</v>
      </c>
      <c r="L126" s="1128"/>
      <c r="M126" s="313">
        <f t="shared" si="21"/>
        <v>1</v>
      </c>
      <c r="N126" s="1128"/>
      <c r="O126" s="313">
        <f t="shared" si="22"/>
        <v>1</v>
      </c>
      <c r="P126" s="1128"/>
      <c r="Q126" s="313">
        <f t="shared" si="23"/>
        <v>1</v>
      </c>
      <c r="R126" s="1124">
        <f t="shared" si="24"/>
        <v>0</v>
      </c>
      <c r="S126" s="698">
        <f t="shared" si="15"/>
        <v>0</v>
      </c>
    </row>
    <row r="127" spans="1:19">
      <c r="A127" s="1126"/>
      <c r="B127" s="1126"/>
      <c r="C127" s="313">
        <f t="shared" si="16"/>
        <v>1</v>
      </c>
      <c r="D127" s="1128"/>
      <c r="E127" s="313">
        <f t="shared" si="17"/>
        <v>1</v>
      </c>
      <c r="F127" s="1128"/>
      <c r="G127" s="313">
        <f t="shared" si="18"/>
        <v>1</v>
      </c>
      <c r="H127" s="1128"/>
      <c r="I127" s="313">
        <f t="shared" si="19"/>
        <v>1</v>
      </c>
      <c r="J127" s="1128"/>
      <c r="K127" s="313">
        <f t="shared" si="20"/>
        <v>1</v>
      </c>
      <c r="L127" s="1128"/>
      <c r="M127" s="313">
        <f t="shared" si="21"/>
        <v>1</v>
      </c>
      <c r="N127" s="1128"/>
      <c r="O127" s="313">
        <f t="shared" si="22"/>
        <v>1</v>
      </c>
      <c r="P127" s="1128"/>
      <c r="Q127" s="313">
        <f t="shared" si="23"/>
        <v>1</v>
      </c>
      <c r="R127" s="1124">
        <f t="shared" si="24"/>
        <v>0</v>
      </c>
      <c r="S127" s="698">
        <f t="shared" si="15"/>
        <v>0</v>
      </c>
    </row>
    <row r="128" spans="1:19">
      <c r="A128" s="1126"/>
      <c r="B128" s="1126"/>
      <c r="C128" s="313">
        <f t="shared" si="16"/>
        <v>1</v>
      </c>
      <c r="D128" s="1128"/>
      <c r="E128" s="313">
        <f t="shared" si="17"/>
        <v>1</v>
      </c>
      <c r="F128" s="1128"/>
      <c r="G128" s="313">
        <f t="shared" si="18"/>
        <v>1</v>
      </c>
      <c r="H128" s="1128"/>
      <c r="I128" s="313">
        <f t="shared" si="19"/>
        <v>1</v>
      </c>
      <c r="J128" s="1128"/>
      <c r="K128" s="313">
        <f t="shared" si="20"/>
        <v>1</v>
      </c>
      <c r="L128" s="1128"/>
      <c r="M128" s="313">
        <f t="shared" si="21"/>
        <v>1</v>
      </c>
      <c r="N128" s="1128"/>
      <c r="O128" s="313">
        <f t="shared" si="22"/>
        <v>1</v>
      </c>
      <c r="P128" s="1128"/>
      <c r="Q128" s="313">
        <f t="shared" si="23"/>
        <v>1</v>
      </c>
      <c r="R128" s="1124">
        <f t="shared" si="24"/>
        <v>0</v>
      </c>
      <c r="S128" s="698">
        <f t="shared" si="15"/>
        <v>0</v>
      </c>
    </row>
    <row r="129" spans="1:19">
      <c r="A129" s="1126"/>
      <c r="B129" s="1126"/>
      <c r="C129" s="313">
        <f t="shared" si="16"/>
        <v>1</v>
      </c>
      <c r="D129" s="1128"/>
      <c r="E129" s="313">
        <f t="shared" si="17"/>
        <v>1</v>
      </c>
      <c r="F129" s="1128"/>
      <c r="G129" s="313">
        <f t="shared" si="18"/>
        <v>1</v>
      </c>
      <c r="H129" s="1128"/>
      <c r="I129" s="313">
        <f t="shared" si="19"/>
        <v>1</v>
      </c>
      <c r="J129" s="1128"/>
      <c r="K129" s="313">
        <f t="shared" si="20"/>
        <v>1</v>
      </c>
      <c r="L129" s="1128"/>
      <c r="M129" s="313">
        <f t="shared" si="21"/>
        <v>1</v>
      </c>
      <c r="N129" s="1128"/>
      <c r="O129" s="313">
        <f t="shared" si="22"/>
        <v>1</v>
      </c>
      <c r="P129" s="1128"/>
      <c r="Q129" s="313">
        <f t="shared" si="23"/>
        <v>1</v>
      </c>
      <c r="R129" s="1124">
        <f t="shared" si="24"/>
        <v>0</v>
      </c>
      <c r="S129" s="698">
        <f t="shared" si="15"/>
        <v>0</v>
      </c>
    </row>
    <row r="130" spans="1:19">
      <c r="A130" s="1126"/>
      <c r="B130" s="1126"/>
      <c r="C130" s="313">
        <f t="shared" si="16"/>
        <v>1</v>
      </c>
      <c r="D130" s="1128"/>
      <c r="E130" s="313">
        <f t="shared" si="17"/>
        <v>1</v>
      </c>
      <c r="F130" s="1128"/>
      <c r="G130" s="313">
        <f t="shared" si="18"/>
        <v>1</v>
      </c>
      <c r="H130" s="1128"/>
      <c r="I130" s="313">
        <f t="shared" si="19"/>
        <v>1</v>
      </c>
      <c r="J130" s="1128"/>
      <c r="K130" s="313">
        <f t="shared" si="20"/>
        <v>1</v>
      </c>
      <c r="L130" s="1128"/>
      <c r="M130" s="313">
        <f t="shared" si="21"/>
        <v>1</v>
      </c>
      <c r="N130" s="1128"/>
      <c r="O130" s="313">
        <f t="shared" si="22"/>
        <v>1</v>
      </c>
      <c r="P130" s="1128"/>
      <c r="Q130" s="313">
        <f t="shared" si="23"/>
        <v>1</v>
      </c>
      <c r="R130" s="1124">
        <f t="shared" si="24"/>
        <v>0</v>
      </c>
      <c r="S130" s="698">
        <f t="shared" si="15"/>
        <v>0</v>
      </c>
    </row>
    <row r="131" spans="1:19">
      <c r="A131" s="1126"/>
      <c r="B131" s="1126"/>
      <c r="C131" s="313">
        <f t="shared" si="16"/>
        <v>1</v>
      </c>
      <c r="D131" s="1128"/>
      <c r="E131" s="313">
        <f t="shared" si="17"/>
        <v>1</v>
      </c>
      <c r="F131" s="1128"/>
      <c r="G131" s="313">
        <f t="shared" si="18"/>
        <v>1</v>
      </c>
      <c r="H131" s="1128"/>
      <c r="I131" s="313">
        <f t="shared" si="19"/>
        <v>1</v>
      </c>
      <c r="J131" s="1128"/>
      <c r="K131" s="313">
        <f t="shared" si="20"/>
        <v>1</v>
      </c>
      <c r="L131" s="1128"/>
      <c r="M131" s="313">
        <f t="shared" si="21"/>
        <v>1</v>
      </c>
      <c r="N131" s="1128"/>
      <c r="O131" s="313">
        <f t="shared" si="22"/>
        <v>1</v>
      </c>
      <c r="P131" s="1128"/>
      <c r="Q131" s="313">
        <f t="shared" si="23"/>
        <v>1</v>
      </c>
      <c r="R131" s="1124">
        <f t="shared" si="24"/>
        <v>0</v>
      </c>
      <c r="S131" s="698">
        <f t="shared" si="15"/>
        <v>0</v>
      </c>
    </row>
    <row r="132" spans="1:19">
      <c r="A132" s="1126"/>
      <c r="B132" s="1126"/>
      <c r="C132" s="313">
        <f t="shared" si="16"/>
        <v>1</v>
      </c>
      <c r="D132" s="1128"/>
      <c r="E132" s="313">
        <f t="shared" si="17"/>
        <v>1</v>
      </c>
      <c r="F132" s="1128"/>
      <c r="G132" s="313">
        <f t="shared" si="18"/>
        <v>1</v>
      </c>
      <c r="H132" s="1128"/>
      <c r="I132" s="313">
        <f t="shared" si="19"/>
        <v>1</v>
      </c>
      <c r="J132" s="1128"/>
      <c r="K132" s="313">
        <f t="shared" si="20"/>
        <v>1</v>
      </c>
      <c r="L132" s="1128"/>
      <c r="M132" s="313">
        <f t="shared" si="21"/>
        <v>1</v>
      </c>
      <c r="N132" s="1128"/>
      <c r="O132" s="313">
        <f t="shared" si="22"/>
        <v>1</v>
      </c>
      <c r="P132" s="1128"/>
      <c r="Q132" s="313">
        <f t="shared" si="23"/>
        <v>1</v>
      </c>
      <c r="R132" s="1124">
        <f t="shared" si="24"/>
        <v>0</v>
      </c>
      <c r="S132" s="698">
        <f t="shared" si="15"/>
        <v>0</v>
      </c>
    </row>
    <row r="133" spans="1:19">
      <c r="A133" s="1126"/>
      <c r="B133" s="1126"/>
      <c r="C133" s="313">
        <f t="shared" si="16"/>
        <v>1</v>
      </c>
      <c r="D133" s="1128"/>
      <c r="E133" s="313">
        <f t="shared" si="17"/>
        <v>1</v>
      </c>
      <c r="F133" s="1128"/>
      <c r="G133" s="313">
        <f t="shared" si="18"/>
        <v>1</v>
      </c>
      <c r="H133" s="1128"/>
      <c r="I133" s="313">
        <f t="shared" si="19"/>
        <v>1</v>
      </c>
      <c r="J133" s="1128"/>
      <c r="K133" s="313">
        <f t="shared" si="20"/>
        <v>1</v>
      </c>
      <c r="L133" s="1128"/>
      <c r="M133" s="313">
        <f t="shared" si="21"/>
        <v>1</v>
      </c>
      <c r="N133" s="1128"/>
      <c r="O133" s="313">
        <f t="shared" si="22"/>
        <v>1</v>
      </c>
      <c r="P133" s="1128"/>
      <c r="Q133" s="313">
        <f t="shared" si="23"/>
        <v>1</v>
      </c>
      <c r="R133" s="1124">
        <f t="shared" si="24"/>
        <v>0</v>
      </c>
      <c r="S133" s="698">
        <f t="shared" si="15"/>
        <v>0</v>
      </c>
    </row>
    <row r="134" spans="1:19">
      <c r="A134" s="1126"/>
      <c r="B134" s="1126"/>
      <c r="C134" s="313">
        <f t="shared" si="16"/>
        <v>1</v>
      </c>
      <c r="D134" s="1128"/>
      <c r="E134" s="313">
        <f t="shared" si="17"/>
        <v>1</v>
      </c>
      <c r="F134" s="1128"/>
      <c r="G134" s="313">
        <f t="shared" si="18"/>
        <v>1</v>
      </c>
      <c r="H134" s="1128"/>
      <c r="I134" s="313">
        <f t="shared" si="19"/>
        <v>1</v>
      </c>
      <c r="J134" s="1128"/>
      <c r="K134" s="313">
        <f t="shared" si="20"/>
        <v>1</v>
      </c>
      <c r="L134" s="1128"/>
      <c r="M134" s="313">
        <f t="shared" si="21"/>
        <v>1</v>
      </c>
      <c r="N134" s="1128"/>
      <c r="O134" s="313">
        <f t="shared" si="22"/>
        <v>1</v>
      </c>
      <c r="P134" s="1128"/>
      <c r="Q134" s="313">
        <f t="shared" si="23"/>
        <v>1</v>
      </c>
      <c r="R134" s="1124">
        <f t="shared" si="24"/>
        <v>0</v>
      </c>
      <c r="S134" s="698">
        <f t="shared" si="15"/>
        <v>0</v>
      </c>
    </row>
    <row r="135" spans="1:19">
      <c r="A135" s="1126"/>
      <c r="B135" s="1126"/>
      <c r="C135" s="313">
        <f t="shared" si="16"/>
        <v>1</v>
      </c>
      <c r="D135" s="1128"/>
      <c r="E135" s="313">
        <f t="shared" si="17"/>
        <v>1</v>
      </c>
      <c r="F135" s="1128"/>
      <c r="G135" s="313">
        <f t="shared" si="18"/>
        <v>1</v>
      </c>
      <c r="H135" s="1128"/>
      <c r="I135" s="313">
        <f t="shared" si="19"/>
        <v>1</v>
      </c>
      <c r="J135" s="1128"/>
      <c r="K135" s="313">
        <f t="shared" si="20"/>
        <v>1</v>
      </c>
      <c r="L135" s="1128"/>
      <c r="M135" s="313">
        <f t="shared" si="21"/>
        <v>1</v>
      </c>
      <c r="N135" s="1128"/>
      <c r="O135" s="313">
        <f t="shared" si="22"/>
        <v>1</v>
      </c>
      <c r="P135" s="1128"/>
      <c r="Q135" s="313">
        <f t="shared" si="23"/>
        <v>1</v>
      </c>
      <c r="R135" s="1124">
        <f t="shared" si="24"/>
        <v>0</v>
      </c>
      <c r="S135" s="698">
        <f t="shared" si="15"/>
        <v>0</v>
      </c>
    </row>
    <row r="136" spans="1:19">
      <c r="A136" s="1126"/>
      <c r="B136" s="1126"/>
      <c r="C136" s="313">
        <f t="shared" si="16"/>
        <v>1</v>
      </c>
      <c r="D136" s="1128"/>
      <c r="E136" s="313">
        <f t="shared" si="17"/>
        <v>1</v>
      </c>
      <c r="F136" s="1128"/>
      <c r="G136" s="313">
        <f t="shared" si="18"/>
        <v>1</v>
      </c>
      <c r="H136" s="1128"/>
      <c r="I136" s="313">
        <f t="shared" si="19"/>
        <v>1</v>
      </c>
      <c r="J136" s="1128"/>
      <c r="K136" s="313">
        <f t="shared" si="20"/>
        <v>1</v>
      </c>
      <c r="L136" s="1128"/>
      <c r="M136" s="313">
        <f t="shared" si="21"/>
        <v>1</v>
      </c>
      <c r="N136" s="1128"/>
      <c r="O136" s="313">
        <f t="shared" si="22"/>
        <v>1</v>
      </c>
      <c r="P136" s="1128"/>
      <c r="Q136" s="313">
        <f t="shared" si="23"/>
        <v>1</v>
      </c>
      <c r="R136" s="1124">
        <f t="shared" si="24"/>
        <v>0</v>
      </c>
      <c r="S136" s="698">
        <f t="shared" si="15"/>
        <v>0</v>
      </c>
    </row>
    <row r="137" spans="1:19">
      <c r="A137" s="1126"/>
      <c r="B137" s="1126"/>
      <c r="C137" s="313">
        <f t="shared" si="16"/>
        <v>1</v>
      </c>
      <c r="D137" s="1128"/>
      <c r="E137" s="313">
        <f t="shared" si="17"/>
        <v>1</v>
      </c>
      <c r="F137" s="1128"/>
      <c r="G137" s="313">
        <f t="shared" si="18"/>
        <v>1</v>
      </c>
      <c r="H137" s="1128"/>
      <c r="I137" s="313">
        <f t="shared" si="19"/>
        <v>1</v>
      </c>
      <c r="J137" s="1128"/>
      <c r="K137" s="313">
        <f t="shared" si="20"/>
        <v>1</v>
      </c>
      <c r="L137" s="1128"/>
      <c r="M137" s="313">
        <f t="shared" si="21"/>
        <v>1</v>
      </c>
      <c r="N137" s="1128"/>
      <c r="O137" s="313">
        <f t="shared" si="22"/>
        <v>1</v>
      </c>
      <c r="P137" s="1128"/>
      <c r="Q137" s="313">
        <f t="shared" si="23"/>
        <v>1</v>
      </c>
      <c r="R137" s="1124">
        <f t="shared" si="24"/>
        <v>0</v>
      </c>
      <c r="S137" s="698">
        <f t="shared" si="15"/>
        <v>0</v>
      </c>
    </row>
    <row r="138" spans="1:19">
      <c r="A138" s="1126"/>
      <c r="B138" s="1126"/>
      <c r="C138" s="313">
        <f t="shared" si="16"/>
        <v>1</v>
      </c>
      <c r="D138" s="1128"/>
      <c r="E138" s="313">
        <f t="shared" si="17"/>
        <v>1</v>
      </c>
      <c r="F138" s="1128"/>
      <c r="G138" s="313">
        <f t="shared" si="18"/>
        <v>1</v>
      </c>
      <c r="H138" s="1128"/>
      <c r="I138" s="313">
        <f t="shared" si="19"/>
        <v>1</v>
      </c>
      <c r="J138" s="1128"/>
      <c r="K138" s="313">
        <f t="shared" si="20"/>
        <v>1</v>
      </c>
      <c r="L138" s="1128"/>
      <c r="M138" s="313">
        <f t="shared" si="21"/>
        <v>1</v>
      </c>
      <c r="N138" s="1128"/>
      <c r="O138" s="313">
        <f t="shared" si="22"/>
        <v>1</v>
      </c>
      <c r="P138" s="1128"/>
      <c r="Q138" s="313">
        <f t="shared" si="23"/>
        <v>1</v>
      </c>
      <c r="R138" s="1124">
        <f t="shared" si="24"/>
        <v>0</v>
      </c>
      <c r="S138" s="698">
        <f t="shared" si="15"/>
        <v>0</v>
      </c>
    </row>
    <row r="139" spans="1:19">
      <c r="A139" s="1126"/>
      <c r="B139" s="1126"/>
      <c r="C139" s="313">
        <f t="shared" si="16"/>
        <v>1</v>
      </c>
      <c r="D139" s="1128"/>
      <c r="E139" s="313">
        <f t="shared" si="17"/>
        <v>1</v>
      </c>
      <c r="F139" s="1128"/>
      <c r="G139" s="313">
        <f t="shared" si="18"/>
        <v>1</v>
      </c>
      <c r="H139" s="1128"/>
      <c r="I139" s="313">
        <f t="shared" si="19"/>
        <v>1</v>
      </c>
      <c r="J139" s="1128"/>
      <c r="K139" s="313">
        <f t="shared" si="20"/>
        <v>1</v>
      </c>
      <c r="L139" s="1128"/>
      <c r="M139" s="313">
        <f t="shared" si="21"/>
        <v>1</v>
      </c>
      <c r="N139" s="1128"/>
      <c r="O139" s="313">
        <f t="shared" si="22"/>
        <v>1</v>
      </c>
      <c r="P139" s="1128"/>
      <c r="Q139" s="313">
        <f t="shared" si="23"/>
        <v>1</v>
      </c>
      <c r="R139" s="1124">
        <f t="shared" si="24"/>
        <v>0</v>
      </c>
      <c r="S139" s="698">
        <f t="shared" si="15"/>
        <v>0</v>
      </c>
    </row>
    <row r="140" spans="1:19">
      <c r="A140" s="1126"/>
      <c r="B140" s="1126"/>
      <c r="C140" s="313">
        <f t="shared" si="16"/>
        <v>1</v>
      </c>
      <c r="D140" s="1128"/>
      <c r="E140" s="313">
        <f t="shared" si="17"/>
        <v>1</v>
      </c>
      <c r="F140" s="1128"/>
      <c r="G140" s="313">
        <f t="shared" si="18"/>
        <v>1</v>
      </c>
      <c r="H140" s="1128"/>
      <c r="I140" s="313">
        <f t="shared" si="19"/>
        <v>1</v>
      </c>
      <c r="J140" s="1128"/>
      <c r="K140" s="313">
        <f t="shared" si="20"/>
        <v>1</v>
      </c>
      <c r="L140" s="1128"/>
      <c r="M140" s="313">
        <f t="shared" si="21"/>
        <v>1</v>
      </c>
      <c r="N140" s="1128"/>
      <c r="O140" s="313">
        <f t="shared" si="22"/>
        <v>1</v>
      </c>
      <c r="P140" s="1128"/>
      <c r="Q140" s="313">
        <f t="shared" si="23"/>
        <v>1</v>
      </c>
      <c r="R140" s="1124">
        <f t="shared" si="24"/>
        <v>0</v>
      </c>
      <c r="S140" s="698">
        <f t="shared" si="15"/>
        <v>0</v>
      </c>
    </row>
    <row r="141" spans="1:19">
      <c r="A141" s="1126"/>
      <c r="B141" s="1126"/>
      <c r="C141" s="313">
        <f t="shared" si="16"/>
        <v>1</v>
      </c>
      <c r="D141" s="1128"/>
      <c r="E141" s="313">
        <f t="shared" si="17"/>
        <v>1</v>
      </c>
      <c r="F141" s="1128"/>
      <c r="G141" s="313">
        <f t="shared" si="18"/>
        <v>1</v>
      </c>
      <c r="H141" s="1128"/>
      <c r="I141" s="313">
        <f t="shared" si="19"/>
        <v>1</v>
      </c>
      <c r="J141" s="1128"/>
      <c r="K141" s="313">
        <f t="shared" si="20"/>
        <v>1</v>
      </c>
      <c r="L141" s="1128"/>
      <c r="M141" s="313">
        <f t="shared" si="21"/>
        <v>1</v>
      </c>
      <c r="N141" s="1128"/>
      <c r="O141" s="313">
        <f t="shared" si="22"/>
        <v>1</v>
      </c>
      <c r="P141" s="1128"/>
      <c r="Q141" s="313">
        <f t="shared" si="23"/>
        <v>1</v>
      </c>
      <c r="R141" s="1124">
        <f t="shared" si="24"/>
        <v>0</v>
      </c>
      <c r="S141" s="698">
        <f t="shared" si="15"/>
        <v>0</v>
      </c>
    </row>
    <row r="142" spans="1:19">
      <c r="A142" s="1126"/>
      <c r="B142" s="1126"/>
      <c r="C142" s="313">
        <f t="shared" si="16"/>
        <v>1</v>
      </c>
      <c r="D142" s="1128"/>
      <c r="E142" s="313">
        <f t="shared" si="17"/>
        <v>1</v>
      </c>
      <c r="F142" s="1128"/>
      <c r="G142" s="313">
        <f t="shared" si="18"/>
        <v>1</v>
      </c>
      <c r="H142" s="1128"/>
      <c r="I142" s="313">
        <f t="shared" si="19"/>
        <v>1</v>
      </c>
      <c r="J142" s="1128"/>
      <c r="K142" s="313">
        <f t="shared" si="20"/>
        <v>1</v>
      </c>
      <c r="L142" s="1128"/>
      <c r="M142" s="313">
        <f t="shared" si="21"/>
        <v>1</v>
      </c>
      <c r="N142" s="1128"/>
      <c r="O142" s="313">
        <f t="shared" si="22"/>
        <v>1</v>
      </c>
      <c r="P142" s="1128"/>
      <c r="Q142" s="313">
        <f t="shared" si="23"/>
        <v>1</v>
      </c>
      <c r="R142" s="1124">
        <f t="shared" si="24"/>
        <v>0</v>
      </c>
      <c r="S142" s="698">
        <f t="shared" si="15"/>
        <v>0</v>
      </c>
    </row>
    <row r="143" spans="1:19">
      <c r="A143" s="1126"/>
      <c r="B143" s="1126"/>
      <c r="C143" s="313">
        <f t="shared" si="16"/>
        <v>1</v>
      </c>
      <c r="D143" s="1128"/>
      <c r="E143" s="313">
        <f t="shared" si="17"/>
        <v>1</v>
      </c>
      <c r="F143" s="1128"/>
      <c r="G143" s="313">
        <f t="shared" si="18"/>
        <v>1</v>
      </c>
      <c r="H143" s="1128"/>
      <c r="I143" s="313">
        <f t="shared" si="19"/>
        <v>1</v>
      </c>
      <c r="J143" s="1128"/>
      <c r="K143" s="313">
        <f t="shared" si="20"/>
        <v>1</v>
      </c>
      <c r="L143" s="1128"/>
      <c r="M143" s="313">
        <f t="shared" si="21"/>
        <v>1</v>
      </c>
      <c r="N143" s="1128"/>
      <c r="O143" s="313">
        <f t="shared" si="22"/>
        <v>1</v>
      </c>
      <c r="P143" s="1128"/>
      <c r="Q143" s="313">
        <f t="shared" si="23"/>
        <v>1</v>
      </c>
      <c r="R143" s="1124">
        <f t="shared" si="24"/>
        <v>0</v>
      </c>
      <c r="S143" s="698">
        <f t="shared" si="15"/>
        <v>0</v>
      </c>
    </row>
    <row r="144" spans="1:19">
      <c r="A144" s="1126"/>
      <c r="B144" s="1126"/>
      <c r="C144" s="313">
        <f t="shared" si="16"/>
        <v>1</v>
      </c>
      <c r="D144" s="1128"/>
      <c r="E144" s="313">
        <f t="shared" si="17"/>
        <v>1</v>
      </c>
      <c r="F144" s="1128"/>
      <c r="G144" s="313">
        <f t="shared" si="18"/>
        <v>1</v>
      </c>
      <c r="H144" s="1128"/>
      <c r="I144" s="313">
        <f t="shared" si="19"/>
        <v>1</v>
      </c>
      <c r="J144" s="1128"/>
      <c r="K144" s="313">
        <f t="shared" si="20"/>
        <v>1</v>
      </c>
      <c r="L144" s="1128"/>
      <c r="M144" s="313">
        <f t="shared" si="21"/>
        <v>1</v>
      </c>
      <c r="N144" s="1128"/>
      <c r="O144" s="313">
        <f t="shared" si="22"/>
        <v>1</v>
      </c>
      <c r="P144" s="1128"/>
      <c r="Q144" s="313">
        <f t="shared" si="23"/>
        <v>1</v>
      </c>
      <c r="R144" s="1124">
        <f t="shared" si="24"/>
        <v>0</v>
      </c>
      <c r="S144" s="698">
        <f t="shared" si="15"/>
        <v>0</v>
      </c>
    </row>
    <row r="145" spans="1:19">
      <c r="A145" s="1126"/>
      <c r="B145" s="1126"/>
      <c r="C145" s="313">
        <f t="shared" si="16"/>
        <v>1</v>
      </c>
      <c r="D145" s="1128"/>
      <c r="E145" s="313">
        <f t="shared" si="17"/>
        <v>1</v>
      </c>
      <c r="F145" s="1128"/>
      <c r="G145" s="313">
        <f t="shared" si="18"/>
        <v>1</v>
      </c>
      <c r="H145" s="1128"/>
      <c r="I145" s="313">
        <f t="shared" si="19"/>
        <v>1</v>
      </c>
      <c r="J145" s="1128"/>
      <c r="K145" s="313">
        <f t="shared" si="20"/>
        <v>1</v>
      </c>
      <c r="L145" s="1128"/>
      <c r="M145" s="313">
        <f t="shared" si="21"/>
        <v>1</v>
      </c>
      <c r="N145" s="1128"/>
      <c r="O145" s="313">
        <f t="shared" si="22"/>
        <v>1</v>
      </c>
      <c r="P145" s="1128"/>
      <c r="Q145" s="313">
        <f t="shared" si="23"/>
        <v>1</v>
      </c>
      <c r="R145" s="1124">
        <f t="shared" si="24"/>
        <v>0</v>
      </c>
      <c r="S145" s="698">
        <f t="shared" si="15"/>
        <v>0</v>
      </c>
    </row>
    <row r="146" spans="1:19">
      <c r="A146" s="1126"/>
      <c r="B146" s="1126"/>
      <c r="C146" s="313">
        <f t="shared" si="16"/>
        <v>1</v>
      </c>
      <c r="D146" s="1128"/>
      <c r="E146" s="313">
        <f t="shared" si="17"/>
        <v>1</v>
      </c>
      <c r="F146" s="1128"/>
      <c r="G146" s="313">
        <f t="shared" si="18"/>
        <v>1</v>
      </c>
      <c r="H146" s="1128"/>
      <c r="I146" s="313">
        <f t="shared" si="19"/>
        <v>1</v>
      </c>
      <c r="J146" s="1128"/>
      <c r="K146" s="313">
        <f t="shared" si="20"/>
        <v>1</v>
      </c>
      <c r="L146" s="1128"/>
      <c r="M146" s="313">
        <f t="shared" si="21"/>
        <v>1</v>
      </c>
      <c r="N146" s="1128"/>
      <c r="O146" s="313">
        <f t="shared" si="22"/>
        <v>1</v>
      </c>
      <c r="P146" s="1128"/>
      <c r="Q146" s="313">
        <f t="shared" si="23"/>
        <v>1</v>
      </c>
      <c r="R146" s="1124">
        <f t="shared" si="24"/>
        <v>0</v>
      </c>
      <c r="S146" s="698">
        <f t="shared" si="15"/>
        <v>0</v>
      </c>
    </row>
    <row r="147" spans="1:19">
      <c r="A147" s="1126"/>
      <c r="B147" s="1126"/>
      <c r="C147" s="313">
        <f t="shared" si="16"/>
        <v>1</v>
      </c>
      <c r="D147" s="1128"/>
      <c r="E147" s="313">
        <f t="shared" si="17"/>
        <v>1</v>
      </c>
      <c r="F147" s="1128"/>
      <c r="G147" s="313">
        <f t="shared" si="18"/>
        <v>1</v>
      </c>
      <c r="H147" s="1128"/>
      <c r="I147" s="313">
        <f t="shared" si="19"/>
        <v>1</v>
      </c>
      <c r="J147" s="1128"/>
      <c r="K147" s="313">
        <f t="shared" si="20"/>
        <v>1</v>
      </c>
      <c r="L147" s="1128"/>
      <c r="M147" s="313">
        <f t="shared" si="21"/>
        <v>1</v>
      </c>
      <c r="N147" s="1128"/>
      <c r="O147" s="313">
        <f t="shared" si="22"/>
        <v>1</v>
      </c>
      <c r="P147" s="1128"/>
      <c r="Q147" s="313">
        <f t="shared" si="23"/>
        <v>1</v>
      </c>
      <c r="R147" s="1124">
        <f t="shared" si="24"/>
        <v>0</v>
      </c>
      <c r="S147" s="698">
        <f t="shared" si="15"/>
        <v>0</v>
      </c>
    </row>
    <row r="148" spans="1:19">
      <c r="A148" s="1126"/>
      <c r="B148" s="1126"/>
      <c r="C148" s="313">
        <f t="shared" si="16"/>
        <v>1</v>
      </c>
      <c r="D148" s="1128"/>
      <c r="E148" s="313">
        <f t="shared" si="17"/>
        <v>1</v>
      </c>
      <c r="F148" s="1128"/>
      <c r="G148" s="313">
        <f t="shared" si="18"/>
        <v>1</v>
      </c>
      <c r="H148" s="1128"/>
      <c r="I148" s="313">
        <f t="shared" si="19"/>
        <v>1</v>
      </c>
      <c r="J148" s="1128"/>
      <c r="K148" s="313">
        <f t="shared" si="20"/>
        <v>1</v>
      </c>
      <c r="L148" s="1128"/>
      <c r="M148" s="313">
        <f t="shared" si="21"/>
        <v>1</v>
      </c>
      <c r="N148" s="1128"/>
      <c r="O148" s="313">
        <f t="shared" si="22"/>
        <v>1</v>
      </c>
      <c r="P148" s="1128"/>
      <c r="Q148" s="313">
        <f t="shared" si="23"/>
        <v>1</v>
      </c>
      <c r="R148" s="1124">
        <f t="shared" si="24"/>
        <v>0</v>
      </c>
      <c r="S148" s="698">
        <f t="shared" si="15"/>
        <v>0</v>
      </c>
    </row>
    <row r="149" spans="1:19">
      <c r="A149" s="1126"/>
      <c r="B149" s="1126"/>
      <c r="C149" s="313">
        <f t="shared" si="16"/>
        <v>1</v>
      </c>
      <c r="D149" s="1128"/>
      <c r="E149" s="313">
        <f t="shared" si="17"/>
        <v>1</v>
      </c>
      <c r="F149" s="1128"/>
      <c r="G149" s="313">
        <f t="shared" si="18"/>
        <v>1</v>
      </c>
      <c r="H149" s="1128"/>
      <c r="I149" s="313">
        <f t="shared" si="19"/>
        <v>1</v>
      </c>
      <c r="J149" s="1128"/>
      <c r="K149" s="313">
        <f t="shared" si="20"/>
        <v>1</v>
      </c>
      <c r="L149" s="1128"/>
      <c r="M149" s="313">
        <f t="shared" si="21"/>
        <v>1</v>
      </c>
      <c r="N149" s="1128"/>
      <c r="O149" s="313">
        <f t="shared" si="22"/>
        <v>1</v>
      </c>
      <c r="P149" s="1128"/>
      <c r="Q149" s="313">
        <f t="shared" si="23"/>
        <v>1</v>
      </c>
      <c r="R149" s="1124">
        <f t="shared" si="24"/>
        <v>0</v>
      </c>
      <c r="S149" s="698">
        <f t="shared" si="15"/>
        <v>0</v>
      </c>
    </row>
    <row r="150" spans="1:19">
      <c r="A150" s="1126"/>
      <c r="B150" s="1126"/>
      <c r="C150" s="313">
        <f t="shared" si="16"/>
        <v>1</v>
      </c>
      <c r="D150" s="1128"/>
      <c r="E150" s="313">
        <f t="shared" si="17"/>
        <v>1</v>
      </c>
      <c r="F150" s="1128"/>
      <c r="G150" s="313">
        <f t="shared" si="18"/>
        <v>1</v>
      </c>
      <c r="H150" s="1128"/>
      <c r="I150" s="313">
        <f t="shared" si="19"/>
        <v>1</v>
      </c>
      <c r="J150" s="1128"/>
      <c r="K150" s="313">
        <f t="shared" si="20"/>
        <v>1</v>
      </c>
      <c r="L150" s="1128"/>
      <c r="M150" s="313">
        <f t="shared" si="21"/>
        <v>1</v>
      </c>
      <c r="N150" s="1128"/>
      <c r="O150" s="313">
        <f t="shared" si="22"/>
        <v>1</v>
      </c>
      <c r="P150" s="1128"/>
      <c r="Q150" s="313">
        <f t="shared" si="23"/>
        <v>1</v>
      </c>
      <c r="R150" s="1124">
        <f t="shared" si="24"/>
        <v>0</v>
      </c>
      <c r="S150" s="698">
        <f t="shared" si="15"/>
        <v>0</v>
      </c>
    </row>
    <row r="151" spans="1:19">
      <c r="A151" s="1126"/>
      <c r="B151" s="1126"/>
      <c r="C151" s="313">
        <f t="shared" si="16"/>
        <v>1</v>
      </c>
      <c r="D151" s="1128"/>
      <c r="E151" s="313">
        <f t="shared" si="17"/>
        <v>1</v>
      </c>
      <c r="F151" s="1128"/>
      <c r="G151" s="313">
        <f t="shared" si="18"/>
        <v>1</v>
      </c>
      <c r="H151" s="1128"/>
      <c r="I151" s="313">
        <f t="shared" si="19"/>
        <v>1</v>
      </c>
      <c r="J151" s="1128"/>
      <c r="K151" s="313">
        <f t="shared" si="20"/>
        <v>1</v>
      </c>
      <c r="L151" s="1128"/>
      <c r="M151" s="313">
        <f t="shared" si="21"/>
        <v>1</v>
      </c>
      <c r="N151" s="1128"/>
      <c r="O151" s="313">
        <f t="shared" si="22"/>
        <v>1</v>
      </c>
      <c r="P151" s="1128"/>
      <c r="Q151" s="313">
        <f t="shared" si="23"/>
        <v>1</v>
      </c>
      <c r="R151" s="1124">
        <f t="shared" si="24"/>
        <v>0</v>
      </c>
      <c r="S151" s="698">
        <f t="shared" si="15"/>
        <v>0</v>
      </c>
    </row>
    <row r="152" spans="1:19">
      <c r="A152" s="1126"/>
      <c r="B152" s="1126"/>
      <c r="C152" s="313">
        <f t="shared" si="16"/>
        <v>1</v>
      </c>
      <c r="D152" s="1128"/>
      <c r="E152" s="313">
        <f t="shared" si="17"/>
        <v>1</v>
      </c>
      <c r="F152" s="1128"/>
      <c r="G152" s="313">
        <f t="shared" si="18"/>
        <v>1</v>
      </c>
      <c r="H152" s="1128"/>
      <c r="I152" s="313">
        <f t="shared" si="19"/>
        <v>1</v>
      </c>
      <c r="J152" s="1128"/>
      <c r="K152" s="313">
        <f t="shared" si="20"/>
        <v>1</v>
      </c>
      <c r="L152" s="1128"/>
      <c r="M152" s="313">
        <f t="shared" si="21"/>
        <v>1</v>
      </c>
      <c r="N152" s="1128"/>
      <c r="O152" s="313">
        <f t="shared" si="22"/>
        <v>1</v>
      </c>
      <c r="P152" s="1128"/>
      <c r="Q152" s="313">
        <f t="shared" si="23"/>
        <v>1</v>
      </c>
      <c r="R152" s="1124">
        <f t="shared" si="24"/>
        <v>0</v>
      </c>
      <c r="S152" s="698">
        <f t="shared" ref="S152:S215" si="25">ROUND(R152*B152/10000,0)</f>
        <v>0</v>
      </c>
    </row>
    <row r="153" spans="1:19">
      <c r="A153" s="1126"/>
      <c r="B153" s="1126"/>
      <c r="C153" s="313">
        <f t="shared" si="16"/>
        <v>1</v>
      </c>
      <c r="D153" s="1128"/>
      <c r="E153" s="313">
        <f t="shared" si="17"/>
        <v>1</v>
      </c>
      <c r="F153" s="1128"/>
      <c r="G153" s="313">
        <f t="shared" si="18"/>
        <v>1</v>
      </c>
      <c r="H153" s="1128"/>
      <c r="I153" s="313">
        <f t="shared" si="19"/>
        <v>1</v>
      </c>
      <c r="J153" s="1128"/>
      <c r="K153" s="313">
        <f t="shared" si="20"/>
        <v>1</v>
      </c>
      <c r="L153" s="1128"/>
      <c r="M153" s="313">
        <f t="shared" si="21"/>
        <v>1</v>
      </c>
      <c r="N153" s="1128"/>
      <c r="O153" s="313">
        <f t="shared" si="22"/>
        <v>1</v>
      </c>
      <c r="P153" s="1128"/>
      <c r="Q153" s="313">
        <f t="shared" si="23"/>
        <v>1</v>
      </c>
      <c r="R153" s="1124">
        <f t="shared" si="24"/>
        <v>0</v>
      </c>
      <c r="S153" s="698">
        <f t="shared" si="25"/>
        <v>0</v>
      </c>
    </row>
    <row r="154" spans="1:19">
      <c r="A154" s="1126"/>
      <c r="B154" s="1126"/>
      <c r="C154" s="313">
        <f t="shared" ref="C154:C217" si="26">IF(B154="",1,(LOOKUP(B154,$3:$3,$4:$4)-LOOKUP($B$24,$3:$3,$4:$4)+100)/100)</f>
        <v>1</v>
      </c>
      <c r="D154" s="1128"/>
      <c r="E154" s="313">
        <f t="shared" ref="E154:E217" si="27">(SUMIF($5:$5,D154,$6:$6)-SUMIF($5:$5,$D$24,$6:$6)+100)/100</f>
        <v>1</v>
      </c>
      <c r="F154" s="1128"/>
      <c r="G154" s="313">
        <f t="shared" ref="G154:G217" si="28">(SUMIF($7:$7,F154,$8:$8)-SUMIF($7:$7,$F$24,$8:$8)+100)/100</f>
        <v>1</v>
      </c>
      <c r="H154" s="1128"/>
      <c r="I154" s="313">
        <f t="shared" ref="I154:I217" si="29">(SUMIF($9:$9,H154,$10:$10)-SUMIF($9:$9,$H$24,$10:$10)+100)/100</f>
        <v>1</v>
      </c>
      <c r="J154" s="1128"/>
      <c r="K154" s="313">
        <f t="shared" ref="K154:K217" si="30">(SUMIF($11:$11,J154,$12:$12)-SUMIF($11:$11,$J$24,$12:$12)+100)/100</f>
        <v>1</v>
      </c>
      <c r="L154" s="1128"/>
      <c r="M154" s="313">
        <f t="shared" ref="M154:M217" si="31">(SUMIF($13:$13,L154,$14:$14)-SUMIF($13:$13,$L$24,$14:$14)+100)/100</f>
        <v>1</v>
      </c>
      <c r="N154" s="1128"/>
      <c r="O154" s="313">
        <f t="shared" ref="O154:O217" si="32">(SUMIF($15:$15,N154,$16:$16)-SUMIF($15:$15,$N$24,$16:$16)+100)/100</f>
        <v>1</v>
      </c>
      <c r="P154" s="1128"/>
      <c r="Q154" s="313">
        <f t="shared" ref="Q154:Q217" si="33">(SUMIF($17:$17,P154,$18:$18)-SUMIF($17:$17,$P$24,$18:$18)+100)/100</f>
        <v>1</v>
      </c>
      <c r="R154" s="1124">
        <f t="shared" ref="R154:R217" si="34">IF(B154="",0,ROUND($R$24*C154*E154*G154*I154*K154*M154*O154*Q154,0))</f>
        <v>0</v>
      </c>
      <c r="S154" s="698">
        <f t="shared" si="25"/>
        <v>0</v>
      </c>
    </row>
    <row r="155" spans="1:19">
      <c r="A155" s="1126"/>
      <c r="B155" s="1126"/>
      <c r="C155" s="313">
        <f t="shared" si="26"/>
        <v>1</v>
      </c>
      <c r="D155" s="1128"/>
      <c r="E155" s="313">
        <f t="shared" si="27"/>
        <v>1</v>
      </c>
      <c r="F155" s="1128"/>
      <c r="G155" s="313">
        <f t="shared" si="28"/>
        <v>1</v>
      </c>
      <c r="H155" s="1128"/>
      <c r="I155" s="313">
        <f t="shared" si="29"/>
        <v>1</v>
      </c>
      <c r="J155" s="1128"/>
      <c r="K155" s="313">
        <f t="shared" si="30"/>
        <v>1</v>
      </c>
      <c r="L155" s="1128"/>
      <c r="M155" s="313">
        <f t="shared" si="31"/>
        <v>1</v>
      </c>
      <c r="N155" s="1128"/>
      <c r="O155" s="313">
        <f t="shared" si="32"/>
        <v>1</v>
      </c>
      <c r="P155" s="1128"/>
      <c r="Q155" s="313">
        <f t="shared" si="33"/>
        <v>1</v>
      </c>
      <c r="R155" s="1124">
        <f t="shared" si="34"/>
        <v>0</v>
      </c>
      <c r="S155" s="698">
        <f t="shared" si="25"/>
        <v>0</v>
      </c>
    </row>
    <row r="156" spans="1:19">
      <c r="A156" s="1126"/>
      <c r="B156" s="1126"/>
      <c r="C156" s="313">
        <f t="shared" si="26"/>
        <v>1</v>
      </c>
      <c r="D156" s="1128"/>
      <c r="E156" s="313">
        <f t="shared" si="27"/>
        <v>1</v>
      </c>
      <c r="F156" s="1128"/>
      <c r="G156" s="313">
        <f t="shared" si="28"/>
        <v>1</v>
      </c>
      <c r="H156" s="1128"/>
      <c r="I156" s="313">
        <f t="shared" si="29"/>
        <v>1</v>
      </c>
      <c r="J156" s="1128"/>
      <c r="K156" s="313">
        <f t="shared" si="30"/>
        <v>1</v>
      </c>
      <c r="L156" s="1128"/>
      <c r="M156" s="313">
        <f t="shared" si="31"/>
        <v>1</v>
      </c>
      <c r="N156" s="1128"/>
      <c r="O156" s="313">
        <f t="shared" si="32"/>
        <v>1</v>
      </c>
      <c r="P156" s="1128"/>
      <c r="Q156" s="313">
        <f t="shared" si="33"/>
        <v>1</v>
      </c>
      <c r="R156" s="1124">
        <f t="shared" si="34"/>
        <v>0</v>
      </c>
      <c r="S156" s="698">
        <f t="shared" si="25"/>
        <v>0</v>
      </c>
    </row>
    <row r="157" spans="1:19">
      <c r="A157" s="1126"/>
      <c r="B157" s="1126"/>
      <c r="C157" s="313">
        <f t="shared" si="26"/>
        <v>1</v>
      </c>
      <c r="D157" s="1128"/>
      <c r="E157" s="313">
        <f t="shared" si="27"/>
        <v>1</v>
      </c>
      <c r="F157" s="1128"/>
      <c r="G157" s="313">
        <f t="shared" si="28"/>
        <v>1</v>
      </c>
      <c r="H157" s="1128"/>
      <c r="I157" s="313">
        <f t="shared" si="29"/>
        <v>1</v>
      </c>
      <c r="J157" s="1128"/>
      <c r="K157" s="313">
        <f t="shared" si="30"/>
        <v>1</v>
      </c>
      <c r="L157" s="1128"/>
      <c r="M157" s="313">
        <f t="shared" si="31"/>
        <v>1</v>
      </c>
      <c r="N157" s="1128"/>
      <c r="O157" s="313">
        <f t="shared" si="32"/>
        <v>1</v>
      </c>
      <c r="P157" s="1128"/>
      <c r="Q157" s="313">
        <f t="shared" si="33"/>
        <v>1</v>
      </c>
      <c r="R157" s="1124">
        <f t="shared" si="34"/>
        <v>0</v>
      </c>
      <c r="S157" s="698">
        <f t="shared" si="25"/>
        <v>0</v>
      </c>
    </row>
    <row r="158" spans="1:19">
      <c r="A158" s="1126"/>
      <c r="B158" s="1126"/>
      <c r="C158" s="313">
        <f t="shared" si="26"/>
        <v>1</v>
      </c>
      <c r="D158" s="1128"/>
      <c r="E158" s="313">
        <f t="shared" si="27"/>
        <v>1</v>
      </c>
      <c r="F158" s="1128"/>
      <c r="G158" s="313">
        <f t="shared" si="28"/>
        <v>1</v>
      </c>
      <c r="H158" s="1128"/>
      <c r="I158" s="313">
        <f t="shared" si="29"/>
        <v>1</v>
      </c>
      <c r="J158" s="1128"/>
      <c r="K158" s="313">
        <f t="shared" si="30"/>
        <v>1</v>
      </c>
      <c r="L158" s="1128"/>
      <c r="M158" s="313">
        <f t="shared" si="31"/>
        <v>1</v>
      </c>
      <c r="N158" s="1128"/>
      <c r="O158" s="313">
        <f t="shared" si="32"/>
        <v>1</v>
      </c>
      <c r="P158" s="1128"/>
      <c r="Q158" s="313">
        <f t="shared" si="33"/>
        <v>1</v>
      </c>
      <c r="R158" s="1124">
        <f t="shared" si="34"/>
        <v>0</v>
      </c>
      <c r="S158" s="698">
        <f t="shared" si="25"/>
        <v>0</v>
      </c>
    </row>
    <row r="159" spans="1:19">
      <c r="A159" s="1126"/>
      <c r="B159" s="1126"/>
      <c r="C159" s="313">
        <f t="shared" si="26"/>
        <v>1</v>
      </c>
      <c r="D159" s="1128"/>
      <c r="E159" s="313">
        <f t="shared" si="27"/>
        <v>1</v>
      </c>
      <c r="F159" s="1128"/>
      <c r="G159" s="313">
        <f t="shared" si="28"/>
        <v>1</v>
      </c>
      <c r="H159" s="1128"/>
      <c r="I159" s="313">
        <f t="shared" si="29"/>
        <v>1</v>
      </c>
      <c r="J159" s="1128"/>
      <c r="K159" s="313">
        <f t="shared" si="30"/>
        <v>1</v>
      </c>
      <c r="L159" s="1128"/>
      <c r="M159" s="313">
        <f t="shared" si="31"/>
        <v>1</v>
      </c>
      <c r="N159" s="1128"/>
      <c r="O159" s="313">
        <f t="shared" si="32"/>
        <v>1</v>
      </c>
      <c r="P159" s="1128"/>
      <c r="Q159" s="313">
        <f t="shared" si="33"/>
        <v>1</v>
      </c>
      <c r="R159" s="1124">
        <f t="shared" si="34"/>
        <v>0</v>
      </c>
      <c r="S159" s="698">
        <f t="shared" si="25"/>
        <v>0</v>
      </c>
    </row>
    <row r="160" spans="1:19">
      <c r="A160" s="1126"/>
      <c r="B160" s="1126"/>
      <c r="C160" s="313">
        <f t="shared" si="26"/>
        <v>1</v>
      </c>
      <c r="D160" s="1128"/>
      <c r="E160" s="313">
        <f t="shared" si="27"/>
        <v>1</v>
      </c>
      <c r="F160" s="1128"/>
      <c r="G160" s="313">
        <f t="shared" si="28"/>
        <v>1</v>
      </c>
      <c r="H160" s="1128"/>
      <c r="I160" s="313">
        <f t="shared" si="29"/>
        <v>1</v>
      </c>
      <c r="J160" s="1128"/>
      <c r="K160" s="313">
        <f t="shared" si="30"/>
        <v>1</v>
      </c>
      <c r="L160" s="1128"/>
      <c r="M160" s="313">
        <f t="shared" si="31"/>
        <v>1</v>
      </c>
      <c r="N160" s="1128"/>
      <c r="O160" s="313">
        <f t="shared" si="32"/>
        <v>1</v>
      </c>
      <c r="P160" s="1128"/>
      <c r="Q160" s="313">
        <f t="shared" si="33"/>
        <v>1</v>
      </c>
      <c r="R160" s="1124">
        <f t="shared" si="34"/>
        <v>0</v>
      </c>
      <c r="S160" s="698">
        <f t="shared" si="25"/>
        <v>0</v>
      </c>
    </row>
    <row r="161" spans="1:19">
      <c r="A161" s="1126"/>
      <c r="B161" s="1126"/>
      <c r="C161" s="313">
        <f t="shared" si="26"/>
        <v>1</v>
      </c>
      <c r="D161" s="1128"/>
      <c r="E161" s="313">
        <f t="shared" si="27"/>
        <v>1</v>
      </c>
      <c r="F161" s="1128"/>
      <c r="G161" s="313">
        <f t="shared" si="28"/>
        <v>1</v>
      </c>
      <c r="H161" s="1128"/>
      <c r="I161" s="313">
        <f t="shared" si="29"/>
        <v>1</v>
      </c>
      <c r="J161" s="1128"/>
      <c r="K161" s="313">
        <f t="shared" si="30"/>
        <v>1</v>
      </c>
      <c r="L161" s="1128"/>
      <c r="M161" s="313">
        <f t="shared" si="31"/>
        <v>1</v>
      </c>
      <c r="N161" s="1128"/>
      <c r="O161" s="313">
        <f t="shared" si="32"/>
        <v>1</v>
      </c>
      <c r="P161" s="1128"/>
      <c r="Q161" s="313">
        <f t="shared" si="33"/>
        <v>1</v>
      </c>
      <c r="R161" s="1124">
        <f t="shared" si="34"/>
        <v>0</v>
      </c>
      <c r="S161" s="698">
        <f t="shared" si="25"/>
        <v>0</v>
      </c>
    </row>
    <row r="162" spans="1:19">
      <c r="A162" s="1126"/>
      <c r="B162" s="1126"/>
      <c r="C162" s="313">
        <f t="shared" si="26"/>
        <v>1</v>
      </c>
      <c r="D162" s="1128"/>
      <c r="E162" s="313">
        <f t="shared" si="27"/>
        <v>1</v>
      </c>
      <c r="F162" s="1128"/>
      <c r="G162" s="313">
        <f t="shared" si="28"/>
        <v>1</v>
      </c>
      <c r="H162" s="1128"/>
      <c r="I162" s="313">
        <f t="shared" si="29"/>
        <v>1</v>
      </c>
      <c r="J162" s="1128"/>
      <c r="K162" s="313">
        <f t="shared" si="30"/>
        <v>1</v>
      </c>
      <c r="L162" s="1128"/>
      <c r="M162" s="313">
        <f t="shared" si="31"/>
        <v>1</v>
      </c>
      <c r="N162" s="1128"/>
      <c r="O162" s="313">
        <f t="shared" si="32"/>
        <v>1</v>
      </c>
      <c r="P162" s="1128"/>
      <c r="Q162" s="313">
        <f t="shared" si="33"/>
        <v>1</v>
      </c>
      <c r="R162" s="1124">
        <f t="shared" si="34"/>
        <v>0</v>
      </c>
      <c r="S162" s="698">
        <f t="shared" si="25"/>
        <v>0</v>
      </c>
    </row>
    <row r="163" spans="1:19">
      <c r="A163" s="1126"/>
      <c r="B163" s="1126"/>
      <c r="C163" s="313">
        <f t="shared" si="26"/>
        <v>1</v>
      </c>
      <c r="D163" s="1128"/>
      <c r="E163" s="313">
        <f t="shared" si="27"/>
        <v>1</v>
      </c>
      <c r="F163" s="1128"/>
      <c r="G163" s="313">
        <f t="shared" si="28"/>
        <v>1</v>
      </c>
      <c r="H163" s="1128"/>
      <c r="I163" s="313">
        <f t="shared" si="29"/>
        <v>1</v>
      </c>
      <c r="J163" s="1128"/>
      <c r="K163" s="313">
        <f t="shared" si="30"/>
        <v>1</v>
      </c>
      <c r="L163" s="1128"/>
      <c r="M163" s="313">
        <f t="shared" si="31"/>
        <v>1</v>
      </c>
      <c r="N163" s="1128"/>
      <c r="O163" s="313">
        <f t="shared" si="32"/>
        <v>1</v>
      </c>
      <c r="P163" s="1128"/>
      <c r="Q163" s="313">
        <f t="shared" si="33"/>
        <v>1</v>
      </c>
      <c r="R163" s="1124">
        <f t="shared" si="34"/>
        <v>0</v>
      </c>
      <c r="S163" s="698">
        <f t="shared" si="25"/>
        <v>0</v>
      </c>
    </row>
    <row r="164" spans="1:19">
      <c r="A164" s="1126"/>
      <c r="B164" s="1126"/>
      <c r="C164" s="313">
        <f t="shared" si="26"/>
        <v>1</v>
      </c>
      <c r="D164" s="1128"/>
      <c r="E164" s="313">
        <f t="shared" si="27"/>
        <v>1</v>
      </c>
      <c r="F164" s="1128"/>
      <c r="G164" s="313">
        <f t="shared" si="28"/>
        <v>1</v>
      </c>
      <c r="H164" s="1128"/>
      <c r="I164" s="313">
        <f t="shared" si="29"/>
        <v>1</v>
      </c>
      <c r="J164" s="1128"/>
      <c r="K164" s="313">
        <f t="shared" si="30"/>
        <v>1</v>
      </c>
      <c r="L164" s="1128"/>
      <c r="M164" s="313">
        <f t="shared" si="31"/>
        <v>1</v>
      </c>
      <c r="N164" s="1128"/>
      <c r="O164" s="313">
        <f t="shared" si="32"/>
        <v>1</v>
      </c>
      <c r="P164" s="1128"/>
      <c r="Q164" s="313">
        <f t="shared" si="33"/>
        <v>1</v>
      </c>
      <c r="R164" s="1124">
        <f t="shared" si="34"/>
        <v>0</v>
      </c>
      <c r="S164" s="698">
        <f t="shared" si="25"/>
        <v>0</v>
      </c>
    </row>
    <row r="165" spans="1:19">
      <c r="A165" s="491"/>
      <c r="B165" s="348"/>
      <c r="C165" s="313">
        <f t="shared" si="26"/>
        <v>1</v>
      </c>
      <c r="D165" s="1128"/>
      <c r="E165" s="313">
        <f t="shared" si="27"/>
        <v>1</v>
      </c>
      <c r="F165" s="1128"/>
      <c r="G165" s="313">
        <f t="shared" si="28"/>
        <v>1</v>
      </c>
      <c r="H165" s="1128"/>
      <c r="I165" s="313">
        <f t="shared" si="29"/>
        <v>1</v>
      </c>
      <c r="J165" s="1128"/>
      <c r="K165" s="313">
        <f t="shared" si="30"/>
        <v>1</v>
      </c>
      <c r="L165" s="1128"/>
      <c r="M165" s="313">
        <f t="shared" si="31"/>
        <v>1</v>
      </c>
      <c r="N165" s="1128"/>
      <c r="O165" s="313">
        <f t="shared" si="32"/>
        <v>1</v>
      </c>
      <c r="P165" s="1128"/>
      <c r="Q165" s="313">
        <f t="shared" si="33"/>
        <v>1</v>
      </c>
      <c r="R165" s="1124">
        <f t="shared" si="34"/>
        <v>0</v>
      </c>
      <c r="S165" s="698">
        <f t="shared" si="25"/>
        <v>0</v>
      </c>
    </row>
    <row r="166" spans="1:19">
      <c r="A166" s="491"/>
      <c r="B166" s="348"/>
      <c r="C166" s="313">
        <f t="shared" si="26"/>
        <v>1</v>
      </c>
      <c r="D166" s="1128"/>
      <c r="E166" s="313">
        <f t="shared" si="27"/>
        <v>1</v>
      </c>
      <c r="F166" s="1128"/>
      <c r="G166" s="313">
        <f t="shared" si="28"/>
        <v>1</v>
      </c>
      <c r="H166" s="1128"/>
      <c r="I166" s="313">
        <f t="shared" si="29"/>
        <v>1</v>
      </c>
      <c r="J166" s="1128"/>
      <c r="K166" s="313">
        <f t="shared" si="30"/>
        <v>1</v>
      </c>
      <c r="L166" s="1128"/>
      <c r="M166" s="313">
        <f t="shared" si="31"/>
        <v>1</v>
      </c>
      <c r="N166" s="1128"/>
      <c r="O166" s="313">
        <f t="shared" si="32"/>
        <v>1</v>
      </c>
      <c r="P166" s="1128"/>
      <c r="Q166" s="313">
        <f t="shared" si="33"/>
        <v>1</v>
      </c>
      <c r="R166" s="1124">
        <f t="shared" si="34"/>
        <v>0</v>
      </c>
      <c r="S166" s="698">
        <f t="shared" si="25"/>
        <v>0</v>
      </c>
    </row>
    <row r="167" spans="1:19">
      <c r="A167" s="491"/>
      <c r="B167" s="348"/>
      <c r="C167" s="313">
        <f t="shared" si="26"/>
        <v>1</v>
      </c>
      <c r="D167" s="1128"/>
      <c r="E167" s="313">
        <f t="shared" si="27"/>
        <v>1</v>
      </c>
      <c r="F167" s="1128"/>
      <c r="G167" s="313">
        <f t="shared" si="28"/>
        <v>1</v>
      </c>
      <c r="H167" s="1128"/>
      <c r="I167" s="313">
        <f t="shared" si="29"/>
        <v>1</v>
      </c>
      <c r="J167" s="1128"/>
      <c r="K167" s="313">
        <f t="shared" si="30"/>
        <v>1</v>
      </c>
      <c r="L167" s="1128"/>
      <c r="M167" s="313">
        <f t="shared" si="31"/>
        <v>1</v>
      </c>
      <c r="N167" s="1128"/>
      <c r="O167" s="313">
        <f t="shared" si="32"/>
        <v>1</v>
      </c>
      <c r="P167" s="1128"/>
      <c r="Q167" s="313">
        <f t="shared" si="33"/>
        <v>1</v>
      </c>
      <c r="R167" s="1124">
        <f t="shared" si="34"/>
        <v>0</v>
      </c>
      <c r="S167" s="698">
        <f t="shared" si="25"/>
        <v>0</v>
      </c>
    </row>
    <row r="168" spans="1:19">
      <c r="A168" s="491"/>
      <c r="B168" s="348"/>
      <c r="C168" s="313">
        <f t="shared" si="26"/>
        <v>1</v>
      </c>
      <c r="D168" s="1128"/>
      <c r="E168" s="313">
        <f t="shared" si="27"/>
        <v>1</v>
      </c>
      <c r="F168" s="1128"/>
      <c r="G168" s="313">
        <f t="shared" si="28"/>
        <v>1</v>
      </c>
      <c r="H168" s="1128"/>
      <c r="I168" s="313">
        <f t="shared" si="29"/>
        <v>1</v>
      </c>
      <c r="J168" s="1128"/>
      <c r="K168" s="313">
        <f t="shared" si="30"/>
        <v>1</v>
      </c>
      <c r="L168" s="1128"/>
      <c r="M168" s="313">
        <f t="shared" si="31"/>
        <v>1</v>
      </c>
      <c r="N168" s="1128"/>
      <c r="O168" s="313">
        <f t="shared" si="32"/>
        <v>1</v>
      </c>
      <c r="P168" s="1128"/>
      <c r="Q168" s="313">
        <f t="shared" si="33"/>
        <v>1</v>
      </c>
      <c r="R168" s="1124">
        <f t="shared" si="34"/>
        <v>0</v>
      </c>
      <c r="S168" s="698">
        <f t="shared" si="25"/>
        <v>0</v>
      </c>
    </row>
    <row r="169" spans="1:19">
      <c r="A169" s="491"/>
      <c r="B169" s="348"/>
      <c r="C169" s="313">
        <f t="shared" si="26"/>
        <v>1</v>
      </c>
      <c r="D169" s="1128"/>
      <c r="E169" s="313">
        <f t="shared" si="27"/>
        <v>1</v>
      </c>
      <c r="F169" s="1128"/>
      <c r="G169" s="313">
        <f t="shared" si="28"/>
        <v>1</v>
      </c>
      <c r="H169" s="1128"/>
      <c r="I169" s="313">
        <f t="shared" si="29"/>
        <v>1</v>
      </c>
      <c r="J169" s="1128"/>
      <c r="K169" s="313">
        <f t="shared" si="30"/>
        <v>1</v>
      </c>
      <c r="L169" s="1128"/>
      <c r="M169" s="313">
        <f t="shared" si="31"/>
        <v>1</v>
      </c>
      <c r="N169" s="1128"/>
      <c r="O169" s="313">
        <f t="shared" si="32"/>
        <v>1</v>
      </c>
      <c r="P169" s="1128"/>
      <c r="Q169" s="313">
        <f t="shared" si="33"/>
        <v>1</v>
      </c>
      <c r="R169" s="1124">
        <f t="shared" si="34"/>
        <v>0</v>
      </c>
      <c r="S169" s="698">
        <f t="shared" si="25"/>
        <v>0</v>
      </c>
    </row>
    <row r="170" spans="1:19">
      <c r="A170" s="491"/>
      <c r="B170" s="348"/>
      <c r="C170" s="313">
        <f t="shared" si="26"/>
        <v>1</v>
      </c>
      <c r="D170" s="1128"/>
      <c r="E170" s="313">
        <f t="shared" si="27"/>
        <v>1</v>
      </c>
      <c r="F170" s="1128"/>
      <c r="G170" s="313">
        <f t="shared" si="28"/>
        <v>1</v>
      </c>
      <c r="H170" s="1128"/>
      <c r="I170" s="313">
        <f t="shared" si="29"/>
        <v>1</v>
      </c>
      <c r="J170" s="1128"/>
      <c r="K170" s="313">
        <f t="shared" si="30"/>
        <v>1</v>
      </c>
      <c r="L170" s="1128"/>
      <c r="M170" s="313">
        <f t="shared" si="31"/>
        <v>1</v>
      </c>
      <c r="N170" s="1128"/>
      <c r="O170" s="313">
        <f t="shared" si="32"/>
        <v>1</v>
      </c>
      <c r="P170" s="1128"/>
      <c r="Q170" s="313">
        <f t="shared" si="33"/>
        <v>1</v>
      </c>
      <c r="R170" s="1124">
        <f t="shared" si="34"/>
        <v>0</v>
      </c>
      <c r="S170" s="698">
        <f t="shared" si="25"/>
        <v>0</v>
      </c>
    </row>
    <row r="171" spans="1:19">
      <c r="A171" s="491"/>
      <c r="B171" s="348"/>
      <c r="C171" s="313">
        <f t="shared" si="26"/>
        <v>1</v>
      </c>
      <c r="D171" s="1128"/>
      <c r="E171" s="313">
        <f t="shared" si="27"/>
        <v>1</v>
      </c>
      <c r="F171" s="1128"/>
      <c r="G171" s="313">
        <f t="shared" si="28"/>
        <v>1</v>
      </c>
      <c r="H171" s="1128"/>
      <c r="I171" s="313">
        <f t="shared" si="29"/>
        <v>1</v>
      </c>
      <c r="J171" s="1128"/>
      <c r="K171" s="313">
        <f t="shared" si="30"/>
        <v>1</v>
      </c>
      <c r="L171" s="1128"/>
      <c r="M171" s="313">
        <f t="shared" si="31"/>
        <v>1</v>
      </c>
      <c r="N171" s="1128"/>
      <c r="O171" s="313">
        <f t="shared" si="32"/>
        <v>1</v>
      </c>
      <c r="P171" s="1128"/>
      <c r="Q171" s="313">
        <f t="shared" si="33"/>
        <v>1</v>
      </c>
      <c r="R171" s="1124">
        <f t="shared" si="34"/>
        <v>0</v>
      </c>
      <c r="S171" s="698">
        <f t="shared" si="25"/>
        <v>0</v>
      </c>
    </row>
    <row r="172" spans="1:19">
      <c r="A172" s="491"/>
      <c r="B172" s="348"/>
      <c r="C172" s="313">
        <f t="shared" si="26"/>
        <v>1</v>
      </c>
      <c r="D172" s="1128"/>
      <c r="E172" s="313">
        <f t="shared" si="27"/>
        <v>1</v>
      </c>
      <c r="F172" s="1128"/>
      <c r="G172" s="313">
        <f t="shared" si="28"/>
        <v>1</v>
      </c>
      <c r="H172" s="1128"/>
      <c r="I172" s="313">
        <f t="shared" si="29"/>
        <v>1</v>
      </c>
      <c r="J172" s="1128"/>
      <c r="K172" s="313">
        <f t="shared" si="30"/>
        <v>1</v>
      </c>
      <c r="L172" s="1128"/>
      <c r="M172" s="313">
        <f t="shared" si="31"/>
        <v>1</v>
      </c>
      <c r="N172" s="1128"/>
      <c r="O172" s="313">
        <f t="shared" si="32"/>
        <v>1</v>
      </c>
      <c r="P172" s="1128"/>
      <c r="Q172" s="313">
        <f t="shared" si="33"/>
        <v>1</v>
      </c>
      <c r="R172" s="1124">
        <f t="shared" si="34"/>
        <v>0</v>
      </c>
      <c r="S172" s="698">
        <f t="shared" si="25"/>
        <v>0</v>
      </c>
    </row>
    <row r="173" spans="1:19">
      <c r="A173" s="491"/>
      <c r="B173" s="348"/>
      <c r="C173" s="313">
        <f t="shared" si="26"/>
        <v>1</v>
      </c>
      <c r="D173" s="1128"/>
      <c r="E173" s="313">
        <f t="shared" si="27"/>
        <v>1</v>
      </c>
      <c r="F173" s="1128"/>
      <c r="G173" s="313">
        <f t="shared" si="28"/>
        <v>1</v>
      </c>
      <c r="H173" s="1128"/>
      <c r="I173" s="313">
        <f t="shared" si="29"/>
        <v>1</v>
      </c>
      <c r="J173" s="1128"/>
      <c r="K173" s="313">
        <f t="shared" si="30"/>
        <v>1</v>
      </c>
      <c r="L173" s="1128"/>
      <c r="M173" s="313">
        <f t="shared" si="31"/>
        <v>1</v>
      </c>
      <c r="N173" s="1128"/>
      <c r="O173" s="313">
        <f t="shared" si="32"/>
        <v>1</v>
      </c>
      <c r="P173" s="1128"/>
      <c r="Q173" s="313">
        <f t="shared" si="33"/>
        <v>1</v>
      </c>
      <c r="R173" s="1124">
        <f t="shared" si="34"/>
        <v>0</v>
      </c>
      <c r="S173" s="698">
        <f t="shared" si="25"/>
        <v>0</v>
      </c>
    </row>
    <row r="174" spans="1:19">
      <c r="A174" s="491"/>
      <c r="B174" s="348"/>
      <c r="C174" s="313">
        <f t="shared" si="26"/>
        <v>1</v>
      </c>
      <c r="D174" s="1128"/>
      <c r="E174" s="313">
        <f t="shared" si="27"/>
        <v>1</v>
      </c>
      <c r="F174" s="1128"/>
      <c r="G174" s="313">
        <f t="shared" si="28"/>
        <v>1</v>
      </c>
      <c r="H174" s="1128"/>
      <c r="I174" s="313">
        <f t="shared" si="29"/>
        <v>1</v>
      </c>
      <c r="J174" s="1128"/>
      <c r="K174" s="313">
        <f t="shared" si="30"/>
        <v>1</v>
      </c>
      <c r="L174" s="1128"/>
      <c r="M174" s="313">
        <f t="shared" si="31"/>
        <v>1</v>
      </c>
      <c r="N174" s="1128"/>
      <c r="O174" s="313">
        <f t="shared" si="32"/>
        <v>1</v>
      </c>
      <c r="P174" s="1128"/>
      <c r="Q174" s="313">
        <f t="shared" si="33"/>
        <v>1</v>
      </c>
      <c r="R174" s="1124">
        <f t="shared" si="34"/>
        <v>0</v>
      </c>
      <c r="S174" s="698">
        <f t="shared" si="25"/>
        <v>0</v>
      </c>
    </row>
    <row r="175" spans="1:19">
      <c r="A175" s="491"/>
      <c r="B175" s="348"/>
      <c r="C175" s="313">
        <f t="shared" si="26"/>
        <v>1</v>
      </c>
      <c r="D175" s="1128"/>
      <c r="E175" s="313">
        <f t="shared" si="27"/>
        <v>1</v>
      </c>
      <c r="F175" s="1128"/>
      <c r="G175" s="313">
        <f t="shared" si="28"/>
        <v>1</v>
      </c>
      <c r="H175" s="1128"/>
      <c r="I175" s="313">
        <f t="shared" si="29"/>
        <v>1</v>
      </c>
      <c r="J175" s="1128"/>
      <c r="K175" s="313">
        <f t="shared" si="30"/>
        <v>1</v>
      </c>
      <c r="L175" s="1128"/>
      <c r="M175" s="313">
        <f t="shared" si="31"/>
        <v>1</v>
      </c>
      <c r="N175" s="1128"/>
      <c r="O175" s="313">
        <f t="shared" si="32"/>
        <v>1</v>
      </c>
      <c r="P175" s="1128"/>
      <c r="Q175" s="313">
        <f t="shared" si="33"/>
        <v>1</v>
      </c>
      <c r="R175" s="1124">
        <f t="shared" si="34"/>
        <v>0</v>
      </c>
      <c r="S175" s="698">
        <f t="shared" si="25"/>
        <v>0</v>
      </c>
    </row>
    <row r="176" spans="1:19">
      <c r="A176" s="491"/>
      <c r="B176" s="348"/>
      <c r="C176" s="313">
        <f t="shared" si="26"/>
        <v>1</v>
      </c>
      <c r="D176" s="1128"/>
      <c r="E176" s="313">
        <f t="shared" si="27"/>
        <v>1</v>
      </c>
      <c r="F176" s="1128"/>
      <c r="G176" s="313">
        <f t="shared" si="28"/>
        <v>1</v>
      </c>
      <c r="H176" s="1128"/>
      <c r="I176" s="313">
        <f t="shared" si="29"/>
        <v>1</v>
      </c>
      <c r="J176" s="1128"/>
      <c r="K176" s="313">
        <f t="shared" si="30"/>
        <v>1</v>
      </c>
      <c r="L176" s="1128"/>
      <c r="M176" s="313">
        <f t="shared" si="31"/>
        <v>1</v>
      </c>
      <c r="N176" s="1128"/>
      <c r="O176" s="313">
        <f t="shared" si="32"/>
        <v>1</v>
      </c>
      <c r="P176" s="1128"/>
      <c r="Q176" s="313">
        <f t="shared" si="33"/>
        <v>1</v>
      </c>
      <c r="R176" s="1124">
        <f t="shared" si="34"/>
        <v>0</v>
      </c>
      <c r="S176" s="698">
        <f t="shared" si="25"/>
        <v>0</v>
      </c>
    </row>
    <row r="177" spans="1:19">
      <c r="A177" s="491"/>
      <c r="B177" s="348"/>
      <c r="C177" s="313">
        <f t="shared" si="26"/>
        <v>1</v>
      </c>
      <c r="D177" s="1128"/>
      <c r="E177" s="313">
        <f t="shared" si="27"/>
        <v>1</v>
      </c>
      <c r="F177" s="1128"/>
      <c r="G177" s="313">
        <f t="shared" si="28"/>
        <v>1</v>
      </c>
      <c r="H177" s="1128"/>
      <c r="I177" s="313">
        <f t="shared" si="29"/>
        <v>1</v>
      </c>
      <c r="J177" s="1128"/>
      <c r="K177" s="313">
        <f t="shared" si="30"/>
        <v>1</v>
      </c>
      <c r="L177" s="1128"/>
      <c r="M177" s="313">
        <f t="shared" si="31"/>
        <v>1</v>
      </c>
      <c r="N177" s="1128"/>
      <c r="O177" s="313">
        <f t="shared" si="32"/>
        <v>1</v>
      </c>
      <c r="P177" s="1128"/>
      <c r="Q177" s="313">
        <f t="shared" si="33"/>
        <v>1</v>
      </c>
      <c r="R177" s="1124">
        <f t="shared" si="34"/>
        <v>0</v>
      </c>
      <c r="S177" s="698">
        <f t="shared" si="25"/>
        <v>0</v>
      </c>
    </row>
    <row r="178" spans="1:19">
      <c r="A178" s="491"/>
      <c r="B178" s="348"/>
      <c r="C178" s="313">
        <f t="shared" si="26"/>
        <v>1</v>
      </c>
      <c r="D178" s="1128"/>
      <c r="E178" s="313">
        <f t="shared" si="27"/>
        <v>1</v>
      </c>
      <c r="F178" s="1128"/>
      <c r="G178" s="313">
        <f t="shared" si="28"/>
        <v>1</v>
      </c>
      <c r="H178" s="1128"/>
      <c r="I178" s="313">
        <f t="shared" si="29"/>
        <v>1</v>
      </c>
      <c r="J178" s="1128"/>
      <c r="K178" s="313">
        <f t="shared" si="30"/>
        <v>1</v>
      </c>
      <c r="L178" s="1128"/>
      <c r="M178" s="313">
        <f t="shared" si="31"/>
        <v>1</v>
      </c>
      <c r="N178" s="1128"/>
      <c r="O178" s="313">
        <f t="shared" si="32"/>
        <v>1</v>
      </c>
      <c r="P178" s="1128"/>
      <c r="Q178" s="313">
        <f t="shared" si="33"/>
        <v>1</v>
      </c>
      <c r="R178" s="1124">
        <f t="shared" si="34"/>
        <v>0</v>
      </c>
      <c r="S178" s="698">
        <f t="shared" si="25"/>
        <v>0</v>
      </c>
    </row>
    <row r="179" spans="1:19">
      <c r="A179" s="491"/>
      <c r="B179" s="348"/>
      <c r="C179" s="313">
        <f t="shared" si="26"/>
        <v>1</v>
      </c>
      <c r="D179" s="1128"/>
      <c r="E179" s="313">
        <f t="shared" si="27"/>
        <v>1</v>
      </c>
      <c r="F179" s="1128"/>
      <c r="G179" s="313">
        <f t="shared" si="28"/>
        <v>1</v>
      </c>
      <c r="H179" s="1128"/>
      <c r="I179" s="313">
        <f t="shared" si="29"/>
        <v>1</v>
      </c>
      <c r="J179" s="1128"/>
      <c r="K179" s="313">
        <f t="shared" si="30"/>
        <v>1</v>
      </c>
      <c r="L179" s="1128"/>
      <c r="M179" s="313">
        <f t="shared" si="31"/>
        <v>1</v>
      </c>
      <c r="N179" s="1128"/>
      <c r="O179" s="313">
        <f t="shared" si="32"/>
        <v>1</v>
      </c>
      <c r="P179" s="1128"/>
      <c r="Q179" s="313">
        <f t="shared" si="33"/>
        <v>1</v>
      </c>
      <c r="R179" s="1124">
        <f t="shared" si="34"/>
        <v>0</v>
      </c>
      <c r="S179" s="698">
        <f t="shared" si="25"/>
        <v>0</v>
      </c>
    </row>
    <row r="180" spans="1:19">
      <c r="A180" s="491"/>
      <c r="B180" s="348"/>
      <c r="C180" s="313">
        <f t="shared" si="26"/>
        <v>1</v>
      </c>
      <c r="D180" s="1128"/>
      <c r="E180" s="313">
        <f t="shared" si="27"/>
        <v>1</v>
      </c>
      <c r="F180" s="1128"/>
      <c r="G180" s="313">
        <f t="shared" si="28"/>
        <v>1</v>
      </c>
      <c r="H180" s="1128"/>
      <c r="I180" s="313">
        <f t="shared" si="29"/>
        <v>1</v>
      </c>
      <c r="J180" s="1128"/>
      <c r="K180" s="313">
        <f t="shared" si="30"/>
        <v>1</v>
      </c>
      <c r="L180" s="1128"/>
      <c r="M180" s="313">
        <f t="shared" si="31"/>
        <v>1</v>
      </c>
      <c r="N180" s="1128"/>
      <c r="O180" s="313">
        <f t="shared" si="32"/>
        <v>1</v>
      </c>
      <c r="P180" s="1128"/>
      <c r="Q180" s="313">
        <f t="shared" si="33"/>
        <v>1</v>
      </c>
      <c r="R180" s="1124">
        <f t="shared" si="34"/>
        <v>0</v>
      </c>
      <c r="S180" s="698">
        <f t="shared" si="25"/>
        <v>0</v>
      </c>
    </row>
    <row r="181" spans="1:19">
      <c r="A181" s="491"/>
      <c r="B181" s="348"/>
      <c r="C181" s="313">
        <f t="shared" si="26"/>
        <v>1</v>
      </c>
      <c r="D181" s="1128"/>
      <c r="E181" s="313">
        <f t="shared" si="27"/>
        <v>1</v>
      </c>
      <c r="F181" s="1128"/>
      <c r="G181" s="313">
        <f t="shared" si="28"/>
        <v>1</v>
      </c>
      <c r="H181" s="1128"/>
      <c r="I181" s="313">
        <f t="shared" si="29"/>
        <v>1</v>
      </c>
      <c r="J181" s="1128"/>
      <c r="K181" s="313">
        <f t="shared" si="30"/>
        <v>1</v>
      </c>
      <c r="L181" s="1128"/>
      <c r="M181" s="313">
        <f t="shared" si="31"/>
        <v>1</v>
      </c>
      <c r="N181" s="1128"/>
      <c r="O181" s="313">
        <f t="shared" si="32"/>
        <v>1</v>
      </c>
      <c r="P181" s="1128"/>
      <c r="Q181" s="313">
        <f t="shared" si="33"/>
        <v>1</v>
      </c>
      <c r="R181" s="1124">
        <f t="shared" si="34"/>
        <v>0</v>
      </c>
      <c r="S181" s="698">
        <f t="shared" si="25"/>
        <v>0</v>
      </c>
    </row>
    <row r="182" spans="1:19">
      <c r="A182" s="491"/>
      <c r="B182" s="348"/>
      <c r="C182" s="313">
        <f t="shared" si="26"/>
        <v>1</v>
      </c>
      <c r="D182" s="1128"/>
      <c r="E182" s="313">
        <f t="shared" si="27"/>
        <v>1</v>
      </c>
      <c r="F182" s="1128"/>
      <c r="G182" s="313">
        <f t="shared" si="28"/>
        <v>1</v>
      </c>
      <c r="H182" s="1128"/>
      <c r="I182" s="313">
        <f t="shared" si="29"/>
        <v>1</v>
      </c>
      <c r="J182" s="1128"/>
      <c r="K182" s="313">
        <f t="shared" si="30"/>
        <v>1</v>
      </c>
      <c r="L182" s="1128"/>
      <c r="M182" s="313">
        <f t="shared" si="31"/>
        <v>1</v>
      </c>
      <c r="N182" s="1128"/>
      <c r="O182" s="313">
        <f t="shared" si="32"/>
        <v>1</v>
      </c>
      <c r="P182" s="1128"/>
      <c r="Q182" s="313">
        <f t="shared" si="33"/>
        <v>1</v>
      </c>
      <c r="R182" s="1124">
        <f t="shared" si="34"/>
        <v>0</v>
      </c>
      <c r="S182" s="698">
        <f t="shared" si="25"/>
        <v>0</v>
      </c>
    </row>
    <row r="183" spans="1:19">
      <c r="A183" s="491"/>
      <c r="B183" s="348"/>
      <c r="C183" s="313">
        <f t="shared" si="26"/>
        <v>1</v>
      </c>
      <c r="D183" s="1128"/>
      <c r="E183" s="313">
        <f t="shared" si="27"/>
        <v>1</v>
      </c>
      <c r="F183" s="1128"/>
      <c r="G183" s="313">
        <f t="shared" si="28"/>
        <v>1</v>
      </c>
      <c r="H183" s="1128"/>
      <c r="I183" s="313">
        <f t="shared" si="29"/>
        <v>1</v>
      </c>
      <c r="J183" s="1128"/>
      <c r="K183" s="313">
        <f t="shared" si="30"/>
        <v>1</v>
      </c>
      <c r="L183" s="1128"/>
      <c r="M183" s="313">
        <f t="shared" si="31"/>
        <v>1</v>
      </c>
      <c r="N183" s="1128"/>
      <c r="O183" s="313">
        <f t="shared" si="32"/>
        <v>1</v>
      </c>
      <c r="P183" s="1128"/>
      <c r="Q183" s="313">
        <f t="shared" si="33"/>
        <v>1</v>
      </c>
      <c r="R183" s="1124">
        <f t="shared" si="34"/>
        <v>0</v>
      </c>
      <c r="S183" s="698">
        <f t="shared" si="25"/>
        <v>0</v>
      </c>
    </row>
    <row r="184" spans="1:19">
      <c r="A184" s="491"/>
      <c r="B184" s="348"/>
      <c r="C184" s="313">
        <f t="shared" si="26"/>
        <v>1</v>
      </c>
      <c r="D184" s="1128"/>
      <c r="E184" s="313">
        <f t="shared" si="27"/>
        <v>1</v>
      </c>
      <c r="F184" s="1128"/>
      <c r="G184" s="313">
        <f t="shared" si="28"/>
        <v>1</v>
      </c>
      <c r="H184" s="1128"/>
      <c r="I184" s="313">
        <f t="shared" si="29"/>
        <v>1</v>
      </c>
      <c r="J184" s="1128"/>
      <c r="K184" s="313">
        <f t="shared" si="30"/>
        <v>1</v>
      </c>
      <c r="L184" s="1128"/>
      <c r="M184" s="313">
        <f t="shared" si="31"/>
        <v>1</v>
      </c>
      <c r="N184" s="1128"/>
      <c r="O184" s="313">
        <f t="shared" si="32"/>
        <v>1</v>
      </c>
      <c r="P184" s="1128"/>
      <c r="Q184" s="313">
        <f t="shared" si="33"/>
        <v>1</v>
      </c>
      <c r="R184" s="1124">
        <f t="shared" si="34"/>
        <v>0</v>
      </c>
      <c r="S184" s="698">
        <f t="shared" si="25"/>
        <v>0</v>
      </c>
    </row>
    <row r="185" spans="1:19">
      <c r="A185" s="491"/>
      <c r="B185" s="348"/>
      <c r="C185" s="313">
        <f t="shared" si="26"/>
        <v>1</v>
      </c>
      <c r="D185" s="1128"/>
      <c r="E185" s="313">
        <f t="shared" si="27"/>
        <v>1</v>
      </c>
      <c r="F185" s="1128"/>
      <c r="G185" s="313">
        <f t="shared" si="28"/>
        <v>1</v>
      </c>
      <c r="H185" s="1128"/>
      <c r="I185" s="313">
        <f t="shared" si="29"/>
        <v>1</v>
      </c>
      <c r="J185" s="1128"/>
      <c r="K185" s="313">
        <f t="shared" si="30"/>
        <v>1</v>
      </c>
      <c r="L185" s="1128"/>
      <c r="M185" s="313">
        <f t="shared" si="31"/>
        <v>1</v>
      </c>
      <c r="N185" s="1128"/>
      <c r="O185" s="313">
        <f t="shared" si="32"/>
        <v>1</v>
      </c>
      <c r="P185" s="1128"/>
      <c r="Q185" s="313">
        <f t="shared" si="33"/>
        <v>1</v>
      </c>
      <c r="R185" s="1124">
        <f t="shared" si="34"/>
        <v>0</v>
      </c>
      <c r="S185" s="698">
        <f t="shared" si="25"/>
        <v>0</v>
      </c>
    </row>
    <row r="186" spans="1:19">
      <c r="A186" s="491"/>
      <c r="B186" s="348"/>
      <c r="C186" s="313">
        <f t="shared" si="26"/>
        <v>1</v>
      </c>
      <c r="D186" s="1128"/>
      <c r="E186" s="313">
        <f t="shared" si="27"/>
        <v>1</v>
      </c>
      <c r="F186" s="1128"/>
      <c r="G186" s="313">
        <f t="shared" si="28"/>
        <v>1</v>
      </c>
      <c r="H186" s="1128"/>
      <c r="I186" s="313">
        <f t="shared" si="29"/>
        <v>1</v>
      </c>
      <c r="J186" s="1128"/>
      <c r="K186" s="313">
        <f t="shared" si="30"/>
        <v>1</v>
      </c>
      <c r="L186" s="1128"/>
      <c r="M186" s="313">
        <f t="shared" si="31"/>
        <v>1</v>
      </c>
      <c r="N186" s="1128"/>
      <c r="O186" s="313">
        <f t="shared" si="32"/>
        <v>1</v>
      </c>
      <c r="P186" s="1128"/>
      <c r="Q186" s="313">
        <f t="shared" si="33"/>
        <v>1</v>
      </c>
      <c r="R186" s="1124">
        <f t="shared" si="34"/>
        <v>0</v>
      </c>
      <c r="S186" s="698">
        <f t="shared" si="25"/>
        <v>0</v>
      </c>
    </row>
    <row r="187" spans="1:19">
      <c r="A187" s="491"/>
      <c r="B187" s="348"/>
      <c r="C187" s="313">
        <f t="shared" si="26"/>
        <v>1</v>
      </c>
      <c r="D187" s="1128"/>
      <c r="E187" s="313">
        <f t="shared" si="27"/>
        <v>1</v>
      </c>
      <c r="F187" s="1128"/>
      <c r="G187" s="313">
        <f t="shared" si="28"/>
        <v>1</v>
      </c>
      <c r="H187" s="1128"/>
      <c r="I187" s="313">
        <f t="shared" si="29"/>
        <v>1</v>
      </c>
      <c r="J187" s="1128"/>
      <c r="K187" s="313">
        <f t="shared" si="30"/>
        <v>1</v>
      </c>
      <c r="L187" s="1128"/>
      <c r="M187" s="313">
        <f t="shared" si="31"/>
        <v>1</v>
      </c>
      <c r="N187" s="1128"/>
      <c r="O187" s="313">
        <f t="shared" si="32"/>
        <v>1</v>
      </c>
      <c r="P187" s="1128"/>
      <c r="Q187" s="313">
        <f t="shared" si="33"/>
        <v>1</v>
      </c>
      <c r="R187" s="1124">
        <f t="shared" si="34"/>
        <v>0</v>
      </c>
      <c r="S187" s="698">
        <f t="shared" si="25"/>
        <v>0</v>
      </c>
    </row>
    <row r="188" spans="1:19">
      <c r="A188" s="491"/>
      <c r="B188" s="348"/>
      <c r="C188" s="313">
        <f t="shared" si="26"/>
        <v>1</v>
      </c>
      <c r="D188" s="1128"/>
      <c r="E188" s="313">
        <f t="shared" si="27"/>
        <v>1</v>
      </c>
      <c r="F188" s="1128"/>
      <c r="G188" s="313">
        <f t="shared" si="28"/>
        <v>1</v>
      </c>
      <c r="H188" s="1128"/>
      <c r="I188" s="313">
        <f t="shared" si="29"/>
        <v>1</v>
      </c>
      <c r="J188" s="1128"/>
      <c r="K188" s="313">
        <f t="shared" si="30"/>
        <v>1</v>
      </c>
      <c r="L188" s="1128"/>
      <c r="M188" s="313">
        <f t="shared" si="31"/>
        <v>1</v>
      </c>
      <c r="N188" s="1128"/>
      <c r="O188" s="313">
        <f t="shared" si="32"/>
        <v>1</v>
      </c>
      <c r="P188" s="1128"/>
      <c r="Q188" s="313">
        <f t="shared" si="33"/>
        <v>1</v>
      </c>
      <c r="R188" s="1124">
        <f t="shared" si="34"/>
        <v>0</v>
      </c>
      <c r="S188" s="698">
        <f t="shared" si="25"/>
        <v>0</v>
      </c>
    </row>
    <row r="189" spans="1:19">
      <c r="A189" s="491"/>
      <c r="B189" s="348"/>
      <c r="C189" s="313">
        <f t="shared" si="26"/>
        <v>1</v>
      </c>
      <c r="D189" s="1128"/>
      <c r="E189" s="313">
        <f t="shared" si="27"/>
        <v>1</v>
      </c>
      <c r="F189" s="1128"/>
      <c r="G189" s="313">
        <f t="shared" si="28"/>
        <v>1</v>
      </c>
      <c r="H189" s="1128"/>
      <c r="I189" s="313">
        <f t="shared" si="29"/>
        <v>1</v>
      </c>
      <c r="J189" s="1128"/>
      <c r="K189" s="313">
        <f t="shared" si="30"/>
        <v>1</v>
      </c>
      <c r="L189" s="1128"/>
      <c r="M189" s="313">
        <f t="shared" si="31"/>
        <v>1</v>
      </c>
      <c r="N189" s="1128"/>
      <c r="O189" s="313">
        <f t="shared" si="32"/>
        <v>1</v>
      </c>
      <c r="P189" s="1128"/>
      <c r="Q189" s="313">
        <f t="shared" si="33"/>
        <v>1</v>
      </c>
      <c r="R189" s="1124">
        <f t="shared" si="34"/>
        <v>0</v>
      </c>
      <c r="S189" s="698">
        <f t="shared" si="25"/>
        <v>0</v>
      </c>
    </row>
    <row r="190" spans="1:19">
      <c r="A190" s="491"/>
      <c r="B190" s="348"/>
      <c r="C190" s="313">
        <f t="shared" si="26"/>
        <v>1</v>
      </c>
      <c r="D190" s="1128"/>
      <c r="E190" s="313">
        <f t="shared" si="27"/>
        <v>1</v>
      </c>
      <c r="F190" s="1128"/>
      <c r="G190" s="313">
        <f t="shared" si="28"/>
        <v>1</v>
      </c>
      <c r="H190" s="1128"/>
      <c r="I190" s="313">
        <f t="shared" si="29"/>
        <v>1</v>
      </c>
      <c r="J190" s="1128"/>
      <c r="K190" s="313">
        <f t="shared" si="30"/>
        <v>1</v>
      </c>
      <c r="L190" s="1128"/>
      <c r="M190" s="313">
        <f t="shared" si="31"/>
        <v>1</v>
      </c>
      <c r="N190" s="1128"/>
      <c r="O190" s="313">
        <f t="shared" si="32"/>
        <v>1</v>
      </c>
      <c r="P190" s="1128"/>
      <c r="Q190" s="313">
        <f t="shared" si="33"/>
        <v>1</v>
      </c>
      <c r="R190" s="1124">
        <f t="shared" si="34"/>
        <v>0</v>
      </c>
      <c r="S190" s="698">
        <f t="shared" si="25"/>
        <v>0</v>
      </c>
    </row>
    <row r="191" spans="1:19">
      <c r="A191" s="491"/>
      <c r="B191" s="348"/>
      <c r="C191" s="313">
        <f t="shared" si="26"/>
        <v>1</v>
      </c>
      <c r="D191" s="1128"/>
      <c r="E191" s="313">
        <f t="shared" si="27"/>
        <v>1</v>
      </c>
      <c r="F191" s="1128"/>
      <c r="G191" s="313">
        <f t="shared" si="28"/>
        <v>1</v>
      </c>
      <c r="H191" s="1128"/>
      <c r="I191" s="313">
        <f t="shared" si="29"/>
        <v>1</v>
      </c>
      <c r="J191" s="1128"/>
      <c r="K191" s="313">
        <f t="shared" si="30"/>
        <v>1</v>
      </c>
      <c r="L191" s="1128"/>
      <c r="M191" s="313">
        <f t="shared" si="31"/>
        <v>1</v>
      </c>
      <c r="N191" s="1128"/>
      <c r="O191" s="313">
        <f t="shared" si="32"/>
        <v>1</v>
      </c>
      <c r="P191" s="1128"/>
      <c r="Q191" s="313">
        <f t="shared" si="33"/>
        <v>1</v>
      </c>
      <c r="R191" s="1124">
        <f t="shared" si="34"/>
        <v>0</v>
      </c>
      <c r="S191" s="698">
        <f t="shared" si="25"/>
        <v>0</v>
      </c>
    </row>
    <row r="192" spans="1:19">
      <c r="A192" s="491"/>
      <c r="B192" s="348"/>
      <c r="C192" s="313">
        <f t="shared" si="26"/>
        <v>1</v>
      </c>
      <c r="D192" s="1128"/>
      <c r="E192" s="313">
        <f t="shared" si="27"/>
        <v>1</v>
      </c>
      <c r="F192" s="1128"/>
      <c r="G192" s="313">
        <f t="shared" si="28"/>
        <v>1</v>
      </c>
      <c r="H192" s="1128"/>
      <c r="I192" s="313">
        <f t="shared" si="29"/>
        <v>1</v>
      </c>
      <c r="J192" s="1128"/>
      <c r="K192" s="313">
        <f t="shared" si="30"/>
        <v>1</v>
      </c>
      <c r="L192" s="1128"/>
      <c r="M192" s="313">
        <f t="shared" si="31"/>
        <v>1</v>
      </c>
      <c r="N192" s="1128"/>
      <c r="O192" s="313">
        <f t="shared" si="32"/>
        <v>1</v>
      </c>
      <c r="P192" s="1128"/>
      <c r="Q192" s="313">
        <f t="shared" si="33"/>
        <v>1</v>
      </c>
      <c r="R192" s="1124">
        <f t="shared" si="34"/>
        <v>0</v>
      </c>
      <c r="S192" s="698">
        <f t="shared" si="25"/>
        <v>0</v>
      </c>
    </row>
    <row r="193" spans="1:19">
      <c r="A193" s="491"/>
      <c r="B193" s="348"/>
      <c r="C193" s="313">
        <f t="shared" si="26"/>
        <v>1</v>
      </c>
      <c r="D193" s="1128"/>
      <c r="E193" s="313">
        <f t="shared" si="27"/>
        <v>1</v>
      </c>
      <c r="F193" s="1128"/>
      <c r="G193" s="313">
        <f t="shared" si="28"/>
        <v>1</v>
      </c>
      <c r="H193" s="1128"/>
      <c r="I193" s="313">
        <f t="shared" si="29"/>
        <v>1</v>
      </c>
      <c r="J193" s="1128"/>
      <c r="K193" s="313">
        <f t="shared" si="30"/>
        <v>1</v>
      </c>
      <c r="L193" s="1128"/>
      <c r="M193" s="313">
        <f t="shared" si="31"/>
        <v>1</v>
      </c>
      <c r="N193" s="1128"/>
      <c r="O193" s="313">
        <f t="shared" si="32"/>
        <v>1</v>
      </c>
      <c r="P193" s="1128"/>
      <c r="Q193" s="313">
        <f t="shared" si="33"/>
        <v>1</v>
      </c>
      <c r="R193" s="1124">
        <f t="shared" si="34"/>
        <v>0</v>
      </c>
      <c r="S193" s="698">
        <f t="shared" si="25"/>
        <v>0</v>
      </c>
    </row>
    <row r="194" spans="1:19">
      <c r="A194" s="491"/>
      <c r="B194" s="348"/>
      <c r="C194" s="313">
        <f t="shared" si="26"/>
        <v>1</v>
      </c>
      <c r="D194" s="1128"/>
      <c r="E194" s="313">
        <f t="shared" si="27"/>
        <v>1</v>
      </c>
      <c r="F194" s="1128"/>
      <c r="G194" s="313">
        <f t="shared" si="28"/>
        <v>1</v>
      </c>
      <c r="H194" s="1128"/>
      <c r="I194" s="313">
        <f t="shared" si="29"/>
        <v>1</v>
      </c>
      <c r="J194" s="1128"/>
      <c r="K194" s="313">
        <f t="shared" si="30"/>
        <v>1</v>
      </c>
      <c r="L194" s="1128"/>
      <c r="M194" s="313">
        <f t="shared" si="31"/>
        <v>1</v>
      </c>
      <c r="N194" s="1128"/>
      <c r="O194" s="313">
        <f t="shared" si="32"/>
        <v>1</v>
      </c>
      <c r="P194" s="1128"/>
      <c r="Q194" s="313">
        <f t="shared" si="33"/>
        <v>1</v>
      </c>
      <c r="R194" s="1124">
        <f t="shared" si="34"/>
        <v>0</v>
      </c>
      <c r="S194" s="698">
        <f t="shared" si="25"/>
        <v>0</v>
      </c>
    </row>
    <row r="195" spans="1:19">
      <c r="A195" s="491"/>
      <c r="B195" s="348"/>
      <c r="C195" s="313">
        <f t="shared" si="26"/>
        <v>1</v>
      </c>
      <c r="D195" s="1128"/>
      <c r="E195" s="313">
        <f t="shared" si="27"/>
        <v>1</v>
      </c>
      <c r="F195" s="1128"/>
      <c r="G195" s="313">
        <f t="shared" si="28"/>
        <v>1</v>
      </c>
      <c r="H195" s="1128"/>
      <c r="I195" s="313">
        <f t="shared" si="29"/>
        <v>1</v>
      </c>
      <c r="J195" s="1128"/>
      <c r="K195" s="313">
        <f t="shared" si="30"/>
        <v>1</v>
      </c>
      <c r="L195" s="1128"/>
      <c r="M195" s="313">
        <f t="shared" si="31"/>
        <v>1</v>
      </c>
      <c r="N195" s="1128"/>
      <c r="O195" s="313">
        <f t="shared" si="32"/>
        <v>1</v>
      </c>
      <c r="P195" s="1128"/>
      <c r="Q195" s="313">
        <f t="shared" si="33"/>
        <v>1</v>
      </c>
      <c r="R195" s="1124">
        <f t="shared" si="34"/>
        <v>0</v>
      </c>
      <c r="S195" s="698">
        <f t="shared" si="25"/>
        <v>0</v>
      </c>
    </row>
    <row r="196" spans="1:19">
      <c r="A196" s="491"/>
      <c r="B196" s="348"/>
      <c r="C196" s="313">
        <f t="shared" si="26"/>
        <v>1</v>
      </c>
      <c r="D196" s="1128"/>
      <c r="E196" s="313">
        <f t="shared" si="27"/>
        <v>1</v>
      </c>
      <c r="F196" s="1128"/>
      <c r="G196" s="313">
        <f t="shared" si="28"/>
        <v>1</v>
      </c>
      <c r="H196" s="1128"/>
      <c r="I196" s="313">
        <f t="shared" si="29"/>
        <v>1</v>
      </c>
      <c r="J196" s="1128"/>
      <c r="K196" s="313">
        <f t="shared" si="30"/>
        <v>1</v>
      </c>
      <c r="L196" s="1128"/>
      <c r="M196" s="313">
        <f t="shared" si="31"/>
        <v>1</v>
      </c>
      <c r="N196" s="1128"/>
      <c r="O196" s="313">
        <f t="shared" si="32"/>
        <v>1</v>
      </c>
      <c r="P196" s="1128"/>
      <c r="Q196" s="313">
        <f t="shared" si="33"/>
        <v>1</v>
      </c>
      <c r="R196" s="1124">
        <f t="shared" si="34"/>
        <v>0</v>
      </c>
      <c r="S196" s="698">
        <f t="shared" si="25"/>
        <v>0</v>
      </c>
    </row>
    <row r="197" spans="1:19">
      <c r="A197" s="491"/>
      <c r="B197" s="348"/>
      <c r="C197" s="313">
        <f t="shared" si="26"/>
        <v>1</v>
      </c>
      <c r="D197" s="1128"/>
      <c r="E197" s="313">
        <f t="shared" si="27"/>
        <v>1</v>
      </c>
      <c r="F197" s="1128"/>
      <c r="G197" s="313">
        <f t="shared" si="28"/>
        <v>1</v>
      </c>
      <c r="H197" s="1128"/>
      <c r="I197" s="313">
        <f t="shared" si="29"/>
        <v>1</v>
      </c>
      <c r="J197" s="1128"/>
      <c r="K197" s="313">
        <f t="shared" si="30"/>
        <v>1</v>
      </c>
      <c r="L197" s="1128"/>
      <c r="M197" s="313">
        <f t="shared" si="31"/>
        <v>1</v>
      </c>
      <c r="N197" s="1128"/>
      <c r="O197" s="313">
        <f t="shared" si="32"/>
        <v>1</v>
      </c>
      <c r="P197" s="1128"/>
      <c r="Q197" s="313">
        <f t="shared" si="33"/>
        <v>1</v>
      </c>
      <c r="R197" s="1124">
        <f t="shared" si="34"/>
        <v>0</v>
      </c>
      <c r="S197" s="698">
        <f t="shared" si="25"/>
        <v>0</v>
      </c>
    </row>
    <row r="198" spans="1:19">
      <c r="A198" s="491"/>
      <c r="B198" s="348"/>
      <c r="C198" s="313">
        <f t="shared" si="26"/>
        <v>1</v>
      </c>
      <c r="D198" s="1128"/>
      <c r="E198" s="313">
        <f t="shared" si="27"/>
        <v>1</v>
      </c>
      <c r="F198" s="1128"/>
      <c r="G198" s="313">
        <f t="shared" si="28"/>
        <v>1</v>
      </c>
      <c r="H198" s="1128"/>
      <c r="I198" s="313">
        <f t="shared" si="29"/>
        <v>1</v>
      </c>
      <c r="J198" s="1128"/>
      <c r="K198" s="313">
        <f t="shared" si="30"/>
        <v>1</v>
      </c>
      <c r="L198" s="1128"/>
      <c r="M198" s="313">
        <f t="shared" si="31"/>
        <v>1</v>
      </c>
      <c r="N198" s="1128"/>
      <c r="O198" s="313">
        <f t="shared" si="32"/>
        <v>1</v>
      </c>
      <c r="P198" s="1128"/>
      <c r="Q198" s="313">
        <f t="shared" si="33"/>
        <v>1</v>
      </c>
      <c r="R198" s="1124">
        <f t="shared" si="34"/>
        <v>0</v>
      </c>
      <c r="S198" s="698">
        <f t="shared" si="25"/>
        <v>0</v>
      </c>
    </row>
    <row r="199" spans="1:19">
      <c r="A199" s="491"/>
      <c r="B199" s="348"/>
      <c r="C199" s="313">
        <f t="shared" si="26"/>
        <v>1</v>
      </c>
      <c r="D199" s="1128"/>
      <c r="E199" s="313">
        <f t="shared" si="27"/>
        <v>1</v>
      </c>
      <c r="F199" s="1128"/>
      <c r="G199" s="313">
        <f t="shared" si="28"/>
        <v>1</v>
      </c>
      <c r="H199" s="1128"/>
      <c r="I199" s="313">
        <f t="shared" si="29"/>
        <v>1</v>
      </c>
      <c r="J199" s="1128"/>
      <c r="K199" s="313">
        <f t="shared" si="30"/>
        <v>1</v>
      </c>
      <c r="L199" s="1128"/>
      <c r="M199" s="313">
        <f t="shared" si="31"/>
        <v>1</v>
      </c>
      <c r="N199" s="1128"/>
      <c r="O199" s="313">
        <f t="shared" si="32"/>
        <v>1</v>
      </c>
      <c r="P199" s="1128"/>
      <c r="Q199" s="313">
        <f t="shared" si="33"/>
        <v>1</v>
      </c>
      <c r="R199" s="1124">
        <f t="shared" si="34"/>
        <v>0</v>
      </c>
      <c r="S199" s="698">
        <f t="shared" si="25"/>
        <v>0</v>
      </c>
    </row>
    <row r="200" spans="1:19">
      <c r="A200" s="491"/>
      <c r="B200" s="348"/>
      <c r="C200" s="313">
        <f t="shared" si="26"/>
        <v>1</v>
      </c>
      <c r="D200" s="1128"/>
      <c r="E200" s="313">
        <f t="shared" si="27"/>
        <v>1</v>
      </c>
      <c r="F200" s="1128"/>
      <c r="G200" s="313">
        <f t="shared" si="28"/>
        <v>1</v>
      </c>
      <c r="H200" s="1128"/>
      <c r="I200" s="313">
        <f t="shared" si="29"/>
        <v>1</v>
      </c>
      <c r="J200" s="1128"/>
      <c r="K200" s="313">
        <f t="shared" si="30"/>
        <v>1</v>
      </c>
      <c r="L200" s="1128"/>
      <c r="M200" s="313">
        <f t="shared" si="31"/>
        <v>1</v>
      </c>
      <c r="N200" s="1128"/>
      <c r="O200" s="313">
        <f t="shared" si="32"/>
        <v>1</v>
      </c>
      <c r="P200" s="1128"/>
      <c r="Q200" s="313">
        <f t="shared" si="33"/>
        <v>1</v>
      </c>
      <c r="R200" s="1124">
        <f t="shared" si="34"/>
        <v>0</v>
      </c>
      <c r="S200" s="698">
        <f t="shared" si="25"/>
        <v>0</v>
      </c>
    </row>
    <row r="201" spans="1:19">
      <c r="A201" s="491"/>
      <c r="B201" s="348"/>
      <c r="C201" s="313">
        <f t="shared" si="26"/>
        <v>1</v>
      </c>
      <c r="D201" s="1128"/>
      <c r="E201" s="313">
        <f t="shared" si="27"/>
        <v>1</v>
      </c>
      <c r="F201" s="1128"/>
      <c r="G201" s="313">
        <f t="shared" si="28"/>
        <v>1</v>
      </c>
      <c r="H201" s="1128"/>
      <c r="I201" s="313">
        <f t="shared" si="29"/>
        <v>1</v>
      </c>
      <c r="J201" s="1128"/>
      <c r="K201" s="313">
        <f t="shared" si="30"/>
        <v>1</v>
      </c>
      <c r="L201" s="1128"/>
      <c r="M201" s="313">
        <f t="shared" si="31"/>
        <v>1</v>
      </c>
      <c r="N201" s="1128"/>
      <c r="O201" s="313">
        <f t="shared" si="32"/>
        <v>1</v>
      </c>
      <c r="P201" s="1128"/>
      <c r="Q201" s="313">
        <f t="shared" si="33"/>
        <v>1</v>
      </c>
      <c r="R201" s="1124">
        <f t="shared" si="34"/>
        <v>0</v>
      </c>
      <c r="S201" s="698">
        <f t="shared" si="25"/>
        <v>0</v>
      </c>
    </row>
    <row r="202" spans="1:19">
      <c r="A202" s="491"/>
      <c r="B202" s="348"/>
      <c r="C202" s="313">
        <f t="shared" si="26"/>
        <v>1</v>
      </c>
      <c r="D202" s="1128"/>
      <c r="E202" s="313">
        <f t="shared" si="27"/>
        <v>1</v>
      </c>
      <c r="F202" s="1128"/>
      <c r="G202" s="313">
        <f t="shared" si="28"/>
        <v>1</v>
      </c>
      <c r="H202" s="1128"/>
      <c r="I202" s="313">
        <f t="shared" si="29"/>
        <v>1</v>
      </c>
      <c r="J202" s="1128"/>
      <c r="K202" s="313">
        <f t="shared" si="30"/>
        <v>1</v>
      </c>
      <c r="L202" s="1128"/>
      <c r="M202" s="313">
        <f t="shared" si="31"/>
        <v>1</v>
      </c>
      <c r="N202" s="1128"/>
      <c r="O202" s="313">
        <f t="shared" si="32"/>
        <v>1</v>
      </c>
      <c r="P202" s="1128"/>
      <c r="Q202" s="313">
        <f t="shared" si="33"/>
        <v>1</v>
      </c>
      <c r="R202" s="1124">
        <f t="shared" si="34"/>
        <v>0</v>
      </c>
      <c r="S202" s="698">
        <f t="shared" si="25"/>
        <v>0</v>
      </c>
    </row>
    <row r="203" spans="1:19">
      <c r="A203" s="491"/>
      <c r="B203" s="348"/>
      <c r="C203" s="313">
        <f t="shared" si="26"/>
        <v>1</v>
      </c>
      <c r="D203" s="1128"/>
      <c r="E203" s="313">
        <f t="shared" si="27"/>
        <v>1</v>
      </c>
      <c r="F203" s="1128"/>
      <c r="G203" s="313">
        <f t="shared" si="28"/>
        <v>1</v>
      </c>
      <c r="H203" s="1128"/>
      <c r="I203" s="313">
        <f t="shared" si="29"/>
        <v>1</v>
      </c>
      <c r="J203" s="1128"/>
      <c r="K203" s="313">
        <f t="shared" si="30"/>
        <v>1</v>
      </c>
      <c r="L203" s="1128"/>
      <c r="M203" s="313">
        <f t="shared" si="31"/>
        <v>1</v>
      </c>
      <c r="N203" s="1128"/>
      <c r="O203" s="313">
        <f t="shared" si="32"/>
        <v>1</v>
      </c>
      <c r="P203" s="1128"/>
      <c r="Q203" s="313">
        <f t="shared" si="33"/>
        <v>1</v>
      </c>
      <c r="R203" s="1124">
        <f t="shared" si="34"/>
        <v>0</v>
      </c>
      <c r="S203" s="698">
        <f t="shared" si="25"/>
        <v>0</v>
      </c>
    </row>
    <row r="204" spans="1:19">
      <c r="A204" s="491"/>
      <c r="B204" s="348"/>
      <c r="C204" s="313">
        <f t="shared" si="26"/>
        <v>1</v>
      </c>
      <c r="D204" s="1128"/>
      <c r="E204" s="313">
        <f t="shared" si="27"/>
        <v>1</v>
      </c>
      <c r="F204" s="1128"/>
      <c r="G204" s="313">
        <f t="shared" si="28"/>
        <v>1</v>
      </c>
      <c r="H204" s="1128"/>
      <c r="I204" s="313">
        <f t="shared" si="29"/>
        <v>1</v>
      </c>
      <c r="J204" s="1128"/>
      <c r="K204" s="313">
        <f t="shared" si="30"/>
        <v>1</v>
      </c>
      <c r="L204" s="1128"/>
      <c r="M204" s="313">
        <f t="shared" si="31"/>
        <v>1</v>
      </c>
      <c r="N204" s="1128"/>
      <c r="O204" s="313">
        <f t="shared" si="32"/>
        <v>1</v>
      </c>
      <c r="P204" s="1128"/>
      <c r="Q204" s="313">
        <f t="shared" si="33"/>
        <v>1</v>
      </c>
      <c r="R204" s="1124">
        <f t="shared" si="34"/>
        <v>0</v>
      </c>
      <c r="S204" s="698">
        <f t="shared" si="25"/>
        <v>0</v>
      </c>
    </row>
    <row r="205" spans="1:19">
      <c r="A205" s="491"/>
      <c r="B205" s="348"/>
      <c r="C205" s="313">
        <f t="shared" si="26"/>
        <v>1</v>
      </c>
      <c r="D205" s="1128"/>
      <c r="E205" s="313">
        <f t="shared" si="27"/>
        <v>1</v>
      </c>
      <c r="F205" s="1128"/>
      <c r="G205" s="313">
        <f t="shared" si="28"/>
        <v>1</v>
      </c>
      <c r="H205" s="1128"/>
      <c r="I205" s="313">
        <f t="shared" si="29"/>
        <v>1</v>
      </c>
      <c r="J205" s="1128"/>
      <c r="K205" s="313">
        <f t="shared" si="30"/>
        <v>1</v>
      </c>
      <c r="L205" s="1128"/>
      <c r="M205" s="313">
        <f t="shared" si="31"/>
        <v>1</v>
      </c>
      <c r="N205" s="1128"/>
      <c r="O205" s="313">
        <f t="shared" si="32"/>
        <v>1</v>
      </c>
      <c r="P205" s="1128"/>
      <c r="Q205" s="313">
        <f t="shared" si="33"/>
        <v>1</v>
      </c>
      <c r="R205" s="1124">
        <f t="shared" si="34"/>
        <v>0</v>
      </c>
      <c r="S205" s="698">
        <f t="shared" si="25"/>
        <v>0</v>
      </c>
    </row>
    <row r="206" spans="1:19">
      <c r="A206" s="491"/>
      <c r="B206" s="348"/>
      <c r="C206" s="313">
        <f t="shared" si="26"/>
        <v>1</v>
      </c>
      <c r="D206" s="1128"/>
      <c r="E206" s="313">
        <f t="shared" si="27"/>
        <v>1</v>
      </c>
      <c r="F206" s="1128"/>
      <c r="G206" s="313">
        <f t="shared" si="28"/>
        <v>1</v>
      </c>
      <c r="H206" s="1128"/>
      <c r="I206" s="313">
        <f t="shared" si="29"/>
        <v>1</v>
      </c>
      <c r="J206" s="1128"/>
      <c r="K206" s="313">
        <f t="shared" si="30"/>
        <v>1</v>
      </c>
      <c r="L206" s="1128"/>
      <c r="M206" s="313">
        <f t="shared" si="31"/>
        <v>1</v>
      </c>
      <c r="N206" s="1128"/>
      <c r="O206" s="313">
        <f t="shared" si="32"/>
        <v>1</v>
      </c>
      <c r="P206" s="1128"/>
      <c r="Q206" s="313">
        <f t="shared" si="33"/>
        <v>1</v>
      </c>
      <c r="R206" s="1124">
        <f t="shared" si="34"/>
        <v>0</v>
      </c>
      <c r="S206" s="698">
        <f t="shared" si="25"/>
        <v>0</v>
      </c>
    </row>
    <row r="207" spans="1:19">
      <c r="A207" s="491"/>
      <c r="B207" s="348"/>
      <c r="C207" s="313">
        <f t="shared" si="26"/>
        <v>1</v>
      </c>
      <c r="D207" s="1128"/>
      <c r="E207" s="313">
        <f t="shared" si="27"/>
        <v>1</v>
      </c>
      <c r="F207" s="1128"/>
      <c r="G207" s="313">
        <f t="shared" si="28"/>
        <v>1</v>
      </c>
      <c r="H207" s="1128"/>
      <c r="I207" s="313">
        <f t="shared" si="29"/>
        <v>1</v>
      </c>
      <c r="J207" s="1128"/>
      <c r="K207" s="313">
        <f t="shared" si="30"/>
        <v>1</v>
      </c>
      <c r="L207" s="1128"/>
      <c r="M207" s="313">
        <f t="shared" si="31"/>
        <v>1</v>
      </c>
      <c r="N207" s="1128"/>
      <c r="O207" s="313">
        <f t="shared" si="32"/>
        <v>1</v>
      </c>
      <c r="P207" s="1128"/>
      <c r="Q207" s="313">
        <f t="shared" si="33"/>
        <v>1</v>
      </c>
      <c r="R207" s="1124">
        <f t="shared" si="34"/>
        <v>0</v>
      </c>
      <c r="S207" s="698">
        <f t="shared" si="25"/>
        <v>0</v>
      </c>
    </row>
    <row r="208" spans="1:19">
      <c r="A208" s="491"/>
      <c r="B208" s="348"/>
      <c r="C208" s="313">
        <f t="shared" si="26"/>
        <v>1</v>
      </c>
      <c r="D208" s="1128"/>
      <c r="E208" s="313">
        <f t="shared" si="27"/>
        <v>1</v>
      </c>
      <c r="F208" s="1128"/>
      <c r="G208" s="313">
        <f t="shared" si="28"/>
        <v>1</v>
      </c>
      <c r="H208" s="1128"/>
      <c r="I208" s="313">
        <f t="shared" si="29"/>
        <v>1</v>
      </c>
      <c r="J208" s="1128"/>
      <c r="K208" s="313">
        <f t="shared" si="30"/>
        <v>1</v>
      </c>
      <c r="L208" s="1128"/>
      <c r="M208" s="313">
        <f t="shared" si="31"/>
        <v>1</v>
      </c>
      <c r="N208" s="1128"/>
      <c r="O208" s="313">
        <f t="shared" si="32"/>
        <v>1</v>
      </c>
      <c r="P208" s="1128"/>
      <c r="Q208" s="313">
        <f t="shared" si="33"/>
        <v>1</v>
      </c>
      <c r="R208" s="1124">
        <f t="shared" si="34"/>
        <v>0</v>
      </c>
      <c r="S208" s="698">
        <f t="shared" si="25"/>
        <v>0</v>
      </c>
    </row>
    <row r="209" spans="1:19">
      <c r="A209" s="491"/>
      <c r="B209" s="348"/>
      <c r="C209" s="313">
        <f t="shared" si="26"/>
        <v>1</v>
      </c>
      <c r="D209" s="1128"/>
      <c r="E209" s="313">
        <f t="shared" si="27"/>
        <v>1</v>
      </c>
      <c r="F209" s="1128"/>
      <c r="G209" s="313">
        <f t="shared" si="28"/>
        <v>1</v>
      </c>
      <c r="H209" s="1128"/>
      <c r="I209" s="313">
        <f t="shared" si="29"/>
        <v>1</v>
      </c>
      <c r="J209" s="1128"/>
      <c r="K209" s="313">
        <f t="shared" si="30"/>
        <v>1</v>
      </c>
      <c r="L209" s="1128"/>
      <c r="M209" s="313">
        <f t="shared" si="31"/>
        <v>1</v>
      </c>
      <c r="N209" s="1128"/>
      <c r="O209" s="313">
        <f t="shared" si="32"/>
        <v>1</v>
      </c>
      <c r="P209" s="1128"/>
      <c r="Q209" s="313">
        <f t="shared" si="33"/>
        <v>1</v>
      </c>
      <c r="R209" s="1124">
        <f t="shared" si="34"/>
        <v>0</v>
      </c>
      <c r="S209" s="698">
        <f t="shared" si="25"/>
        <v>0</v>
      </c>
    </row>
    <row r="210" spans="1:19">
      <c r="A210" s="491"/>
      <c r="B210" s="348"/>
      <c r="C210" s="313">
        <f t="shared" si="26"/>
        <v>1</v>
      </c>
      <c r="D210" s="1128"/>
      <c r="E210" s="313">
        <f t="shared" si="27"/>
        <v>1</v>
      </c>
      <c r="F210" s="1128"/>
      <c r="G210" s="313">
        <f t="shared" si="28"/>
        <v>1</v>
      </c>
      <c r="H210" s="1128"/>
      <c r="I210" s="313">
        <f t="shared" si="29"/>
        <v>1</v>
      </c>
      <c r="J210" s="1128"/>
      <c r="K210" s="313">
        <f t="shared" si="30"/>
        <v>1</v>
      </c>
      <c r="L210" s="1128"/>
      <c r="M210" s="313">
        <f t="shared" si="31"/>
        <v>1</v>
      </c>
      <c r="N210" s="1128"/>
      <c r="O210" s="313">
        <f t="shared" si="32"/>
        <v>1</v>
      </c>
      <c r="P210" s="1128"/>
      <c r="Q210" s="313">
        <f t="shared" si="33"/>
        <v>1</v>
      </c>
      <c r="R210" s="1124">
        <f t="shared" si="34"/>
        <v>0</v>
      </c>
      <c r="S210" s="698">
        <f t="shared" si="25"/>
        <v>0</v>
      </c>
    </row>
    <row r="211" spans="1:19">
      <c r="A211" s="491"/>
      <c r="B211" s="348"/>
      <c r="C211" s="313">
        <f t="shared" si="26"/>
        <v>1</v>
      </c>
      <c r="D211" s="1128"/>
      <c r="E211" s="313">
        <f t="shared" si="27"/>
        <v>1</v>
      </c>
      <c r="F211" s="1128"/>
      <c r="G211" s="313">
        <f t="shared" si="28"/>
        <v>1</v>
      </c>
      <c r="H211" s="1128"/>
      <c r="I211" s="313">
        <f t="shared" si="29"/>
        <v>1</v>
      </c>
      <c r="J211" s="1128"/>
      <c r="K211" s="313">
        <f t="shared" si="30"/>
        <v>1</v>
      </c>
      <c r="L211" s="1128"/>
      <c r="M211" s="313">
        <f t="shared" si="31"/>
        <v>1</v>
      </c>
      <c r="N211" s="1128"/>
      <c r="O211" s="313">
        <f t="shared" si="32"/>
        <v>1</v>
      </c>
      <c r="P211" s="1128"/>
      <c r="Q211" s="313">
        <f t="shared" si="33"/>
        <v>1</v>
      </c>
      <c r="R211" s="1124">
        <f t="shared" si="34"/>
        <v>0</v>
      </c>
      <c r="S211" s="698">
        <f t="shared" si="25"/>
        <v>0</v>
      </c>
    </row>
    <row r="212" spans="1:19">
      <c r="A212" s="491"/>
      <c r="B212" s="348"/>
      <c r="C212" s="313">
        <f t="shared" si="26"/>
        <v>1</v>
      </c>
      <c r="D212" s="1128"/>
      <c r="E212" s="313">
        <f t="shared" si="27"/>
        <v>1</v>
      </c>
      <c r="F212" s="1128"/>
      <c r="G212" s="313">
        <f t="shared" si="28"/>
        <v>1</v>
      </c>
      <c r="H212" s="1128"/>
      <c r="I212" s="313">
        <f t="shared" si="29"/>
        <v>1</v>
      </c>
      <c r="J212" s="1128"/>
      <c r="K212" s="313">
        <f t="shared" si="30"/>
        <v>1</v>
      </c>
      <c r="L212" s="1128"/>
      <c r="M212" s="313">
        <f t="shared" si="31"/>
        <v>1</v>
      </c>
      <c r="N212" s="1128"/>
      <c r="O212" s="313">
        <f t="shared" si="32"/>
        <v>1</v>
      </c>
      <c r="P212" s="1128"/>
      <c r="Q212" s="313">
        <f t="shared" si="33"/>
        <v>1</v>
      </c>
      <c r="R212" s="1124">
        <f t="shared" si="34"/>
        <v>0</v>
      </c>
      <c r="S212" s="698">
        <f t="shared" si="25"/>
        <v>0</v>
      </c>
    </row>
    <row r="213" spans="1:19">
      <c r="A213" s="491"/>
      <c r="B213" s="348"/>
      <c r="C213" s="313">
        <f t="shared" si="26"/>
        <v>1</v>
      </c>
      <c r="D213" s="1128"/>
      <c r="E213" s="313">
        <f t="shared" si="27"/>
        <v>1</v>
      </c>
      <c r="F213" s="1128"/>
      <c r="G213" s="313">
        <f t="shared" si="28"/>
        <v>1</v>
      </c>
      <c r="H213" s="1128"/>
      <c r="I213" s="313">
        <f t="shared" si="29"/>
        <v>1</v>
      </c>
      <c r="J213" s="1128"/>
      <c r="K213" s="313">
        <f t="shared" si="30"/>
        <v>1</v>
      </c>
      <c r="L213" s="1128"/>
      <c r="M213" s="313">
        <f t="shared" si="31"/>
        <v>1</v>
      </c>
      <c r="N213" s="1128"/>
      <c r="O213" s="313">
        <f t="shared" si="32"/>
        <v>1</v>
      </c>
      <c r="P213" s="1128"/>
      <c r="Q213" s="313">
        <f t="shared" si="33"/>
        <v>1</v>
      </c>
      <c r="R213" s="1124">
        <f t="shared" si="34"/>
        <v>0</v>
      </c>
      <c r="S213" s="698">
        <f t="shared" si="25"/>
        <v>0</v>
      </c>
    </row>
    <row r="214" spans="1:19">
      <c r="A214" s="491"/>
      <c r="B214" s="348"/>
      <c r="C214" s="313">
        <f t="shared" si="26"/>
        <v>1</v>
      </c>
      <c r="D214" s="1128"/>
      <c r="E214" s="313">
        <f t="shared" si="27"/>
        <v>1</v>
      </c>
      <c r="F214" s="1128"/>
      <c r="G214" s="313">
        <f t="shared" si="28"/>
        <v>1</v>
      </c>
      <c r="H214" s="1128"/>
      <c r="I214" s="313">
        <f t="shared" si="29"/>
        <v>1</v>
      </c>
      <c r="J214" s="1128"/>
      <c r="K214" s="313">
        <f t="shared" si="30"/>
        <v>1</v>
      </c>
      <c r="L214" s="1128"/>
      <c r="M214" s="313">
        <f t="shared" si="31"/>
        <v>1</v>
      </c>
      <c r="N214" s="1128"/>
      <c r="O214" s="313">
        <f t="shared" si="32"/>
        <v>1</v>
      </c>
      <c r="P214" s="1128"/>
      <c r="Q214" s="313">
        <f t="shared" si="33"/>
        <v>1</v>
      </c>
      <c r="R214" s="1124">
        <f t="shared" si="34"/>
        <v>0</v>
      </c>
      <c r="S214" s="698">
        <f t="shared" si="25"/>
        <v>0</v>
      </c>
    </row>
    <row r="215" spans="1:19">
      <c r="A215" s="491"/>
      <c r="B215" s="348"/>
      <c r="C215" s="313">
        <f t="shared" si="26"/>
        <v>1</v>
      </c>
      <c r="D215" s="1128"/>
      <c r="E215" s="313">
        <f t="shared" si="27"/>
        <v>1</v>
      </c>
      <c r="F215" s="1128"/>
      <c r="G215" s="313">
        <f t="shared" si="28"/>
        <v>1</v>
      </c>
      <c r="H215" s="1128"/>
      <c r="I215" s="313">
        <f t="shared" si="29"/>
        <v>1</v>
      </c>
      <c r="J215" s="1128"/>
      <c r="K215" s="313">
        <f t="shared" si="30"/>
        <v>1</v>
      </c>
      <c r="L215" s="1128"/>
      <c r="M215" s="313">
        <f t="shared" si="31"/>
        <v>1</v>
      </c>
      <c r="N215" s="1128"/>
      <c r="O215" s="313">
        <f t="shared" si="32"/>
        <v>1</v>
      </c>
      <c r="P215" s="1128"/>
      <c r="Q215" s="313">
        <f t="shared" si="33"/>
        <v>1</v>
      </c>
      <c r="R215" s="1124">
        <f t="shared" si="34"/>
        <v>0</v>
      </c>
      <c r="S215" s="698">
        <f t="shared" si="25"/>
        <v>0</v>
      </c>
    </row>
    <row r="216" spans="1:19">
      <c r="A216" s="491"/>
      <c r="B216" s="348"/>
      <c r="C216" s="313">
        <f t="shared" si="26"/>
        <v>1</v>
      </c>
      <c r="D216" s="1128"/>
      <c r="E216" s="313">
        <f t="shared" si="27"/>
        <v>1</v>
      </c>
      <c r="F216" s="1128"/>
      <c r="G216" s="313">
        <f t="shared" si="28"/>
        <v>1</v>
      </c>
      <c r="H216" s="1128"/>
      <c r="I216" s="313">
        <f t="shared" si="29"/>
        <v>1</v>
      </c>
      <c r="J216" s="1128"/>
      <c r="K216" s="313">
        <f t="shared" si="30"/>
        <v>1</v>
      </c>
      <c r="L216" s="1128"/>
      <c r="M216" s="313">
        <f t="shared" si="31"/>
        <v>1</v>
      </c>
      <c r="N216" s="1128"/>
      <c r="O216" s="313">
        <f t="shared" si="32"/>
        <v>1</v>
      </c>
      <c r="P216" s="1128"/>
      <c r="Q216" s="313">
        <f t="shared" si="33"/>
        <v>1</v>
      </c>
      <c r="R216" s="1124">
        <f t="shared" si="34"/>
        <v>0</v>
      </c>
      <c r="S216" s="698">
        <f t="shared" ref="S216:S279" si="35">ROUND(R216*B216/10000,0)</f>
        <v>0</v>
      </c>
    </row>
    <row r="217" spans="1:19">
      <c r="A217" s="491"/>
      <c r="B217" s="348"/>
      <c r="C217" s="313">
        <f t="shared" si="26"/>
        <v>1</v>
      </c>
      <c r="D217" s="1128"/>
      <c r="E217" s="313">
        <f t="shared" si="27"/>
        <v>1</v>
      </c>
      <c r="F217" s="1128"/>
      <c r="G217" s="313">
        <f t="shared" si="28"/>
        <v>1</v>
      </c>
      <c r="H217" s="1128"/>
      <c r="I217" s="313">
        <f t="shared" si="29"/>
        <v>1</v>
      </c>
      <c r="J217" s="1128"/>
      <c r="K217" s="313">
        <f t="shared" si="30"/>
        <v>1</v>
      </c>
      <c r="L217" s="1128"/>
      <c r="M217" s="313">
        <f t="shared" si="31"/>
        <v>1</v>
      </c>
      <c r="N217" s="1128"/>
      <c r="O217" s="313">
        <f t="shared" si="32"/>
        <v>1</v>
      </c>
      <c r="P217" s="1128"/>
      <c r="Q217" s="313">
        <f t="shared" si="33"/>
        <v>1</v>
      </c>
      <c r="R217" s="1124">
        <f t="shared" si="34"/>
        <v>0</v>
      </c>
      <c r="S217" s="698">
        <f t="shared" si="35"/>
        <v>0</v>
      </c>
    </row>
    <row r="218" spans="1:19">
      <c r="A218" s="491"/>
      <c r="B218" s="348"/>
      <c r="C218" s="313">
        <f t="shared" ref="C218:C281" si="36">IF(B218="",1,(LOOKUP(B218,$3:$3,$4:$4)-LOOKUP($B$24,$3:$3,$4:$4)+100)/100)</f>
        <v>1</v>
      </c>
      <c r="D218" s="1128"/>
      <c r="E218" s="313">
        <f t="shared" ref="E218:E281" si="37">(SUMIF($5:$5,D218,$6:$6)-SUMIF($5:$5,$D$24,$6:$6)+100)/100</f>
        <v>1</v>
      </c>
      <c r="F218" s="1128"/>
      <c r="G218" s="313">
        <f t="shared" ref="G218:G281" si="38">(SUMIF($7:$7,F218,$8:$8)-SUMIF($7:$7,$F$24,$8:$8)+100)/100</f>
        <v>1</v>
      </c>
      <c r="H218" s="1128"/>
      <c r="I218" s="313">
        <f t="shared" ref="I218:I281" si="39">(SUMIF($9:$9,H218,$10:$10)-SUMIF($9:$9,$H$24,$10:$10)+100)/100</f>
        <v>1</v>
      </c>
      <c r="J218" s="1128"/>
      <c r="K218" s="313">
        <f t="shared" ref="K218:K281" si="40">(SUMIF($11:$11,J218,$12:$12)-SUMIF($11:$11,$J$24,$12:$12)+100)/100</f>
        <v>1</v>
      </c>
      <c r="L218" s="1128"/>
      <c r="M218" s="313">
        <f t="shared" ref="M218:M281" si="41">(SUMIF($13:$13,L218,$14:$14)-SUMIF($13:$13,$L$24,$14:$14)+100)/100</f>
        <v>1</v>
      </c>
      <c r="N218" s="1128"/>
      <c r="O218" s="313">
        <f t="shared" ref="O218:O281" si="42">(SUMIF($15:$15,N218,$16:$16)-SUMIF($15:$15,$N$24,$16:$16)+100)/100</f>
        <v>1</v>
      </c>
      <c r="P218" s="1128"/>
      <c r="Q218" s="313">
        <f t="shared" ref="Q218:Q281" si="43">(SUMIF($17:$17,P218,$18:$18)-SUMIF($17:$17,$P$24,$18:$18)+100)/100</f>
        <v>1</v>
      </c>
      <c r="R218" s="1124">
        <f t="shared" ref="R218:R281" si="44">IF(B218="",0,ROUND($R$24*C218*E218*G218*I218*K218*M218*O218*Q218,0))</f>
        <v>0</v>
      </c>
      <c r="S218" s="698">
        <f t="shared" si="35"/>
        <v>0</v>
      </c>
    </row>
    <row r="219" spans="1:19">
      <c r="A219" s="491"/>
      <c r="B219" s="348"/>
      <c r="C219" s="313">
        <f t="shared" si="36"/>
        <v>1</v>
      </c>
      <c r="D219" s="1128"/>
      <c r="E219" s="313">
        <f t="shared" si="37"/>
        <v>1</v>
      </c>
      <c r="F219" s="1128"/>
      <c r="G219" s="313">
        <f t="shared" si="38"/>
        <v>1</v>
      </c>
      <c r="H219" s="1128"/>
      <c r="I219" s="313">
        <f t="shared" si="39"/>
        <v>1</v>
      </c>
      <c r="J219" s="1128"/>
      <c r="K219" s="313">
        <f t="shared" si="40"/>
        <v>1</v>
      </c>
      <c r="L219" s="1128"/>
      <c r="M219" s="313">
        <f t="shared" si="41"/>
        <v>1</v>
      </c>
      <c r="N219" s="1128"/>
      <c r="O219" s="313">
        <f t="shared" si="42"/>
        <v>1</v>
      </c>
      <c r="P219" s="1128"/>
      <c r="Q219" s="313">
        <f t="shared" si="43"/>
        <v>1</v>
      </c>
      <c r="R219" s="1124">
        <f t="shared" si="44"/>
        <v>0</v>
      </c>
      <c r="S219" s="698">
        <f t="shared" si="35"/>
        <v>0</v>
      </c>
    </row>
    <row r="220" spans="1:19">
      <c r="A220" s="491"/>
      <c r="B220" s="348"/>
      <c r="C220" s="313">
        <f t="shared" si="36"/>
        <v>1</v>
      </c>
      <c r="D220" s="1128"/>
      <c r="E220" s="313">
        <f t="shared" si="37"/>
        <v>1</v>
      </c>
      <c r="F220" s="1128"/>
      <c r="G220" s="313">
        <f t="shared" si="38"/>
        <v>1</v>
      </c>
      <c r="H220" s="1128"/>
      <c r="I220" s="313">
        <f t="shared" si="39"/>
        <v>1</v>
      </c>
      <c r="J220" s="1128"/>
      <c r="K220" s="313">
        <f t="shared" si="40"/>
        <v>1</v>
      </c>
      <c r="L220" s="1128"/>
      <c r="M220" s="313">
        <f t="shared" si="41"/>
        <v>1</v>
      </c>
      <c r="N220" s="1128"/>
      <c r="O220" s="313">
        <f t="shared" si="42"/>
        <v>1</v>
      </c>
      <c r="P220" s="1128"/>
      <c r="Q220" s="313">
        <f t="shared" si="43"/>
        <v>1</v>
      </c>
      <c r="R220" s="1124">
        <f t="shared" si="44"/>
        <v>0</v>
      </c>
      <c r="S220" s="698">
        <f t="shared" si="35"/>
        <v>0</v>
      </c>
    </row>
    <row r="221" spans="1:19">
      <c r="A221" s="491"/>
      <c r="B221" s="348"/>
      <c r="C221" s="313">
        <f t="shared" si="36"/>
        <v>1</v>
      </c>
      <c r="D221" s="1128"/>
      <c r="E221" s="313">
        <f t="shared" si="37"/>
        <v>1</v>
      </c>
      <c r="F221" s="1128"/>
      <c r="G221" s="313">
        <f t="shared" si="38"/>
        <v>1</v>
      </c>
      <c r="H221" s="1128"/>
      <c r="I221" s="313">
        <f t="shared" si="39"/>
        <v>1</v>
      </c>
      <c r="J221" s="1128"/>
      <c r="K221" s="313">
        <f t="shared" si="40"/>
        <v>1</v>
      </c>
      <c r="L221" s="1128"/>
      <c r="M221" s="313">
        <f t="shared" si="41"/>
        <v>1</v>
      </c>
      <c r="N221" s="1128"/>
      <c r="O221" s="313">
        <f t="shared" si="42"/>
        <v>1</v>
      </c>
      <c r="P221" s="1128"/>
      <c r="Q221" s="313">
        <f t="shared" si="43"/>
        <v>1</v>
      </c>
      <c r="R221" s="1124">
        <f t="shared" si="44"/>
        <v>0</v>
      </c>
      <c r="S221" s="698">
        <f t="shared" si="35"/>
        <v>0</v>
      </c>
    </row>
    <row r="222" spans="1:19">
      <c r="A222" s="491"/>
      <c r="B222" s="348"/>
      <c r="C222" s="313">
        <f t="shared" si="36"/>
        <v>1</v>
      </c>
      <c r="D222" s="1128"/>
      <c r="E222" s="313">
        <f t="shared" si="37"/>
        <v>1</v>
      </c>
      <c r="F222" s="1128"/>
      <c r="G222" s="313">
        <f t="shared" si="38"/>
        <v>1</v>
      </c>
      <c r="H222" s="1128"/>
      <c r="I222" s="313">
        <f t="shared" si="39"/>
        <v>1</v>
      </c>
      <c r="J222" s="1128"/>
      <c r="K222" s="313">
        <f t="shared" si="40"/>
        <v>1</v>
      </c>
      <c r="L222" s="1128"/>
      <c r="M222" s="313">
        <f t="shared" si="41"/>
        <v>1</v>
      </c>
      <c r="N222" s="1128"/>
      <c r="O222" s="313">
        <f t="shared" si="42"/>
        <v>1</v>
      </c>
      <c r="P222" s="1128"/>
      <c r="Q222" s="313">
        <f t="shared" si="43"/>
        <v>1</v>
      </c>
      <c r="R222" s="1124">
        <f t="shared" si="44"/>
        <v>0</v>
      </c>
      <c r="S222" s="698">
        <f t="shared" si="35"/>
        <v>0</v>
      </c>
    </row>
    <row r="223" spans="1:19">
      <c r="A223" s="491"/>
      <c r="B223" s="348"/>
      <c r="C223" s="313">
        <f t="shared" si="36"/>
        <v>1</v>
      </c>
      <c r="D223" s="1128"/>
      <c r="E223" s="313">
        <f t="shared" si="37"/>
        <v>1</v>
      </c>
      <c r="F223" s="1128"/>
      <c r="G223" s="313">
        <f t="shared" si="38"/>
        <v>1</v>
      </c>
      <c r="H223" s="1128"/>
      <c r="I223" s="313">
        <f t="shared" si="39"/>
        <v>1</v>
      </c>
      <c r="J223" s="1128"/>
      <c r="K223" s="313">
        <f t="shared" si="40"/>
        <v>1</v>
      </c>
      <c r="L223" s="1128"/>
      <c r="M223" s="313">
        <f t="shared" si="41"/>
        <v>1</v>
      </c>
      <c r="N223" s="1128"/>
      <c r="O223" s="313">
        <f t="shared" si="42"/>
        <v>1</v>
      </c>
      <c r="P223" s="1128"/>
      <c r="Q223" s="313">
        <f t="shared" si="43"/>
        <v>1</v>
      </c>
      <c r="R223" s="1124">
        <f t="shared" si="44"/>
        <v>0</v>
      </c>
      <c r="S223" s="698">
        <f t="shared" si="35"/>
        <v>0</v>
      </c>
    </row>
    <row r="224" spans="1:19">
      <c r="A224" s="491"/>
      <c r="B224" s="348"/>
      <c r="C224" s="313">
        <f t="shared" si="36"/>
        <v>1</v>
      </c>
      <c r="D224" s="1128"/>
      <c r="E224" s="313">
        <f t="shared" si="37"/>
        <v>1</v>
      </c>
      <c r="F224" s="1128"/>
      <c r="G224" s="313">
        <f t="shared" si="38"/>
        <v>1</v>
      </c>
      <c r="H224" s="1128"/>
      <c r="I224" s="313">
        <f t="shared" si="39"/>
        <v>1</v>
      </c>
      <c r="J224" s="1128"/>
      <c r="K224" s="313">
        <f t="shared" si="40"/>
        <v>1</v>
      </c>
      <c r="L224" s="1128"/>
      <c r="M224" s="313">
        <f t="shared" si="41"/>
        <v>1</v>
      </c>
      <c r="N224" s="1128"/>
      <c r="O224" s="313">
        <f t="shared" si="42"/>
        <v>1</v>
      </c>
      <c r="P224" s="1128"/>
      <c r="Q224" s="313">
        <f t="shared" si="43"/>
        <v>1</v>
      </c>
      <c r="R224" s="1124">
        <f t="shared" si="44"/>
        <v>0</v>
      </c>
      <c r="S224" s="698">
        <f t="shared" si="35"/>
        <v>0</v>
      </c>
    </row>
    <row r="225" spans="1:19">
      <c r="A225" s="491"/>
      <c r="B225" s="348"/>
      <c r="C225" s="313">
        <f t="shared" si="36"/>
        <v>1</v>
      </c>
      <c r="D225" s="1128"/>
      <c r="E225" s="313">
        <f t="shared" si="37"/>
        <v>1</v>
      </c>
      <c r="F225" s="1128"/>
      <c r="G225" s="313">
        <f t="shared" si="38"/>
        <v>1</v>
      </c>
      <c r="H225" s="1128"/>
      <c r="I225" s="313">
        <f t="shared" si="39"/>
        <v>1</v>
      </c>
      <c r="J225" s="1128"/>
      <c r="K225" s="313">
        <f t="shared" si="40"/>
        <v>1</v>
      </c>
      <c r="L225" s="1128"/>
      <c r="M225" s="313">
        <f t="shared" si="41"/>
        <v>1</v>
      </c>
      <c r="N225" s="1128"/>
      <c r="O225" s="313">
        <f t="shared" si="42"/>
        <v>1</v>
      </c>
      <c r="P225" s="1128"/>
      <c r="Q225" s="313">
        <f t="shared" si="43"/>
        <v>1</v>
      </c>
      <c r="R225" s="1124">
        <f t="shared" si="44"/>
        <v>0</v>
      </c>
      <c r="S225" s="698">
        <f t="shared" si="35"/>
        <v>0</v>
      </c>
    </row>
    <row r="226" spans="1:19">
      <c r="A226" s="491"/>
      <c r="B226" s="348"/>
      <c r="C226" s="313">
        <f t="shared" si="36"/>
        <v>1</v>
      </c>
      <c r="D226" s="1128"/>
      <c r="E226" s="313">
        <f t="shared" si="37"/>
        <v>1</v>
      </c>
      <c r="F226" s="1128"/>
      <c r="G226" s="313">
        <f t="shared" si="38"/>
        <v>1</v>
      </c>
      <c r="H226" s="1128"/>
      <c r="I226" s="313">
        <f t="shared" si="39"/>
        <v>1</v>
      </c>
      <c r="J226" s="1128"/>
      <c r="K226" s="313">
        <f t="shared" si="40"/>
        <v>1</v>
      </c>
      <c r="L226" s="1128"/>
      <c r="M226" s="313">
        <f t="shared" si="41"/>
        <v>1</v>
      </c>
      <c r="N226" s="1128"/>
      <c r="O226" s="313">
        <f t="shared" si="42"/>
        <v>1</v>
      </c>
      <c r="P226" s="1128"/>
      <c r="Q226" s="313">
        <f t="shared" si="43"/>
        <v>1</v>
      </c>
      <c r="R226" s="1124">
        <f t="shared" si="44"/>
        <v>0</v>
      </c>
      <c r="S226" s="698">
        <f t="shared" si="35"/>
        <v>0</v>
      </c>
    </row>
    <row r="227" spans="1:19">
      <c r="A227" s="491"/>
      <c r="B227" s="348"/>
      <c r="C227" s="313">
        <f t="shared" si="36"/>
        <v>1</v>
      </c>
      <c r="D227" s="1128"/>
      <c r="E227" s="313">
        <f t="shared" si="37"/>
        <v>1</v>
      </c>
      <c r="F227" s="1128"/>
      <c r="G227" s="313">
        <f t="shared" si="38"/>
        <v>1</v>
      </c>
      <c r="H227" s="1128"/>
      <c r="I227" s="313">
        <f t="shared" si="39"/>
        <v>1</v>
      </c>
      <c r="J227" s="1128"/>
      <c r="K227" s="313">
        <f t="shared" si="40"/>
        <v>1</v>
      </c>
      <c r="L227" s="1128"/>
      <c r="M227" s="313">
        <f t="shared" si="41"/>
        <v>1</v>
      </c>
      <c r="N227" s="1128"/>
      <c r="O227" s="313">
        <f t="shared" si="42"/>
        <v>1</v>
      </c>
      <c r="P227" s="1128"/>
      <c r="Q227" s="313">
        <f t="shared" si="43"/>
        <v>1</v>
      </c>
      <c r="R227" s="1124">
        <f t="shared" si="44"/>
        <v>0</v>
      </c>
      <c r="S227" s="698">
        <f t="shared" si="35"/>
        <v>0</v>
      </c>
    </row>
    <row r="228" spans="1:19">
      <c r="A228" s="491"/>
      <c r="B228" s="348"/>
      <c r="C228" s="313">
        <f t="shared" si="36"/>
        <v>1</v>
      </c>
      <c r="D228" s="1128"/>
      <c r="E228" s="313">
        <f t="shared" si="37"/>
        <v>1</v>
      </c>
      <c r="F228" s="1128"/>
      <c r="G228" s="313">
        <f t="shared" si="38"/>
        <v>1</v>
      </c>
      <c r="H228" s="1128"/>
      <c r="I228" s="313">
        <f t="shared" si="39"/>
        <v>1</v>
      </c>
      <c r="J228" s="1128"/>
      <c r="K228" s="313">
        <f t="shared" si="40"/>
        <v>1</v>
      </c>
      <c r="L228" s="1128"/>
      <c r="M228" s="313">
        <f t="shared" si="41"/>
        <v>1</v>
      </c>
      <c r="N228" s="1128"/>
      <c r="O228" s="313">
        <f t="shared" si="42"/>
        <v>1</v>
      </c>
      <c r="P228" s="1128"/>
      <c r="Q228" s="313">
        <f t="shared" si="43"/>
        <v>1</v>
      </c>
      <c r="R228" s="1124">
        <f t="shared" si="44"/>
        <v>0</v>
      </c>
      <c r="S228" s="698">
        <f t="shared" si="35"/>
        <v>0</v>
      </c>
    </row>
    <row r="229" spans="1:19">
      <c r="A229" s="491"/>
      <c r="B229" s="348"/>
      <c r="C229" s="313">
        <f t="shared" si="36"/>
        <v>1</v>
      </c>
      <c r="D229" s="1128"/>
      <c r="E229" s="313">
        <f t="shared" si="37"/>
        <v>1</v>
      </c>
      <c r="F229" s="1128"/>
      <c r="G229" s="313">
        <f t="shared" si="38"/>
        <v>1</v>
      </c>
      <c r="H229" s="1128"/>
      <c r="I229" s="313">
        <f t="shared" si="39"/>
        <v>1</v>
      </c>
      <c r="J229" s="1128"/>
      <c r="K229" s="313">
        <f t="shared" si="40"/>
        <v>1</v>
      </c>
      <c r="L229" s="1128"/>
      <c r="M229" s="313">
        <f t="shared" si="41"/>
        <v>1</v>
      </c>
      <c r="N229" s="1128"/>
      <c r="O229" s="313">
        <f t="shared" si="42"/>
        <v>1</v>
      </c>
      <c r="P229" s="1128"/>
      <c r="Q229" s="313">
        <f t="shared" si="43"/>
        <v>1</v>
      </c>
      <c r="R229" s="1124">
        <f t="shared" si="44"/>
        <v>0</v>
      </c>
      <c r="S229" s="698">
        <f t="shared" si="35"/>
        <v>0</v>
      </c>
    </row>
    <row r="230" spans="1:19">
      <c r="A230" s="491"/>
      <c r="B230" s="348"/>
      <c r="C230" s="313">
        <f t="shared" si="36"/>
        <v>1</v>
      </c>
      <c r="D230" s="1128"/>
      <c r="E230" s="313">
        <f t="shared" si="37"/>
        <v>1</v>
      </c>
      <c r="F230" s="1128"/>
      <c r="G230" s="313">
        <f t="shared" si="38"/>
        <v>1</v>
      </c>
      <c r="H230" s="1128"/>
      <c r="I230" s="313">
        <f t="shared" si="39"/>
        <v>1</v>
      </c>
      <c r="J230" s="1128"/>
      <c r="K230" s="313">
        <f t="shared" si="40"/>
        <v>1</v>
      </c>
      <c r="L230" s="1128"/>
      <c r="M230" s="313">
        <f t="shared" si="41"/>
        <v>1</v>
      </c>
      <c r="N230" s="1128"/>
      <c r="O230" s="313">
        <f t="shared" si="42"/>
        <v>1</v>
      </c>
      <c r="P230" s="1128"/>
      <c r="Q230" s="313">
        <f t="shared" si="43"/>
        <v>1</v>
      </c>
      <c r="R230" s="1124">
        <f t="shared" si="44"/>
        <v>0</v>
      </c>
      <c r="S230" s="698">
        <f t="shared" si="35"/>
        <v>0</v>
      </c>
    </row>
    <row r="231" spans="1:19">
      <c r="A231" s="491"/>
      <c r="B231" s="348"/>
      <c r="C231" s="313">
        <f t="shared" si="36"/>
        <v>1</v>
      </c>
      <c r="D231" s="1128"/>
      <c r="E231" s="313">
        <f t="shared" si="37"/>
        <v>1</v>
      </c>
      <c r="F231" s="1128"/>
      <c r="G231" s="313">
        <f t="shared" si="38"/>
        <v>1</v>
      </c>
      <c r="H231" s="1128"/>
      <c r="I231" s="313">
        <f t="shared" si="39"/>
        <v>1</v>
      </c>
      <c r="J231" s="1128"/>
      <c r="K231" s="313">
        <f t="shared" si="40"/>
        <v>1</v>
      </c>
      <c r="L231" s="1128"/>
      <c r="M231" s="313">
        <f t="shared" si="41"/>
        <v>1</v>
      </c>
      <c r="N231" s="1128"/>
      <c r="O231" s="313">
        <f t="shared" si="42"/>
        <v>1</v>
      </c>
      <c r="P231" s="1128"/>
      <c r="Q231" s="313">
        <f t="shared" si="43"/>
        <v>1</v>
      </c>
      <c r="R231" s="1124">
        <f t="shared" si="44"/>
        <v>0</v>
      </c>
      <c r="S231" s="698">
        <f t="shared" si="35"/>
        <v>0</v>
      </c>
    </row>
    <row r="232" spans="1:19">
      <c r="A232" s="491"/>
      <c r="B232" s="348"/>
      <c r="C232" s="313">
        <f t="shared" si="36"/>
        <v>1</v>
      </c>
      <c r="D232" s="1128"/>
      <c r="E232" s="313">
        <f t="shared" si="37"/>
        <v>1</v>
      </c>
      <c r="F232" s="1128"/>
      <c r="G232" s="313">
        <f t="shared" si="38"/>
        <v>1</v>
      </c>
      <c r="H232" s="1128"/>
      <c r="I232" s="313">
        <f t="shared" si="39"/>
        <v>1</v>
      </c>
      <c r="J232" s="1128"/>
      <c r="K232" s="313">
        <f t="shared" si="40"/>
        <v>1</v>
      </c>
      <c r="L232" s="1128"/>
      <c r="M232" s="313">
        <f t="shared" si="41"/>
        <v>1</v>
      </c>
      <c r="N232" s="1128"/>
      <c r="O232" s="313">
        <f t="shared" si="42"/>
        <v>1</v>
      </c>
      <c r="P232" s="1128"/>
      <c r="Q232" s="313">
        <f t="shared" si="43"/>
        <v>1</v>
      </c>
      <c r="R232" s="1124">
        <f t="shared" si="44"/>
        <v>0</v>
      </c>
      <c r="S232" s="698">
        <f t="shared" si="35"/>
        <v>0</v>
      </c>
    </row>
    <row r="233" spans="1:19">
      <c r="A233" s="491"/>
      <c r="B233" s="348"/>
      <c r="C233" s="313">
        <f t="shared" si="36"/>
        <v>1</v>
      </c>
      <c r="D233" s="1128"/>
      <c r="E233" s="313">
        <f t="shared" si="37"/>
        <v>1</v>
      </c>
      <c r="F233" s="1128"/>
      <c r="G233" s="313">
        <f t="shared" si="38"/>
        <v>1</v>
      </c>
      <c r="H233" s="1128"/>
      <c r="I233" s="313">
        <f t="shared" si="39"/>
        <v>1</v>
      </c>
      <c r="J233" s="1128"/>
      <c r="K233" s="313">
        <f t="shared" si="40"/>
        <v>1</v>
      </c>
      <c r="L233" s="1128"/>
      <c r="M233" s="313">
        <f t="shared" si="41"/>
        <v>1</v>
      </c>
      <c r="N233" s="1128"/>
      <c r="O233" s="313">
        <f t="shared" si="42"/>
        <v>1</v>
      </c>
      <c r="P233" s="1128"/>
      <c r="Q233" s="313">
        <f t="shared" si="43"/>
        <v>1</v>
      </c>
      <c r="R233" s="1124">
        <f t="shared" si="44"/>
        <v>0</v>
      </c>
      <c r="S233" s="698">
        <f t="shared" si="35"/>
        <v>0</v>
      </c>
    </row>
    <row r="234" spans="1:19">
      <c r="A234" s="491"/>
      <c r="B234" s="348"/>
      <c r="C234" s="313">
        <f t="shared" si="36"/>
        <v>1</v>
      </c>
      <c r="D234" s="1128"/>
      <c r="E234" s="313">
        <f t="shared" si="37"/>
        <v>1</v>
      </c>
      <c r="F234" s="1128"/>
      <c r="G234" s="313">
        <f t="shared" si="38"/>
        <v>1</v>
      </c>
      <c r="H234" s="1128"/>
      <c r="I234" s="313">
        <f t="shared" si="39"/>
        <v>1</v>
      </c>
      <c r="J234" s="1128"/>
      <c r="K234" s="313">
        <f t="shared" si="40"/>
        <v>1</v>
      </c>
      <c r="L234" s="1128"/>
      <c r="M234" s="313">
        <f t="shared" si="41"/>
        <v>1</v>
      </c>
      <c r="N234" s="1128"/>
      <c r="O234" s="313">
        <f t="shared" si="42"/>
        <v>1</v>
      </c>
      <c r="P234" s="1128"/>
      <c r="Q234" s="313">
        <f t="shared" si="43"/>
        <v>1</v>
      </c>
      <c r="R234" s="1124">
        <f t="shared" si="44"/>
        <v>0</v>
      </c>
      <c r="S234" s="698">
        <f t="shared" si="35"/>
        <v>0</v>
      </c>
    </row>
    <row r="235" spans="1:19">
      <c r="A235" s="491"/>
      <c r="B235" s="348"/>
      <c r="C235" s="313">
        <f t="shared" si="36"/>
        <v>1</v>
      </c>
      <c r="D235" s="1128"/>
      <c r="E235" s="313">
        <f t="shared" si="37"/>
        <v>1</v>
      </c>
      <c r="F235" s="1128"/>
      <c r="G235" s="313">
        <f t="shared" si="38"/>
        <v>1</v>
      </c>
      <c r="H235" s="1128"/>
      <c r="I235" s="313">
        <f t="shared" si="39"/>
        <v>1</v>
      </c>
      <c r="J235" s="1128"/>
      <c r="K235" s="313">
        <f t="shared" si="40"/>
        <v>1</v>
      </c>
      <c r="L235" s="1128"/>
      <c r="M235" s="313">
        <f t="shared" si="41"/>
        <v>1</v>
      </c>
      <c r="N235" s="1128"/>
      <c r="O235" s="313">
        <f t="shared" si="42"/>
        <v>1</v>
      </c>
      <c r="P235" s="1128"/>
      <c r="Q235" s="313">
        <f t="shared" si="43"/>
        <v>1</v>
      </c>
      <c r="R235" s="1124">
        <f t="shared" si="44"/>
        <v>0</v>
      </c>
      <c r="S235" s="698">
        <f t="shared" si="35"/>
        <v>0</v>
      </c>
    </row>
    <row r="236" spans="1:19">
      <c r="A236" s="491"/>
      <c r="B236" s="348"/>
      <c r="C236" s="313">
        <f t="shared" si="36"/>
        <v>1</v>
      </c>
      <c r="D236" s="1128"/>
      <c r="E236" s="313">
        <f t="shared" si="37"/>
        <v>1</v>
      </c>
      <c r="F236" s="1128"/>
      <c r="G236" s="313">
        <f t="shared" si="38"/>
        <v>1</v>
      </c>
      <c r="H236" s="1128"/>
      <c r="I236" s="313">
        <f t="shared" si="39"/>
        <v>1</v>
      </c>
      <c r="J236" s="1128"/>
      <c r="K236" s="313">
        <f t="shared" si="40"/>
        <v>1</v>
      </c>
      <c r="L236" s="1128"/>
      <c r="M236" s="313">
        <f t="shared" si="41"/>
        <v>1</v>
      </c>
      <c r="N236" s="1128"/>
      <c r="O236" s="313">
        <f t="shared" si="42"/>
        <v>1</v>
      </c>
      <c r="P236" s="1128"/>
      <c r="Q236" s="313">
        <f t="shared" si="43"/>
        <v>1</v>
      </c>
      <c r="R236" s="1124">
        <f t="shared" si="44"/>
        <v>0</v>
      </c>
      <c r="S236" s="698">
        <f t="shared" si="35"/>
        <v>0</v>
      </c>
    </row>
    <row r="237" spans="1:19">
      <c r="A237" s="491"/>
      <c r="B237" s="348"/>
      <c r="C237" s="313">
        <f t="shared" si="36"/>
        <v>1</v>
      </c>
      <c r="D237" s="1128"/>
      <c r="E237" s="313">
        <f t="shared" si="37"/>
        <v>1</v>
      </c>
      <c r="F237" s="1128"/>
      <c r="G237" s="313">
        <f t="shared" si="38"/>
        <v>1</v>
      </c>
      <c r="H237" s="1128"/>
      <c r="I237" s="313">
        <f t="shared" si="39"/>
        <v>1</v>
      </c>
      <c r="J237" s="1128"/>
      <c r="K237" s="313">
        <f t="shared" si="40"/>
        <v>1</v>
      </c>
      <c r="L237" s="1128"/>
      <c r="M237" s="313">
        <f t="shared" si="41"/>
        <v>1</v>
      </c>
      <c r="N237" s="1128"/>
      <c r="O237" s="313">
        <f t="shared" si="42"/>
        <v>1</v>
      </c>
      <c r="P237" s="1128"/>
      <c r="Q237" s="313">
        <f t="shared" si="43"/>
        <v>1</v>
      </c>
      <c r="R237" s="1124">
        <f t="shared" si="44"/>
        <v>0</v>
      </c>
      <c r="S237" s="698">
        <f t="shared" si="35"/>
        <v>0</v>
      </c>
    </row>
    <row r="238" spans="1:19">
      <c r="A238" s="491"/>
      <c r="B238" s="348"/>
      <c r="C238" s="313">
        <f t="shared" si="36"/>
        <v>1</v>
      </c>
      <c r="D238" s="1128"/>
      <c r="E238" s="313">
        <f t="shared" si="37"/>
        <v>1</v>
      </c>
      <c r="F238" s="1128"/>
      <c r="G238" s="313">
        <f t="shared" si="38"/>
        <v>1</v>
      </c>
      <c r="H238" s="1128"/>
      <c r="I238" s="313">
        <f t="shared" si="39"/>
        <v>1</v>
      </c>
      <c r="J238" s="1128"/>
      <c r="K238" s="313">
        <f t="shared" si="40"/>
        <v>1</v>
      </c>
      <c r="L238" s="1128"/>
      <c r="M238" s="313">
        <f t="shared" si="41"/>
        <v>1</v>
      </c>
      <c r="N238" s="1128"/>
      <c r="O238" s="313">
        <f t="shared" si="42"/>
        <v>1</v>
      </c>
      <c r="P238" s="1128"/>
      <c r="Q238" s="313">
        <f t="shared" si="43"/>
        <v>1</v>
      </c>
      <c r="R238" s="1124">
        <f t="shared" si="44"/>
        <v>0</v>
      </c>
      <c r="S238" s="698">
        <f t="shared" si="35"/>
        <v>0</v>
      </c>
    </row>
    <row r="239" spans="1:19">
      <c r="A239" s="491"/>
      <c r="B239" s="348"/>
      <c r="C239" s="313">
        <f t="shared" si="36"/>
        <v>1</v>
      </c>
      <c r="D239" s="1128"/>
      <c r="E239" s="313">
        <f t="shared" si="37"/>
        <v>1</v>
      </c>
      <c r="F239" s="1128"/>
      <c r="G239" s="313">
        <f t="shared" si="38"/>
        <v>1</v>
      </c>
      <c r="H239" s="1128"/>
      <c r="I239" s="313">
        <f t="shared" si="39"/>
        <v>1</v>
      </c>
      <c r="J239" s="1128"/>
      <c r="K239" s="313">
        <f t="shared" si="40"/>
        <v>1</v>
      </c>
      <c r="L239" s="1128"/>
      <c r="M239" s="313">
        <f t="shared" si="41"/>
        <v>1</v>
      </c>
      <c r="N239" s="1128"/>
      <c r="O239" s="313">
        <f t="shared" si="42"/>
        <v>1</v>
      </c>
      <c r="P239" s="1128"/>
      <c r="Q239" s="313">
        <f t="shared" si="43"/>
        <v>1</v>
      </c>
      <c r="R239" s="1124">
        <f t="shared" si="44"/>
        <v>0</v>
      </c>
      <c r="S239" s="698">
        <f t="shared" si="35"/>
        <v>0</v>
      </c>
    </row>
    <row r="240" spans="1:19">
      <c r="A240" s="491"/>
      <c r="B240" s="348"/>
      <c r="C240" s="313">
        <f t="shared" si="36"/>
        <v>1</v>
      </c>
      <c r="D240" s="1128"/>
      <c r="E240" s="313">
        <f t="shared" si="37"/>
        <v>1</v>
      </c>
      <c r="F240" s="1128"/>
      <c r="G240" s="313">
        <f t="shared" si="38"/>
        <v>1</v>
      </c>
      <c r="H240" s="1128"/>
      <c r="I240" s="313">
        <f t="shared" si="39"/>
        <v>1</v>
      </c>
      <c r="J240" s="1128"/>
      <c r="K240" s="313">
        <f t="shared" si="40"/>
        <v>1</v>
      </c>
      <c r="L240" s="1128"/>
      <c r="M240" s="313">
        <f t="shared" si="41"/>
        <v>1</v>
      </c>
      <c r="N240" s="1128"/>
      <c r="O240" s="313">
        <f t="shared" si="42"/>
        <v>1</v>
      </c>
      <c r="P240" s="1128"/>
      <c r="Q240" s="313">
        <f t="shared" si="43"/>
        <v>1</v>
      </c>
      <c r="R240" s="1124">
        <f t="shared" si="44"/>
        <v>0</v>
      </c>
      <c r="S240" s="698">
        <f t="shared" si="35"/>
        <v>0</v>
      </c>
    </row>
    <row r="241" spans="1:19">
      <c r="A241" s="491"/>
      <c r="B241" s="348"/>
      <c r="C241" s="313">
        <f t="shared" si="36"/>
        <v>1</v>
      </c>
      <c r="D241" s="1128"/>
      <c r="E241" s="313">
        <f t="shared" si="37"/>
        <v>1</v>
      </c>
      <c r="F241" s="1128"/>
      <c r="G241" s="313">
        <f t="shared" si="38"/>
        <v>1</v>
      </c>
      <c r="H241" s="1128"/>
      <c r="I241" s="313">
        <f t="shared" si="39"/>
        <v>1</v>
      </c>
      <c r="J241" s="1128"/>
      <c r="K241" s="313">
        <f t="shared" si="40"/>
        <v>1</v>
      </c>
      <c r="L241" s="1128"/>
      <c r="M241" s="313">
        <f t="shared" si="41"/>
        <v>1</v>
      </c>
      <c r="N241" s="1128"/>
      <c r="O241" s="313">
        <f t="shared" si="42"/>
        <v>1</v>
      </c>
      <c r="P241" s="1128"/>
      <c r="Q241" s="313">
        <f t="shared" si="43"/>
        <v>1</v>
      </c>
      <c r="R241" s="1124">
        <f t="shared" si="44"/>
        <v>0</v>
      </c>
      <c r="S241" s="698">
        <f t="shared" si="35"/>
        <v>0</v>
      </c>
    </row>
    <row r="242" spans="1:19">
      <c r="A242" s="491"/>
      <c r="B242" s="348"/>
      <c r="C242" s="313">
        <f t="shared" si="36"/>
        <v>1</v>
      </c>
      <c r="D242" s="1128"/>
      <c r="E242" s="313">
        <f t="shared" si="37"/>
        <v>1</v>
      </c>
      <c r="F242" s="1128"/>
      <c r="G242" s="313">
        <f t="shared" si="38"/>
        <v>1</v>
      </c>
      <c r="H242" s="1128"/>
      <c r="I242" s="313">
        <f t="shared" si="39"/>
        <v>1</v>
      </c>
      <c r="J242" s="1128"/>
      <c r="K242" s="313">
        <f t="shared" si="40"/>
        <v>1</v>
      </c>
      <c r="L242" s="1128"/>
      <c r="M242" s="313">
        <f t="shared" si="41"/>
        <v>1</v>
      </c>
      <c r="N242" s="1128"/>
      <c r="O242" s="313">
        <f t="shared" si="42"/>
        <v>1</v>
      </c>
      <c r="P242" s="1128"/>
      <c r="Q242" s="313">
        <f t="shared" si="43"/>
        <v>1</v>
      </c>
      <c r="R242" s="1124">
        <f t="shared" si="44"/>
        <v>0</v>
      </c>
      <c r="S242" s="698">
        <f t="shared" si="35"/>
        <v>0</v>
      </c>
    </row>
    <row r="243" spans="1:19">
      <c r="A243" s="491"/>
      <c r="B243" s="348"/>
      <c r="C243" s="313">
        <f t="shared" si="36"/>
        <v>1</v>
      </c>
      <c r="D243" s="1128"/>
      <c r="E243" s="313">
        <f t="shared" si="37"/>
        <v>1</v>
      </c>
      <c r="F243" s="1128"/>
      <c r="G243" s="313">
        <f t="shared" si="38"/>
        <v>1</v>
      </c>
      <c r="H243" s="1128"/>
      <c r="I243" s="313">
        <f t="shared" si="39"/>
        <v>1</v>
      </c>
      <c r="J243" s="1128"/>
      <c r="K243" s="313">
        <f t="shared" si="40"/>
        <v>1</v>
      </c>
      <c r="L243" s="1128"/>
      <c r="M243" s="313">
        <f t="shared" si="41"/>
        <v>1</v>
      </c>
      <c r="N243" s="1128"/>
      <c r="O243" s="313">
        <f t="shared" si="42"/>
        <v>1</v>
      </c>
      <c r="P243" s="1128"/>
      <c r="Q243" s="313">
        <f t="shared" si="43"/>
        <v>1</v>
      </c>
      <c r="R243" s="1124">
        <f t="shared" si="44"/>
        <v>0</v>
      </c>
      <c r="S243" s="698">
        <f t="shared" si="35"/>
        <v>0</v>
      </c>
    </row>
    <row r="244" spans="1:19">
      <c r="A244" s="491"/>
      <c r="B244" s="348"/>
      <c r="C244" s="313">
        <f t="shared" si="36"/>
        <v>1</v>
      </c>
      <c r="D244" s="1128"/>
      <c r="E244" s="313">
        <f t="shared" si="37"/>
        <v>1</v>
      </c>
      <c r="F244" s="1128"/>
      <c r="G244" s="313">
        <f t="shared" si="38"/>
        <v>1</v>
      </c>
      <c r="H244" s="1128"/>
      <c r="I244" s="313">
        <f t="shared" si="39"/>
        <v>1</v>
      </c>
      <c r="J244" s="1128"/>
      <c r="K244" s="313">
        <f t="shared" si="40"/>
        <v>1</v>
      </c>
      <c r="L244" s="1128"/>
      <c r="M244" s="313">
        <f t="shared" si="41"/>
        <v>1</v>
      </c>
      <c r="N244" s="1128"/>
      <c r="O244" s="313">
        <f t="shared" si="42"/>
        <v>1</v>
      </c>
      <c r="P244" s="1128"/>
      <c r="Q244" s="313">
        <f t="shared" si="43"/>
        <v>1</v>
      </c>
      <c r="R244" s="1124">
        <f t="shared" si="44"/>
        <v>0</v>
      </c>
      <c r="S244" s="698">
        <f t="shared" si="35"/>
        <v>0</v>
      </c>
    </row>
    <row r="245" spans="1:19">
      <c r="A245" s="491"/>
      <c r="B245" s="348"/>
      <c r="C245" s="313">
        <f t="shared" si="36"/>
        <v>1</v>
      </c>
      <c r="D245" s="1128"/>
      <c r="E245" s="313">
        <f t="shared" si="37"/>
        <v>1</v>
      </c>
      <c r="F245" s="1128"/>
      <c r="G245" s="313">
        <f t="shared" si="38"/>
        <v>1</v>
      </c>
      <c r="H245" s="1128"/>
      <c r="I245" s="313">
        <f t="shared" si="39"/>
        <v>1</v>
      </c>
      <c r="J245" s="1128"/>
      <c r="K245" s="313">
        <f t="shared" si="40"/>
        <v>1</v>
      </c>
      <c r="L245" s="1128"/>
      <c r="M245" s="313">
        <f t="shared" si="41"/>
        <v>1</v>
      </c>
      <c r="N245" s="1128"/>
      <c r="O245" s="313">
        <f t="shared" si="42"/>
        <v>1</v>
      </c>
      <c r="P245" s="1128"/>
      <c r="Q245" s="313">
        <f t="shared" si="43"/>
        <v>1</v>
      </c>
      <c r="R245" s="1124">
        <f t="shared" si="44"/>
        <v>0</v>
      </c>
      <c r="S245" s="698">
        <f t="shared" si="35"/>
        <v>0</v>
      </c>
    </row>
    <row r="246" spans="1:19">
      <c r="A246" s="491"/>
      <c r="B246" s="348"/>
      <c r="C246" s="313">
        <f t="shared" si="36"/>
        <v>1</v>
      </c>
      <c r="D246" s="1128"/>
      <c r="E246" s="313">
        <f t="shared" si="37"/>
        <v>1</v>
      </c>
      <c r="F246" s="1128"/>
      <c r="G246" s="313">
        <f t="shared" si="38"/>
        <v>1</v>
      </c>
      <c r="H246" s="1128"/>
      <c r="I246" s="313">
        <f t="shared" si="39"/>
        <v>1</v>
      </c>
      <c r="J246" s="1128"/>
      <c r="K246" s="313">
        <f t="shared" si="40"/>
        <v>1</v>
      </c>
      <c r="L246" s="1128"/>
      <c r="M246" s="313">
        <f t="shared" si="41"/>
        <v>1</v>
      </c>
      <c r="N246" s="1128"/>
      <c r="O246" s="313">
        <f t="shared" si="42"/>
        <v>1</v>
      </c>
      <c r="P246" s="1128"/>
      <c r="Q246" s="313">
        <f t="shared" si="43"/>
        <v>1</v>
      </c>
      <c r="R246" s="1124">
        <f t="shared" si="44"/>
        <v>0</v>
      </c>
      <c r="S246" s="698">
        <f t="shared" si="35"/>
        <v>0</v>
      </c>
    </row>
    <row r="247" spans="1:19">
      <c r="A247" s="491"/>
      <c r="B247" s="348"/>
      <c r="C247" s="313">
        <f t="shared" si="36"/>
        <v>1</v>
      </c>
      <c r="D247" s="1128"/>
      <c r="E247" s="313">
        <f t="shared" si="37"/>
        <v>1</v>
      </c>
      <c r="F247" s="1128"/>
      <c r="G247" s="313">
        <f t="shared" si="38"/>
        <v>1</v>
      </c>
      <c r="H247" s="1128"/>
      <c r="I247" s="313">
        <f t="shared" si="39"/>
        <v>1</v>
      </c>
      <c r="J247" s="1128"/>
      <c r="K247" s="313">
        <f t="shared" si="40"/>
        <v>1</v>
      </c>
      <c r="L247" s="1128"/>
      <c r="M247" s="313">
        <f t="shared" si="41"/>
        <v>1</v>
      </c>
      <c r="N247" s="1128"/>
      <c r="O247" s="313">
        <f t="shared" si="42"/>
        <v>1</v>
      </c>
      <c r="P247" s="1128"/>
      <c r="Q247" s="313">
        <f t="shared" si="43"/>
        <v>1</v>
      </c>
      <c r="R247" s="1124">
        <f t="shared" si="44"/>
        <v>0</v>
      </c>
      <c r="S247" s="698">
        <f t="shared" si="35"/>
        <v>0</v>
      </c>
    </row>
    <row r="248" spans="1:19">
      <c r="A248" s="491"/>
      <c r="B248" s="348"/>
      <c r="C248" s="313">
        <f t="shared" si="36"/>
        <v>1</v>
      </c>
      <c r="D248" s="1128"/>
      <c r="E248" s="313">
        <f t="shared" si="37"/>
        <v>1</v>
      </c>
      <c r="F248" s="1128"/>
      <c r="G248" s="313">
        <f t="shared" si="38"/>
        <v>1</v>
      </c>
      <c r="H248" s="1128"/>
      <c r="I248" s="313">
        <f t="shared" si="39"/>
        <v>1</v>
      </c>
      <c r="J248" s="1128"/>
      <c r="K248" s="313">
        <f t="shared" si="40"/>
        <v>1</v>
      </c>
      <c r="L248" s="1128"/>
      <c r="M248" s="313">
        <f t="shared" si="41"/>
        <v>1</v>
      </c>
      <c r="N248" s="1128"/>
      <c r="O248" s="313">
        <f t="shared" si="42"/>
        <v>1</v>
      </c>
      <c r="P248" s="1128"/>
      <c r="Q248" s="313">
        <f t="shared" si="43"/>
        <v>1</v>
      </c>
      <c r="R248" s="1124">
        <f t="shared" si="44"/>
        <v>0</v>
      </c>
      <c r="S248" s="698">
        <f t="shared" si="35"/>
        <v>0</v>
      </c>
    </row>
    <row r="249" spans="1:19">
      <c r="A249" s="491"/>
      <c r="B249" s="348"/>
      <c r="C249" s="313">
        <f t="shared" si="36"/>
        <v>1</v>
      </c>
      <c r="D249" s="1128"/>
      <c r="E249" s="313">
        <f t="shared" si="37"/>
        <v>1</v>
      </c>
      <c r="F249" s="1128"/>
      <c r="G249" s="313">
        <f t="shared" si="38"/>
        <v>1</v>
      </c>
      <c r="H249" s="1128"/>
      <c r="I249" s="313">
        <f t="shared" si="39"/>
        <v>1</v>
      </c>
      <c r="J249" s="1128"/>
      <c r="K249" s="313">
        <f t="shared" si="40"/>
        <v>1</v>
      </c>
      <c r="L249" s="1128"/>
      <c r="M249" s="313">
        <f t="shared" si="41"/>
        <v>1</v>
      </c>
      <c r="N249" s="1128"/>
      <c r="O249" s="313">
        <f t="shared" si="42"/>
        <v>1</v>
      </c>
      <c r="P249" s="1128"/>
      <c r="Q249" s="313">
        <f t="shared" si="43"/>
        <v>1</v>
      </c>
      <c r="R249" s="1124">
        <f t="shared" si="44"/>
        <v>0</v>
      </c>
      <c r="S249" s="698">
        <f t="shared" si="35"/>
        <v>0</v>
      </c>
    </row>
    <row r="250" spans="1:19">
      <c r="A250" s="491"/>
      <c r="B250" s="348"/>
      <c r="C250" s="313">
        <f t="shared" si="36"/>
        <v>1</v>
      </c>
      <c r="D250" s="1128"/>
      <c r="E250" s="313">
        <f t="shared" si="37"/>
        <v>1</v>
      </c>
      <c r="F250" s="1128"/>
      <c r="G250" s="313">
        <f t="shared" si="38"/>
        <v>1</v>
      </c>
      <c r="H250" s="1128"/>
      <c r="I250" s="313">
        <f t="shared" si="39"/>
        <v>1</v>
      </c>
      <c r="J250" s="1128"/>
      <c r="K250" s="313">
        <f t="shared" si="40"/>
        <v>1</v>
      </c>
      <c r="L250" s="1128"/>
      <c r="M250" s="313">
        <f t="shared" si="41"/>
        <v>1</v>
      </c>
      <c r="N250" s="1128"/>
      <c r="O250" s="313">
        <f t="shared" si="42"/>
        <v>1</v>
      </c>
      <c r="P250" s="1128"/>
      <c r="Q250" s="313">
        <f t="shared" si="43"/>
        <v>1</v>
      </c>
      <c r="R250" s="1124">
        <f t="shared" si="44"/>
        <v>0</v>
      </c>
      <c r="S250" s="698">
        <f t="shared" si="35"/>
        <v>0</v>
      </c>
    </row>
    <row r="251" spans="1:19">
      <c r="A251" s="491"/>
      <c r="B251" s="348"/>
      <c r="C251" s="313">
        <f t="shared" si="36"/>
        <v>1</v>
      </c>
      <c r="D251" s="1128"/>
      <c r="E251" s="313">
        <f t="shared" si="37"/>
        <v>1</v>
      </c>
      <c r="F251" s="1128"/>
      <c r="G251" s="313">
        <f t="shared" si="38"/>
        <v>1</v>
      </c>
      <c r="H251" s="1128"/>
      <c r="I251" s="313">
        <f t="shared" si="39"/>
        <v>1</v>
      </c>
      <c r="J251" s="1128"/>
      <c r="K251" s="313">
        <f t="shared" si="40"/>
        <v>1</v>
      </c>
      <c r="L251" s="1128"/>
      <c r="M251" s="313">
        <f t="shared" si="41"/>
        <v>1</v>
      </c>
      <c r="N251" s="1128"/>
      <c r="O251" s="313">
        <f t="shared" si="42"/>
        <v>1</v>
      </c>
      <c r="P251" s="1128"/>
      <c r="Q251" s="313">
        <f t="shared" si="43"/>
        <v>1</v>
      </c>
      <c r="R251" s="1124">
        <f t="shared" si="44"/>
        <v>0</v>
      </c>
      <c r="S251" s="698">
        <f t="shared" si="35"/>
        <v>0</v>
      </c>
    </row>
    <row r="252" spans="1:19">
      <c r="A252" s="491"/>
      <c r="B252" s="348"/>
      <c r="C252" s="313">
        <f t="shared" si="36"/>
        <v>1</v>
      </c>
      <c r="D252" s="1128"/>
      <c r="E252" s="313">
        <f t="shared" si="37"/>
        <v>1</v>
      </c>
      <c r="F252" s="1128"/>
      <c r="G252" s="313">
        <f t="shared" si="38"/>
        <v>1</v>
      </c>
      <c r="H252" s="1128"/>
      <c r="I252" s="313">
        <f t="shared" si="39"/>
        <v>1</v>
      </c>
      <c r="J252" s="1128"/>
      <c r="K252" s="313">
        <f t="shared" si="40"/>
        <v>1</v>
      </c>
      <c r="L252" s="1128"/>
      <c r="M252" s="313">
        <f t="shared" si="41"/>
        <v>1</v>
      </c>
      <c r="N252" s="1128"/>
      <c r="O252" s="313">
        <f t="shared" si="42"/>
        <v>1</v>
      </c>
      <c r="P252" s="1128"/>
      <c r="Q252" s="313">
        <f t="shared" si="43"/>
        <v>1</v>
      </c>
      <c r="R252" s="1124">
        <f t="shared" si="44"/>
        <v>0</v>
      </c>
      <c r="S252" s="698">
        <f t="shared" si="35"/>
        <v>0</v>
      </c>
    </row>
    <row r="253" spans="1:19">
      <c r="A253" s="491"/>
      <c r="B253" s="348"/>
      <c r="C253" s="313">
        <f t="shared" si="36"/>
        <v>1</v>
      </c>
      <c r="D253" s="1128"/>
      <c r="E253" s="313">
        <f t="shared" si="37"/>
        <v>1</v>
      </c>
      <c r="F253" s="1128"/>
      <c r="G253" s="313">
        <f t="shared" si="38"/>
        <v>1</v>
      </c>
      <c r="H253" s="1128"/>
      <c r="I253" s="313">
        <f t="shared" si="39"/>
        <v>1</v>
      </c>
      <c r="J253" s="1128"/>
      <c r="K253" s="313">
        <f t="shared" si="40"/>
        <v>1</v>
      </c>
      <c r="L253" s="1128"/>
      <c r="M253" s="313">
        <f t="shared" si="41"/>
        <v>1</v>
      </c>
      <c r="N253" s="1128"/>
      <c r="O253" s="313">
        <f t="shared" si="42"/>
        <v>1</v>
      </c>
      <c r="P253" s="1128"/>
      <c r="Q253" s="313">
        <f t="shared" si="43"/>
        <v>1</v>
      </c>
      <c r="R253" s="1124">
        <f t="shared" si="44"/>
        <v>0</v>
      </c>
      <c r="S253" s="698">
        <f t="shared" si="35"/>
        <v>0</v>
      </c>
    </row>
    <row r="254" spans="1:19">
      <c r="A254" s="491"/>
      <c r="B254" s="348"/>
      <c r="C254" s="313">
        <f t="shared" si="36"/>
        <v>1</v>
      </c>
      <c r="D254" s="1128"/>
      <c r="E254" s="313">
        <f t="shared" si="37"/>
        <v>1</v>
      </c>
      <c r="F254" s="1128"/>
      <c r="G254" s="313">
        <f t="shared" si="38"/>
        <v>1</v>
      </c>
      <c r="H254" s="1128"/>
      <c r="I254" s="313">
        <f t="shared" si="39"/>
        <v>1</v>
      </c>
      <c r="J254" s="1128"/>
      <c r="K254" s="313">
        <f t="shared" si="40"/>
        <v>1</v>
      </c>
      <c r="L254" s="1128"/>
      <c r="M254" s="313">
        <f t="shared" si="41"/>
        <v>1</v>
      </c>
      <c r="N254" s="1128"/>
      <c r="O254" s="313">
        <f t="shared" si="42"/>
        <v>1</v>
      </c>
      <c r="P254" s="1128"/>
      <c r="Q254" s="313">
        <f t="shared" si="43"/>
        <v>1</v>
      </c>
      <c r="R254" s="1124">
        <f t="shared" si="44"/>
        <v>0</v>
      </c>
      <c r="S254" s="698">
        <f t="shared" si="35"/>
        <v>0</v>
      </c>
    </row>
    <row r="255" spans="1:19">
      <c r="A255" s="491"/>
      <c r="B255" s="348"/>
      <c r="C255" s="313">
        <f t="shared" si="36"/>
        <v>1</v>
      </c>
      <c r="D255" s="1128"/>
      <c r="E255" s="313">
        <f t="shared" si="37"/>
        <v>1</v>
      </c>
      <c r="F255" s="1128"/>
      <c r="G255" s="313">
        <f t="shared" si="38"/>
        <v>1</v>
      </c>
      <c r="H255" s="1128"/>
      <c r="I255" s="313">
        <f t="shared" si="39"/>
        <v>1</v>
      </c>
      <c r="J255" s="1128"/>
      <c r="K255" s="313">
        <f t="shared" si="40"/>
        <v>1</v>
      </c>
      <c r="L255" s="1128"/>
      <c r="M255" s="313">
        <f t="shared" si="41"/>
        <v>1</v>
      </c>
      <c r="N255" s="1128"/>
      <c r="O255" s="313">
        <f t="shared" si="42"/>
        <v>1</v>
      </c>
      <c r="P255" s="1128"/>
      <c r="Q255" s="313">
        <f t="shared" si="43"/>
        <v>1</v>
      </c>
      <c r="R255" s="1124">
        <f t="shared" si="44"/>
        <v>0</v>
      </c>
      <c r="S255" s="698">
        <f t="shared" si="35"/>
        <v>0</v>
      </c>
    </row>
    <row r="256" spans="1:19">
      <c r="A256" s="491"/>
      <c r="B256" s="348"/>
      <c r="C256" s="313">
        <f t="shared" si="36"/>
        <v>1</v>
      </c>
      <c r="D256" s="1128"/>
      <c r="E256" s="313">
        <f t="shared" si="37"/>
        <v>1</v>
      </c>
      <c r="F256" s="1128"/>
      <c r="G256" s="313">
        <f t="shared" si="38"/>
        <v>1</v>
      </c>
      <c r="H256" s="1128"/>
      <c r="I256" s="313">
        <f t="shared" si="39"/>
        <v>1</v>
      </c>
      <c r="J256" s="1128"/>
      <c r="K256" s="313">
        <f t="shared" si="40"/>
        <v>1</v>
      </c>
      <c r="L256" s="1128"/>
      <c r="M256" s="313">
        <f t="shared" si="41"/>
        <v>1</v>
      </c>
      <c r="N256" s="1128"/>
      <c r="O256" s="313">
        <f t="shared" si="42"/>
        <v>1</v>
      </c>
      <c r="P256" s="1128"/>
      <c r="Q256" s="313">
        <f t="shared" si="43"/>
        <v>1</v>
      </c>
      <c r="R256" s="1124">
        <f t="shared" si="44"/>
        <v>0</v>
      </c>
      <c r="S256" s="698">
        <f t="shared" si="35"/>
        <v>0</v>
      </c>
    </row>
    <row r="257" spans="1:19">
      <c r="A257" s="491"/>
      <c r="B257" s="348"/>
      <c r="C257" s="313">
        <f t="shared" si="36"/>
        <v>1</v>
      </c>
      <c r="D257" s="1128"/>
      <c r="E257" s="313">
        <f t="shared" si="37"/>
        <v>1</v>
      </c>
      <c r="F257" s="1128"/>
      <c r="G257" s="313">
        <f t="shared" si="38"/>
        <v>1</v>
      </c>
      <c r="H257" s="1128"/>
      <c r="I257" s="313">
        <f t="shared" si="39"/>
        <v>1</v>
      </c>
      <c r="J257" s="1128"/>
      <c r="K257" s="313">
        <f t="shared" si="40"/>
        <v>1</v>
      </c>
      <c r="L257" s="1128"/>
      <c r="M257" s="313">
        <f t="shared" si="41"/>
        <v>1</v>
      </c>
      <c r="N257" s="1128"/>
      <c r="O257" s="313">
        <f t="shared" si="42"/>
        <v>1</v>
      </c>
      <c r="P257" s="1128"/>
      <c r="Q257" s="313">
        <f t="shared" si="43"/>
        <v>1</v>
      </c>
      <c r="R257" s="1124">
        <f t="shared" si="44"/>
        <v>0</v>
      </c>
      <c r="S257" s="698">
        <f t="shared" si="35"/>
        <v>0</v>
      </c>
    </row>
    <row r="258" spans="1:19">
      <c r="A258" s="491"/>
      <c r="B258" s="348"/>
      <c r="C258" s="313">
        <f t="shared" si="36"/>
        <v>1</v>
      </c>
      <c r="D258" s="1128"/>
      <c r="E258" s="313">
        <f t="shared" si="37"/>
        <v>1</v>
      </c>
      <c r="F258" s="1128"/>
      <c r="G258" s="313">
        <f t="shared" si="38"/>
        <v>1</v>
      </c>
      <c r="H258" s="1128"/>
      <c r="I258" s="313">
        <f t="shared" si="39"/>
        <v>1</v>
      </c>
      <c r="J258" s="1128"/>
      <c r="K258" s="313">
        <f t="shared" si="40"/>
        <v>1</v>
      </c>
      <c r="L258" s="1128"/>
      <c r="M258" s="313">
        <f t="shared" si="41"/>
        <v>1</v>
      </c>
      <c r="N258" s="1128"/>
      <c r="O258" s="313">
        <f t="shared" si="42"/>
        <v>1</v>
      </c>
      <c r="P258" s="1128"/>
      <c r="Q258" s="313">
        <f t="shared" si="43"/>
        <v>1</v>
      </c>
      <c r="R258" s="1124">
        <f t="shared" si="44"/>
        <v>0</v>
      </c>
      <c r="S258" s="698">
        <f t="shared" si="35"/>
        <v>0</v>
      </c>
    </row>
    <row r="259" spans="1:19">
      <c r="A259" s="491"/>
      <c r="B259" s="348"/>
      <c r="C259" s="313">
        <f t="shared" si="36"/>
        <v>1</v>
      </c>
      <c r="D259" s="1128"/>
      <c r="E259" s="313">
        <f t="shared" si="37"/>
        <v>1</v>
      </c>
      <c r="F259" s="1128"/>
      <c r="G259" s="313">
        <f t="shared" si="38"/>
        <v>1</v>
      </c>
      <c r="H259" s="1128"/>
      <c r="I259" s="313">
        <f t="shared" si="39"/>
        <v>1</v>
      </c>
      <c r="J259" s="1128"/>
      <c r="K259" s="313">
        <f t="shared" si="40"/>
        <v>1</v>
      </c>
      <c r="L259" s="1128"/>
      <c r="M259" s="313">
        <f t="shared" si="41"/>
        <v>1</v>
      </c>
      <c r="N259" s="1128"/>
      <c r="O259" s="313">
        <f t="shared" si="42"/>
        <v>1</v>
      </c>
      <c r="P259" s="1128"/>
      <c r="Q259" s="313">
        <f t="shared" si="43"/>
        <v>1</v>
      </c>
      <c r="R259" s="1124">
        <f t="shared" si="44"/>
        <v>0</v>
      </c>
      <c r="S259" s="698">
        <f t="shared" si="35"/>
        <v>0</v>
      </c>
    </row>
    <row r="260" spans="1:19">
      <c r="A260" s="491"/>
      <c r="B260" s="348"/>
      <c r="C260" s="313">
        <f t="shared" si="36"/>
        <v>1</v>
      </c>
      <c r="D260" s="1128"/>
      <c r="E260" s="313">
        <f t="shared" si="37"/>
        <v>1</v>
      </c>
      <c r="F260" s="1128"/>
      <c r="G260" s="313">
        <f t="shared" si="38"/>
        <v>1</v>
      </c>
      <c r="H260" s="1128"/>
      <c r="I260" s="313">
        <f t="shared" si="39"/>
        <v>1</v>
      </c>
      <c r="J260" s="1128"/>
      <c r="K260" s="313">
        <f t="shared" si="40"/>
        <v>1</v>
      </c>
      <c r="L260" s="1128"/>
      <c r="M260" s="313">
        <f t="shared" si="41"/>
        <v>1</v>
      </c>
      <c r="N260" s="1128"/>
      <c r="O260" s="313">
        <f t="shared" si="42"/>
        <v>1</v>
      </c>
      <c r="P260" s="1128"/>
      <c r="Q260" s="313">
        <f t="shared" si="43"/>
        <v>1</v>
      </c>
      <c r="R260" s="1124">
        <f t="shared" si="44"/>
        <v>0</v>
      </c>
      <c r="S260" s="698">
        <f t="shared" si="35"/>
        <v>0</v>
      </c>
    </row>
    <row r="261" spans="1:19">
      <c r="A261" s="491"/>
      <c r="B261" s="348"/>
      <c r="C261" s="313">
        <f t="shared" si="36"/>
        <v>1</v>
      </c>
      <c r="D261" s="1128"/>
      <c r="E261" s="313">
        <f t="shared" si="37"/>
        <v>1</v>
      </c>
      <c r="F261" s="1128"/>
      <c r="G261" s="313">
        <f t="shared" si="38"/>
        <v>1</v>
      </c>
      <c r="H261" s="1128"/>
      <c r="I261" s="313">
        <f t="shared" si="39"/>
        <v>1</v>
      </c>
      <c r="J261" s="1128"/>
      <c r="K261" s="313">
        <f t="shared" si="40"/>
        <v>1</v>
      </c>
      <c r="L261" s="1128"/>
      <c r="M261" s="313">
        <f t="shared" si="41"/>
        <v>1</v>
      </c>
      <c r="N261" s="1128"/>
      <c r="O261" s="313">
        <f t="shared" si="42"/>
        <v>1</v>
      </c>
      <c r="P261" s="1128"/>
      <c r="Q261" s="313">
        <f t="shared" si="43"/>
        <v>1</v>
      </c>
      <c r="R261" s="1124">
        <f t="shared" si="44"/>
        <v>0</v>
      </c>
      <c r="S261" s="698">
        <f t="shared" si="35"/>
        <v>0</v>
      </c>
    </row>
    <row r="262" spans="1:19">
      <c r="A262" s="491"/>
      <c r="B262" s="348"/>
      <c r="C262" s="313">
        <f t="shared" si="36"/>
        <v>1</v>
      </c>
      <c r="D262" s="1128"/>
      <c r="E262" s="313">
        <f t="shared" si="37"/>
        <v>1</v>
      </c>
      <c r="F262" s="1128"/>
      <c r="G262" s="313">
        <f t="shared" si="38"/>
        <v>1</v>
      </c>
      <c r="H262" s="1128"/>
      <c r="I262" s="313">
        <f t="shared" si="39"/>
        <v>1</v>
      </c>
      <c r="J262" s="1128"/>
      <c r="K262" s="313">
        <f t="shared" si="40"/>
        <v>1</v>
      </c>
      <c r="L262" s="1128"/>
      <c r="M262" s="313">
        <f t="shared" si="41"/>
        <v>1</v>
      </c>
      <c r="N262" s="1128"/>
      <c r="O262" s="313">
        <f t="shared" si="42"/>
        <v>1</v>
      </c>
      <c r="P262" s="1128"/>
      <c r="Q262" s="313">
        <f t="shared" si="43"/>
        <v>1</v>
      </c>
      <c r="R262" s="1124">
        <f t="shared" si="44"/>
        <v>0</v>
      </c>
      <c r="S262" s="698">
        <f t="shared" si="35"/>
        <v>0</v>
      </c>
    </row>
    <row r="263" spans="1:19">
      <c r="A263" s="491"/>
      <c r="B263" s="348"/>
      <c r="C263" s="313">
        <f t="shared" si="36"/>
        <v>1</v>
      </c>
      <c r="D263" s="1128"/>
      <c r="E263" s="313">
        <f t="shared" si="37"/>
        <v>1</v>
      </c>
      <c r="F263" s="1128"/>
      <c r="G263" s="313">
        <f t="shared" si="38"/>
        <v>1</v>
      </c>
      <c r="H263" s="1128"/>
      <c r="I263" s="313">
        <f t="shared" si="39"/>
        <v>1</v>
      </c>
      <c r="J263" s="1128"/>
      <c r="K263" s="313">
        <f t="shared" si="40"/>
        <v>1</v>
      </c>
      <c r="L263" s="1128"/>
      <c r="M263" s="313">
        <f t="shared" si="41"/>
        <v>1</v>
      </c>
      <c r="N263" s="1128"/>
      <c r="O263" s="313">
        <f t="shared" si="42"/>
        <v>1</v>
      </c>
      <c r="P263" s="1128"/>
      <c r="Q263" s="313">
        <f t="shared" si="43"/>
        <v>1</v>
      </c>
      <c r="R263" s="1124">
        <f t="shared" si="44"/>
        <v>0</v>
      </c>
      <c r="S263" s="698">
        <f t="shared" si="35"/>
        <v>0</v>
      </c>
    </row>
    <row r="264" spans="1:19">
      <c r="A264" s="491"/>
      <c r="B264" s="348"/>
      <c r="C264" s="313">
        <f t="shared" si="36"/>
        <v>1</v>
      </c>
      <c r="D264" s="1128"/>
      <c r="E264" s="313">
        <f t="shared" si="37"/>
        <v>1</v>
      </c>
      <c r="F264" s="1128"/>
      <c r="G264" s="313">
        <f t="shared" si="38"/>
        <v>1</v>
      </c>
      <c r="H264" s="1128"/>
      <c r="I264" s="313">
        <f t="shared" si="39"/>
        <v>1</v>
      </c>
      <c r="J264" s="1128"/>
      <c r="K264" s="313">
        <f t="shared" si="40"/>
        <v>1</v>
      </c>
      <c r="L264" s="1128"/>
      <c r="M264" s="313">
        <f t="shared" si="41"/>
        <v>1</v>
      </c>
      <c r="N264" s="1128"/>
      <c r="O264" s="313">
        <f t="shared" si="42"/>
        <v>1</v>
      </c>
      <c r="P264" s="1128"/>
      <c r="Q264" s="313">
        <f t="shared" si="43"/>
        <v>1</v>
      </c>
      <c r="R264" s="1124">
        <f t="shared" si="44"/>
        <v>0</v>
      </c>
      <c r="S264" s="698">
        <f t="shared" si="35"/>
        <v>0</v>
      </c>
    </row>
    <row r="265" spans="1:19">
      <c r="A265" s="491"/>
      <c r="B265" s="348"/>
      <c r="C265" s="313">
        <f t="shared" si="36"/>
        <v>1</v>
      </c>
      <c r="D265" s="1128"/>
      <c r="E265" s="313">
        <f t="shared" si="37"/>
        <v>1</v>
      </c>
      <c r="F265" s="1128"/>
      <c r="G265" s="313">
        <f t="shared" si="38"/>
        <v>1</v>
      </c>
      <c r="H265" s="1128"/>
      <c r="I265" s="313">
        <f t="shared" si="39"/>
        <v>1</v>
      </c>
      <c r="J265" s="1128"/>
      <c r="K265" s="313">
        <f t="shared" si="40"/>
        <v>1</v>
      </c>
      <c r="L265" s="1128"/>
      <c r="M265" s="313">
        <f t="shared" si="41"/>
        <v>1</v>
      </c>
      <c r="N265" s="1128"/>
      <c r="O265" s="313">
        <f t="shared" si="42"/>
        <v>1</v>
      </c>
      <c r="P265" s="1128"/>
      <c r="Q265" s="313">
        <f t="shared" si="43"/>
        <v>1</v>
      </c>
      <c r="R265" s="1124">
        <f t="shared" si="44"/>
        <v>0</v>
      </c>
      <c r="S265" s="698">
        <f t="shared" si="35"/>
        <v>0</v>
      </c>
    </row>
    <row r="266" spans="1:19">
      <c r="A266" s="491"/>
      <c r="B266" s="348"/>
      <c r="C266" s="313">
        <f t="shared" si="36"/>
        <v>1</v>
      </c>
      <c r="D266" s="1128"/>
      <c r="E266" s="313">
        <f t="shared" si="37"/>
        <v>1</v>
      </c>
      <c r="F266" s="1128"/>
      <c r="G266" s="313">
        <f t="shared" si="38"/>
        <v>1</v>
      </c>
      <c r="H266" s="1128"/>
      <c r="I266" s="313">
        <f t="shared" si="39"/>
        <v>1</v>
      </c>
      <c r="J266" s="1128"/>
      <c r="K266" s="313">
        <f t="shared" si="40"/>
        <v>1</v>
      </c>
      <c r="L266" s="1128"/>
      <c r="M266" s="313">
        <f t="shared" si="41"/>
        <v>1</v>
      </c>
      <c r="N266" s="1128"/>
      <c r="O266" s="313">
        <f t="shared" si="42"/>
        <v>1</v>
      </c>
      <c r="P266" s="1128"/>
      <c r="Q266" s="313">
        <f t="shared" si="43"/>
        <v>1</v>
      </c>
      <c r="R266" s="1124">
        <f t="shared" si="44"/>
        <v>0</v>
      </c>
      <c r="S266" s="698">
        <f t="shared" si="35"/>
        <v>0</v>
      </c>
    </row>
    <row r="267" spans="1:19">
      <c r="A267" s="491"/>
      <c r="B267" s="348"/>
      <c r="C267" s="313">
        <f t="shared" si="36"/>
        <v>1</v>
      </c>
      <c r="D267" s="1128"/>
      <c r="E267" s="313">
        <f t="shared" si="37"/>
        <v>1</v>
      </c>
      <c r="F267" s="1128"/>
      <c r="G267" s="313">
        <f t="shared" si="38"/>
        <v>1</v>
      </c>
      <c r="H267" s="1128"/>
      <c r="I267" s="313">
        <f t="shared" si="39"/>
        <v>1</v>
      </c>
      <c r="J267" s="1128"/>
      <c r="K267" s="313">
        <f t="shared" si="40"/>
        <v>1</v>
      </c>
      <c r="L267" s="1128"/>
      <c r="M267" s="313">
        <f t="shared" si="41"/>
        <v>1</v>
      </c>
      <c r="N267" s="1128"/>
      <c r="O267" s="313">
        <f t="shared" si="42"/>
        <v>1</v>
      </c>
      <c r="P267" s="1128"/>
      <c r="Q267" s="313">
        <f t="shared" si="43"/>
        <v>1</v>
      </c>
      <c r="R267" s="1124">
        <f t="shared" si="44"/>
        <v>0</v>
      </c>
      <c r="S267" s="698">
        <f t="shared" si="35"/>
        <v>0</v>
      </c>
    </row>
    <row r="268" spans="1:19">
      <c r="A268" s="491"/>
      <c r="B268" s="348"/>
      <c r="C268" s="313">
        <f t="shared" si="36"/>
        <v>1</v>
      </c>
      <c r="D268" s="1128"/>
      <c r="E268" s="313">
        <f t="shared" si="37"/>
        <v>1</v>
      </c>
      <c r="F268" s="1128"/>
      <c r="G268" s="313">
        <f t="shared" si="38"/>
        <v>1</v>
      </c>
      <c r="H268" s="1128"/>
      <c r="I268" s="313">
        <f t="shared" si="39"/>
        <v>1</v>
      </c>
      <c r="J268" s="1128"/>
      <c r="K268" s="313">
        <f t="shared" si="40"/>
        <v>1</v>
      </c>
      <c r="L268" s="1128"/>
      <c r="M268" s="313">
        <f t="shared" si="41"/>
        <v>1</v>
      </c>
      <c r="N268" s="1128"/>
      <c r="O268" s="313">
        <f t="shared" si="42"/>
        <v>1</v>
      </c>
      <c r="P268" s="1128"/>
      <c r="Q268" s="313">
        <f t="shared" si="43"/>
        <v>1</v>
      </c>
      <c r="R268" s="1124">
        <f t="shared" si="44"/>
        <v>0</v>
      </c>
      <c r="S268" s="698">
        <f t="shared" si="35"/>
        <v>0</v>
      </c>
    </row>
    <row r="269" spans="1:19">
      <c r="A269" s="491"/>
      <c r="B269" s="348"/>
      <c r="C269" s="313">
        <f t="shared" si="36"/>
        <v>1</v>
      </c>
      <c r="D269" s="1128"/>
      <c r="E269" s="313">
        <f t="shared" si="37"/>
        <v>1</v>
      </c>
      <c r="F269" s="1128"/>
      <c r="G269" s="313">
        <f t="shared" si="38"/>
        <v>1</v>
      </c>
      <c r="H269" s="1128"/>
      <c r="I269" s="313">
        <f t="shared" si="39"/>
        <v>1</v>
      </c>
      <c r="J269" s="1128"/>
      <c r="K269" s="313">
        <f t="shared" si="40"/>
        <v>1</v>
      </c>
      <c r="L269" s="1128"/>
      <c r="M269" s="313">
        <f t="shared" si="41"/>
        <v>1</v>
      </c>
      <c r="N269" s="1128"/>
      <c r="O269" s="313">
        <f t="shared" si="42"/>
        <v>1</v>
      </c>
      <c r="P269" s="1128"/>
      <c r="Q269" s="313">
        <f t="shared" si="43"/>
        <v>1</v>
      </c>
      <c r="R269" s="1124">
        <f t="shared" si="44"/>
        <v>0</v>
      </c>
      <c r="S269" s="698">
        <f t="shared" si="35"/>
        <v>0</v>
      </c>
    </row>
    <row r="270" spans="1:19">
      <c r="A270" s="491"/>
      <c r="B270" s="348"/>
      <c r="C270" s="313">
        <f t="shared" si="36"/>
        <v>1</v>
      </c>
      <c r="D270" s="1128"/>
      <c r="E270" s="313">
        <f t="shared" si="37"/>
        <v>1</v>
      </c>
      <c r="F270" s="1128"/>
      <c r="G270" s="313">
        <f t="shared" si="38"/>
        <v>1</v>
      </c>
      <c r="H270" s="1128"/>
      <c r="I270" s="313">
        <f t="shared" si="39"/>
        <v>1</v>
      </c>
      <c r="J270" s="1128"/>
      <c r="K270" s="313">
        <f t="shared" si="40"/>
        <v>1</v>
      </c>
      <c r="L270" s="1128"/>
      <c r="M270" s="313">
        <f t="shared" si="41"/>
        <v>1</v>
      </c>
      <c r="N270" s="1128"/>
      <c r="O270" s="313">
        <f t="shared" si="42"/>
        <v>1</v>
      </c>
      <c r="P270" s="1128"/>
      <c r="Q270" s="313">
        <f t="shared" si="43"/>
        <v>1</v>
      </c>
      <c r="R270" s="1124">
        <f t="shared" si="44"/>
        <v>0</v>
      </c>
      <c r="S270" s="698">
        <f t="shared" si="35"/>
        <v>0</v>
      </c>
    </row>
    <row r="271" spans="1:19">
      <c r="A271" s="491"/>
      <c r="B271" s="348"/>
      <c r="C271" s="313">
        <f t="shared" si="36"/>
        <v>1</v>
      </c>
      <c r="D271" s="1128"/>
      <c r="E271" s="313">
        <f t="shared" si="37"/>
        <v>1</v>
      </c>
      <c r="F271" s="1128"/>
      <c r="G271" s="313">
        <f t="shared" si="38"/>
        <v>1</v>
      </c>
      <c r="H271" s="1128"/>
      <c r="I271" s="313">
        <f t="shared" si="39"/>
        <v>1</v>
      </c>
      <c r="J271" s="1128"/>
      <c r="K271" s="313">
        <f t="shared" si="40"/>
        <v>1</v>
      </c>
      <c r="L271" s="1128"/>
      <c r="M271" s="313">
        <f t="shared" si="41"/>
        <v>1</v>
      </c>
      <c r="N271" s="1128"/>
      <c r="O271" s="313">
        <f t="shared" si="42"/>
        <v>1</v>
      </c>
      <c r="P271" s="1128"/>
      <c r="Q271" s="313">
        <f t="shared" si="43"/>
        <v>1</v>
      </c>
      <c r="R271" s="1124">
        <f t="shared" si="44"/>
        <v>0</v>
      </c>
      <c r="S271" s="698">
        <f t="shared" si="35"/>
        <v>0</v>
      </c>
    </row>
    <row r="272" spans="1:19">
      <c r="A272" s="491"/>
      <c r="B272" s="348"/>
      <c r="C272" s="313">
        <f t="shared" si="36"/>
        <v>1</v>
      </c>
      <c r="D272" s="1128"/>
      <c r="E272" s="313">
        <f t="shared" si="37"/>
        <v>1</v>
      </c>
      <c r="F272" s="1128"/>
      <c r="G272" s="313">
        <f t="shared" si="38"/>
        <v>1</v>
      </c>
      <c r="H272" s="1128"/>
      <c r="I272" s="313">
        <f t="shared" si="39"/>
        <v>1</v>
      </c>
      <c r="J272" s="1128"/>
      <c r="K272" s="313">
        <f t="shared" si="40"/>
        <v>1</v>
      </c>
      <c r="L272" s="1128"/>
      <c r="M272" s="313">
        <f t="shared" si="41"/>
        <v>1</v>
      </c>
      <c r="N272" s="1128"/>
      <c r="O272" s="313">
        <f t="shared" si="42"/>
        <v>1</v>
      </c>
      <c r="P272" s="1128"/>
      <c r="Q272" s="313">
        <f t="shared" si="43"/>
        <v>1</v>
      </c>
      <c r="R272" s="1124">
        <f t="shared" si="44"/>
        <v>0</v>
      </c>
      <c r="S272" s="698">
        <f t="shared" si="35"/>
        <v>0</v>
      </c>
    </row>
    <row r="273" spans="1:19">
      <c r="A273" s="491"/>
      <c r="B273" s="348"/>
      <c r="C273" s="313">
        <f t="shared" si="36"/>
        <v>1</v>
      </c>
      <c r="D273" s="1128"/>
      <c r="E273" s="313">
        <f t="shared" si="37"/>
        <v>1</v>
      </c>
      <c r="F273" s="1128"/>
      <c r="G273" s="313">
        <f t="shared" si="38"/>
        <v>1</v>
      </c>
      <c r="H273" s="1128"/>
      <c r="I273" s="313">
        <f t="shared" si="39"/>
        <v>1</v>
      </c>
      <c r="J273" s="1128"/>
      <c r="K273" s="313">
        <f t="shared" si="40"/>
        <v>1</v>
      </c>
      <c r="L273" s="1128"/>
      <c r="M273" s="313">
        <f t="shared" si="41"/>
        <v>1</v>
      </c>
      <c r="N273" s="1128"/>
      <c r="O273" s="313">
        <f t="shared" si="42"/>
        <v>1</v>
      </c>
      <c r="P273" s="1128"/>
      <c r="Q273" s="313">
        <f t="shared" si="43"/>
        <v>1</v>
      </c>
      <c r="R273" s="1124">
        <f t="shared" si="44"/>
        <v>0</v>
      </c>
      <c r="S273" s="698">
        <f t="shared" si="35"/>
        <v>0</v>
      </c>
    </row>
    <row r="274" spans="1:19">
      <c r="A274" s="491"/>
      <c r="B274" s="348"/>
      <c r="C274" s="313">
        <f t="shared" si="36"/>
        <v>1</v>
      </c>
      <c r="D274" s="1128"/>
      <c r="E274" s="313">
        <f t="shared" si="37"/>
        <v>1</v>
      </c>
      <c r="F274" s="1128"/>
      <c r="G274" s="313">
        <f t="shared" si="38"/>
        <v>1</v>
      </c>
      <c r="H274" s="1128"/>
      <c r="I274" s="313">
        <f t="shared" si="39"/>
        <v>1</v>
      </c>
      <c r="J274" s="1128"/>
      <c r="K274" s="313">
        <f t="shared" si="40"/>
        <v>1</v>
      </c>
      <c r="L274" s="1128"/>
      <c r="M274" s="313">
        <f t="shared" si="41"/>
        <v>1</v>
      </c>
      <c r="N274" s="1128"/>
      <c r="O274" s="313">
        <f t="shared" si="42"/>
        <v>1</v>
      </c>
      <c r="P274" s="1128"/>
      <c r="Q274" s="313">
        <f t="shared" si="43"/>
        <v>1</v>
      </c>
      <c r="R274" s="1124">
        <f t="shared" si="44"/>
        <v>0</v>
      </c>
      <c r="S274" s="698">
        <f t="shared" si="35"/>
        <v>0</v>
      </c>
    </row>
    <row r="275" spans="1:19">
      <c r="A275" s="491"/>
      <c r="B275" s="348"/>
      <c r="C275" s="313">
        <f t="shared" si="36"/>
        <v>1</v>
      </c>
      <c r="D275" s="1128"/>
      <c r="E275" s="313">
        <f t="shared" si="37"/>
        <v>1</v>
      </c>
      <c r="F275" s="1128"/>
      <c r="G275" s="313">
        <f t="shared" si="38"/>
        <v>1</v>
      </c>
      <c r="H275" s="1128"/>
      <c r="I275" s="313">
        <f t="shared" si="39"/>
        <v>1</v>
      </c>
      <c r="J275" s="1128"/>
      <c r="K275" s="313">
        <f t="shared" si="40"/>
        <v>1</v>
      </c>
      <c r="L275" s="1128"/>
      <c r="M275" s="313">
        <f t="shared" si="41"/>
        <v>1</v>
      </c>
      <c r="N275" s="1128"/>
      <c r="O275" s="313">
        <f t="shared" si="42"/>
        <v>1</v>
      </c>
      <c r="P275" s="1128"/>
      <c r="Q275" s="313">
        <f t="shared" si="43"/>
        <v>1</v>
      </c>
      <c r="R275" s="1124">
        <f t="shared" si="44"/>
        <v>0</v>
      </c>
      <c r="S275" s="698">
        <f t="shared" si="35"/>
        <v>0</v>
      </c>
    </row>
    <row r="276" spans="1:19">
      <c r="A276" s="491"/>
      <c r="B276" s="348"/>
      <c r="C276" s="313">
        <f t="shared" si="36"/>
        <v>1</v>
      </c>
      <c r="D276" s="1128"/>
      <c r="E276" s="313">
        <f t="shared" si="37"/>
        <v>1</v>
      </c>
      <c r="F276" s="1128"/>
      <c r="G276" s="313">
        <f t="shared" si="38"/>
        <v>1</v>
      </c>
      <c r="H276" s="1128"/>
      <c r="I276" s="313">
        <f t="shared" si="39"/>
        <v>1</v>
      </c>
      <c r="J276" s="1128"/>
      <c r="K276" s="313">
        <f t="shared" si="40"/>
        <v>1</v>
      </c>
      <c r="L276" s="1128"/>
      <c r="M276" s="313">
        <f t="shared" si="41"/>
        <v>1</v>
      </c>
      <c r="N276" s="1128"/>
      <c r="O276" s="313">
        <f t="shared" si="42"/>
        <v>1</v>
      </c>
      <c r="P276" s="1128"/>
      <c r="Q276" s="313">
        <f t="shared" si="43"/>
        <v>1</v>
      </c>
      <c r="R276" s="1124">
        <f t="shared" si="44"/>
        <v>0</v>
      </c>
      <c r="S276" s="698">
        <f t="shared" si="35"/>
        <v>0</v>
      </c>
    </row>
    <row r="277" spans="1:19">
      <c r="A277" s="491"/>
      <c r="B277" s="348"/>
      <c r="C277" s="313">
        <f t="shared" si="36"/>
        <v>1</v>
      </c>
      <c r="D277" s="1128"/>
      <c r="E277" s="313">
        <f t="shared" si="37"/>
        <v>1</v>
      </c>
      <c r="F277" s="1128"/>
      <c r="G277" s="313">
        <f t="shared" si="38"/>
        <v>1</v>
      </c>
      <c r="H277" s="1128"/>
      <c r="I277" s="313">
        <f t="shared" si="39"/>
        <v>1</v>
      </c>
      <c r="J277" s="1128"/>
      <c r="K277" s="313">
        <f t="shared" si="40"/>
        <v>1</v>
      </c>
      <c r="L277" s="1128"/>
      <c r="M277" s="313">
        <f t="shared" si="41"/>
        <v>1</v>
      </c>
      <c r="N277" s="1128"/>
      <c r="O277" s="313">
        <f t="shared" si="42"/>
        <v>1</v>
      </c>
      <c r="P277" s="1128"/>
      <c r="Q277" s="313">
        <f t="shared" si="43"/>
        <v>1</v>
      </c>
      <c r="R277" s="1124">
        <f t="shared" si="44"/>
        <v>0</v>
      </c>
      <c r="S277" s="698">
        <f t="shared" si="35"/>
        <v>0</v>
      </c>
    </row>
    <row r="278" spans="1:19">
      <c r="A278" s="491"/>
      <c r="B278" s="348"/>
      <c r="C278" s="313">
        <f t="shared" si="36"/>
        <v>1</v>
      </c>
      <c r="D278" s="1128"/>
      <c r="E278" s="313">
        <f t="shared" si="37"/>
        <v>1</v>
      </c>
      <c r="F278" s="1128"/>
      <c r="G278" s="313">
        <f t="shared" si="38"/>
        <v>1</v>
      </c>
      <c r="H278" s="1128"/>
      <c r="I278" s="313">
        <f t="shared" si="39"/>
        <v>1</v>
      </c>
      <c r="J278" s="1128"/>
      <c r="K278" s="313">
        <f t="shared" si="40"/>
        <v>1</v>
      </c>
      <c r="L278" s="1128"/>
      <c r="M278" s="313">
        <f t="shared" si="41"/>
        <v>1</v>
      </c>
      <c r="N278" s="1128"/>
      <c r="O278" s="313">
        <f t="shared" si="42"/>
        <v>1</v>
      </c>
      <c r="P278" s="1128"/>
      <c r="Q278" s="313">
        <f t="shared" si="43"/>
        <v>1</v>
      </c>
      <c r="R278" s="1124">
        <f t="shared" si="44"/>
        <v>0</v>
      </c>
      <c r="S278" s="698">
        <f t="shared" si="35"/>
        <v>0</v>
      </c>
    </row>
    <row r="279" spans="1:19">
      <c r="A279" s="491"/>
      <c r="B279" s="348"/>
      <c r="C279" s="313">
        <f t="shared" si="36"/>
        <v>1</v>
      </c>
      <c r="D279" s="1128"/>
      <c r="E279" s="313">
        <f t="shared" si="37"/>
        <v>1</v>
      </c>
      <c r="F279" s="1128"/>
      <c r="G279" s="313">
        <f t="shared" si="38"/>
        <v>1</v>
      </c>
      <c r="H279" s="1128"/>
      <c r="I279" s="313">
        <f t="shared" si="39"/>
        <v>1</v>
      </c>
      <c r="J279" s="1128"/>
      <c r="K279" s="313">
        <f t="shared" si="40"/>
        <v>1</v>
      </c>
      <c r="L279" s="1128"/>
      <c r="M279" s="313">
        <f t="shared" si="41"/>
        <v>1</v>
      </c>
      <c r="N279" s="1128"/>
      <c r="O279" s="313">
        <f t="shared" si="42"/>
        <v>1</v>
      </c>
      <c r="P279" s="1128"/>
      <c r="Q279" s="313">
        <f t="shared" si="43"/>
        <v>1</v>
      </c>
      <c r="R279" s="1124">
        <f t="shared" si="44"/>
        <v>0</v>
      </c>
      <c r="S279" s="698">
        <f t="shared" si="35"/>
        <v>0</v>
      </c>
    </row>
    <row r="280" spans="1:19">
      <c r="A280" s="491"/>
      <c r="B280" s="348"/>
      <c r="C280" s="313">
        <f t="shared" si="36"/>
        <v>1</v>
      </c>
      <c r="D280" s="1128"/>
      <c r="E280" s="313">
        <f t="shared" si="37"/>
        <v>1</v>
      </c>
      <c r="F280" s="1128"/>
      <c r="G280" s="313">
        <f t="shared" si="38"/>
        <v>1</v>
      </c>
      <c r="H280" s="1128"/>
      <c r="I280" s="313">
        <f t="shared" si="39"/>
        <v>1</v>
      </c>
      <c r="J280" s="1128"/>
      <c r="K280" s="313">
        <f t="shared" si="40"/>
        <v>1</v>
      </c>
      <c r="L280" s="1128"/>
      <c r="M280" s="313">
        <f t="shared" si="41"/>
        <v>1</v>
      </c>
      <c r="N280" s="1128"/>
      <c r="O280" s="313">
        <f t="shared" si="42"/>
        <v>1</v>
      </c>
      <c r="P280" s="1128"/>
      <c r="Q280" s="313">
        <f t="shared" si="43"/>
        <v>1</v>
      </c>
      <c r="R280" s="1124">
        <f t="shared" si="44"/>
        <v>0</v>
      </c>
      <c r="S280" s="698">
        <f t="shared" ref="S280:S343" si="45">ROUND(R280*B280/10000,0)</f>
        <v>0</v>
      </c>
    </row>
    <row r="281" spans="1:19">
      <c r="A281" s="491"/>
      <c r="B281" s="348"/>
      <c r="C281" s="313">
        <f t="shared" si="36"/>
        <v>1</v>
      </c>
      <c r="D281" s="1128"/>
      <c r="E281" s="313">
        <f t="shared" si="37"/>
        <v>1</v>
      </c>
      <c r="F281" s="1128"/>
      <c r="G281" s="313">
        <f t="shared" si="38"/>
        <v>1</v>
      </c>
      <c r="H281" s="1128"/>
      <c r="I281" s="313">
        <f t="shared" si="39"/>
        <v>1</v>
      </c>
      <c r="J281" s="1128"/>
      <c r="K281" s="313">
        <f t="shared" si="40"/>
        <v>1</v>
      </c>
      <c r="L281" s="1128"/>
      <c r="M281" s="313">
        <f t="shared" si="41"/>
        <v>1</v>
      </c>
      <c r="N281" s="1128"/>
      <c r="O281" s="313">
        <f t="shared" si="42"/>
        <v>1</v>
      </c>
      <c r="P281" s="1128"/>
      <c r="Q281" s="313">
        <f t="shared" si="43"/>
        <v>1</v>
      </c>
      <c r="R281" s="1124">
        <f t="shared" si="44"/>
        <v>0</v>
      </c>
      <c r="S281" s="698">
        <f t="shared" si="45"/>
        <v>0</v>
      </c>
    </row>
    <row r="282" spans="1:19">
      <c r="A282" s="491"/>
      <c r="B282" s="348"/>
      <c r="C282" s="313">
        <f t="shared" ref="C282:C345" si="46">IF(B282="",1,(LOOKUP(B282,$3:$3,$4:$4)-LOOKUP($B$24,$3:$3,$4:$4)+100)/100)</f>
        <v>1</v>
      </c>
      <c r="D282" s="1128"/>
      <c r="E282" s="313">
        <f t="shared" ref="E282:E345" si="47">(SUMIF($5:$5,D282,$6:$6)-SUMIF($5:$5,$D$24,$6:$6)+100)/100</f>
        <v>1</v>
      </c>
      <c r="F282" s="1128"/>
      <c r="G282" s="313">
        <f t="shared" ref="G282:G345" si="48">(SUMIF($7:$7,F282,$8:$8)-SUMIF($7:$7,$F$24,$8:$8)+100)/100</f>
        <v>1</v>
      </c>
      <c r="H282" s="1128"/>
      <c r="I282" s="313">
        <f t="shared" ref="I282:I345" si="49">(SUMIF($9:$9,H282,$10:$10)-SUMIF($9:$9,$H$24,$10:$10)+100)/100</f>
        <v>1</v>
      </c>
      <c r="J282" s="1128"/>
      <c r="K282" s="313">
        <f t="shared" ref="K282:K345" si="50">(SUMIF($11:$11,J282,$12:$12)-SUMIF($11:$11,$J$24,$12:$12)+100)/100</f>
        <v>1</v>
      </c>
      <c r="L282" s="1128"/>
      <c r="M282" s="313">
        <f t="shared" ref="M282:M345" si="51">(SUMIF($13:$13,L282,$14:$14)-SUMIF($13:$13,$L$24,$14:$14)+100)/100</f>
        <v>1</v>
      </c>
      <c r="N282" s="1128"/>
      <c r="O282" s="313">
        <f t="shared" ref="O282:O345" si="52">(SUMIF($15:$15,N282,$16:$16)-SUMIF($15:$15,$N$24,$16:$16)+100)/100</f>
        <v>1</v>
      </c>
      <c r="P282" s="1128"/>
      <c r="Q282" s="313">
        <f t="shared" ref="Q282:Q345" si="53">(SUMIF($17:$17,P282,$18:$18)-SUMIF($17:$17,$P$24,$18:$18)+100)/100</f>
        <v>1</v>
      </c>
      <c r="R282" s="1124">
        <f t="shared" ref="R282:R345" si="54">IF(B282="",0,ROUND($R$24*C282*E282*G282*I282*K282*M282*O282*Q282,0))</f>
        <v>0</v>
      </c>
      <c r="S282" s="698">
        <f t="shared" si="45"/>
        <v>0</v>
      </c>
    </row>
    <row r="283" spans="1:19">
      <c r="A283" s="491"/>
      <c r="B283" s="348"/>
      <c r="C283" s="313">
        <f t="shared" si="46"/>
        <v>1</v>
      </c>
      <c r="D283" s="1128"/>
      <c r="E283" s="313">
        <f t="shared" si="47"/>
        <v>1</v>
      </c>
      <c r="F283" s="1128"/>
      <c r="G283" s="313">
        <f t="shared" si="48"/>
        <v>1</v>
      </c>
      <c r="H283" s="1128"/>
      <c r="I283" s="313">
        <f t="shared" si="49"/>
        <v>1</v>
      </c>
      <c r="J283" s="1128"/>
      <c r="K283" s="313">
        <f t="shared" si="50"/>
        <v>1</v>
      </c>
      <c r="L283" s="1128"/>
      <c r="M283" s="313">
        <f t="shared" si="51"/>
        <v>1</v>
      </c>
      <c r="N283" s="1128"/>
      <c r="O283" s="313">
        <f t="shared" si="52"/>
        <v>1</v>
      </c>
      <c r="P283" s="1128"/>
      <c r="Q283" s="313">
        <f t="shared" si="53"/>
        <v>1</v>
      </c>
      <c r="R283" s="1124">
        <f t="shared" si="54"/>
        <v>0</v>
      </c>
      <c r="S283" s="698">
        <f t="shared" si="45"/>
        <v>0</v>
      </c>
    </row>
    <row r="284" spans="1:19">
      <c r="A284" s="491"/>
      <c r="B284" s="348"/>
      <c r="C284" s="313">
        <f t="shared" si="46"/>
        <v>1</v>
      </c>
      <c r="D284" s="1128"/>
      <c r="E284" s="313">
        <f t="shared" si="47"/>
        <v>1</v>
      </c>
      <c r="F284" s="1128"/>
      <c r="G284" s="313">
        <f t="shared" si="48"/>
        <v>1</v>
      </c>
      <c r="H284" s="1128"/>
      <c r="I284" s="313">
        <f t="shared" si="49"/>
        <v>1</v>
      </c>
      <c r="J284" s="1128"/>
      <c r="K284" s="313">
        <f t="shared" si="50"/>
        <v>1</v>
      </c>
      <c r="L284" s="1128"/>
      <c r="M284" s="313">
        <f t="shared" si="51"/>
        <v>1</v>
      </c>
      <c r="N284" s="1128"/>
      <c r="O284" s="313">
        <f t="shared" si="52"/>
        <v>1</v>
      </c>
      <c r="P284" s="1128"/>
      <c r="Q284" s="313">
        <f t="shared" si="53"/>
        <v>1</v>
      </c>
      <c r="R284" s="1124">
        <f t="shared" si="54"/>
        <v>0</v>
      </c>
      <c r="S284" s="698">
        <f t="shared" si="45"/>
        <v>0</v>
      </c>
    </row>
    <row r="285" spans="1:19">
      <c r="A285" s="491"/>
      <c r="B285" s="348"/>
      <c r="C285" s="313">
        <f t="shared" si="46"/>
        <v>1</v>
      </c>
      <c r="D285" s="1128"/>
      <c r="E285" s="313">
        <f t="shared" si="47"/>
        <v>1</v>
      </c>
      <c r="F285" s="1128"/>
      <c r="G285" s="313">
        <f t="shared" si="48"/>
        <v>1</v>
      </c>
      <c r="H285" s="1128"/>
      <c r="I285" s="313">
        <f t="shared" si="49"/>
        <v>1</v>
      </c>
      <c r="J285" s="1128"/>
      <c r="K285" s="313">
        <f t="shared" si="50"/>
        <v>1</v>
      </c>
      <c r="L285" s="1128"/>
      <c r="M285" s="313">
        <f t="shared" si="51"/>
        <v>1</v>
      </c>
      <c r="N285" s="1128"/>
      <c r="O285" s="313">
        <f t="shared" si="52"/>
        <v>1</v>
      </c>
      <c r="P285" s="1128"/>
      <c r="Q285" s="313">
        <f t="shared" si="53"/>
        <v>1</v>
      </c>
      <c r="R285" s="1124">
        <f t="shared" si="54"/>
        <v>0</v>
      </c>
      <c r="S285" s="698">
        <f t="shared" si="45"/>
        <v>0</v>
      </c>
    </row>
    <row r="286" spans="1:19">
      <c r="A286" s="491"/>
      <c r="B286" s="348"/>
      <c r="C286" s="313">
        <f t="shared" si="46"/>
        <v>1</v>
      </c>
      <c r="D286" s="1128"/>
      <c r="E286" s="313">
        <f t="shared" si="47"/>
        <v>1</v>
      </c>
      <c r="F286" s="1128"/>
      <c r="G286" s="313">
        <f t="shared" si="48"/>
        <v>1</v>
      </c>
      <c r="H286" s="1128"/>
      <c r="I286" s="313">
        <f t="shared" si="49"/>
        <v>1</v>
      </c>
      <c r="J286" s="1128"/>
      <c r="K286" s="313">
        <f t="shared" si="50"/>
        <v>1</v>
      </c>
      <c r="L286" s="1128"/>
      <c r="M286" s="313">
        <f t="shared" si="51"/>
        <v>1</v>
      </c>
      <c r="N286" s="1128"/>
      <c r="O286" s="313">
        <f t="shared" si="52"/>
        <v>1</v>
      </c>
      <c r="P286" s="1128"/>
      <c r="Q286" s="313">
        <f t="shared" si="53"/>
        <v>1</v>
      </c>
      <c r="R286" s="1124">
        <f t="shared" si="54"/>
        <v>0</v>
      </c>
      <c r="S286" s="698">
        <f t="shared" si="45"/>
        <v>0</v>
      </c>
    </row>
    <row r="287" spans="1:19">
      <c r="A287" s="491"/>
      <c r="B287" s="348"/>
      <c r="C287" s="313">
        <f t="shared" si="46"/>
        <v>1</v>
      </c>
      <c r="D287" s="1128"/>
      <c r="E287" s="313">
        <f t="shared" si="47"/>
        <v>1</v>
      </c>
      <c r="F287" s="1128"/>
      <c r="G287" s="313">
        <f t="shared" si="48"/>
        <v>1</v>
      </c>
      <c r="H287" s="1128"/>
      <c r="I287" s="313">
        <f t="shared" si="49"/>
        <v>1</v>
      </c>
      <c r="J287" s="1128"/>
      <c r="K287" s="313">
        <f t="shared" si="50"/>
        <v>1</v>
      </c>
      <c r="L287" s="1128"/>
      <c r="M287" s="313">
        <f t="shared" si="51"/>
        <v>1</v>
      </c>
      <c r="N287" s="1128"/>
      <c r="O287" s="313">
        <f t="shared" si="52"/>
        <v>1</v>
      </c>
      <c r="P287" s="1128"/>
      <c r="Q287" s="313">
        <f t="shared" si="53"/>
        <v>1</v>
      </c>
      <c r="R287" s="1124">
        <f t="shared" si="54"/>
        <v>0</v>
      </c>
      <c r="S287" s="698">
        <f t="shared" si="45"/>
        <v>0</v>
      </c>
    </row>
    <row r="288" spans="1:19">
      <c r="A288" s="491"/>
      <c r="B288" s="348"/>
      <c r="C288" s="313">
        <f t="shared" si="46"/>
        <v>1</v>
      </c>
      <c r="D288" s="1128"/>
      <c r="E288" s="313">
        <f t="shared" si="47"/>
        <v>1</v>
      </c>
      <c r="F288" s="1128"/>
      <c r="G288" s="313">
        <f t="shared" si="48"/>
        <v>1</v>
      </c>
      <c r="H288" s="1128"/>
      <c r="I288" s="313">
        <f t="shared" si="49"/>
        <v>1</v>
      </c>
      <c r="J288" s="1128"/>
      <c r="K288" s="313">
        <f t="shared" si="50"/>
        <v>1</v>
      </c>
      <c r="L288" s="1128"/>
      <c r="M288" s="313">
        <f t="shared" si="51"/>
        <v>1</v>
      </c>
      <c r="N288" s="1128"/>
      <c r="O288" s="313">
        <f t="shared" si="52"/>
        <v>1</v>
      </c>
      <c r="P288" s="1128"/>
      <c r="Q288" s="313">
        <f t="shared" si="53"/>
        <v>1</v>
      </c>
      <c r="R288" s="1124">
        <f t="shared" si="54"/>
        <v>0</v>
      </c>
      <c r="S288" s="698">
        <f t="shared" si="45"/>
        <v>0</v>
      </c>
    </row>
    <row r="289" spans="1:19">
      <c r="A289" s="491"/>
      <c r="B289" s="348"/>
      <c r="C289" s="313">
        <f t="shared" si="46"/>
        <v>1</v>
      </c>
      <c r="D289" s="1128"/>
      <c r="E289" s="313">
        <f t="shared" si="47"/>
        <v>1</v>
      </c>
      <c r="F289" s="1128"/>
      <c r="G289" s="313">
        <f t="shared" si="48"/>
        <v>1</v>
      </c>
      <c r="H289" s="1128"/>
      <c r="I289" s="313">
        <f t="shared" si="49"/>
        <v>1</v>
      </c>
      <c r="J289" s="1128"/>
      <c r="K289" s="313">
        <f t="shared" si="50"/>
        <v>1</v>
      </c>
      <c r="L289" s="1128"/>
      <c r="M289" s="313">
        <f t="shared" si="51"/>
        <v>1</v>
      </c>
      <c r="N289" s="1128"/>
      <c r="O289" s="313">
        <f t="shared" si="52"/>
        <v>1</v>
      </c>
      <c r="P289" s="1128"/>
      <c r="Q289" s="313">
        <f t="shared" si="53"/>
        <v>1</v>
      </c>
      <c r="R289" s="1124">
        <f t="shared" si="54"/>
        <v>0</v>
      </c>
      <c r="S289" s="698">
        <f t="shared" si="45"/>
        <v>0</v>
      </c>
    </row>
    <row r="290" spans="1:19">
      <c r="A290" s="491"/>
      <c r="B290" s="348"/>
      <c r="C290" s="313">
        <f t="shared" si="46"/>
        <v>1</v>
      </c>
      <c r="D290" s="1128"/>
      <c r="E290" s="313">
        <f t="shared" si="47"/>
        <v>1</v>
      </c>
      <c r="F290" s="1128"/>
      <c r="G290" s="313">
        <f t="shared" si="48"/>
        <v>1</v>
      </c>
      <c r="H290" s="1128"/>
      <c r="I290" s="313">
        <f t="shared" si="49"/>
        <v>1</v>
      </c>
      <c r="J290" s="1128"/>
      <c r="K290" s="313">
        <f t="shared" si="50"/>
        <v>1</v>
      </c>
      <c r="L290" s="1128"/>
      <c r="M290" s="313">
        <f t="shared" si="51"/>
        <v>1</v>
      </c>
      <c r="N290" s="1128"/>
      <c r="O290" s="313">
        <f t="shared" si="52"/>
        <v>1</v>
      </c>
      <c r="P290" s="1128"/>
      <c r="Q290" s="313">
        <f t="shared" si="53"/>
        <v>1</v>
      </c>
      <c r="R290" s="1124">
        <f t="shared" si="54"/>
        <v>0</v>
      </c>
      <c r="S290" s="698">
        <f t="shared" si="45"/>
        <v>0</v>
      </c>
    </row>
    <row r="291" spans="1:19">
      <c r="A291" s="491"/>
      <c r="B291" s="348"/>
      <c r="C291" s="313">
        <f t="shared" si="46"/>
        <v>1</v>
      </c>
      <c r="D291" s="1128"/>
      <c r="E291" s="313">
        <f t="shared" si="47"/>
        <v>1</v>
      </c>
      <c r="F291" s="1128"/>
      <c r="G291" s="313">
        <f t="shared" si="48"/>
        <v>1</v>
      </c>
      <c r="H291" s="1128"/>
      <c r="I291" s="313">
        <f t="shared" si="49"/>
        <v>1</v>
      </c>
      <c r="J291" s="1128"/>
      <c r="K291" s="313">
        <f t="shared" si="50"/>
        <v>1</v>
      </c>
      <c r="L291" s="1128"/>
      <c r="M291" s="313">
        <f t="shared" si="51"/>
        <v>1</v>
      </c>
      <c r="N291" s="1128"/>
      <c r="O291" s="313">
        <f t="shared" si="52"/>
        <v>1</v>
      </c>
      <c r="P291" s="1128"/>
      <c r="Q291" s="313">
        <f t="shared" si="53"/>
        <v>1</v>
      </c>
      <c r="R291" s="1124">
        <f t="shared" si="54"/>
        <v>0</v>
      </c>
      <c r="S291" s="698">
        <f t="shared" si="45"/>
        <v>0</v>
      </c>
    </row>
    <row r="292" spans="1:19">
      <c r="A292" s="491"/>
      <c r="B292" s="348"/>
      <c r="C292" s="313">
        <f t="shared" si="46"/>
        <v>1</v>
      </c>
      <c r="D292" s="1128"/>
      <c r="E292" s="313">
        <f t="shared" si="47"/>
        <v>1</v>
      </c>
      <c r="F292" s="1128"/>
      <c r="G292" s="313">
        <f t="shared" si="48"/>
        <v>1</v>
      </c>
      <c r="H292" s="1128"/>
      <c r="I292" s="313">
        <f t="shared" si="49"/>
        <v>1</v>
      </c>
      <c r="J292" s="1128"/>
      <c r="K292" s="313">
        <f t="shared" si="50"/>
        <v>1</v>
      </c>
      <c r="L292" s="1128"/>
      <c r="M292" s="313">
        <f t="shared" si="51"/>
        <v>1</v>
      </c>
      <c r="N292" s="1128"/>
      <c r="O292" s="313">
        <f t="shared" si="52"/>
        <v>1</v>
      </c>
      <c r="P292" s="1128"/>
      <c r="Q292" s="313">
        <f t="shared" si="53"/>
        <v>1</v>
      </c>
      <c r="R292" s="1124">
        <f t="shared" si="54"/>
        <v>0</v>
      </c>
      <c r="S292" s="698">
        <f t="shared" si="45"/>
        <v>0</v>
      </c>
    </row>
    <row r="293" spans="1:19">
      <c r="A293" s="491"/>
      <c r="B293" s="348"/>
      <c r="C293" s="313">
        <f t="shared" si="46"/>
        <v>1</v>
      </c>
      <c r="D293" s="1128"/>
      <c r="E293" s="313">
        <f t="shared" si="47"/>
        <v>1</v>
      </c>
      <c r="F293" s="1128"/>
      <c r="G293" s="313">
        <f t="shared" si="48"/>
        <v>1</v>
      </c>
      <c r="H293" s="1128"/>
      <c r="I293" s="313">
        <f t="shared" si="49"/>
        <v>1</v>
      </c>
      <c r="J293" s="1128"/>
      <c r="K293" s="313">
        <f t="shared" si="50"/>
        <v>1</v>
      </c>
      <c r="L293" s="1128"/>
      <c r="M293" s="313">
        <f t="shared" si="51"/>
        <v>1</v>
      </c>
      <c r="N293" s="1128"/>
      <c r="O293" s="313">
        <f t="shared" si="52"/>
        <v>1</v>
      </c>
      <c r="P293" s="1128"/>
      <c r="Q293" s="313">
        <f t="shared" si="53"/>
        <v>1</v>
      </c>
      <c r="R293" s="1124">
        <f t="shared" si="54"/>
        <v>0</v>
      </c>
      <c r="S293" s="698">
        <f t="shared" si="45"/>
        <v>0</v>
      </c>
    </row>
    <row r="294" spans="1:19">
      <c r="A294" s="491"/>
      <c r="B294" s="348"/>
      <c r="C294" s="313">
        <f t="shared" si="46"/>
        <v>1</v>
      </c>
      <c r="D294" s="1128"/>
      <c r="E294" s="313">
        <f t="shared" si="47"/>
        <v>1</v>
      </c>
      <c r="F294" s="1128"/>
      <c r="G294" s="313">
        <f t="shared" si="48"/>
        <v>1</v>
      </c>
      <c r="H294" s="1128"/>
      <c r="I294" s="313">
        <f t="shared" si="49"/>
        <v>1</v>
      </c>
      <c r="J294" s="1128"/>
      <c r="K294" s="313">
        <f t="shared" si="50"/>
        <v>1</v>
      </c>
      <c r="L294" s="1128"/>
      <c r="M294" s="313">
        <f t="shared" si="51"/>
        <v>1</v>
      </c>
      <c r="N294" s="1128"/>
      <c r="O294" s="313">
        <f t="shared" si="52"/>
        <v>1</v>
      </c>
      <c r="P294" s="1128"/>
      <c r="Q294" s="313">
        <f t="shared" si="53"/>
        <v>1</v>
      </c>
      <c r="R294" s="1124">
        <f t="shared" si="54"/>
        <v>0</v>
      </c>
      <c r="S294" s="698">
        <f t="shared" si="45"/>
        <v>0</v>
      </c>
    </row>
    <row r="295" spans="1:19">
      <c r="A295" s="491"/>
      <c r="B295" s="348"/>
      <c r="C295" s="313">
        <f t="shared" si="46"/>
        <v>1</v>
      </c>
      <c r="D295" s="1128"/>
      <c r="E295" s="313">
        <f t="shared" si="47"/>
        <v>1</v>
      </c>
      <c r="F295" s="1128"/>
      <c r="G295" s="313">
        <f t="shared" si="48"/>
        <v>1</v>
      </c>
      <c r="H295" s="1128"/>
      <c r="I295" s="313">
        <f t="shared" si="49"/>
        <v>1</v>
      </c>
      <c r="J295" s="1128"/>
      <c r="K295" s="313">
        <f t="shared" si="50"/>
        <v>1</v>
      </c>
      <c r="L295" s="1128"/>
      <c r="M295" s="313">
        <f t="shared" si="51"/>
        <v>1</v>
      </c>
      <c r="N295" s="1128"/>
      <c r="O295" s="313">
        <f t="shared" si="52"/>
        <v>1</v>
      </c>
      <c r="P295" s="1128"/>
      <c r="Q295" s="313">
        <f t="shared" si="53"/>
        <v>1</v>
      </c>
      <c r="R295" s="1124">
        <f t="shared" si="54"/>
        <v>0</v>
      </c>
      <c r="S295" s="698">
        <f t="shared" si="45"/>
        <v>0</v>
      </c>
    </row>
    <row r="296" spans="1:19">
      <c r="A296" s="491"/>
      <c r="B296" s="348"/>
      <c r="C296" s="313">
        <f t="shared" si="46"/>
        <v>1</v>
      </c>
      <c r="D296" s="1128"/>
      <c r="E296" s="313">
        <f t="shared" si="47"/>
        <v>1</v>
      </c>
      <c r="F296" s="1128"/>
      <c r="G296" s="313">
        <f t="shared" si="48"/>
        <v>1</v>
      </c>
      <c r="H296" s="1128"/>
      <c r="I296" s="313">
        <f t="shared" si="49"/>
        <v>1</v>
      </c>
      <c r="J296" s="1128"/>
      <c r="K296" s="313">
        <f t="shared" si="50"/>
        <v>1</v>
      </c>
      <c r="L296" s="1128"/>
      <c r="M296" s="313">
        <f t="shared" si="51"/>
        <v>1</v>
      </c>
      <c r="N296" s="1128"/>
      <c r="O296" s="313">
        <f t="shared" si="52"/>
        <v>1</v>
      </c>
      <c r="P296" s="1128"/>
      <c r="Q296" s="313">
        <f t="shared" si="53"/>
        <v>1</v>
      </c>
      <c r="R296" s="1124">
        <f t="shared" si="54"/>
        <v>0</v>
      </c>
      <c r="S296" s="698">
        <f t="shared" si="45"/>
        <v>0</v>
      </c>
    </row>
    <row r="297" spans="1:19">
      <c r="A297" s="491"/>
      <c r="B297" s="348"/>
      <c r="C297" s="313">
        <f t="shared" si="46"/>
        <v>1</v>
      </c>
      <c r="D297" s="1128"/>
      <c r="E297" s="313">
        <f t="shared" si="47"/>
        <v>1</v>
      </c>
      <c r="F297" s="1128"/>
      <c r="G297" s="313">
        <f t="shared" si="48"/>
        <v>1</v>
      </c>
      <c r="H297" s="1128"/>
      <c r="I297" s="313">
        <f t="shared" si="49"/>
        <v>1</v>
      </c>
      <c r="J297" s="1128"/>
      <c r="K297" s="313">
        <f t="shared" si="50"/>
        <v>1</v>
      </c>
      <c r="L297" s="1128"/>
      <c r="M297" s="313">
        <f t="shared" si="51"/>
        <v>1</v>
      </c>
      <c r="N297" s="1128"/>
      <c r="O297" s="313">
        <f t="shared" si="52"/>
        <v>1</v>
      </c>
      <c r="P297" s="1128"/>
      <c r="Q297" s="313">
        <f t="shared" si="53"/>
        <v>1</v>
      </c>
      <c r="R297" s="1124">
        <f t="shared" si="54"/>
        <v>0</v>
      </c>
      <c r="S297" s="698">
        <f t="shared" si="45"/>
        <v>0</v>
      </c>
    </row>
    <row r="298" spans="1:19">
      <c r="A298" s="491"/>
      <c r="B298" s="348"/>
      <c r="C298" s="313">
        <f t="shared" si="46"/>
        <v>1</v>
      </c>
      <c r="D298" s="1128"/>
      <c r="E298" s="313">
        <f t="shared" si="47"/>
        <v>1</v>
      </c>
      <c r="F298" s="1128"/>
      <c r="G298" s="313">
        <f t="shared" si="48"/>
        <v>1</v>
      </c>
      <c r="H298" s="1128"/>
      <c r="I298" s="313">
        <f t="shared" si="49"/>
        <v>1</v>
      </c>
      <c r="J298" s="1128"/>
      <c r="K298" s="313">
        <f t="shared" si="50"/>
        <v>1</v>
      </c>
      <c r="L298" s="1128"/>
      <c r="M298" s="313">
        <f t="shared" si="51"/>
        <v>1</v>
      </c>
      <c r="N298" s="1128"/>
      <c r="O298" s="313">
        <f t="shared" si="52"/>
        <v>1</v>
      </c>
      <c r="P298" s="1128"/>
      <c r="Q298" s="313">
        <f t="shared" si="53"/>
        <v>1</v>
      </c>
      <c r="R298" s="1124">
        <f t="shared" si="54"/>
        <v>0</v>
      </c>
      <c r="S298" s="698">
        <f t="shared" si="45"/>
        <v>0</v>
      </c>
    </row>
    <row r="299" spans="1:19">
      <c r="A299" s="491"/>
      <c r="B299" s="348"/>
      <c r="C299" s="313">
        <f t="shared" si="46"/>
        <v>1</v>
      </c>
      <c r="D299" s="1128"/>
      <c r="E299" s="313">
        <f t="shared" si="47"/>
        <v>1</v>
      </c>
      <c r="F299" s="1128"/>
      <c r="G299" s="313">
        <f t="shared" si="48"/>
        <v>1</v>
      </c>
      <c r="H299" s="1128"/>
      <c r="I299" s="313">
        <f t="shared" si="49"/>
        <v>1</v>
      </c>
      <c r="J299" s="1128"/>
      <c r="K299" s="313">
        <f t="shared" si="50"/>
        <v>1</v>
      </c>
      <c r="L299" s="1128"/>
      <c r="M299" s="313">
        <f t="shared" si="51"/>
        <v>1</v>
      </c>
      <c r="N299" s="1128"/>
      <c r="O299" s="313">
        <f t="shared" si="52"/>
        <v>1</v>
      </c>
      <c r="P299" s="1128"/>
      <c r="Q299" s="313">
        <f t="shared" si="53"/>
        <v>1</v>
      </c>
      <c r="R299" s="1124">
        <f t="shared" si="54"/>
        <v>0</v>
      </c>
      <c r="S299" s="698">
        <f t="shared" si="45"/>
        <v>0</v>
      </c>
    </row>
    <row r="300" spans="1:19">
      <c r="A300" s="491"/>
      <c r="B300" s="348"/>
      <c r="C300" s="313">
        <f t="shared" si="46"/>
        <v>1</v>
      </c>
      <c r="D300" s="1128"/>
      <c r="E300" s="313">
        <f t="shared" si="47"/>
        <v>1</v>
      </c>
      <c r="F300" s="1128"/>
      <c r="G300" s="313">
        <f t="shared" si="48"/>
        <v>1</v>
      </c>
      <c r="H300" s="1128"/>
      <c r="I300" s="313">
        <f t="shared" si="49"/>
        <v>1</v>
      </c>
      <c r="J300" s="1128"/>
      <c r="K300" s="313">
        <f t="shared" si="50"/>
        <v>1</v>
      </c>
      <c r="L300" s="1128"/>
      <c r="M300" s="313">
        <f t="shared" si="51"/>
        <v>1</v>
      </c>
      <c r="N300" s="1128"/>
      <c r="O300" s="313">
        <f t="shared" si="52"/>
        <v>1</v>
      </c>
      <c r="P300" s="1128"/>
      <c r="Q300" s="313">
        <f t="shared" si="53"/>
        <v>1</v>
      </c>
      <c r="R300" s="1124">
        <f t="shared" si="54"/>
        <v>0</v>
      </c>
      <c r="S300" s="698">
        <f t="shared" si="45"/>
        <v>0</v>
      </c>
    </row>
    <row r="301" spans="1:19">
      <c r="A301" s="491"/>
      <c r="B301" s="348"/>
      <c r="C301" s="313">
        <f t="shared" si="46"/>
        <v>1</v>
      </c>
      <c r="D301" s="1128"/>
      <c r="E301" s="313">
        <f t="shared" si="47"/>
        <v>1</v>
      </c>
      <c r="F301" s="1128"/>
      <c r="G301" s="313">
        <f t="shared" si="48"/>
        <v>1</v>
      </c>
      <c r="H301" s="1128"/>
      <c r="I301" s="313">
        <f t="shared" si="49"/>
        <v>1</v>
      </c>
      <c r="J301" s="1128"/>
      <c r="K301" s="313">
        <f t="shared" si="50"/>
        <v>1</v>
      </c>
      <c r="L301" s="1128"/>
      <c r="M301" s="313">
        <f t="shared" si="51"/>
        <v>1</v>
      </c>
      <c r="N301" s="1128"/>
      <c r="O301" s="313">
        <f t="shared" si="52"/>
        <v>1</v>
      </c>
      <c r="P301" s="1128"/>
      <c r="Q301" s="313">
        <f t="shared" si="53"/>
        <v>1</v>
      </c>
      <c r="R301" s="1124">
        <f t="shared" si="54"/>
        <v>0</v>
      </c>
      <c r="S301" s="698">
        <f t="shared" si="45"/>
        <v>0</v>
      </c>
    </row>
    <row r="302" spans="1:19">
      <c r="A302" s="491"/>
      <c r="B302" s="348"/>
      <c r="C302" s="313">
        <f t="shared" si="46"/>
        <v>1</v>
      </c>
      <c r="D302" s="1128"/>
      <c r="E302" s="313">
        <f t="shared" si="47"/>
        <v>1</v>
      </c>
      <c r="F302" s="1128"/>
      <c r="G302" s="313">
        <f t="shared" si="48"/>
        <v>1</v>
      </c>
      <c r="H302" s="1128"/>
      <c r="I302" s="313">
        <f t="shared" si="49"/>
        <v>1</v>
      </c>
      <c r="J302" s="1128"/>
      <c r="K302" s="313">
        <f t="shared" si="50"/>
        <v>1</v>
      </c>
      <c r="L302" s="1128"/>
      <c r="M302" s="313">
        <f t="shared" si="51"/>
        <v>1</v>
      </c>
      <c r="N302" s="1128"/>
      <c r="O302" s="313">
        <f t="shared" si="52"/>
        <v>1</v>
      </c>
      <c r="P302" s="1128"/>
      <c r="Q302" s="313">
        <f t="shared" si="53"/>
        <v>1</v>
      </c>
      <c r="R302" s="1124">
        <f t="shared" si="54"/>
        <v>0</v>
      </c>
      <c r="S302" s="698">
        <f t="shared" si="45"/>
        <v>0</v>
      </c>
    </row>
    <row r="303" spans="1:19">
      <c r="A303" s="491"/>
      <c r="B303" s="348"/>
      <c r="C303" s="313">
        <f t="shared" si="46"/>
        <v>1</v>
      </c>
      <c r="D303" s="1128"/>
      <c r="E303" s="313">
        <f t="shared" si="47"/>
        <v>1</v>
      </c>
      <c r="F303" s="1128"/>
      <c r="G303" s="313">
        <f t="shared" si="48"/>
        <v>1</v>
      </c>
      <c r="H303" s="1128"/>
      <c r="I303" s="313">
        <f t="shared" si="49"/>
        <v>1</v>
      </c>
      <c r="J303" s="1128"/>
      <c r="K303" s="313">
        <f t="shared" si="50"/>
        <v>1</v>
      </c>
      <c r="L303" s="1128"/>
      <c r="M303" s="313">
        <f t="shared" si="51"/>
        <v>1</v>
      </c>
      <c r="N303" s="1128"/>
      <c r="O303" s="313">
        <f t="shared" si="52"/>
        <v>1</v>
      </c>
      <c r="P303" s="1128"/>
      <c r="Q303" s="313">
        <f t="shared" si="53"/>
        <v>1</v>
      </c>
      <c r="R303" s="1124">
        <f t="shared" si="54"/>
        <v>0</v>
      </c>
      <c r="S303" s="698">
        <f t="shared" si="45"/>
        <v>0</v>
      </c>
    </row>
    <row r="304" spans="1:19">
      <c r="A304" s="491"/>
      <c r="B304" s="348"/>
      <c r="C304" s="313">
        <f t="shared" si="46"/>
        <v>1</v>
      </c>
      <c r="D304" s="1128"/>
      <c r="E304" s="313">
        <f t="shared" si="47"/>
        <v>1</v>
      </c>
      <c r="F304" s="1128"/>
      <c r="G304" s="313">
        <f t="shared" si="48"/>
        <v>1</v>
      </c>
      <c r="H304" s="1128"/>
      <c r="I304" s="313">
        <f t="shared" si="49"/>
        <v>1</v>
      </c>
      <c r="J304" s="1128"/>
      <c r="K304" s="313">
        <f t="shared" si="50"/>
        <v>1</v>
      </c>
      <c r="L304" s="1128"/>
      <c r="M304" s="313">
        <f t="shared" si="51"/>
        <v>1</v>
      </c>
      <c r="N304" s="1128"/>
      <c r="O304" s="313">
        <f t="shared" si="52"/>
        <v>1</v>
      </c>
      <c r="P304" s="1128"/>
      <c r="Q304" s="313">
        <f t="shared" si="53"/>
        <v>1</v>
      </c>
      <c r="R304" s="1124">
        <f t="shared" si="54"/>
        <v>0</v>
      </c>
      <c r="S304" s="698">
        <f t="shared" si="45"/>
        <v>0</v>
      </c>
    </row>
    <row r="305" spans="1:19">
      <c r="A305" s="491"/>
      <c r="B305" s="348"/>
      <c r="C305" s="313">
        <f t="shared" si="46"/>
        <v>1</v>
      </c>
      <c r="D305" s="1128"/>
      <c r="E305" s="313">
        <f t="shared" si="47"/>
        <v>1</v>
      </c>
      <c r="F305" s="1128"/>
      <c r="G305" s="313">
        <f t="shared" si="48"/>
        <v>1</v>
      </c>
      <c r="H305" s="1128"/>
      <c r="I305" s="313">
        <f t="shared" si="49"/>
        <v>1</v>
      </c>
      <c r="J305" s="1128"/>
      <c r="K305" s="313">
        <f t="shared" si="50"/>
        <v>1</v>
      </c>
      <c r="L305" s="1128"/>
      <c r="M305" s="313">
        <f t="shared" si="51"/>
        <v>1</v>
      </c>
      <c r="N305" s="1128"/>
      <c r="O305" s="313">
        <f t="shared" si="52"/>
        <v>1</v>
      </c>
      <c r="P305" s="1128"/>
      <c r="Q305" s="313">
        <f t="shared" si="53"/>
        <v>1</v>
      </c>
      <c r="R305" s="1124">
        <f t="shared" si="54"/>
        <v>0</v>
      </c>
      <c r="S305" s="698">
        <f t="shared" si="45"/>
        <v>0</v>
      </c>
    </row>
    <row r="306" spans="1:19">
      <c r="A306" s="491"/>
      <c r="B306" s="348"/>
      <c r="C306" s="313">
        <f t="shared" si="46"/>
        <v>1</v>
      </c>
      <c r="D306" s="1128"/>
      <c r="E306" s="313">
        <f t="shared" si="47"/>
        <v>1</v>
      </c>
      <c r="F306" s="1128"/>
      <c r="G306" s="313">
        <f t="shared" si="48"/>
        <v>1</v>
      </c>
      <c r="H306" s="1128"/>
      <c r="I306" s="313">
        <f t="shared" si="49"/>
        <v>1</v>
      </c>
      <c r="J306" s="1128"/>
      <c r="K306" s="313">
        <f t="shared" si="50"/>
        <v>1</v>
      </c>
      <c r="L306" s="1128"/>
      <c r="M306" s="313">
        <f t="shared" si="51"/>
        <v>1</v>
      </c>
      <c r="N306" s="1128"/>
      <c r="O306" s="313">
        <f t="shared" si="52"/>
        <v>1</v>
      </c>
      <c r="P306" s="1128"/>
      <c r="Q306" s="313">
        <f t="shared" si="53"/>
        <v>1</v>
      </c>
      <c r="R306" s="1124">
        <f t="shared" si="54"/>
        <v>0</v>
      </c>
      <c r="S306" s="698">
        <f t="shared" si="45"/>
        <v>0</v>
      </c>
    </row>
    <row r="307" spans="1:19">
      <c r="A307" s="491"/>
      <c r="B307" s="348"/>
      <c r="C307" s="313">
        <f t="shared" si="46"/>
        <v>1</v>
      </c>
      <c r="D307" s="1128"/>
      <c r="E307" s="313">
        <f t="shared" si="47"/>
        <v>1</v>
      </c>
      <c r="F307" s="1128"/>
      <c r="G307" s="313">
        <f t="shared" si="48"/>
        <v>1</v>
      </c>
      <c r="H307" s="1128"/>
      <c r="I307" s="313">
        <f t="shared" si="49"/>
        <v>1</v>
      </c>
      <c r="J307" s="1128"/>
      <c r="K307" s="313">
        <f t="shared" si="50"/>
        <v>1</v>
      </c>
      <c r="L307" s="1128"/>
      <c r="M307" s="313">
        <f t="shared" si="51"/>
        <v>1</v>
      </c>
      <c r="N307" s="1128"/>
      <c r="O307" s="313">
        <f t="shared" si="52"/>
        <v>1</v>
      </c>
      <c r="P307" s="1128"/>
      <c r="Q307" s="313">
        <f t="shared" si="53"/>
        <v>1</v>
      </c>
      <c r="R307" s="1124">
        <f t="shared" si="54"/>
        <v>0</v>
      </c>
      <c r="S307" s="698">
        <f t="shared" si="45"/>
        <v>0</v>
      </c>
    </row>
    <row r="308" spans="1:19">
      <c r="A308" s="491"/>
      <c r="B308" s="348"/>
      <c r="C308" s="313">
        <f t="shared" si="46"/>
        <v>1</v>
      </c>
      <c r="D308" s="1128"/>
      <c r="E308" s="313">
        <f t="shared" si="47"/>
        <v>1</v>
      </c>
      <c r="F308" s="1128"/>
      <c r="G308" s="313">
        <f t="shared" si="48"/>
        <v>1</v>
      </c>
      <c r="H308" s="1128"/>
      <c r="I308" s="313">
        <f t="shared" si="49"/>
        <v>1</v>
      </c>
      <c r="J308" s="1128"/>
      <c r="K308" s="313">
        <f t="shared" si="50"/>
        <v>1</v>
      </c>
      <c r="L308" s="1128"/>
      <c r="M308" s="313">
        <f t="shared" si="51"/>
        <v>1</v>
      </c>
      <c r="N308" s="1128"/>
      <c r="O308" s="313">
        <f t="shared" si="52"/>
        <v>1</v>
      </c>
      <c r="P308" s="1128"/>
      <c r="Q308" s="313">
        <f t="shared" si="53"/>
        <v>1</v>
      </c>
      <c r="R308" s="1124">
        <f t="shared" si="54"/>
        <v>0</v>
      </c>
      <c r="S308" s="698">
        <f t="shared" si="45"/>
        <v>0</v>
      </c>
    </row>
    <row r="309" spans="1:19">
      <c r="A309" s="491"/>
      <c r="B309" s="348"/>
      <c r="C309" s="313">
        <f t="shared" si="46"/>
        <v>1</v>
      </c>
      <c r="D309" s="1128"/>
      <c r="E309" s="313">
        <f t="shared" si="47"/>
        <v>1</v>
      </c>
      <c r="F309" s="1128"/>
      <c r="G309" s="313">
        <f t="shared" si="48"/>
        <v>1</v>
      </c>
      <c r="H309" s="1128"/>
      <c r="I309" s="313">
        <f t="shared" si="49"/>
        <v>1</v>
      </c>
      <c r="J309" s="1128"/>
      <c r="K309" s="313">
        <f t="shared" si="50"/>
        <v>1</v>
      </c>
      <c r="L309" s="1128"/>
      <c r="M309" s="313">
        <f t="shared" si="51"/>
        <v>1</v>
      </c>
      <c r="N309" s="1128"/>
      <c r="O309" s="313">
        <f t="shared" si="52"/>
        <v>1</v>
      </c>
      <c r="P309" s="1128"/>
      <c r="Q309" s="313">
        <f t="shared" si="53"/>
        <v>1</v>
      </c>
      <c r="R309" s="1124">
        <f t="shared" si="54"/>
        <v>0</v>
      </c>
      <c r="S309" s="698">
        <f t="shared" si="45"/>
        <v>0</v>
      </c>
    </row>
    <row r="310" spans="1:19">
      <c r="A310" s="491"/>
      <c r="B310" s="348"/>
      <c r="C310" s="313">
        <f t="shared" si="46"/>
        <v>1</v>
      </c>
      <c r="D310" s="1128"/>
      <c r="E310" s="313">
        <f t="shared" si="47"/>
        <v>1</v>
      </c>
      <c r="F310" s="1128"/>
      <c r="G310" s="313">
        <f t="shared" si="48"/>
        <v>1</v>
      </c>
      <c r="H310" s="1128"/>
      <c r="I310" s="313">
        <f t="shared" si="49"/>
        <v>1</v>
      </c>
      <c r="J310" s="1128"/>
      <c r="K310" s="313">
        <f t="shared" si="50"/>
        <v>1</v>
      </c>
      <c r="L310" s="1128"/>
      <c r="M310" s="313">
        <f t="shared" si="51"/>
        <v>1</v>
      </c>
      <c r="N310" s="1128"/>
      <c r="O310" s="313">
        <f t="shared" si="52"/>
        <v>1</v>
      </c>
      <c r="P310" s="1128"/>
      <c r="Q310" s="313">
        <f t="shared" si="53"/>
        <v>1</v>
      </c>
      <c r="R310" s="1124">
        <f t="shared" si="54"/>
        <v>0</v>
      </c>
      <c r="S310" s="698">
        <f t="shared" si="45"/>
        <v>0</v>
      </c>
    </row>
    <row r="311" spans="1:19">
      <c r="A311" s="491"/>
      <c r="B311" s="348"/>
      <c r="C311" s="313">
        <f t="shared" si="46"/>
        <v>1</v>
      </c>
      <c r="D311" s="1128"/>
      <c r="E311" s="313">
        <f t="shared" si="47"/>
        <v>1</v>
      </c>
      <c r="F311" s="1128"/>
      <c r="G311" s="313">
        <f t="shared" si="48"/>
        <v>1</v>
      </c>
      <c r="H311" s="1128"/>
      <c r="I311" s="313">
        <f t="shared" si="49"/>
        <v>1</v>
      </c>
      <c r="J311" s="1128"/>
      <c r="K311" s="313">
        <f t="shared" si="50"/>
        <v>1</v>
      </c>
      <c r="L311" s="1128"/>
      <c r="M311" s="313">
        <f t="shared" si="51"/>
        <v>1</v>
      </c>
      <c r="N311" s="1128"/>
      <c r="O311" s="313">
        <f t="shared" si="52"/>
        <v>1</v>
      </c>
      <c r="P311" s="1128"/>
      <c r="Q311" s="313">
        <f t="shared" si="53"/>
        <v>1</v>
      </c>
      <c r="R311" s="1124">
        <f t="shared" si="54"/>
        <v>0</v>
      </c>
      <c r="S311" s="698">
        <f t="shared" si="45"/>
        <v>0</v>
      </c>
    </row>
    <row r="312" spans="1:19">
      <c r="A312" s="491"/>
      <c r="B312" s="348"/>
      <c r="C312" s="313">
        <f t="shared" si="46"/>
        <v>1</v>
      </c>
      <c r="D312" s="1128"/>
      <c r="E312" s="313">
        <f t="shared" si="47"/>
        <v>1</v>
      </c>
      <c r="F312" s="1128"/>
      <c r="G312" s="313">
        <f t="shared" si="48"/>
        <v>1</v>
      </c>
      <c r="H312" s="1128"/>
      <c r="I312" s="313">
        <f t="shared" si="49"/>
        <v>1</v>
      </c>
      <c r="J312" s="1128"/>
      <c r="K312" s="313">
        <f t="shared" si="50"/>
        <v>1</v>
      </c>
      <c r="L312" s="1128"/>
      <c r="M312" s="313">
        <f t="shared" si="51"/>
        <v>1</v>
      </c>
      <c r="N312" s="1128"/>
      <c r="O312" s="313">
        <f t="shared" si="52"/>
        <v>1</v>
      </c>
      <c r="P312" s="1128"/>
      <c r="Q312" s="313">
        <f t="shared" si="53"/>
        <v>1</v>
      </c>
      <c r="R312" s="1124">
        <f t="shared" si="54"/>
        <v>0</v>
      </c>
      <c r="S312" s="698">
        <f t="shared" si="45"/>
        <v>0</v>
      </c>
    </row>
    <row r="313" spans="1:19">
      <c r="A313" s="491"/>
      <c r="B313" s="348"/>
      <c r="C313" s="313">
        <f t="shared" si="46"/>
        <v>1</v>
      </c>
      <c r="D313" s="1128"/>
      <c r="E313" s="313">
        <f t="shared" si="47"/>
        <v>1</v>
      </c>
      <c r="F313" s="1128"/>
      <c r="G313" s="313">
        <f t="shared" si="48"/>
        <v>1</v>
      </c>
      <c r="H313" s="1128"/>
      <c r="I313" s="313">
        <f t="shared" si="49"/>
        <v>1</v>
      </c>
      <c r="J313" s="1128"/>
      <c r="K313" s="313">
        <f t="shared" si="50"/>
        <v>1</v>
      </c>
      <c r="L313" s="1128"/>
      <c r="M313" s="313">
        <f t="shared" si="51"/>
        <v>1</v>
      </c>
      <c r="N313" s="1128"/>
      <c r="O313" s="313">
        <f t="shared" si="52"/>
        <v>1</v>
      </c>
      <c r="P313" s="1128"/>
      <c r="Q313" s="313">
        <f t="shared" si="53"/>
        <v>1</v>
      </c>
      <c r="R313" s="1124">
        <f t="shared" si="54"/>
        <v>0</v>
      </c>
      <c r="S313" s="698">
        <f t="shared" si="45"/>
        <v>0</v>
      </c>
    </row>
    <row r="314" spans="1:19">
      <c r="A314" s="491"/>
      <c r="B314" s="348"/>
      <c r="C314" s="313">
        <f t="shared" si="46"/>
        <v>1</v>
      </c>
      <c r="D314" s="1128"/>
      <c r="E314" s="313">
        <f t="shared" si="47"/>
        <v>1</v>
      </c>
      <c r="F314" s="1128"/>
      <c r="G314" s="313">
        <f t="shared" si="48"/>
        <v>1</v>
      </c>
      <c r="H314" s="1128"/>
      <c r="I314" s="313">
        <f t="shared" si="49"/>
        <v>1</v>
      </c>
      <c r="J314" s="1128"/>
      <c r="K314" s="313">
        <f t="shared" si="50"/>
        <v>1</v>
      </c>
      <c r="L314" s="1128"/>
      <c r="M314" s="313">
        <f t="shared" si="51"/>
        <v>1</v>
      </c>
      <c r="N314" s="1128"/>
      <c r="O314" s="313">
        <f t="shared" si="52"/>
        <v>1</v>
      </c>
      <c r="P314" s="1128"/>
      <c r="Q314" s="313">
        <f t="shared" si="53"/>
        <v>1</v>
      </c>
      <c r="R314" s="1124">
        <f t="shared" si="54"/>
        <v>0</v>
      </c>
      <c r="S314" s="698">
        <f t="shared" si="45"/>
        <v>0</v>
      </c>
    </row>
    <row r="315" spans="1:19">
      <c r="A315" s="491"/>
      <c r="B315" s="348"/>
      <c r="C315" s="313">
        <f t="shared" si="46"/>
        <v>1</v>
      </c>
      <c r="D315" s="1128"/>
      <c r="E315" s="313">
        <f t="shared" si="47"/>
        <v>1</v>
      </c>
      <c r="F315" s="1128"/>
      <c r="G315" s="313">
        <f t="shared" si="48"/>
        <v>1</v>
      </c>
      <c r="H315" s="1128"/>
      <c r="I315" s="313">
        <f t="shared" si="49"/>
        <v>1</v>
      </c>
      <c r="J315" s="1128"/>
      <c r="K315" s="313">
        <f t="shared" si="50"/>
        <v>1</v>
      </c>
      <c r="L315" s="1128"/>
      <c r="M315" s="313">
        <f t="shared" si="51"/>
        <v>1</v>
      </c>
      <c r="N315" s="1128"/>
      <c r="O315" s="313">
        <f t="shared" si="52"/>
        <v>1</v>
      </c>
      <c r="P315" s="1128"/>
      <c r="Q315" s="313">
        <f t="shared" si="53"/>
        <v>1</v>
      </c>
      <c r="R315" s="1124">
        <f t="shared" si="54"/>
        <v>0</v>
      </c>
      <c r="S315" s="698">
        <f t="shared" si="45"/>
        <v>0</v>
      </c>
    </row>
    <row r="316" spans="1:19">
      <c r="A316" s="491"/>
      <c r="B316" s="348"/>
      <c r="C316" s="313">
        <f t="shared" si="46"/>
        <v>1</v>
      </c>
      <c r="D316" s="1128"/>
      <c r="E316" s="313">
        <f t="shared" si="47"/>
        <v>1</v>
      </c>
      <c r="F316" s="1128"/>
      <c r="G316" s="313">
        <f t="shared" si="48"/>
        <v>1</v>
      </c>
      <c r="H316" s="1128"/>
      <c r="I316" s="313">
        <f t="shared" si="49"/>
        <v>1</v>
      </c>
      <c r="J316" s="1128"/>
      <c r="K316" s="313">
        <f t="shared" si="50"/>
        <v>1</v>
      </c>
      <c r="L316" s="1128"/>
      <c r="M316" s="313">
        <f t="shared" si="51"/>
        <v>1</v>
      </c>
      <c r="N316" s="1128"/>
      <c r="O316" s="313">
        <f t="shared" si="52"/>
        <v>1</v>
      </c>
      <c r="P316" s="1128"/>
      <c r="Q316" s="313">
        <f t="shared" si="53"/>
        <v>1</v>
      </c>
      <c r="R316" s="1124">
        <f t="shared" si="54"/>
        <v>0</v>
      </c>
      <c r="S316" s="698">
        <f t="shared" si="45"/>
        <v>0</v>
      </c>
    </row>
    <row r="317" spans="1:19">
      <c r="A317" s="491"/>
      <c r="B317" s="348"/>
      <c r="C317" s="313">
        <f t="shared" si="46"/>
        <v>1</v>
      </c>
      <c r="D317" s="1128"/>
      <c r="E317" s="313">
        <f t="shared" si="47"/>
        <v>1</v>
      </c>
      <c r="F317" s="1128"/>
      <c r="G317" s="313">
        <f t="shared" si="48"/>
        <v>1</v>
      </c>
      <c r="H317" s="1128"/>
      <c r="I317" s="313">
        <f t="shared" si="49"/>
        <v>1</v>
      </c>
      <c r="J317" s="1128"/>
      <c r="K317" s="313">
        <f t="shared" si="50"/>
        <v>1</v>
      </c>
      <c r="L317" s="1128"/>
      <c r="M317" s="313">
        <f t="shared" si="51"/>
        <v>1</v>
      </c>
      <c r="N317" s="1128"/>
      <c r="O317" s="313">
        <f t="shared" si="52"/>
        <v>1</v>
      </c>
      <c r="P317" s="1128"/>
      <c r="Q317" s="313">
        <f t="shared" si="53"/>
        <v>1</v>
      </c>
      <c r="R317" s="1124">
        <f t="shared" si="54"/>
        <v>0</v>
      </c>
      <c r="S317" s="698">
        <f t="shared" si="45"/>
        <v>0</v>
      </c>
    </row>
    <row r="318" spans="1:19">
      <c r="A318" s="491"/>
      <c r="B318" s="348"/>
      <c r="C318" s="313">
        <f t="shared" si="46"/>
        <v>1</v>
      </c>
      <c r="D318" s="1128"/>
      <c r="E318" s="313">
        <f t="shared" si="47"/>
        <v>1</v>
      </c>
      <c r="F318" s="1128"/>
      <c r="G318" s="313">
        <f t="shared" si="48"/>
        <v>1</v>
      </c>
      <c r="H318" s="1128"/>
      <c r="I318" s="313">
        <f t="shared" si="49"/>
        <v>1</v>
      </c>
      <c r="J318" s="1128"/>
      <c r="K318" s="313">
        <f t="shared" si="50"/>
        <v>1</v>
      </c>
      <c r="L318" s="1128"/>
      <c r="M318" s="313">
        <f t="shared" si="51"/>
        <v>1</v>
      </c>
      <c r="N318" s="1128"/>
      <c r="O318" s="313">
        <f t="shared" si="52"/>
        <v>1</v>
      </c>
      <c r="P318" s="1128"/>
      <c r="Q318" s="313">
        <f t="shared" si="53"/>
        <v>1</v>
      </c>
      <c r="R318" s="1124">
        <f t="shared" si="54"/>
        <v>0</v>
      </c>
      <c r="S318" s="698">
        <f t="shared" si="45"/>
        <v>0</v>
      </c>
    </row>
    <row r="319" spans="1:19">
      <c r="A319" s="491"/>
      <c r="B319" s="348"/>
      <c r="C319" s="313">
        <f t="shared" si="46"/>
        <v>1</v>
      </c>
      <c r="D319" s="1128"/>
      <c r="E319" s="313">
        <f t="shared" si="47"/>
        <v>1</v>
      </c>
      <c r="F319" s="1128"/>
      <c r="G319" s="313">
        <f t="shared" si="48"/>
        <v>1</v>
      </c>
      <c r="H319" s="1128"/>
      <c r="I319" s="313">
        <f t="shared" si="49"/>
        <v>1</v>
      </c>
      <c r="J319" s="1128"/>
      <c r="K319" s="313">
        <f t="shared" si="50"/>
        <v>1</v>
      </c>
      <c r="L319" s="1128"/>
      <c r="M319" s="313">
        <f t="shared" si="51"/>
        <v>1</v>
      </c>
      <c r="N319" s="1128"/>
      <c r="O319" s="313">
        <f t="shared" si="52"/>
        <v>1</v>
      </c>
      <c r="P319" s="1128"/>
      <c r="Q319" s="313">
        <f t="shared" si="53"/>
        <v>1</v>
      </c>
      <c r="R319" s="1124">
        <f t="shared" si="54"/>
        <v>0</v>
      </c>
      <c r="S319" s="698">
        <f t="shared" si="45"/>
        <v>0</v>
      </c>
    </row>
    <row r="320" spans="1:19">
      <c r="A320" s="491"/>
      <c r="B320" s="348"/>
      <c r="C320" s="313">
        <f t="shared" si="46"/>
        <v>1</v>
      </c>
      <c r="D320" s="1128"/>
      <c r="E320" s="313">
        <f t="shared" si="47"/>
        <v>1</v>
      </c>
      <c r="F320" s="1128"/>
      <c r="G320" s="313">
        <f t="shared" si="48"/>
        <v>1</v>
      </c>
      <c r="H320" s="1128"/>
      <c r="I320" s="313">
        <f t="shared" si="49"/>
        <v>1</v>
      </c>
      <c r="J320" s="1128"/>
      <c r="K320" s="313">
        <f t="shared" si="50"/>
        <v>1</v>
      </c>
      <c r="L320" s="1128"/>
      <c r="M320" s="313">
        <f t="shared" si="51"/>
        <v>1</v>
      </c>
      <c r="N320" s="1128"/>
      <c r="O320" s="313">
        <f t="shared" si="52"/>
        <v>1</v>
      </c>
      <c r="P320" s="1128"/>
      <c r="Q320" s="313">
        <f t="shared" si="53"/>
        <v>1</v>
      </c>
      <c r="R320" s="1124">
        <f t="shared" si="54"/>
        <v>0</v>
      </c>
      <c r="S320" s="698">
        <f t="shared" si="45"/>
        <v>0</v>
      </c>
    </row>
    <row r="321" spans="1:19">
      <c r="A321" s="491"/>
      <c r="B321" s="348"/>
      <c r="C321" s="313">
        <f t="shared" si="46"/>
        <v>1</v>
      </c>
      <c r="D321" s="1128"/>
      <c r="E321" s="313">
        <f t="shared" si="47"/>
        <v>1</v>
      </c>
      <c r="F321" s="1128"/>
      <c r="G321" s="313">
        <f t="shared" si="48"/>
        <v>1</v>
      </c>
      <c r="H321" s="1128"/>
      <c r="I321" s="313">
        <f t="shared" si="49"/>
        <v>1</v>
      </c>
      <c r="J321" s="1128"/>
      <c r="K321" s="313">
        <f t="shared" si="50"/>
        <v>1</v>
      </c>
      <c r="L321" s="1128"/>
      <c r="M321" s="313">
        <f t="shared" si="51"/>
        <v>1</v>
      </c>
      <c r="N321" s="1128"/>
      <c r="O321" s="313">
        <f t="shared" si="52"/>
        <v>1</v>
      </c>
      <c r="P321" s="1128"/>
      <c r="Q321" s="313">
        <f t="shared" si="53"/>
        <v>1</v>
      </c>
      <c r="R321" s="1124">
        <f t="shared" si="54"/>
        <v>0</v>
      </c>
      <c r="S321" s="698">
        <f t="shared" si="45"/>
        <v>0</v>
      </c>
    </row>
    <row r="322" spans="1:19">
      <c r="A322" s="491"/>
      <c r="B322" s="348"/>
      <c r="C322" s="313">
        <f t="shared" si="46"/>
        <v>1</v>
      </c>
      <c r="D322" s="1128"/>
      <c r="E322" s="313">
        <f t="shared" si="47"/>
        <v>1</v>
      </c>
      <c r="F322" s="1128"/>
      <c r="G322" s="313">
        <f t="shared" si="48"/>
        <v>1</v>
      </c>
      <c r="H322" s="1128"/>
      <c r="I322" s="313">
        <f t="shared" si="49"/>
        <v>1</v>
      </c>
      <c r="J322" s="1128"/>
      <c r="K322" s="313">
        <f t="shared" si="50"/>
        <v>1</v>
      </c>
      <c r="L322" s="1128"/>
      <c r="M322" s="313">
        <f t="shared" si="51"/>
        <v>1</v>
      </c>
      <c r="N322" s="1128"/>
      <c r="O322" s="313">
        <f t="shared" si="52"/>
        <v>1</v>
      </c>
      <c r="P322" s="1128"/>
      <c r="Q322" s="313">
        <f t="shared" si="53"/>
        <v>1</v>
      </c>
      <c r="R322" s="1124">
        <f t="shared" si="54"/>
        <v>0</v>
      </c>
      <c r="S322" s="698">
        <f t="shared" si="45"/>
        <v>0</v>
      </c>
    </row>
    <row r="323" spans="1:19">
      <c r="A323" s="491"/>
      <c r="B323" s="348"/>
      <c r="C323" s="313">
        <f t="shared" si="46"/>
        <v>1</v>
      </c>
      <c r="D323" s="1128"/>
      <c r="E323" s="313">
        <f t="shared" si="47"/>
        <v>1</v>
      </c>
      <c r="F323" s="1128"/>
      <c r="G323" s="313">
        <f t="shared" si="48"/>
        <v>1</v>
      </c>
      <c r="H323" s="1128"/>
      <c r="I323" s="313">
        <f t="shared" si="49"/>
        <v>1</v>
      </c>
      <c r="J323" s="1128"/>
      <c r="K323" s="313">
        <f t="shared" si="50"/>
        <v>1</v>
      </c>
      <c r="L323" s="1128"/>
      <c r="M323" s="313">
        <f t="shared" si="51"/>
        <v>1</v>
      </c>
      <c r="N323" s="1128"/>
      <c r="O323" s="313">
        <f t="shared" si="52"/>
        <v>1</v>
      </c>
      <c r="P323" s="1128"/>
      <c r="Q323" s="313">
        <f t="shared" si="53"/>
        <v>1</v>
      </c>
      <c r="R323" s="1124">
        <f t="shared" si="54"/>
        <v>0</v>
      </c>
      <c r="S323" s="698">
        <f t="shared" si="45"/>
        <v>0</v>
      </c>
    </row>
    <row r="324" spans="1:19">
      <c r="A324" s="491"/>
      <c r="B324" s="348"/>
      <c r="C324" s="313">
        <f t="shared" si="46"/>
        <v>1</v>
      </c>
      <c r="D324" s="1128"/>
      <c r="E324" s="313">
        <f t="shared" si="47"/>
        <v>1</v>
      </c>
      <c r="F324" s="1128"/>
      <c r="G324" s="313">
        <f t="shared" si="48"/>
        <v>1</v>
      </c>
      <c r="H324" s="1128"/>
      <c r="I324" s="313">
        <f t="shared" si="49"/>
        <v>1</v>
      </c>
      <c r="J324" s="1128"/>
      <c r="K324" s="313">
        <f t="shared" si="50"/>
        <v>1</v>
      </c>
      <c r="L324" s="1128"/>
      <c r="M324" s="313">
        <f t="shared" si="51"/>
        <v>1</v>
      </c>
      <c r="N324" s="1128"/>
      <c r="O324" s="313">
        <f t="shared" si="52"/>
        <v>1</v>
      </c>
      <c r="P324" s="1128"/>
      <c r="Q324" s="313">
        <f t="shared" si="53"/>
        <v>1</v>
      </c>
      <c r="R324" s="1124">
        <f t="shared" si="54"/>
        <v>0</v>
      </c>
      <c r="S324" s="698">
        <f t="shared" si="45"/>
        <v>0</v>
      </c>
    </row>
    <row r="325" spans="1:19">
      <c r="A325" s="491"/>
      <c r="B325" s="348"/>
      <c r="C325" s="313">
        <f t="shared" si="46"/>
        <v>1</v>
      </c>
      <c r="D325" s="1128"/>
      <c r="E325" s="313">
        <f t="shared" si="47"/>
        <v>1</v>
      </c>
      <c r="F325" s="1128"/>
      <c r="G325" s="313">
        <f t="shared" si="48"/>
        <v>1</v>
      </c>
      <c r="H325" s="1128"/>
      <c r="I325" s="313">
        <f t="shared" si="49"/>
        <v>1</v>
      </c>
      <c r="J325" s="1128"/>
      <c r="K325" s="313">
        <f t="shared" si="50"/>
        <v>1</v>
      </c>
      <c r="L325" s="1128"/>
      <c r="M325" s="313">
        <f t="shared" si="51"/>
        <v>1</v>
      </c>
      <c r="N325" s="1128"/>
      <c r="O325" s="313">
        <f t="shared" si="52"/>
        <v>1</v>
      </c>
      <c r="P325" s="1128"/>
      <c r="Q325" s="313">
        <f t="shared" si="53"/>
        <v>1</v>
      </c>
      <c r="R325" s="1124">
        <f t="shared" si="54"/>
        <v>0</v>
      </c>
      <c r="S325" s="698">
        <f t="shared" si="45"/>
        <v>0</v>
      </c>
    </row>
    <row r="326" spans="1:19">
      <c r="A326" s="491"/>
      <c r="B326" s="348"/>
      <c r="C326" s="313">
        <f t="shared" si="46"/>
        <v>1</v>
      </c>
      <c r="D326" s="1128"/>
      <c r="E326" s="313">
        <f t="shared" si="47"/>
        <v>1</v>
      </c>
      <c r="F326" s="1128"/>
      <c r="G326" s="313">
        <f t="shared" si="48"/>
        <v>1</v>
      </c>
      <c r="H326" s="1128"/>
      <c r="I326" s="313">
        <f t="shared" si="49"/>
        <v>1</v>
      </c>
      <c r="J326" s="1128"/>
      <c r="K326" s="313">
        <f t="shared" si="50"/>
        <v>1</v>
      </c>
      <c r="L326" s="1128"/>
      <c r="M326" s="313">
        <f t="shared" si="51"/>
        <v>1</v>
      </c>
      <c r="N326" s="1128"/>
      <c r="O326" s="313">
        <f t="shared" si="52"/>
        <v>1</v>
      </c>
      <c r="P326" s="1128"/>
      <c r="Q326" s="313">
        <f t="shared" si="53"/>
        <v>1</v>
      </c>
      <c r="R326" s="1124">
        <f t="shared" si="54"/>
        <v>0</v>
      </c>
      <c r="S326" s="698">
        <f t="shared" si="45"/>
        <v>0</v>
      </c>
    </row>
    <row r="327" spans="1:19">
      <c r="A327" s="491"/>
      <c r="B327" s="348"/>
      <c r="C327" s="313">
        <f t="shared" si="46"/>
        <v>1</v>
      </c>
      <c r="D327" s="1128"/>
      <c r="E327" s="313">
        <f t="shared" si="47"/>
        <v>1</v>
      </c>
      <c r="F327" s="1128"/>
      <c r="G327" s="313">
        <f t="shared" si="48"/>
        <v>1</v>
      </c>
      <c r="H327" s="1128"/>
      <c r="I327" s="313">
        <f t="shared" si="49"/>
        <v>1</v>
      </c>
      <c r="J327" s="1128"/>
      <c r="K327" s="313">
        <f t="shared" si="50"/>
        <v>1</v>
      </c>
      <c r="L327" s="1128"/>
      <c r="M327" s="313">
        <f t="shared" si="51"/>
        <v>1</v>
      </c>
      <c r="N327" s="1128"/>
      <c r="O327" s="313">
        <f t="shared" si="52"/>
        <v>1</v>
      </c>
      <c r="P327" s="1128"/>
      <c r="Q327" s="313">
        <f t="shared" si="53"/>
        <v>1</v>
      </c>
      <c r="R327" s="1124">
        <f t="shared" si="54"/>
        <v>0</v>
      </c>
      <c r="S327" s="698">
        <f t="shared" si="45"/>
        <v>0</v>
      </c>
    </row>
    <row r="328" spans="1:19">
      <c r="A328" s="491"/>
      <c r="B328" s="348"/>
      <c r="C328" s="313">
        <f t="shared" si="46"/>
        <v>1</v>
      </c>
      <c r="D328" s="1128"/>
      <c r="E328" s="313">
        <f t="shared" si="47"/>
        <v>1</v>
      </c>
      <c r="F328" s="1128"/>
      <c r="G328" s="313">
        <f t="shared" si="48"/>
        <v>1</v>
      </c>
      <c r="H328" s="1128"/>
      <c r="I328" s="313">
        <f t="shared" si="49"/>
        <v>1</v>
      </c>
      <c r="J328" s="1128"/>
      <c r="K328" s="313">
        <f t="shared" si="50"/>
        <v>1</v>
      </c>
      <c r="L328" s="1128"/>
      <c r="M328" s="313">
        <f t="shared" si="51"/>
        <v>1</v>
      </c>
      <c r="N328" s="1128"/>
      <c r="O328" s="313">
        <f t="shared" si="52"/>
        <v>1</v>
      </c>
      <c r="P328" s="1128"/>
      <c r="Q328" s="313">
        <f t="shared" si="53"/>
        <v>1</v>
      </c>
      <c r="R328" s="1124">
        <f t="shared" si="54"/>
        <v>0</v>
      </c>
      <c r="S328" s="698">
        <f t="shared" si="45"/>
        <v>0</v>
      </c>
    </row>
    <row r="329" spans="1:19">
      <c r="A329" s="491"/>
      <c r="B329" s="348"/>
      <c r="C329" s="313">
        <f t="shared" si="46"/>
        <v>1</v>
      </c>
      <c r="D329" s="1128"/>
      <c r="E329" s="313">
        <f t="shared" si="47"/>
        <v>1</v>
      </c>
      <c r="F329" s="1128"/>
      <c r="G329" s="313">
        <f t="shared" si="48"/>
        <v>1</v>
      </c>
      <c r="H329" s="1128"/>
      <c r="I329" s="313">
        <f t="shared" si="49"/>
        <v>1</v>
      </c>
      <c r="J329" s="1128"/>
      <c r="K329" s="313">
        <f t="shared" si="50"/>
        <v>1</v>
      </c>
      <c r="L329" s="1128"/>
      <c r="M329" s="313">
        <f t="shared" si="51"/>
        <v>1</v>
      </c>
      <c r="N329" s="1128"/>
      <c r="O329" s="313">
        <f t="shared" si="52"/>
        <v>1</v>
      </c>
      <c r="P329" s="1128"/>
      <c r="Q329" s="313">
        <f t="shared" si="53"/>
        <v>1</v>
      </c>
      <c r="R329" s="1124">
        <f t="shared" si="54"/>
        <v>0</v>
      </c>
      <c r="S329" s="698">
        <f t="shared" si="45"/>
        <v>0</v>
      </c>
    </row>
    <row r="330" spans="1:19">
      <c r="A330" s="491"/>
      <c r="B330" s="348"/>
      <c r="C330" s="313">
        <f t="shared" si="46"/>
        <v>1</v>
      </c>
      <c r="D330" s="1128"/>
      <c r="E330" s="313">
        <f t="shared" si="47"/>
        <v>1</v>
      </c>
      <c r="F330" s="1128"/>
      <c r="G330" s="313">
        <f t="shared" si="48"/>
        <v>1</v>
      </c>
      <c r="H330" s="1128"/>
      <c r="I330" s="313">
        <f t="shared" si="49"/>
        <v>1</v>
      </c>
      <c r="J330" s="1128"/>
      <c r="K330" s="313">
        <f t="shared" si="50"/>
        <v>1</v>
      </c>
      <c r="L330" s="1128"/>
      <c r="M330" s="313">
        <f t="shared" si="51"/>
        <v>1</v>
      </c>
      <c r="N330" s="1128"/>
      <c r="O330" s="313">
        <f t="shared" si="52"/>
        <v>1</v>
      </c>
      <c r="P330" s="1128"/>
      <c r="Q330" s="313">
        <f t="shared" si="53"/>
        <v>1</v>
      </c>
      <c r="R330" s="1124">
        <f t="shared" si="54"/>
        <v>0</v>
      </c>
      <c r="S330" s="698">
        <f t="shared" si="45"/>
        <v>0</v>
      </c>
    </row>
    <row r="331" spans="1:19">
      <c r="A331" s="491"/>
      <c r="B331" s="348"/>
      <c r="C331" s="313">
        <f t="shared" si="46"/>
        <v>1</v>
      </c>
      <c r="D331" s="1128"/>
      <c r="E331" s="313">
        <f t="shared" si="47"/>
        <v>1</v>
      </c>
      <c r="F331" s="1128"/>
      <c r="G331" s="313">
        <f t="shared" si="48"/>
        <v>1</v>
      </c>
      <c r="H331" s="1128"/>
      <c r="I331" s="313">
        <f t="shared" si="49"/>
        <v>1</v>
      </c>
      <c r="J331" s="1128"/>
      <c r="K331" s="313">
        <f t="shared" si="50"/>
        <v>1</v>
      </c>
      <c r="L331" s="1128"/>
      <c r="M331" s="313">
        <f t="shared" si="51"/>
        <v>1</v>
      </c>
      <c r="N331" s="1128"/>
      <c r="O331" s="313">
        <f t="shared" si="52"/>
        <v>1</v>
      </c>
      <c r="P331" s="1128"/>
      <c r="Q331" s="313">
        <f t="shared" si="53"/>
        <v>1</v>
      </c>
      <c r="R331" s="1124">
        <f t="shared" si="54"/>
        <v>0</v>
      </c>
      <c r="S331" s="698">
        <f t="shared" si="45"/>
        <v>0</v>
      </c>
    </row>
    <row r="332" spans="1:19">
      <c r="A332" s="491"/>
      <c r="B332" s="348"/>
      <c r="C332" s="313">
        <f t="shared" si="46"/>
        <v>1</v>
      </c>
      <c r="D332" s="1128"/>
      <c r="E332" s="313">
        <f t="shared" si="47"/>
        <v>1</v>
      </c>
      <c r="F332" s="1128"/>
      <c r="G332" s="313">
        <f t="shared" si="48"/>
        <v>1</v>
      </c>
      <c r="H332" s="1128"/>
      <c r="I332" s="313">
        <f t="shared" si="49"/>
        <v>1</v>
      </c>
      <c r="J332" s="1128"/>
      <c r="K332" s="313">
        <f t="shared" si="50"/>
        <v>1</v>
      </c>
      <c r="L332" s="1128"/>
      <c r="M332" s="313">
        <f t="shared" si="51"/>
        <v>1</v>
      </c>
      <c r="N332" s="1128"/>
      <c r="O332" s="313">
        <f t="shared" si="52"/>
        <v>1</v>
      </c>
      <c r="P332" s="1128"/>
      <c r="Q332" s="313">
        <f t="shared" si="53"/>
        <v>1</v>
      </c>
      <c r="R332" s="1124">
        <f t="shared" si="54"/>
        <v>0</v>
      </c>
      <c r="S332" s="698">
        <f t="shared" si="45"/>
        <v>0</v>
      </c>
    </row>
    <row r="333" spans="1:19">
      <c r="A333" s="491"/>
      <c r="B333" s="348"/>
      <c r="C333" s="313">
        <f t="shared" si="46"/>
        <v>1</v>
      </c>
      <c r="D333" s="1128"/>
      <c r="E333" s="313">
        <f t="shared" si="47"/>
        <v>1</v>
      </c>
      <c r="F333" s="1128"/>
      <c r="G333" s="313">
        <f t="shared" si="48"/>
        <v>1</v>
      </c>
      <c r="H333" s="1128"/>
      <c r="I333" s="313">
        <f t="shared" si="49"/>
        <v>1</v>
      </c>
      <c r="J333" s="1128"/>
      <c r="K333" s="313">
        <f t="shared" si="50"/>
        <v>1</v>
      </c>
      <c r="L333" s="1128"/>
      <c r="M333" s="313">
        <f t="shared" si="51"/>
        <v>1</v>
      </c>
      <c r="N333" s="1128"/>
      <c r="O333" s="313">
        <f t="shared" si="52"/>
        <v>1</v>
      </c>
      <c r="P333" s="1128"/>
      <c r="Q333" s="313">
        <f t="shared" si="53"/>
        <v>1</v>
      </c>
      <c r="R333" s="1124">
        <f t="shared" si="54"/>
        <v>0</v>
      </c>
      <c r="S333" s="698">
        <f t="shared" si="45"/>
        <v>0</v>
      </c>
    </row>
    <row r="334" spans="1:19">
      <c r="A334" s="491"/>
      <c r="B334" s="348"/>
      <c r="C334" s="313">
        <f t="shared" si="46"/>
        <v>1</v>
      </c>
      <c r="D334" s="1128"/>
      <c r="E334" s="313">
        <f t="shared" si="47"/>
        <v>1</v>
      </c>
      <c r="F334" s="1128"/>
      <c r="G334" s="313">
        <f t="shared" si="48"/>
        <v>1</v>
      </c>
      <c r="H334" s="1128"/>
      <c r="I334" s="313">
        <f t="shared" si="49"/>
        <v>1</v>
      </c>
      <c r="J334" s="1128"/>
      <c r="K334" s="313">
        <f t="shared" si="50"/>
        <v>1</v>
      </c>
      <c r="L334" s="1128"/>
      <c r="M334" s="313">
        <f t="shared" si="51"/>
        <v>1</v>
      </c>
      <c r="N334" s="1128"/>
      <c r="O334" s="313">
        <f t="shared" si="52"/>
        <v>1</v>
      </c>
      <c r="P334" s="1128"/>
      <c r="Q334" s="313">
        <f t="shared" si="53"/>
        <v>1</v>
      </c>
      <c r="R334" s="1124">
        <f t="shared" si="54"/>
        <v>0</v>
      </c>
      <c r="S334" s="698">
        <f t="shared" si="45"/>
        <v>0</v>
      </c>
    </row>
    <row r="335" spans="1:19">
      <c r="A335" s="491"/>
      <c r="B335" s="348"/>
      <c r="C335" s="313">
        <f t="shared" si="46"/>
        <v>1</v>
      </c>
      <c r="D335" s="1128"/>
      <c r="E335" s="313">
        <f t="shared" si="47"/>
        <v>1</v>
      </c>
      <c r="F335" s="1128"/>
      <c r="G335" s="313">
        <f t="shared" si="48"/>
        <v>1</v>
      </c>
      <c r="H335" s="1128"/>
      <c r="I335" s="313">
        <f t="shared" si="49"/>
        <v>1</v>
      </c>
      <c r="J335" s="1128"/>
      <c r="K335" s="313">
        <f t="shared" si="50"/>
        <v>1</v>
      </c>
      <c r="L335" s="1128"/>
      <c r="M335" s="313">
        <f t="shared" si="51"/>
        <v>1</v>
      </c>
      <c r="N335" s="1128"/>
      <c r="O335" s="313">
        <f t="shared" si="52"/>
        <v>1</v>
      </c>
      <c r="P335" s="1128"/>
      <c r="Q335" s="313">
        <f t="shared" si="53"/>
        <v>1</v>
      </c>
      <c r="R335" s="1124">
        <f t="shared" si="54"/>
        <v>0</v>
      </c>
      <c r="S335" s="698">
        <f t="shared" si="45"/>
        <v>0</v>
      </c>
    </row>
    <row r="336" spans="1:19">
      <c r="A336" s="491"/>
      <c r="B336" s="348"/>
      <c r="C336" s="313">
        <f t="shared" si="46"/>
        <v>1</v>
      </c>
      <c r="D336" s="1128"/>
      <c r="E336" s="313">
        <f t="shared" si="47"/>
        <v>1</v>
      </c>
      <c r="F336" s="1128"/>
      <c r="G336" s="313">
        <f t="shared" si="48"/>
        <v>1</v>
      </c>
      <c r="H336" s="1128"/>
      <c r="I336" s="313">
        <f t="shared" si="49"/>
        <v>1</v>
      </c>
      <c r="J336" s="1128"/>
      <c r="K336" s="313">
        <f t="shared" si="50"/>
        <v>1</v>
      </c>
      <c r="L336" s="1128"/>
      <c r="M336" s="313">
        <f t="shared" si="51"/>
        <v>1</v>
      </c>
      <c r="N336" s="1128"/>
      <c r="O336" s="313">
        <f t="shared" si="52"/>
        <v>1</v>
      </c>
      <c r="P336" s="1128"/>
      <c r="Q336" s="313">
        <f t="shared" si="53"/>
        <v>1</v>
      </c>
      <c r="R336" s="1124">
        <f t="shared" si="54"/>
        <v>0</v>
      </c>
      <c r="S336" s="698">
        <f t="shared" si="45"/>
        <v>0</v>
      </c>
    </row>
    <row r="337" spans="1:19">
      <c r="A337" s="491"/>
      <c r="B337" s="348"/>
      <c r="C337" s="313">
        <f t="shared" si="46"/>
        <v>1</v>
      </c>
      <c r="D337" s="1128"/>
      <c r="E337" s="313">
        <f t="shared" si="47"/>
        <v>1</v>
      </c>
      <c r="F337" s="1128"/>
      <c r="G337" s="313">
        <f t="shared" si="48"/>
        <v>1</v>
      </c>
      <c r="H337" s="1128"/>
      <c r="I337" s="313">
        <f t="shared" si="49"/>
        <v>1</v>
      </c>
      <c r="J337" s="1128"/>
      <c r="K337" s="313">
        <f t="shared" si="50"/>
        <v>1</v>
      </c>
      <c r="L337" s="1128"/>
      <c r="M337" s="313">
        <f t="shared" si="51"/>
        <v>1</v>
      </c>
      <c r="N337" s="1128"/>
      <c r="O337" s="313">
        <f t="shared" si="52"/>
        <v>1</v>
      </c>
      <c r="P337" s="1128"/>
      <c r="Q337" s="313">
        <f t="shared" si="53"/>
        <v>1</v>
      </c>
      <c r="R337" s="1124">
        <f t="shared" si="54"/>
        <v>0</v>
      </c>
      <c r="S337" s="698">
        <f t="shared" si="45"/>
        <v>0</v>
      </c>
    </row>
    <row r="338" spans="1:19">
      <c r="A338" s="491"/>
      <c r="B338" s="348"/>
      <c r="C338" s="313">
        <f t="shared" si="46"/>
        <v>1</v>
      </c>
      <c r="D338" s="1128"/>
      <c r="E338" s="313">
        <f t="shared" si="47"/>
        <v>1</v>
      </c>
      <c r="F338" s="1128"/>
      <c r="G338" s="313">
        <f t="shared" si="48"/>
        <v>1</v>
      </c>
      <c r="H338" s="1128"/>
      <c r="I338" s="313">
        <f t="shared" si="49"/>
        <v>1</v>
      </c>
      <c r="J338" s="1128"/>
      <c r="K338" s="313">
        <f t="shared" si="50"/>
        <v>1</v>
      </c>
      <c r="L338" s="1128"/>
      <c r="M338" s="313">
        <f t="shared" si="51"/>
        <v>1</v>
      </c>
      <c r="N338" s="1128"/>
      <c r="O338" s="313">
        <f t="shared" si="52"/>
        <v>1</v>
      </c>
      <c r="P338" s="1128"/>
      <c r="Q338" s="313">
        <f t="shared" si="53"/>
        <v>1</v>
      </c>
      <c r="R338" s="1124">
        <f t="shared" si="54"/>
        <v>0</v>
      </c>
      <c r="S338" s="698">
        <f t="shared" si="45"/>
        <v>0</v>
      </c>
    </row>
    <row r="339" spans="1:19">
      <c r="A339" s="491"/>
      <c r="B339" s="348"/>
      <c r="C339" s="313">
        <f t="shared" si="46"/>
        <v>1</v>
      </c>
      <c r="D339" s="1128"/>
      <c r="E339" s="313">
        <f t="shared" si="47"/>
        <v>1</v>
      </c>
      <c r="F339" s="1128"/>
      <c r="G339" s="313">
        <f t="shared" si="48"/>
        <v>1</v>
      </c>
      <c r="H339" s="1128"/>
      <c r="I339" s="313">
        <f t="shared" si="49"/>
        <v>1</v>
      </c>
      <c r="J339" s="1128"/>
      <c r="K339" s="313">
        <f t="shared" si="50"/>
        <v>1</v>
      </c>
      <c r="L339" s="1128"/>
      <c r="M339" s="313">
        <f t="shared" si="51"/>
        <v>1</v>
      </c>
      <c r="N339" s="1128"/>
      <c r="O339" s="313">
        <f t="shared" si="52"/>
        <v>1</v>
      </c>
      <c r="P339" s="1128"/>
      <c r="Q339" s="313">
        <f t="shared" si="53"/>
        <v>1</v>
      </c>
      <c r="R339" s="1124">
        <f t="shared" si="54"/>
        <v>0</v>
      </c>
      <c r="S339" s="698">
        <f t="shared" si="45"/>
        <v>0</v>
      </c>
    </row>
    <row r="340" spans="1:19">
      <c r="A340" s="491"/>
      <c r="B340" s="348"/>
      <c r="C340" s="313">
        <f t="shared" si="46"/>
        <v>1</v>
      </c>
      <c r="D340" s="1128"/>
      <c r="E340" s="313">
        <f t="shared" si="47"/>
        <v>1</v>
      </c>
      <c r="F340" s="1128"/>
      <c r="G340" s="313">
        <f t="shared" si="48"/>
        <v>1</v>
      </c>
      <c r="H340" s="1128"/>
      <c r="I340" s="313">
        <f t="shared" si="49"/>
        <v>1</v>
      </c>
      <c r="J340" s="1128"/>
      <c r="K340" s="313">
        <f t="shared" si="50"/>
        <v>1</v>
      </c>
      <c r="L340" s="1128"/>
      <c r="M340" s="313">
        <f t="shared" si="51"/>
        <v>1</v>
      </c>
      <c r="N340" s="1128"/>
      <c r="O340" s="313">
        <f t="shared" si="52"/>
        <v>1</v>
      </c>
      <c r="P340" s="1128"/>
      <c r="Q340" s="313">
        <f t="shared" si="53"/>
        <v>1</v>
      </c>
      <c r="R340" s="1124">
        <f t="shared" si="54"/>
        <v>0</v>
      </c>
      <c r="S340" s="698">
        <f t="shared" si="45"/>
        <v>0</v>
      </c>
    </row>
    <row r="341" spans="1:19">
      <c r="A341" s="491"/>
      <c r="B341" s="348"/>
      <c r="C341" s="313">
        <f t="shared" si="46"/>
        <v>1</v>
      </c>
      <c r="D341" s="1128"/>
      <c r="E341" s="313">
        <f t="shared" si="47"/>
        <v>1</v>
      </c>
      <c r="F341" s="1128"/>
      <c r="G341" s="313">
        <f t="shared" si="48"/>
        <v>1</v>
      </c>
      <c r="H341" s="1128"/>
      <c r="I341" s="313">
        <f t="shared" si="49"/>
        <v>1</v>
      </c>
      <c r="J341" s="1128"/>
      <c r="K341" s="313">
        <f t="shared" si="50"/>
        <v>1</v>
      </c>
      <c r="L341" s="1128"/>
      <c r="M341" s="313">
        <f t="shared" si="51"/>
        <v>1</v>
      </c>
      <c r="N341" s="1128"/>
      <c r="O341" s="313">
        <f t="shared" si="52"/>
        <v>1</v>
      </c>
      <c r="P341" s="1128"/>
      <c r="Q341" s="313">
        <f t="shared" si="53"/>
        <v>1</v>
      </c>
      <c r="R341" s="1124">
        <f t="shared" si="54"/>
        <v>0</v>
      </c>
      <c r="S341" s="698">
        <f t="shared" si="45"/>
        <v>0</v>
      </c>
    </row>
    <row r="342" spans="1:19">
      <c r="A342" s="491"/>
      <c r="B342" s="348"/>
      <c r="C342" s="313">
        <f t="shared" si="46"/>
        <v>1</v>
      </c>
      <c r="D342" s="1128"/>
      <c r="E342" s="313">
        <f t="shared" si="47"/>
        <v>1</v>
      </c>
      <c r="F342" s="1128"/>
      <c r="G342" s="313">
        <f t="shared" si="48"/>
        <v>1</v>
      </c>
      <c r="H342" s="1128"/>
      <c r="I342" s="313">
        <f t="shared" si="49"/>
        <v>1</v>
      </c>
      <c r="J342" s="1128"/>
      <c r="K342" s="313">
        <f t="shared" si="50"/>
        <v>1</v>
      </c>
      <c r="L342" s="1128"/>
      <c r="M342" s="313">
        <f t="shared" si="51"/>
        <v>1</v>
      </c>
      <c r="N342" s="1128"/>
      <c r="O342" s="313">
        <f t="shared" si="52"/>
        <v>1</v>
      </c>
      <c r="P342" s="1128"/>
      <c r="Q342" s="313">
        <f t="shared" si="53"/>
        <v>1</v>
      </c>
      <c r="R342" s="1124">
        <f t="shared" si="54"/>
        <v>0</v>
      </c>
      <c r="S342" s="698">
        <f t="shared" si="45"/>
        <v>0</v>
      </c>
    </row>
    <row r="343" spans="1:19">
      <c r="A343" s="491"/>
      <c r="B343" s="348"/>
      <c r="C343" s="313">
        <f t="shared" si="46"/>
        <v>1</v>
      </c>
      <c r="D343" s="1128"/>
      <c r="E343" s="313">
        <f t="shared" si="47"/>
        <v>1</v>
      </c>
      <c r="F343" s="1128"/>
      <c r="G343" s="313">
        <f t="shared" si="48"/>
        <v>1</v>
      </c>
      <c r="H343" s="1128"/>
      <c r="I343" s="313">
        <f t="shared" si="49"/>
        <v>1</v>
      </c>
      <c r="J343" s="1128"/>
      <c r="K343" s="313">
        <f t="shared" si="50"/>
        <v>1</v>
      </c>
      <c r="L343" s="1128"/>
      <c r="M343" s="313">
        <f t="shared" si="51"/>
        <v>1</v>
      </c>
      <c r="N343" s="1128"/>
      <c r="O343" s="313">
        <f t="shared" si="52"/>
        <v>1</v>
      </c>
      <c r="P343" s="1128"/>
      <c r="Q343" s="313">
        <f t="shared" si="53"/>
        <v>1</v>
      </c>
      <c r="R343" s="1124">
        <f t="shared" si="54"/>
        <v>0</v>
      </c>
      <c r="S343" s="698">
        <f t="shared" si="45"/>
        <v>0</v>
      </c>
    </row>
    <row r="344" spans="1:19">
      <c r="A344" s="491"/>
      <c r="B344" s="348"/>
      <c r="C344" s="313">
        <f t="shared" si="46"/>
        <v>1</v>
      </c>
      <c r="D344" s="1128"/>
      <c r="E344" s="313">
        <f t="shared" si="47"/>
        <v>1</v>
      </c>
      <c r="F344" s="1128"/>
      <c r="G344" s="313">
        <f t="shared" si="48"/>
        <v>1</v>
      </c>
      <c r="H344" s="1128"/>
      <c r="I344" s="313">
        <f t="shared" si="49"/>
        <v>1</v>
      </c>
      <c r="J344" s="1128"/>
      <c r="K344" s="313">
        <f t="shared" si="50"/>
        <v>1</v>
      </c>
      <c r="L344" s="1128"/>
      <c r="M344" s="313">
        <f t="shared" si="51"/>
        <v>1</v>
      </c>
      <c r="N344" s="1128"/>
      <c r="O344" s="313">
        <f t="shared" si="52"/>
        <v>1</v>
      </c>
      <c r="P344" s="1128"/>
      <c r="Q344" s="313">
        <f t="shared" si="53"/>
        <v>1</v>
      </c>
      <c r="R344" s="1124">
        <f t="shared" si="54"/>
        <v>0</v>
      </c>
      <c r="S344" s="698">
        <f t="shared" ref="S344:S407" si="55">ROUND(R344*B344/10000,0)</f>
        <v>0</v>
      </c>
    </row>
    <row r="345" spans="1:19">
      <c r="A345" s="491"/>
      <c r="B345" s="348"/>
      <c r="C345" s="313">
        <f t="shared" si="46"/>
        <v>1</v>
      </c>
      <c r="D345" s="1128"/>
      <c r="E345" s="313">
        <f t="shared" si="47"/>
        <v>1</v>
      </c>
      <c r="F345" s="1128"/>
      <c r="G345" s="313">
        <f t="shared" si="48"/>
        <v>1</v>
      </c>
      <c r="H345" s="1128"/>
      <c r="I345" s="313">
        <f t="shared" si="49"/>
        <v>1</v>
      </c>
      <c r="J345" s="1128"/>
      <c r="K345" s="313">
        <f t="shared" si="50"/>
        <v>1</v>
      </c>
      <c r="L345" s="1128"/>
      <c r="M345" s="313">
        <f t="shared" si="51"/>
        <v>1</v>
      </c>
      <c r="N345" s="1128"/>
      <c r="O345" s="313">
        <f t="shared" si="52"/>
        <v>1</v>
      </c>
      <c r="P345" s="1128"/>
      <c r="Q345" s="313">
        <f t="shared" si="53"/>
        <v>1</v>
      </c>
      <c r="R345" s="1124">
        <f t="shared" si="54"/>
        <v>0</v>
      </c>
      <c r="S345" s="698">
        <f t="shared" si="55"/>
        <v>0</v>
      </c>
    </row>
    <row r="346" spans="1:19">
      <c r="A346" s="491"/>
      <c r="B346" s="348"/>
      <c r="C346" s="313">
        <f t="shared" ref="C346:C409" si="56">IF(B346="",1,(LOOKUP(B346,$3:$3,$4:$4)-LOOKUP($B$24,$3:$3,$4:$4)+100)/100)</f>
        <v>1</v>
      </c>
      <c r="D346" s="1128"/>
      <c r="E346" s="313">
        <f t="shared" ref="E346:E409" si="57">(SUMIF($5:$5,D346,$6:$6)-SUMIF($5:$5,$D$24,$6:$6)+100)/100</f>
        <v>1</v>
      </c>
      <c r="F346" s="1128"/>
      <c r="G346" s="313">
        <f t="shared" ref="G346:G409" si="58">(SUMIF($7:$7,F346,$8:$8)-SUMIF($7:$7,$F$24,$8:$8)+100)/100</f>
        <v>1</v>
      </c>
      <c r="H346" s="1128"/>
      <c r="I346" s="313">
        <f t="shared" ref="I346:I409" si="59">(SUMIF($9:$9,H346,$10:$10)-SUMIF($9:$9,$H$24,$10:$10)+100)/100</f>
        <v>1</v>
      </c>
      <c r="J346" s="1128"/>
      <c r="K346" s="313">
        <f t="shared" ref="K346:K409" si="60">(SUMIF($11:$11,J346,$12:$12)-SUMIF($11:$11,$J$24,$12:$12)+100)/100</f>
        <v>1</v>
      </c>
      <c r="L346" s="1128"/>
      <c r="M346" s="313">
        <f t="shared" ref="M346:M409" si="61">(SUMIF($13:$13,L346,$14:$14)-SUMIF($13:$13,$L$24,$14:$14)+100)/100</f>
        <v>1</v>
      </c>
      <c r="N346" s="1128"/>
      <c r="O346" s="313">
        <f t="shared" ref="O346:O409" si="62">(SUMIF($15:$15,N346,$16:$16)-SUMIF($15:$15,$N$24,$16:$16)+100)/100</f>
        <v>1</v>
      </c>
      <c r="P346" s="1128"/>
      <c r="Q346" s="313">
        <f t="shared" ref="Q346:Q409" si="63">(SUMIF($17:$17,P346,$18:$18)-SUMIF($17:$17,$P$24,$18:$18)+100)/100</f>
        <v>1</v>
      </c>
      <c r="R346" s="1124">
        <f t="shared" ref="R346:R409" si="64">IF(B346="",0,ROUND($R$24*C346*E346*G346*I346*K346*M346*O346*Q346,0))</f>
        <v>0</v>
      </c>
      <c r="S346" s="698">
        <f t="shared" si="55"/>
        <v>0</v>
      </c>
    </row>
    <row r="347" spans="1:19">
      <c r="A347" s="491"/>
      <c r="B347" s="348"/>
      <c r="C347" s="313">
        <f t="shared" si="56"/>
        <v>1</v>
      </c>
      <c r="D347" s="1128"/>
      <c r="E347" s="313">
        <f t="shared" si="57"/>
        <v>1</v>
      </c>
      <c r="F347" s="1128"/>
      <c r="G347" s="313">
        <f t="shared" si="58"/>
        <v>1</v>
      </c>
      <c r="H347" s="1128"/>
      <c r="I347" s="313">
        <f t="shared" si="59"/>
        <v>1</v>
      </c>
      <c r="J347" s="1128"/>
      <c r="K347" s="313">
        <f t="shared" si="60"/>
        <v>1</v>
      </c>
      <c r="L347" s="1128"/>
      <c r="M347" s="313">
        <f t="shared" si="61"/>
        <v>1</v>
      </c>
      <c r="N347" s="1128"/>
      <c r="O347" s="313">
        <f t="shared" si="62"/>
        <v>1</v>
      </c>
      <c r="P347" s="1128"/>
      <c r="Q347" s="313">
        <f t="shared" si="63"/>
        <v>1</v>
      </c>
      <c r="R347" s="1124">
        <f t="shared" si="64"/>
        <v>0</v>
      </c>
      <c r="S347" s="698">
        <f t="shared" si="55"/>
        <v>0</v>
      </c>
    </row>
    <row r="348" spans="1:19">
      <c r="A348" s="491"/>
      <c r="B348" s="348"/>
      <c r="C348" s="313">
        <f t="shared" si="56"/>
        <v>1</v>
      </c>
      <c r="D348" s="1128"/>
      <c r="E348" s="313">
        <f t="shared" si="57"/>
        <v>1</v>
      </c>
      <c r="F348" s="1128"/>
      <c r="G348" s="313">
        <f t="shared" si="58"/>
        <v>1</v>
      </c>
      <c r="H348" s="1128"/>
      <c r="I348" s="313">
        <f t="shared" si="59"/>
        <v>1</v>
      </c>
      <c r="J348" s="1128"/>
      <c r="K348" s="313">
        <f t="shared" si="60"/>
        <v>1</v>
      </c>
      <c r="L348" s="1128"/>
      <c r="M348" s="313">
        <f t="shared" si="61"/>
        <v>1</v>
      </c>
      <c r="N348" s="1128"/>
      <c r="O348" s="313">
        <f t="shared" si="62"/>
        <v>1</v>
      </c>
      <c r="P348" s="1128"/>
      <c r="Q348" s="313">
        <f t="shared" si="63"/>
        <v>1</v>
      </c>
      <c r="R348" s="1124">
        <f t="shared" si="64"/>
        <v>0</v>
      </c>
      <c r="S348" s="698">
        <f t="shared" si="55"/>
        <v>0</v>
      </c>
    </row>
    <row r="349" spans="1:19">
      <c r="A349" s="491"/>
      <c r="B349" s="348"/>
      <c r="C349" s="313">
        <f t="shared" si="56"/>
        <v>1</v>
      </c>
      <c r="D349" s="1128"/>
      <c r="E349" s="313">
        <f t="shared" si="57"/>
        <v>1</v>
      </c>
      <c r="F349" s="1128"/>
      <c r="G349" s="313">
        <f t="shared" si="58"/>
        <v>1</v>
      </c>
      <c r="H349" s="1128"/>
      <c r="I349" s="313">
        <f t="shared" si="59"/>
        <v>1</v>
      </c>
      <c r="J349" s="1128"/>
      <c r="K349" s="313">
        <f t="shared" si="60"/>
        <v>1</v>
      </c>
      <c r="L349" s="1128"/>
      <c r="M349" s="313">
        <f t="shared" si="61"/>
        <v>1</v>
      </c>
      <c r="N349" s="1128"/>
      <c r="O349" s="313">
        <f t="shared" si="62"/>
        <v>1</v>
      </c>
      <c r="P349" s="1128"/>
      <c r="Q349" s="313">
        <f t="shared" si="63"/>
        <v>1</v>
      </c>
      <c r="R349" s="1124">
        <f t="shared" si="64"/>
        <v>0</v>
      </c>
      <c r="S349" s="698">
        <f t="shared" si="55"/>
        <v>0</v>
      </c>
    </row>
    <row r="350" spans="1:19">
      <c r="A350" s="491"/>
      <c r="B350" s="348"/>
      <c r="C350" s="313">
        <f t="shared" si="56"/>
        <v>1</v>
      </c>
      <c r="D350" s="1128"/>
      <c r="E350" s="313">
        <f t="shared" si="57"/>
        <v>1</v>
      </c>
      <c r="F350" s="1128"/>
      <c r="G350" s="313">
        <f t="shared" si="58"/>
        <v>1</v>
      </c>
      <c r="H350" s="1128"/>
      <c r="I350" s="313">
        <f t="shared" si="59"/>
        <v>1</v>
      </c>
      <c r="J350" s="1128"/>
      <c r="K350" s="313">
        <f t="shared" si="60"/>
        <v>1</v>
      </c>
      <c r="L350" s="1128"/>
      <c r="M350" s="313">
        <f t="shared" si="61"/>
        <v>1</v>
      </c>
      <c r="N350" s="1128"/>
      <c r="O350" s="313">
        <f t="shared" si="62"/>
        <v>1</v>
      </c>
      <c r="P350" s="1128"/>
      <c r="Q350" s="313">
        <f t="shared" si="63"/>
        <v>1</v>
      </c>
      <c r="R350" s="1124">
        <f t="shared" si="64"/>
        <v>0</v>
      </c>
      <c r="S350" s="698">
        <f t="shared" si="55"/>
        <v>0</v>
      </c>
    </row>
    <row r="351" spans="1:19">
      <c r="A351" s="491"/>
      <c r="B351" s="348"/>
      <c r="C351" s="313">
        <f t="shared" si="56"/>
        <v>1</v>
      </c>
      <c r="D351" s="1128"/>
      <c r="E351" s="313">
        <f t="shared" si="57"/>
        <v>1</v>
      </c>
      <c r="F351" s="1128"/>
      <c r="G351" s="313">
        <f t="shared" si="58"/>
        <v>1</v>
      </c>
      <c r="H351" s="1128"/>
      <c r="I351" s="313">
        <f t="shared" si="59"/>
        <v>1</v>
      </c>
      <c r="J351" s="1128"/>
      <c r="K351" s="313">
        <f t="shared" si="60"/>
        <v>1</v>
      </c>
      <c r="L351" s="1128"/>
      <c r="M351" s="313">
        <f t="shared" si="61"/>
        <v>1</v>
      </c>
      <c r="N351" s="1128"/>
      <c r="O351" s="313">
        <f t="shared" si="62"/>
        <v>1</v>
      </c>
      <c r="P351" s="1128"/>
      <c r="Q351" s="313">
        <f t="shared" si="63"/>
        <v>1</v>
      </c>
      <c r="R351" s="1124">
        <f t="shared" si="64"/>
        <v>0</v>
      </c>
      <c r="S351" s="698">
        <f t="shared" si="55"/>
        <v>0</v>
      </c>
    </row>
    <row r="352" spans="1:19">
      <c r="A352" s="491"/>
      <c r="B352" s="348"/>
      <c r="C352" s="313">
        <f t="shared" si="56"/>
        <v>1</v>
      </c>
      <c r="D352" s="1128"/>
      <c r="E352" s="313">
        <f t="shared" si="57"/>
        <v>1</v>
      </c>
      <c r="F352" s="1128"/>
      <c r="G352" s="313">
        <f t="shared" si="58"/>
        <v>1</v>
      </c>
      <c r="H352" s="1128"/>
      <c r="I352" s="313">
        <f t="shared" si="59"/>
        <v>1</v>
      </c>
      <c r="J352" s="1128"/>
      <c r="K352" s="313">
        <f t="shared" si="60"/>
        <v>1</v>
      </c>
      <c r="L352" s="1128"/>
      <c r="M352" s="313">
        <f t="shared" si="61"/>
        <v>1</v>
      </c>
      <c r="N352" s="1128"/>
      <c r="O352" s="313">
        <f t="shared" si="62"/>
        <v>1</v>
      </c>
      <c r="P352" s="1128"/>
      <c r="Q352" s="313">
        <f t="shared" si="63"/>
        <v>1</v>
      </c>
      <c r="R352" s="1124">
        <f t="shared" si="64"/>
        <v>0</v>
      </c>
      <c r="S352" s="698">
        <f t="shared" si="55"/>
        <v>0</v>
      </c>
    </row>
    <row r="353" spans="1:19">
      <c r="A353" s="491"/>
      <c r="B353" s="348"/>
      <c r="C353" s="313">
        <f t="shared" si="56"/>
        <v>1</v>
      </c>
      <c r="D353" s="1128"/>
      <c r="E353" s="313">
        <f t="shared" si="57"/>
        <v>1</v>
      </c>
      <c r="F353" s="1128"/>
      <c r="G353" s="313">
        <f t="shared" si="58"/>
        <v>1</v>
      </c>
      <c r="H353" s="1128"/>
      <c r="I353" s="313">
        <f t="shared" si="59"/>
        <v>1</v>
      </c>
      <c r="J353" s="1128"/>
      <c r="K353" s="313">
        <f t="shared" si="60"/>
        <v>1</v>
      </c>
      <c r="L353" s="1128"/>
      <c r="M353" s="313">
        <f t="shared" si="61"/>
        <v>1</v>
      </c>
      <c r="N353" s="1128"/>
      <c r="O353" s="313">
        <f t="shared" si="62"/>
        <v>1</v>
      </c>
      <c r="P353" s="1128"/>
      <c r="Q353" s="313">
        <f t="shared" si="63"/>
        <v>1</v>
      </c>
      <c r="R353" s="1124">
        <f t="shared" si="64"/>
        <v>0</v>
      </c>
      <c r="S353" s="698">
        <f t="shared" si="55"/>
        <v>0</v>
      </c>
    </row>
    <row r="354" spans="1:19">
      <c r="A354" s="491"/>
      <c r="B354" s="348"/>
      <c r="C354" s="313">
        <f t="shared" si="56"/>
        <v>1</v>
      </c>
      <c r="D354" s="1128"/>
      <c r="E354" s="313">
        <f t="shared" si="57"/>
        <v>1</v>
      </c>
      <c r="F354" s="1128"/>
      <c r="G354" s="313">
        <f t="shared" si="58"/>
        <v>1</v>
      </c>
      <c r="H354" s="1128"/>
      <c r="I354" s="313">
        <f t="shared" si="59"/>
        <v>1</v>
      </c>
      <c r="J354" s="1128"/>
      <c r="K354" s="313">
        <f t="shared" si="60"/>
        <v>1</v>
      </c>
      <c r="L354" s="1128"/>
      <c r="M354" s="313">
        <f t="shared" si="61"/>
        <v>1</v>
      </c>
      <c r="N354" s="1128"/>
      <c r="O354" s="313">
        <f t="shared" si="62"/>
        <v>1</v>
      </c>
      <c r="P354" s="1128"/>
      <c r="Q354" s="313">
        <f t="shared" si="63"/>
        <v>1</v>
      </c>
      <c r="R354" s="1124">
        <f t="shared" si="64"/>
        <v>0</v>
      </c>
      <c r="S354" s="698">
        <f t="shared" si="55"/>
        <v>0</v>
      </c>
    </row>
    <row r="355" spans="1:19">
      <c r="A355" s="491"/>
      <c r="B355" s="348"/>
      <c r="C355" s="313">
        <f t="shared" si="56"/>
        <v>1</v>
      </c>
      <c r="D355" s="1128"/>
      <c r="E355" s="313">
        <f t="shared" si="57"/>
        <v>1</v>
      </c>
      <c r="F355" s="1128"/>
      <c r="G355" s="313">
        <f t="shared" si="58"/>
        <v>1</v>
      </c>
      <c r="H355" s="1128"/>
      <c r="I355" s="313">
        <f t="shared" si="59"/>
        <v>1</v>
      </c>
      <c r="J355" s="1128"/>
      <c r="K355" s="313">
        <f t="shared" si="60"/>
        <v>1</v>
      </c>
      <c r="L355" s="1128"/>
      <c r="M355" s="313">
        <f t="shared" si="61"/>
        <v>1</v>
      </c>
      <c r="N355" s="1128"/>
      <c r="O355" s="313">
        <f t="shared" si="62"/>
        <v>1</v>
      </c>
      <c r="P355" s="1128"/>
      <c r="Q355" s="313">
        <f t="shared" si="63"/>
        <v>1</v>
      </c>
      <c r="R355" s="1124">
        <f t="shared" si="64"/>
        <v>0</v>
      </c>
      <c r="S355" s="698">
        <f t="shared" si="55"/>
        <v>0</v>
      </c>
    </row>
    <row r="356" spans="1:19">
      <c r="A356" s="491"/>
      <c r="B356" s="348"/>
      <c r="C356" s="313">
        <f t="shared" si="56"/>
        <v>1</v>
      </c>
      <c r="D356" s="1128"/>
      <c r="E356" s="313">
        <f t="shared" si="57"/>
        <v>1</v>
      </c>
      <c r="F356" s="1128"/>
      <c r="G356" s="313">
        <f t="shared" si="58"/>
        <v>1</v>
      </c>
      <c r="H356" s="1128"/>
      <c r="I356" s="313">
        <f t="shared" si="59"/>
        <v>1</v>
      </c>
      <c r="J356" s="1128"/>
      <c r="K356" s="313">
        <f t="shared" si="60"/>
        <v>1</v>
      </c>
      <c r="L356" s="1128"/>
      <c r="M356" s="313">
        <f t="shared" si="61"/>
        <v>1</v>
      </c>
      <c r="N356" s="1128"/>
      <c r="O356" s="313">
        <f t="shared" si="62"/>
        <v>1</v>
      </c>
      <c r="P356" s="1128"/>
      <c r="Q356" s="313">
        <f t="shared" si="63"/>
        <v>1</v>
      </c>
      <c r="R356" s="1124">
        <f t="shared" si="64"/>
        <v>0</v>
      </c>
      <c r="S356" s="698">
        <f t="shared" si="55"/>
        <v>0</v>
      </c>
    </row>
    <row r="357" spans="1:19">
      <c r="A357" s="491"/>
      <c r="B357" s="348"/>
      <c r="C357" s="313">
        <f t="shared" si="56"/>
        <v>1</v>
      </c>
      <c r="D357" s="1128"/>
      <c r="E357" s="313">
        <f t="shared" si="57"/>
        <v>1</v>
      </c>
      <c r="F357" s="1128"/>
      <c r="G357" s="313">
        <f t="shared" si="58"/>
        <v>1</v>
      </c>
      <c r="H357" s="1128"/>
      <c r="I357" s="313">
        <f t="shared" si="59"/>
        <v>1</v>
      </c>
      <c r="J357" s="1128"/>
      <c r="K357" s="313">
        <f t="shared" si="60"/>
        <v>1</v>
      </c>
      <c r="L357" s="1128"/>
      <c r="M357" s="313">
        <f t="shared" si="61"/>
        <v>1</v>
      </c>
      <c r="N357" s="1128"/>
      <c r="O357" s="313">
        <f t="shared" si="62"/>
        <v>1</v>
      </c>
      <c r="P357" s="1128"/>
      <c r="Q357" s="313">
        <f t="shared" si="63"/>
        <v>1</v>
      </c>
      <c r="R357" s="1124">
        <f t="shared" si="64"/>
        <v>0</v>
      </c>
      <c r="S357" s="698">
        <f t="shared" si="55"/>
        <v>0</v>
      </c>
    </row>
    <row r="358" spans="1:19">
      <c r="A358" s="491"/>
      <c r="B358" s="348"/>
      <c r="C358" s="313">
        <f t="shared" si="56"/>
        <v>1</v>
      </c>
      <c r="D358" s="1128"/>
      <c r="E358" s="313">
        <f t="shared" si="57"/>
        <v>1</v>
      </c>
      <c r="F358" s="1128"/>
      <c r="G358" s="313">
        <f t="shared" si="58"/>
        <v>1</v>
      </c>
      <c r="H358" s="1128"/>
      <c r="I358" s="313">
        <f t="shared" si="59"/>
        <v>1</v>
      </c>
      <c r="J358" s="1128"/>
      <c r="K358" s="313">
        <f t="shared" si="60"/>
        <v>1</v>
      </c>
      <c r="L358" s="1128"/>
      <c r="M358" s="313">
        <f t="shared" si="61"/>
        <v>1</v>
      </c>
      <c r="N358" s="1128"/>
      <c r="O358" s="313">
        <f t="shared" si="62"/>
        <v>1</v>
      </c>
      <c r="P358" s="1128"/>
      <c r="Q358" s="313">
        <f t="shared" si="63"/>
        <v>1</v>
      </c>
      <c r="R358" s="1124">
        <f t="shared" si="64"/>
        <v>0</v>
      </c>
      <c r="S358" s="698">
        <f t="shared" si="55"/>
        <v>0</v>
      </c>
    </row>
    <row r="359" spans="1:19">
      <c r="A359" s="491"/>
      <c r="B359" s="348"/>
      <c r="C359" s="313">
        <f t="shared" si="56"/>
        <v>1</v>
      </c>
      <c r="D359" s="1128"/>
      <c r="E359" s="313">
        <f t="shared" si="57"/>
        <v>1</v>
      </c>
      <c r="F359" s="1128"/>
      <c r="G359" s="313">
        <f t="shared" si="58"/>
        <v>1</v>
      </c>
      <c r="H359" s="1128"/>
      <c r="I359" s="313">
        <f t="shared" si="59"/>
        <v>1</v>
      </c>
      <c r="J359" s="1128"/>
      <c r="K359" s="313">
        <f t="shared" si="60"/>
        <v>1</v>
      </c>
      <c r="L359" s="1128"/>
      <c r="M359" s="313">
        <f t="shared" si="61"/>
        <v>1</v>
      </c>
      <c r="N359" s="1128"/>
      <c r="O359" s="313">
        <f t="shared" si="62"/>
        <v>1</v>
      </c>
      <c r="P359" s="1128"/>
      <c r="Q359" s="313">
        <f t="shared" si="63"/>
        <v>1</v>
      </c>
      <c r="R359" s="1124">
        <f t="shared" si="64"/>
        <v>0</v>
      </c>
      <c r="S359" s="698">
        <f t="shared" si="55"/>
        <v>0</v>
      </c>
    </row>
    <row r="360" spans="1:19">
      <c r="A360" s="491"/>
      <c r="B360" s="348"/>
      <c r="C360" s="313">
        <f t="shared" si="56"/>
        <v>1</v>
      </c>
      <c r="D360" s="1128"/>
      <c r="E360" s="313">
        <f t="shared" si="57"/>
        <v>1</v>
      </c>
      <c r="F360" s="1128"/>
      <c r="G360" s="313">
        <f t="shared" si="58"/>
        <v>1</v>
      </c>
      <c r="H360" s="1128"/>
      <c r="I360" s="313">
        <f t="shared" si="59"/>
        <v>1</v>
      </c>
      <c r="J360" s="1128"/>
      <c r="K360" s="313">
        <f t="shared" si="60"/>
        <v>1</v>
      </c>
      <c r="L360" s="1128"/>
      <c r="M360" s="313">
        <f t="shared" si="61"/>
        <v>1</v>
      </c>
      <c r="N360" s="1128"/>
      <c r="O360" s="313">
        <f t="shared" si="62"/>
        <v>1</v>
      </c>
      <c r="P360" s="1128"/>
      <c r="Q360" s="313">
        <f t="shared" si="63"/>
        <v>1</v>
      </c>
      <c r="R360" s="1124">
        <f t="shared" si="64"/>
        <v>0</v>
      </c>
      <c r="S360" s="698">
        <f t="shared" si="55"/>
        <v>0</v>
      </c>
    </row>
    <row r="361" spans="1:19">
      <c r="A361" s="491"/>
      <c r="B361" s="348"/>
      <c r="C361" s="313">
        <f t="shared" si="56"/>
        <v>1</v>
      </c>
      <c r="D361" s="1128"/>
      <c r="E361" s="313">
        <f t="shared" si="57"/>
        <v>1</v>
      </c>
      <c r="F361" s="1128"/>
      <c r="G361" s="313">
        <f t="shared" si="58"/>
        <v>1</v>
      </c>
      <c r="H361" s="1128"/>
      <c r="I361" s="313">
        <f t="shared" si="59"/>
        <v>1</v>
      </c>
      <c r="J361" s="1128"/>
      <c r="K361" s="313">
        <f t="shared" si="60"/>
        <v>1</v>
      </c>
      <c r="L361" s="1128"/>
      <c r="M361" s="313">
        <f t="shared" si="61"/>
        <v>1</v>
      </c>
      <c r="N361" s="1128"/>
      <c r="O361" s="313">
        <f t="shared" si="62"/>
        <v>1</v>
      </c>
      <c r="P361" s="1128"/>
      <c r="Q361" s="313">
        <f t="shared" si="63"/>
        <v>1</v>
      </c>
      <c r="R361" s="1124">
        <f t="shared" si="64"/>
        <v>0</v>
      </c>
      <c r="S361" s="698">
        <f t="shared" si="55"/>
        <v>0</v>
      </c>
    </row>
    <row r="362" spans="1:19">
      <c r="A362" s="491"/>
      <c r="B362" s="348"/>
      <c r="C362" s="313">
        <f t="shared" si="56"/>
        <v>1</v>
      </c>
      <c r="D362" s="1128"/>
      <c r="E362" s="313">
        <f t="shared" si="57"/>
        <v>1</v>
      </c>
      <c r="F362" s="1128"/>
      <c r="G362" s="313">
        <f t="shared" si="58"/>
        <v>1</v>
      </c>
      <c r="H362" s="1128"/>
      <c r="I362" s="313">
        <f t="shared" si="59"/>
        <v>1</v>
      </c>
      <c r="J362" s="1128"/>
      <c r="K362" s="313">
        <f t="shared" si="60"/>
        <v>1</v>
      </c>
      <c r="L362" s="1128"/>
      <c r="M362" s="313">
        <f t="shared" si="61"/>
        <v>1</v>
      </c>
      <c r="N362" s="1128"/>
      <c r="O362" s="313">
        <f t="shared" si="62"/>
        <v>1</v>
      </c>
      <c r="P362" s="1128"/>
      <c r="Q362" s="313">
        <f t="shared" si="63"/>
        <v>1</v>
      </c>
      <c r="R362" s="1124">
        <f t="shared" si="64"/>
        <v>0</v>
      </c>
      <c r="S362" s="698">
        <f t="shared" si="55"/>
        <v>0</v>
      </c>
    </row>
    <row r="363" spans="1:19">
      <c r="A363" s="491"/>
      <c r="B363" s="348"/>
      <c r="C363" s="313">
        <f t="shared" si="56"/>
        <v>1</v>
      </c>
      <c r="D363" s="1128"/>
      <c r="E363" s="313">
        <f t="shared" si="57"/>
        <v>1</v>
      </c>
      <c r="F363" s="1128"/>
      <c r="G363" s="313">
        <f t="shared" si="58"/>
        <v>1</v>
      </c>
      <c r="H363" s="1128"/>
      <c r="I363" s="313">
        <f t="shared" si="59"/>
        <v>1</v>
      </c>
      <c r="J363" s="1128"/>
      <c r="K363" s="313">
        <f t="shared" si="60"/>
        <v>1</v>
      </c>
      <c r="L363" s="1128"/>
      <c r="M363" s="313">
        <f t="shared" si="61"/>
        <v>1</v>
      </c>
      <c r="N363" s="1128"/>
      <c r="O363" s="313">
        <f t="shared" si="62"/>
        <v>1</v>
      </c>
      <c r="P363" s="1128"/>
      <c r="Q363" s="313">
        <f t="shared" si="63"/>
        <v>1</v>
      </c>
      <c r="R363" s="1124">
        <f t="shared" si="64"/>
        <v>0</v>
      </c>
      <c r="S363" s="698">
        <f t="shared" si="55"/>
        <v>0</v>
      </c>
    </row>
    <row r="364" spans="1:19">
      <c r="A364" s="491"/>
      <c r="B364" s="348"/>
      <c r="C364" s="313">
        <f t="shared" si="56"/>
        <v>1</v>
      </c>
      <c r="D364" s="1128"/>
      <c r="E364" s="313">
        <f t="shared" si="57"/>
        <v>1</v>
      </c>
      <c r="F364" s="1128"/>
      <c r="G364" s="313">
        <f t="shared" si="58"/>
        <v>1</v>
      </c>
      <c r="H364" s="1128"/>
      <c r="I364" s="313">
        <f t="shared" si="59"/>
        <v>1</v>
      </c>
      <c r="J364" s="1128"/>
      <c r="K364" s="313">
        <f t="shared" si="60"/>
        <v>1</v>
      </c>
      <c r="L364" s="1128"/>
      <c r="M364" s="313">
        <f t="shared" si="61"/>
        <v>1</v>
      </c>
      <c r="N364" s="1128"/>
      <c r="O364" s="313">
        <f t="shared" si="62"/>
        <v>1</v>
      </c>
      <c r="P364" s="1128"/>
      <c r="Q364" s="313">
        <f t="shared" si="63"/>
        <v>1</v>
      </c>
      <c r="R364" s="1124">
        <f t="shared" si="64"/>
        <v>0</v>
      </c>
      <c r="S364" s="698">
        <f t="shared" si="55"/>
        <v>0</v>
      </c>
    </row>
    <row r="365" spans="1:19">
      <c r="A365" s="491"/>
      <c r="B365" s="348"/>
      <c r="C365" s="313">
        <f t="shared" si="56"/>
        <v>1</v>
      </c>
      <c r="D365" s="1128"/>
      <c r="E365" s="313">
        <f t="shared" si="57"/>
        <v>1</v>
      </c>
      <c r="F365" s="1128"/>
      <c r="G365" s="313">
        <f t="shared" si="58"/>
        <v>1</v>
      </c>
      <c r="H365" s="1128"/>
      <c r="I365" s="313">
        <f t="shared" si="59"/>
        <v>1</v>
      </c>
      <c r="J365" s="1128"/>
      <c r="K365" s="313">
        <f t="shared" si="60"/>
        <v>1</v>
      </c>
      <c r="L365" s="1128"/>
      <c r="M365" s="313">
        <f t="shared" si="61"/>
        <v>1</v>
      </c>
      <c r="N365" s="1128"/>
      <c r="O365" s="313">
        <f t="shared" si="62"/>
        <v>1</v>
      </c>
      <c r="P365" s="1128"/>
      <c r="Q365" s="313">
        <f t="shared" si="63"/>
        <v>1</v>
      </c>
      <c r="R365" s="1124">
        <f t="shared" si="64"/>
        <v>0</v>
      </c>
      <c r="S365" s="698">
        <f t="shared" si="55"/>
        <v>0</v>
      </c>
    </row>
    <row r="366" spans="1:19">
      <c r="A366" s="491"/>
      <c r="B366" s="348"/>
      <c r="C366" s="313">
        <f t="shared" si="56"/>
        <v>1</v>
      </c>
      <c r="D366" s="1128"/>
      <c r="E366" s="313">
        <f t="shared" si="57"/>
        <v>1</v>
      </c>
      <c r="F366" s="1128"/>
      <c r="G366" s="313">
        <f t="shared" si="58"/>
        <v>1</v>
      </c>
      <c r="H366" s="1128"/>
      <c r="I366" s="313">
        <f t="shared" si="59"/>
        <v>1</v>
      </c>
      <c r="J366" s="1128"/>
      <c r="K366" s="313">
        <f t="shared" si="60"/>
        <v>1</v>
      </c>
      <c r="L366" s="1128"/>
      <c r="M366" s="313">
        <f t="shared" si="61"/>
        <v>1</v>
      </c>
      <c r="N366" s="1128"/>
      <c r="O366" s="313">
        <f t="shared" si="62"/>
        <v>1</v>
      </c>
      <c r="P366" s="1128"/>
      <c r="Q366" s="313">
        <f t="shared" si="63"/>
        <v>1</v>
      </c>
      <c r="R366" s="1124">
        <f t="shared" si="64"/>
        <v>0</v>
      </c>
      <c r="S366" s="698">
        <f t="shared" si="55"/>
        <v>0</v>
      </c>
    </row>
    <row r="367" spans="1:19">
      <c r="A367" s="491"/>
      <c r="B367" s="348"/>
      <c r="C367" s="313">
        <f t="shared" si="56"/>
        <v>1</v>
      </c>
      <c r="D367" s="1128"/>
      <c r="E367" s="313">
        <f t="shared" si="57"/>
        <v>1</v>
      </c>
      <c r="F367" s="1128"/>
      <c r="G367" s="313">
        <f t="shared" si="58"/>
        <v>1</v>
      </c>
      <c r="H367" s="1128"/>
      <c r="I367" s="313">
        <f t="shared" si="59"/>
        <v>1</v>
      </c>
      <c r="J367" s="1128"/>
      <c r="K367" s="313">
        <f t="shared" si="60"/>
        <v>1</v>
      </c>
      <c r="L367" s="1128"/>
      <c r="M367" s="313">
        <f t="shared" si="61"/>
        <v>1</v>
      </c>
      <c r="N367" s="1128"/>
      <c r="O367" s="313">
        <f t="shared" si="62"/>
        <v>1</v>
      </c>
      <c r="P367" s="1128"/>
      <c r="Q367" s="313">
        <f t="shared" si="63"/>
        <v>1</v>
      </c>
      <c r="R367" s="1124">
        <f t="shared" si="64"/>
        <v>0</v>
      </c>
      <c r="S367" s="698">
        <f t="shared" si="55"/>
        <v>0</v>
      </c>
    </row>
    <row r="368" spans="1:19">
      <c r="A368" s="491"/>
      <c r="B368" s="348"/>
      <c r="C368" s="313">
        <f t="shared" si="56"/>
        <v>1</v>
      </c>
      <c r="D368" s="1128"/>
      <c r="E368" s="313">
        <f t="shared" si="57"/>
        <v>1</v>
      </c>
      <c r="F368" s="1128"/>
      <c r="G368" s="313">
        <f t="shared" si="58"/>
        <v>1</v>
      </c>
      <c r="H368" s="1128"/>
      <c r="I368" s="313">
        <f t="shared" si="59"/>
        <v>1</v>
      </c>
      <c r="J368" s="1128"/>
      <c r="K368" s="313">
        <f t="shared" si="60"/>
        <v>1</v>
      </c>
      <c r="L368" s="1128"/>
      <c r="M368" s="313">
        <f t="shared" si="61"/>
        <v>1</v>
      </c>
      <c r="N368" s="1128"/>
      <c r="O368" s="313">
        <f t="shared" si="62"/>
        <v>1</v>
      </c>
      <c r="P368" s="1128"/>
      <c r="Q368" s="313">
        <f t="shared" si="63"/>
        <v>1</v>
      </c>
      <c r="R368" s="1124">
        <f t="shared" si="64"/>
        <v>0</v>
      </c>
      <c r="S368" s="698">
        <f t="shared" si="55"/>
        <v>0</v>
      </c>
    </row>
    <row r="369" spans="1:19">
      <c r="A369" s="491"/>
      <c r="B369" s="348"/>
      <c r="C369" s="313">
        <f t="shared" si="56"/>
        <v>1</v>
      </c>
      <c r="D369" s="1128"/>
      <c r="E369" s="313">
        <f t="shared" si="57"/>
        <v>1</v>
      </c>
      <c r="F369" s="1128"/>
      <c r="G369" s="313">
        <f t="shared" si="58"/>
        <v>1</v>
      </c>
      <c r="H369" s="1128"/>
      <c r="I369" s="313">
        <f t="shared" si="59"/>
        <v>1</v>
      </c>
      <c r="J369" s="1128"/>
      <c r="K369" s="313">
        <f t="shared" si="60"/>
        <v>1</v>
      </c>
      <c r="L369" s="1128"/>
      <c r="M369" s="313">
        <f t="shared" si="61"/>
        <v>1</v>
      </c>
      <c r="N369" s="1128"/>
      <c r="O369" s="313">
        <f t="shared" si="62"/>
        <v>1</v>
      </c>
      <c r="P369" s="1128"/>
      <c r="Q369" s="313">
        <f t="shared" si="63"/>
        <v>1</v>
      </c>
      <c r="R369" s="1124">
        <f t="shared" si="64"/>
        <v>0</v>
      </c>
      <c r="S369" s="698">
        <f t="shared" si="55"/>
        <v>0</v>
      </c>
    </row>
    <row r="370" spans="1:19">
      <c r="A370" s="491"/>
      <c r="B370" s="348"/>
      <c r="C370" s="313">
        <f t="shared" si="56"/>
        <v>1</v>
      </c>
      <c r="D370" s="1128"/>
      <c r="E370" s="313">
        <f t="shared" si="57"/>
        <v>1</v>
      </c>
      <c r="F370" s="1128"/>
      <c r="G370" s="313">
        <f t="shared" si="58"/>
        <v>1</v>
      </c>
      <c r="H370" s="1128"/>
      <c r="I370" s="313">
        <f t="shared" si="59"/>
        <v>1</v>
      </c>
      <c r="J370" s="1128"/>
      <c r="K370" s="313">
        <f t="shared" si="60"/>
        <v>1</v>
      </c>
      <c r="L370" s="1128"/>
      <c r="M370" s="313">
        <f t="shared" si="61"/>
        <v>1</v>
      </c>
      <c r="N370" s="1128"/>
      <c r="O370" s="313">
        <f t="shared" si="62"/>
        <v>1</v>
      </c>
      <c r="P370" s="1128"/>
      <c r="Q370" s="313">
        <f t="shared" si="63"/>
        <v>1</v>
      </c>
      <c r="R370" s="1124">
        <f t="shared" si="64"/>
        <v>0</v>
      </c>
      <c r="S370" s="698">
        <f t="shared" si="55"/>
        <v>0</v>
      </c>
    </row>
    <row r="371" spans="1:19">
      <c r="A371" s="491"/>
      <c r="B371" s="348"/>
      <c r="C371" s="313">
        <f t="shared" si="56"/>
        <v>1</v>
      </c>
      <c r="D371" s="1128"/>
      <c r="E371" s="313">
        <f t="shared" si="57"/>
        <v>1</v>
      </c>
      <c r="F371" s="1128"/>
      <c r="G371" s="313">
        <f t="shared" si="58"/>
        <v>1</v>
      </c>
      <c r="H371" s="1128"/>
      <c r="I371" s="313">
        <f t="shared" si="59"/>
        <v>1</v>
      </c>
      <c r="J371" s="1128"/>
      <c r="K371" s="313">
        <f t="shared" si="60"/>
        <v>1</v>
      </c>
      <c r="L371" s="1128"/>
      <c r="M371" s="313">
        <f t="shared" si="61"/>
        <v>1</v>
      </c>
      <c r="N371" s="1128"/>
      <c r="O371" s="313">
        <f t="shared" si="62"/>
        <v>1</v>
      </c>
      <c r="P371" s="1128"/>
      <c r="Q371" s="313">
        <f t="shared" si="63"/>
        <v>1</v>
      </c>
      <c r="R371" s="1124">
        <f t="shared" si="64"/>
        <v>0</v>
      </c>
      <c r="S371" s="698">
        <f t="shared" si="55"/>
        <v>0</v>
      </c>
    </row>
    <row r="372" spans="1:19">
      <c r="A372" s="491"/>
      <c r="B372" s="348"/>
      <c r="C372" s="313">
        <f t="shared" si="56"/>
        <v>1</v>
      </c>
      <c r="D372" s="1128"/>
      <c r="E372" s="313">
        <f t="shared" si="57"/>
        <v>1</v>
      </c>
      <c r="F372" s="1128"/>
      <c r="G372" s="313">
        <f t="shared" si="58"/>
        <v>1</v>
      </c>
      <c r="H372" s="1128"/>
      <c r="I372" s="313">
        <f t="shared" si="59"/>
        <v>1</v>
      </c>
      <c r="J372" s="1128"/>
      <c r="K372" s="313">
        <f t="shared" si="60"/>
        <v>1</v>
      </c>
      <c r="L372" s="1128"/>
      <c r="M372" s="313">
        <f t="shared" si="61"/>
        <v>1</v>
      </c>
      <c r="N372" s="1128"/>
      <c r="O372" s="313">
        <f t="shared" si="62"/>
        <v>1</v>
      </c>
      <c r="P372" s="1128"/>
      <c r="Q372" s="313">
        <f t="shared" si="63"/>
        <v>1</v>
      </c>
      <c r="R372" s="1124">
        <f t="shared" si="64"/>
        <v>0</v>
      </c>
      <c r="S372" s="698">
        <f t="shared" si="55"/>
        <v>0</v>
      </c>
    </row>
    <row r="373" spans="1:19">
      <c r="A373" s="491"/>
      <c r="B373" s="348"/>
      <c r="C373" s="313">
        <f t="shared" si="56"/>
        <v>1</v>
      </c>
      <c r="D373" s="1128"/>
      <c r="E373" s="313">
        <f t="shared" si="57"/>
        <v>1</v>
      </c>
      <c r="F373" s="1128"/>
      <c r="G373" s="313">
        <f t="shared" si="58"/>
        <v>1</v>
      </c>
      <c r="H373" s="1128"/>
      <c r="I373" s="313">
        <f t="shared" si="59"/>
        <v>1</v>
      </c>
      <c r="J373" s="1128"/>
      <c r="K373" s="313">
        <f t="shared" si="60"/>
        <v>1</v>
      </c>
      <c r="L373" s="1128"/>
      <c r="M373" s="313">
        <f t="shared" si="61"/>
        <v>1</v>
      </c>
      <c r="N373" s="1128"/>
      <c r="O373" s="313">
        <f t="shared" si="62"/>
        <v>1</v>
      </c>
      <c r="P373" s="1128"/>
      <c r="Q373" s="313">
        <f t="shared" si="63"/>
        <v>1</v>
      </c>
      <c r="R373" s="1124">
        <f t="shared" si="64"/>
        <v>0</v>
      </c>
      <c r="S373" s="698">
        <f t="shared" si="55"/>
        <v>0</v>
      </c>
    </row>
    <row r="374" spans="1:19">
      <c r="A374" s="491"/>
      <c r="B374" s="348"/>
      <c r="C374" s="313">
        <f t="shared" si="56"/>
        <v>1</v>
      </c>
      <c r="D374" s="1128"/>
      <c r="E374" s="313">
        <f t="shared" si="57"/>
        <v>1</v>
      </c>
      <c r="F374" s="1128"/>
      <c r="G374" s="313">
        <f t="shared" si="58"/>
        <v>1</v>
      </c>
      <c r="H374" s="1128"/>
      <c r="I374" s="313">
        <f t="shared" si="59"/>
        <v>1</v>
      </c>
      <c r="J374" s="1128"/>
      <c r="K374" s="313">
        <f t="shared" si="60"/>
        <v>1</v>
      </c>
      <c r="L374" s="1128"/>
      <c r="M374" s="313">
        <f t="shared" si="61"/>
        <v>1</v>
      </c>
      <c r="N374" s="1128"/>
      <c r="O374" s="313">
        <f t="shared" si="62"/>
        <v>1</v>
      </c>
      <c r="P374" s="1128"/>
      <c r="Q374" s="313">
        <f t="shared" si="63"/>
        <v>1</v>
      </c>
      <c r="R374" s="1124">
        <f t="shared" si="64"/>
        <v>0</v>
      </c>
      <c r="S374" s="698">
        <f t="shared" si="55"/>
        <v>0</v>
      </c>
    </row>
    <row r="375" spans="1:19">
      <c r="A375" s="491"/>
      <c r="B375" s="348"/>
      <c r="C375" s="313">
        <f t="shared" si="56"/>
        <v>1</v>
      </c>
      <c r="D375" s="1128"/>
      <c r="E375" s="313">
        <f t="shared" si="57"/>
        <v>1</v>
      </c>
      <c r="F375" s="1128"/>
      <c r="G375" s="313">
        <f t="shared" si="58"/>
        <v>1</v>
      </c>
      <c r="H375" s="1128"/>
      <c r="I375" s="313">
        <f t="shared" si="59"/>
        <v>1</v>
      </c>
      <c r="J375" s="1128"/>
      <c r="K375" s="313">
        <f t="shared" si="60"/>
        <v>1</v>
      </c>
      <c r="L375" s="1128"/>
      <c r="M375" s="313">
        <f t="shared" si="61"/>
        <v>1</v>
      </c>
      <c r="N375" s="1128"/>
      <c r="O375" s="313">
        <f t="shared" si="62"/>
        <v>1</v>
      </c>
      <c r="P375" s="1128"/>
      <c r="Q375" s="313">
        <f t="shared" si="63"/>
        <v>1</v>
      </c>
      <c r="R375" s="1124">
        <f t="shared" si="64"/>
        <v>0</v>
      </c>
      <c r="S375" s="698">
        <f t="shared" si="55"/>
        <v>0</v>
      </c>
    </row>
    <row r="376" spans="1:19">
      <c r="A376" s="491"/>
      <c r="B376" s="348"/>
      <c r="C376" s="313">
        <f t="shared" si="56"/>
        <v>1</v>
      </c>
      <c r="D376" s="1128"/>
      <c r="E376" s="313">
        <f t="shared" si="57"/>
        <v>1</v>
      </c>
      <c r="F376" s="1128"/>
      <c r="G376" s="313">
        <f t="shared" si="58"/>
        <v>1</v>
      </c>
      <c r="H376" s="1128"/>
      <c r="I376" s="313">
        <f t="shared" si="59"/>
        <v>1</v>
      </c>
      <c r="J376" s="1128"/>
      <c r="K376" s="313">
        <f t="shared" si="60"/>
        <v>1</v>
      </c>
      <c r="L376" s="1128"/>
      <c r="M376" s="313">
        <f t="shared" si="61"/>
        <v>1</v>
      </c>
      <c r="N376" s="1128"/>
      <c r="O376" s="313">
        <f t="shared" si="62"/>
        <v>1</v>
      </c>
      <c r="P376" s="1128"/>
      <c r="Q376" s="313">
        <f t="shared" si="63"/>
        <v>1</v>
      </c>
      <c r="R376" s="1124">
        <f t="shared" si="64"/>
        <v>0</v>
      </c>
      <c r="S376" s="698">
        <f t="shared" si="55"/>
        <v>0</v>
      </c>
    </row>
    <row r="377" spans="1:19">
      <c r="A377" s="491"/>
      <c r="B377" s="348"/>
      <c r="C377" s="313">
        <f t="shared" si="56"/>
        <v>1</v>
      </c>
      <c r="D377" s="1128"/>
      <c r="E377" s="313">
        <f t="shared" si="57"/>
        <v>1</v>
      </c>
      <c r="F377" s="1128"/>
      <c r="G377" s="313">
        <f t="shared" si="58"/>
        <v>1</v>
      </c>
      <c r="H377" s="1128"/>
      <c r="I377" s="313">
        <f t="shared" si="59"/>
        <v>1</v>
      </c>
      <c r="J377" s="1128"/>
      <c r="K377" s="313">
        <f t="shared" si="60"/>
        <v>1</v>
      </c>
      <c r="L377" s="1128"/>
      <c r="M377" s="313">
        <f t="shared" si="61"/>
        <v>1</v>
      </c>
      <c r="N377" s="1128"/>
      <c r="O377" s="313">
        <f t="shared" si="62"/>
        <v>1</v>
      </c>
      <c r="P377" s="1128"/>
      <c r="Q377" s="313">
        <f t="shared" si="63"/>
        <v>1</v>
      </c>
      <c r="R377" s="1124">
        <f t="shared" si="64"/>
        <v>0</v>
      </c>
      <c r="S377" s="698">
        <f t="shared" si="55"/>
        <v>0</v>
      </c>
    </row>
    <row r="378" spans="1:19">
      <c r="A378" s="491"/>
      <c r="B378" s="348"/>
      <c r="C378" s="313">
        <f t="shared" si="56"/>
        <v>1</v>
      </c>
      <c r="D378" s="1128"/>
      <c r="E378" s="313">
        <f t="shared" si="57"/>
        <v>1</v>
      </c>
      <c r="F378" s="1128"/>
      <c r="G378" s="313">
        <f t="shared" si="58"/>
        <v>1</v>
      </c>
      <c r="H378" s="1128"/>
      <c r="I378" s="313">
        <f t="shared" si="59"/>
        <v>1</v>
      </c>
      <c r="J378" s="1128"/>
      <c r="K378" s="313">
        <f t="shared" si="60"/>
        <v>1</v>
      </c>
      <c r="L378" s="1128"/>
      <c r="M378" s="313">
        <f t="shared" si="61"/>
        <v>1</v>
      </c>
      <c r="N378" s="1128"/>
      <c r="O378" s="313">
        <f t="shared" si="62"/>
        <v>1</v>
      </c>
      <c r="P378" s="1128"/>
      <c r="Q378" s="313">
        <f t="shared" si="63"/>
        <v>1</v>
      </c>
      <c r="R378" s="1124">
        <f t="shared" si="64"/>
        <v>0</v>
      </c>
      <c r="S378" s="698">
        <f t="shared" si="55"/>
        <v>0</v>
      </c>
    </row>
    <row r="379" spans="1:19">
      <c r="A379" s="491"/>
      <c r="B379" s="348"/>
      <c r="C379" s="313">
        <f t="shared" si="56"/>
        <v>1</v>
      </c>
      <c r="D379" s="1128"/>
      <c r="E379" s="313">
        <f t="shared" si="57"/>
        <v>1</v>
      </c>
      <c r="F379" s="1128"/>
      <c r="G379" s="313">
        <f t="shared" si="58"/>
        <v>1</v>
      </c>
      <c r="H379" s="1128"/>
      <c r="I379" s="313">
        <f t="shared" si="59"/>
        <v>1</v>
      </c>
      <c r="J379" s="1128"/>
      <c r="K379" s="313">
        <f t="shared" si="60"/>
        <v>1</v>
      </c>
      <c r="L379" s="1128"/>
      <c r="M379" s="313">
        <f t="shared" si="61"/>
        <v>1</v>
      </c>
      <c r="N379" s="1128"/>
      <c r="O379" s="313">
        <f t="shared" si="62"/>
        <v>1</v>
      </c>
      <c r="P379" s="1128"/>
      <c r="Q379" s="313">
        <f t="shared" si="63"/>
        <v>1</v>
      </c>
      <c r="R379" s="1124">
        <f t="shared" si="64"/>
        <v>0</v>
      </c>
      <c r="S379" s="698">
        <f t="shared" si="55"/>
        <v>0</v>
      </c>
    </row>
    <row r="380" spans="1:19">
      <c r="A380" s="491"/>
      <c r="B380" s="348"/>
      <c r="C380" s="313">
        <f t="shared" si="56"/>
        <v>1</v>
      </c>
      <c r="D380" s="1128"/>
      <c r="E380" s="313">
        <f t="shared" si="57"/>
        <v>1</v>
      </c>
      <c r="F380" s="1128"/>
      <c r="G380" s="313">
        <f t="shared" si="58"/>
        <v>1</v>
      </c>
      <c r="H380" s="1128"/>
      <c r="I380" s="313">
        <f t="shared" si="59"/>
        <v>1</v>
      </c>
      <c r="J380" s="1128"/>
      <c r="K380" s="313">
        <f t="shared" si="60"/>
        <v>1</v>
      </c>
      <c r="L380" s="1128"/>
      <c r="M380" s="313">
        <f t="shared" si="61"/>
        <v>1</v>
      </c>
      <c r="N380" s="1128"/>
      <c r="O380" s="313">
        <f t="shared" si="62"/>
        <v>1</v>
      </c>
      <c r="P380" s="1128"/>
      <c r="Q380" s="313">
        <f t="shared" si="63"/>
        <v>1</v>
      </c>
      <c r="R380" s="1124">
        <f t="shared" si="64"/>
        <v>0</v>
      </c>
      <c r="S380" s="698">
        <f t="shared" si="55"/>
        <v>0</v>
      </c>
    </row>
    <row r="381" spans="1:19">
      <c r="A381" s="491"/>
      <c r="B381" s="348"/>
      <c r="C381" s="313">
        <f t="shared" si="56"/>
        <v>1</v>
      </c>
      <c r="D381" s="1128"/>
      <c r="E381" s="313">
        <f t="shared" si="57"/>
        <v>1</v>
      </c>
      <c r="F381" s="1128"/>
      <c r="G381" s="313">
        <f t="shared" si="58"/>
        <v>1</v>
      </c>
      <c r="H381" s="1128"/>
      <c r="I381" s="313">
        <f t="shared" si="59"/>
        <v>1</v>
      </c>
      <c r="J381" s="1128"/>
      <c r="K381" s="313">
        <f t="shared" si="60"/>
        <v>1</v>
      </c>
      <c r="L381" s="1128"/>
      <c r="M381" s="313">
        <f t="shared" si="61"/>
        <v>1</v>
      </c>
      <c r="N381" s="1128"/>
      <c r="O381" s="313">
        <f t="shared" si="62"/>
        <v>1</v>
      </c>
      <c r="P381" s="1128"/>
      <c r="Q381" s="313">
        <f t="shared" si="63"/>
        <v>1</v>
      </c>
      <c r="R381" s="1124">
        <f t="shared" si="64"/>
        <v>0</v>
      </c>
      <c r="S381" s="698">
        <f t="shared" si="55"/>
        <v>0</v>
      </c>
    </row>
    <row r="382" spans="1:19">
      <c r="A382" s="491"/>
      <c r="B382" s="348"/>
      <c r="C382" s="313">
        <f t="shared" si="56"/>
        <v>1</v>
      </c>
      <c r="D382" s="1128"/>
      <c r="E382" s="313">
        <f t="shared" si="57"/>
        <v>1</v>
      </c>
      <c r="F382" s="1128"/>
      <c r="G382" s="313">
        <f t="shared" si="58"/>
        <v>1</v>
      </c>
      <c r="H382" s="1128"/>
      <c r="I382" s="313">
        <f t="shared" si="59"/>
        <v>1</v>
      </c>
      <c r="J382" s="1128"/>
      <c r="K382" s="313">
        <f t="shared" si="60"/>
        <v>1</v>
      </c>
      <c r="L382" s="1128"/>
      <c r="M382" s="313">
        <f t="shared" si="61"/>
        <v>1</v>
      </c>
      <c r="N382" s="1128"/>
      <c r="O382" s="313">
        <f t="shared" si="62"/>
        <v>1</v>
      </c>
      <c r="P382" s="1128"/>
      <c r="Q382" s="313">
        <f t="shared" si="63"/>
        <v>1</v>
      </c>
      <c r="R382" s="1124">
        <f t="shared" si="64"/>
        <v>0</v>
      </c>
      <c r="S382" s="698">
        <f t="shared" si="55"/>
        <v>0</v>
      </c>
    </row>
    <row r="383" spans="1:19">
      <c r="A383" s="491"/>
      <c r="B383" s="348"/>
      <c r="C383" s="313">
        <f t="shared" si="56"/>
        <v>1</v>
      </c>
      <c r="D383" s="1128"/>
      <c r="E383" s="313">
        <f t="shared" si="57"/>
        <v>1</v>
      </c>
      <c r="F383" s="1128"/>
      <c r="G383" s="313">
        <f t="shared" si="58"/>
        <v>1</v>
      </c>
      <c r="H383" s="1128"/>
      <c r="I383" s="313">
        <f t="shared" si="59"/>
        <v>1</v>
      </c>
      <c r="J383" s="1128"/>
      <c r="K383" s="313">
        <f t="shared" si="60"/>
        <v>1</v>
      </c>
      <c r="L383" s="1128"/>
      <c r="M383" s="313">
        <f t="shared" si="61"/>
        <v>1</v>
      </c>
      <c r="N383" s="1128"/>
      <c r="O383" s="313">
        <f t="shared" si="62"/>
        <v>1</v>
      </c>
      <c r="P383" s="1128"/>
      <c r="Q383" s="313">
        <f t="shared" si="63"/>
        <v>1</v>
      </c>
      <c r="R383" s="1124">
        <f t="shared" si="64"/>
        <v>0</v>
      </c>
      <c r="S383" s="698">
        <f t="shared" si="55"/>
        <v>0</v>
      </c>
    </row>
    <row r="384" spans="1:19">
      <c r="A384" s="491"/>
      <c r="B384" s="348"/>
      <c r="C384" s="313">
        <f t="shared" si="56"/>
        <v>1</v>
      </c>
      <c r="D384" s="1128"/>
      <c r="E384" s="313">
        <f t="shared" si="57"/>
        <v>1</v>
      </c>
      <c r="F384" s="1128"/>
      <c r="G384" s="313">
        <f t="shared" si="58"/>
        <v>1</v>
      </c>
      <c r="H384" s="1128"/>
      <c r="I384" s="313">
        <f t="shared" si="59"/>
        <v>1</v>
      </c>
      <c r="J384" s="1128"/>
      <c r="K384" s="313">
        <f t="shared" si="60"/>
        <v>1</v>
      </c>
      <c r="L384" s="1128"/>
      <c r="M384" s="313">
        <f t="shared" si="61"/>
        <v>1</v>
      </c>
      <c r="N384" s="1128"/>
      <c r="O384" s="313">
        <f t="shared" si="62"/>
        <v>1</v>
      </c>
      <c r="P384" s="1128"/>
      <c r="Q384" s="313">
        <f t="shared" si="63"/>
        <v>1</v>
      </c>
      <c r="R384" s="1124">
        <f t="shared" si="64"/>
        <v>0</v>
      </c>
      <c r="S384" s="698">
        <f t="shared" si="55"/>
        <v>0</v>
      </c>
    </row>
    <row r="385" spans="1:19">
      <c r="A385" s="491"/>
      <c r="B385" s="348"/>
      <c r="C385" s="313">
        <f t="shared" si="56"/>
        <v>1</v>
      </c>
      <c r="D385" s="1128"/>
      <c r="E385" s="313">
        <f t="shared" si="57"/>
        <v>1</v>
      </c>
      <c r="F385" s="1128"/>
      <c r="G385" s="313">
        <f t="shared" si="58"/>
        <v>1</v>
      </c>
      <c r="H385" s="1128"/>
      <c r="I385" s="313">
        <f t="shared" si="59"/>
        <v>1</v>
      </c>
      <c r="J385" s="1128"/>
      <c r="K385" s="313">
        <f t="shared" si="60"/>
        <v>1</v>
      </c>
      <c r="L385" s="1128"/>
      <c r="M385" s="313">
        <f t="shared" si="61"/>
        <v>1</v>
      </c>
      <c r="N385" s="1128"/>
      <c r="O385" s="313">
        <f t="shared" si="62"/>
        <v>1</v>
      </c>
      <c r="P385" s="1128"/>
      <c r="Q385" s="313">
        <f t="shared" si="63"/>
        <v>1</v>
      </c>
      <c r="R385" s="1124">
        <f t="shared" si="64"/>
        <v>0</v>
      </c>
      <c r="S385" s="698">
        <f t="shared" si="55"/>
        <v>0</v>
      </c>
    </row>
    <row r="386" spans="1:19">
      <c r="A386" s="491"/>
      <c r="B386" s="348"/>
      <c r="C386" s="313">
        <f t="shared" si="56"/>
        <v>1</v>
      </c>
      <c r="D386" s="1128"/>
      <c r="E386" s="313">
        <f t="shared" si="57"/>
        <v>1</v>
      </c>
      <c r="F386" s="1128"/>
      <c r="G386" s="313">
        <f t="shared" si="58"/>
        <v>1</v>
      </c>
      <c r="H386" s="1128"/>
      <c r="I386" s="313">
        <f t="shared" si="59"/>
        <v>1</v>
      </c>
      <c r="J386" s="1128"/>
      <c r="K386" s="313">
        <f t="shared" si="60"/>
        <v>1</v>
      </c>
      <c r="L386" s="1128"/>
      <c r="M386" s="313">
        <f t="shared" si="61"/>
        <v>1</v>
      </c>
      <c r="N386" s="1128"/>
      <c r="O386" s="313">
        <f t="shared" si="62"/>
        <v>1</v>
      </c>
      <c r="P386" s="1128"/>
      <c r="Q386" s="313">
        <f t="shared" si="63"/>
        <v>1</v>
      </c>
      <c r="R386" s="1124">
        <f t="shared" si="64"/>
        <v>0</v>
      </c>
      <c r="S386" s="698">
        <f t="shared" si="55"/>
        <v>0</v>
      </c>
    </row>
    <row r="387" spans="1:19">
      <c r="A387" s="491"/>
      <c r="B387" s="348"/>
      <c r="C387" s="313">
        <f t="shared" si="56"/>
        <v>1</v>
      </c>
      <c r="D387" s="1128"/>
      <c r="E387" s="313">
        <f t="shared" si="57"/>
        <v>1</v>
      </c>
      <c r="F387" s="1128"/>
      <c r="G387" s="313">
        <f t="shared" si="58"/>
        <v>1</v>
      </c>
      <c r="H387" s="1128"/>
      <c r="I387" s="313">
        <f t="shared" si="59"/>
        <v>1</v>
      </c>
      <c r="J387" s="1128"/>
      <c r="K387" s="313">
        <f t="shared" si="60"/>
        <v>1</v>
      </c>
      <c r="L387" s="1128"/>
      <c r="M387" s="313">
        <f t="shared" si="61"/>
        <v>1</v>
      </c>
      <c r="N387" s="1128"/>
      <c r="O387" s="313">
        <f t="shared" si="62"/>
        <v>1</v>
      </c>
      <c r="P387" s="1128"/>
      <c r="Q387" s="313">
        <f t="shared" si="63"/>
        <v>1</v>
      </c>
      <c r="R387" s="1124">
        <f t="shared" si="64"/>
        <v>0</v>
      </c>
      <c r="S387" s="698">
        <f t="shared" si="55"/>
        <v>0</v>
      </c>
    </row>
    <row r="388" spans="1:19">
      <c r="A388" s="491"/>
      <c r="B388" s="348"/>
      <c r="C388" s="313">
        <f t="shared" si="56"/>
        <v>1</v>
      </c>
      <c r="D388" s="1128"/>
      <c r="E388" s="313">
        <f t="shared" si="57"/>
        <v>1</v>
      </c>
      <c r="F388" s="1128"/>
      <c r="G388" s="313">
        <f t="shared" si="58"/>
        <v>1</v>
      </c>
      <c r="H388" s="1128"/>
      <c r="I388" s="313">
        <f t="shared" si="59"/>
        <v>1</v>
      </c>
      <c r="J388" s="1128"/>
      <c r="K388" s="313">
        <f t="shared" si="60"/>
        <v>1</v>
      </c>
      <c r="L388" s="1128"/>
      <c r="M388" s="313">
        <f t="shared" si="61"/>
        <v>1</v>
      </c>
      <c r="N388" s="1128"/>
      <c r="O388" s="313">
        <f t="shared" si="62"/>
        <v>1</v>
      </c>
      <c r="P388" s="1128"/>
      <c r="Q388" s="313">
        <f t="shared" si="63"/>
        <v>1</v>
      </c>
      <c r="R388" s="1124">
        <f t="shared" si="64"/>
        <v>0</v>
      </c>
      <c r="S388" s="698">
        <f t="shared" si="55"/>
        <v>0</v>
      </c>
    </row>
    <row r="389" spans="1:19">
      <c r="A389" s="491"/>
      <c r="B389" s="348"/>
      <c r="C389" s="313">
        <f t="shared" si="56"/>
        <v>1</v>
      </c>
      <c r="D389" s="1128"/>
      <c r="E389" s="313">
        <f t="shared" si="57"/>
        <v>1</v>
      </c>
      <c r="F389" s="1128"/>
      <c r="G389" s="313">
        <f t="shared" si="58"/>
        <v>1</v>
      </c>
      <c r="H389" s="1128"/>
      <c r="I389" s="313">
        <f t="shared" si="59"/>
        <v>1</v>
      </c>
      <c r="J389" s="1128"/>
      <c r="K389" s="313">
        <f t="shared" si="60"/>
        <v>1</v>
      </c>
      <c r="L389" s="1128"/>
      <c r="M389" s="313">
        <f t="shared" si="61"/>
        <v>1</v>
      </c>
      <c r="N389" s="1128"/>
      <c r="O389" s="313">
        <f t="shared" si="62"/>
        <v>1</v>
      </c>
      <c r="P389" s="1128"/>
      <c r="Q389" s="313">
        <f t="shared" si="63"/>
        <v>1</v>
      </c>
      <c r="R389" s="1124">
        <f t="shared" si="64"/>
        <v>0</v>
      </c>
      <c r="S389" s="698">
        <f t="shared" si="55"/>
        <v>0</v>
      </c>
    </row>
    <row r="390" spans="1:19">
      <c r="A390" s="491"/>
      <c r="B390" s="348"/>
      <c r="C390" s="313">
        <f t="shared" si="56"/>
        <v>1</v>
      </c>
      <c r="D390" s="1128"/>
      <c r="E390" s="313">
        <f t="shared" si="57"/>
        <v>1</v>
      </c>
      <c r="F390" s="1128"/>
      <c r="G390" s="313">
        <f t="shared" si="58"/>
        <v>1</v>
      </c>
      <c r="H390" s="1128"/>
      <c r="I390" s="313">
        <f t="shared" si="59"/>
        <v>1</v>
      </c>
      <c r="J390" s="1128"/>
      <c r="K390" s="313">
        <f t="shared" si="60"/>
        <v>1</v>
      </c>
      <c r="L390" s="1128"/>
      <c r="M390" s="313">
        <f t="shared" si="61"/>
        <v>1</v>
      </c>
      <c r="N390" s="1128"/>
      <c r="O390" s="313">
        <f t="shared" si="62"/>
        <v>1</v>
      </c>
      <c r="P390" s="1128"/>
      <c r="Q390" s="313">
        <f t="shared" si="63"/>
        <v>1</v>
      </c>
      <c r="R390" s="1124">
        <f t="shared" si="64"/>
        <v>0</v>
      </c>
      <c r="S390" s="698">
        <f t="shared" si="55"/>
        <v>0</v>
      </c>
    </row>
    <row r="391" spans="1:19">
      <c r="A391" s="491"/>
      <c r="B391" s="348"/>
      <c r="C391" s="313">
        <f t="shared" si="56"/>
        <v>1</v>
      </c>
      <c r="D391" s="1128"/>
      <c r="E391" s="313">
        <f t="shared" si="57"/>
        <v>1</v>
      </c>
      <c r="F391" s="1128"/>
      <c r="G391" s="313">
        <f t="shared" si="58"/>
        <v>1</v>
      </c>
      <c r="H391" s="1128"/>
      <c r="I391" s="313">
        <f t="shared" si="59"/>
        <v>1</v>
      </c>
      <c r="J391" s="1128"/>
      <c r="K391" s="313">
        <f t="shared" si="60"/>
        <v>1</v>
      </c>
      <c r="L391" s="1128"/>
      <c r="M391" s="313">
        <f t="shared" si="61"/>
        <v>1</v>
      </c>
      <c r="N391" s="1128"/>
      <c r="O391" s="313">
        <f t="shared" si="62"/>
        <v>1</v>
      </c>
      <c r="P391" s="1128"/>
      <c r="Q391" s="313">
        <f t="shared" si="63"/>
        <v>1</v>
      </c>
      <c r="R391" s="1124">
        <f t="shared" si="64"/>
        <v>0</v>
      </c>
      <c r="S391" s="698">
        <f t="shared" si="55"/>
        <v>0</v>
      </c>
    </row>
    <row r="392" spans="1:19">
      <c r="A392" s="491"/>
      <c r="B392" s="348"/>
      <c r="C392" s="313">
        <f t="shared" si="56"/>
        <v>1</v>
      </c>
      <c r="D392" s="1128"/>
      <c r="E392" s="313">
        <f t="shared" si="57"/>
        <v>1</v>
      </c>
      <c r="F392" s="1128"/>
      <c r="G392" s="313">
        <f t="shared" si="58"/>
        <v>1</v>
      </c>
      <c r="H392" s="1128"/>
      <c r="I392" s="313">
        <f t="shared" si="59"/>
        <v>1</v>
      </c>
      <c r="J392" s="1128"/>
      <c r="K392" s="313">
        <f t="shared" si="60"/>
        <v>1</v>
      </c>
      <c r="L392" s="1128"/>
      <c r="M392" s="313">
        <f t="shared" si="61"/>
        <v>1</v>
      </c>
      <c r="N392" s="1128"/>
      <c r="O392" s="313">
        <f t="shared" si="62"/>
        <v>1</v>
      </c>
      <c r="P392" s="1128"/>
      <c r="Q392" s="313">
        <f t="shared" si="63"/>
        <v>1</v>
      </c>
      <c r="R392" s="1124">
        <f t="shared" si="64"/>
        <v>0</v>
      </c>
      <c r="S392" s="698">
        <f t="shared" si="55"/>
        <v>0</v>
      </c>
    </row>
    <row r="393" spans="1:19">
      <c r="A393" s="491"/>
      <c r="B393" s="348"/>
      <c r="C393" s="313">
        <f t="shared" si="56"/>
        <v>1</v>
      </c>
      <c r="D393" s="1128"/>
      <c r="E393" s="313">
        <f t="shared" si="57"/>
        <v>1</v>
      </c>
      <c r="F393" s="1128"/>
      <c r="G393" s="313">
        <f t="shared" si="58"/>
        <v>1</v>
      </c>
      <c r="H393" s="1128"/>
      <c r="I393" s="313">
        <f t="shared" si="59"/>
        <v>1</v>
      </c>
      <c r="J393" s="1128"/>
      <c r="K393" s="313">
        <f t="shared" si="60"/>
        <v>1</v>
      </c>
      <c r="L393" s="1128"/>
      <c r="M393" s="313">
        <f t="shared" si="61"/>
        <v>1</v>
      </c>
      <c r="N393" s="1128"/>
      <c r="O393" s="313">
        <f t="shared" si="62"/>
        <v>1</v>
      </c>
      <c r="P393" s="1128"/>
      <c r="Q393" s="313">
        <f t="shared" si="63"/>
        <v>1</v>
      </c>
      <c r="R393" s="1124">
        <f t="shared" si="64"/>
        <v>0</v>
      </c>
      <c r="S393" s="698">
        <f t="shared" si="55"/>
        <v>0</v>
      </c>
    </row>
    <row r="394" spans="1:19">
      <c r="A394" s="491"/>
      <c r="B394" s="348"/>
      <c r="C394" s="313">
        <f t="shared" si="56"/>
        <v>1</v>
      </c>
      <c r="D394" s="1128"/>
      <c r="E394" s="313">
        <f t="shared" si="57"/>
        <v>1</v>
      </c>
      <c r="F394" s="1128"/>
      <c r="G394" s="313">
        <f t="shared" si="58"/>
        <v>1</v>
      </c>
      <c r="H394" s="1128"/>
      <c r="I394" s="313">
        <f t="shared" si="59"/>
        <v>1</v>
      </c>
      <c r="J394" s="1128"/>
      <c r="K394" s="313">
        <f t="shared" si="60"/>
        <v>1</v>
      </c>
      <c r="L394" s="1128"/>
      <c r="M394" s="313">
        <f t="shared" si="61"/>
        <v>1</v>
      </c>
      <c r="N394" s="1128"/>
      <c r="O394" s="313">
        <f t="shared" si="62"/>
        <v>1</v>
      </c>
      <c r="P394" s="1128"/>
      <c r="Q394" s="313">
        <f t="shared" si="63"/>
        <v>1</v>
      </c>
      <c r="R394" s="1124">
        <f t="shared" si="64"/>
        <v>0</v>
      </c>
      <c r="S394" s="698">
        <f t="shared" si="55"/>
        <v>0</v>
      </c>
    </row>
    <row r="395" spans="1:19">
      <c r="A395" s="491"/>
      <c r="B395" s="348"/>
      <c r="C395" s="313">
        <f t="shared" si="56"/>
        <v>1</v>
      </c>
      <c r="D395" s="1128"/>
      <c r="E395" s="313">
        <f t="shared" si="57"/>
        <v>1</v>
      </c>
      <c r="F395" s="1128"/>
      <c r="G395" s="313">
        <f t="shared" si="58"/>
        <v>1</v>
      </c>
      <c r="H395" s="1128"/>
      <c r="I395" s="313">
        <f t="shared" si="59"/>
        <v>1</v>
      </c>
      <c r="J395" s="1128"/>
      <c r="K395" s="313">
        <f t="shared" si="60"/>
        <v>1</v>
      </c>
      <c r="L395" s="1128"/>
      <c r="M395" s="313">
        <f t="shared" si="61"/>
        <v>1</v>
      </c>
      <c r="N395" s="1128"/>
      <c r="O395" s="313">
        <f t="shared" si="62"/>
        <v>1</v>
      </c>
      <c r="P395" s="1128"/>
      <c r="Q395" s="313">
        <f t="shared" si="63"/>
        <v>1</v>
      </c>
      <c r="R395" s="1124">
        <f t="shared" si="64"/>
        <v>0</v>
      </c>
      <c r="S395" s="698">
        <f t="shared" si="55"/>
        <v>0</v>
      </c>
    </row>
    <row r="396" spans="1:19">
      <c r="A396" s="491"/>
      <c r="B396" s="348"/>
      <c r="C396" s="313">
        <f t="shared" si="56"/>
        <v>1</v>
      </c>
      <c r="D396" s="1128"/>
      <c r="E396" s="313">
        <f t="shared" si="57"/>
        <v>1</v>
      </c>
      <c r="F396" s="1128"/>
      <c r="G396" s="313">
        <f t="shared" si="58"/>
        <v>1</v>
      </c>
      <c r="H396" s="1128"/>
      <c r="I396" s="313">
        <f t="shared" si="59"/>
        <v>1</v>
      </c>
      <c r="J396" s="1128"/>
      <c r="K396" s="313">
        <f t="shared" si="60"/>
        <v>1</v>
      </c>
      <c r="L396" s="1128"/>
      <c r="M396" s="313">
        <f t="shared" si="61"/>
        <v>1</v>
      </c>
      <c r="N396" s="1128"/>
      <c r="O396" s="313">
        <f t="shared" si="62"/>
        <v>1</v>
      </c>
      <c r="P396" s="1128"/>
      <c r="Q396" s="313">
        <f t="shared" si="63"/>
        <v>1</v>
      </c>
      <c r="R396" s="1124">
        <f t="shared" si="64"/>
        <v>0</v>
      </c>
      <c r="S396" s="698">
        <f t="shared" si="55"/>
        <v>0</v>
      </c>
    </row>
    <row r="397" spans="1:19">
      <c r="A397" s="491"/>
      <c r="B397" s="348"/>
      <c r="C397" s="313">
        <f t="shared" si="56"/>
        <v>1</v>
      </c>
      <c r="D397" s="1128"/>
      <c r="E397" s="313">
        <f t="shared" si="57"/>
        <v>1</v>
      </c>
      <c r="F397" s="1128"/>
      <c r="G397" s="313">
        <f t="shared" si="58"/>
        <v>1</v>
      </c>
      <c r="H397" s="1128"/>
      <c r="I397" s="313">
        <f t="shared" si="59"/>
        <v>1</v>
      </c>
      <c r="J397" s="1128"/>
      <c r="K397" s="313">
        <f t="shared" si="60"/>
        <v>1</v>
      </c>
      <c r="L397" s="1128"/>
      <c r="M397" s="313">
        <f t="shared" si="61"/>
        <v>1</v>
      </c>
      <c r="N397" s="1128"/>
      <c r="O397" s="313">
        <f t="shared" si="62"/>
        <v>1</v>
      </c>
      <c r="P397" s="1128"/>
      <c r="Q397" s="313">
        <f t="shared" si="63"/>
        <v>1</v>
      </c>
      <c r="R397" s="1124">
        <f t="shared" si="64"/>
        <v>0</v>
      </c>
      <c r="S397" s="698">
        <f t="shared" si="55"/>
        <v>0</v>
      </c>
    </row>
    <row r="398" spans="1:19">
      <c r="A398" s="491"/>
      <c r="B398" s="348"/>
      <c r="C398" s="313">
        <f t="shared" si="56"/>
        <v>1</v>
      </c>
      <c r="D398" s="1128"/>
      <c r="E398" s="313">
        <f t="shared" si="57"/>
        <v>1</v>
      </c>
      <c r="F398" s="1128"/>
      <c r="G398" s="313">
        <f t="shared" si="58"/>
        <v>1</v>
      </c>
      <c r="H398" s="1128"/>
      <c r="I398" s="313">
        <f t="shared" si="59"/>
        <v>1</v>
      </c>
      <c r="J398" s="1128"/>
      <c r="K398" s="313">
        <f t="shared" si="60"/>
        <v>1</v>
      </c>
      <c r="L398" s="1128"/>
      <c r="M398" s="313">
        <f t="shared" si="61"/>
        <v>1</v>
      </c>
      <c r="N398" s="1128"/>
      <c r="O398" s="313">
        <f t="shared" si="62"/>
        <v>1</v>
      </c>
      <c r="P398" s="1128"/>
      <c r="Q398" s="313">
        <f t="shared" si="63"/>
        <v>1</v>
      </c>
      <c r="R398" s="1124">
        <f t="shared" si="64"/>
        <v>0</v>
      </c>
      <c r="S398" s="698">
        <f t="shared" si="55"/>
        <v>0</v>
      </c>
    </row>
    <row r="399" spans="1:19">
      <c r="A399" s="491"/>
      <c r="B399" s="348"/>
      <c r="C399" s="313">
        <f t="shared" si="56"/>
        <v>1</v>
      </c>
      <c r="D399" s="1128"/>
      <c r="E399" s="313">
        <f t="shared" si="57"/>
        <v>1</v>
      </c>
      <c r="F399" s="1128"/>
      <c r="G399" s="313">
        <f t="shared" si="58"/>
        <v>1</v>
      </c>
      <c r="H399" s="1128"/>
      <c r="I399" s="313">
        <f t="shared" si="59"/>
        <v>1</v>
      </c>
      <c r="J399" s="1128"/>
      <c r="K399" s="313">
        <f t="shared" si="60"/>
        <v>1</v>
      </c>
      <c r="L399" s="1128"/>
      <c r="M399" s="313">
        <f t="shared" si="61"/>
        <v>1</v>
      </c>
      <c r="N399" s="1128"/>
      <c r="O399" s="313">
        <f t="shared" si="62"/>
        <v>1</v>
      </c>
      <c r="P399" s="1128"/>
      <c r="Q399" s="313">
        <f t="shared" si="63"/>
        <v>1</v>
      </c>
      <c r="R399" s="1124">
        <f t="shared" si="64"/>
        <v>0</v>
      </c>
      <c r="S399" s="698">
        <f t="shared" si="55"/>
        <v>0</v>
      </c>
    </row>
    <row r="400" spans="1:19">
      <c r="A400" s="491"/>
      <c r="B400" s="348"/>
      <c r="C400" s="313">
        <f t="shared" si="56"/>
        <v>1</v>
      </c>
      <c r="D400" s="1128"/>
      <c r="E400" s="313">
        <f t="shared" si="57"/>
        <v>1</v>
      </c>
      <c r="F400" s="1128"/>
      <c r="G400" s="313">
        <f t="shared" si="58"/>
        <v>1</v>
      </c>
      <c r="H400" s="1128"/>
      <c r="I400" s="313">
        <f t="shared" si="59"/>
        <v>1</v>
      </c>
      <c r="J400" s="1128"/>
      <c r="K400" s="313">
        <f t="shared" si="60"/>
        <v>1</v>
      </c>
      <c r="L400" s="1128"/>
      <c r="M400" s="313">
        <f t="shared" si="61"/>
        <v>1</v>
      </c>
      <c r="N400" s="1128"/>
      <c r="O400" s="313">
        <f t="shared" si="62"/>
        <v>1</v>
      </c>
      <c r="P400" s="1128"/>
      <c r="Q400" s="313">
        <f t="shared" si="63"/>
        <v>1</v>
      </c>
      <c r="R400" s="1124">
        <f t="shared" si="64"/>
        <v>0</v>
      </c>
      <c r="S400" s="698">
        <f t="shared" si="55"/>
        <v>0</v>
      </c>
    </row>
    <row r="401" spans="1:19">
      <c r="A401" s="491"/>
      <c r="B401" s="348"/>
      <c r="C401" s="313">
        <f t="shared" si="56"/>
        <v>1</v>
      </c>
      <c r="D401" s="1128"/>
      <c r="E401" s="313">
        <f t="shared" si="57"/>
        <v>1</v>
      </c>
      <c r="F401" s="1128"/>
      <c r="G401" s="313">
        <f t="shared" si="58"/>
        <v>1</v>
      </c>
      <c r="H401" s="1128"/>
      <c r="I401" s="313">
        <f t="shared" si="59"/>
        <v>1</v>
      </c>
      <c r="J401" s="1128"/>
      <c r="K401" s="313">
        <f t="shared" si="60"/>
        <v>1</v>
      </c>
      <c r="L401" s="1128"/>
      <c r="M401" s="313">
        <f t="shared" si="61"/>
        <v>1</v>
      </c>
      <c r="N401" s="1128"/>
      <c r="O401" s="313">
        <f t="shared" si="62"/>
        <v>1</v>
      </c>
      <c r="P401" s="1128"/>
      <c r="Q401" s="313">
        <f t="shared" si="63"/>
        <v>1</v>
      </c>
      <c r="R401" s="1124">
        <f t="shared" si="64"/>
        <v>0</v>
      </c>
      <c r="S401" s="698">
        <f t="shared" si="55"/>
        <v>0</v>
      </c>
    </row>
    <row r="402" spans="1:19">
      <c r="A402" s="491"/>
      <c r="B402" s="348"/>
      <c r="C402" s="313">
        <f t="shared" si="56"/>
        <v>1</v>
      </c>
      <c r="D402" s="1128"/>
      <c r="E402" s="313">
        <f t="shared" si="57"/>
        <v>1</v>
      </c>
      <c r="F402" s="1128"/>
      <c r="G402" s="313">
        <f t="shared" si="58"/>
        <v>1</v>
      </c>
      <c r="H402" s="1128"/>
      <c r="I402" s="313">
        <f t="shared" si="59"/>
        <v>1</v>
      </c>
      <c r="J402" s="1128"/>
      <c r="K402" s="313">
        <f t="shared" si="60"/>
        <v>1</v>
      </c>
      <c r="L402" s="1128"/>
      <c r="M402" s="313">
        <f t="shared" si="61"/>
        <v>1</v>
      </c>
      <c r="N402" s="1128"/>
      <c r="O402" s="313">
        <f t="shared" si="62"/>
        <v>1</v>
      </c>
      <c r="P402" s="1128"/>
      <c r="Q402" s="313">
        <f t="shared" si="63"/>
        <v>1</v>
      </c>
      <c r="R402" s="1124">
        <f t="shared" si="64"/>
        <v>0</v>
      </c>
      <c r="S402" s="698">
        <f t="shared" si="55"/>
        <v>0</v>
      </c>
    </row>
    <row r="403" spans="1:19">
      <c r="A403" s="491"/>
      <c r="B403" s="348"/>
      <c r="C403" s="313">
        <f t="shared" si="56"/>
        <v>1</v>
      </c>
      <c r="D403" s="1128"/>
      <c r="E403" s="313">
        <f t="shared" si="57"/>
        <v>1</v>
      </c>
      <c r="F403" s="1128"/>
      <c r="G403" s="313">
        <f t="shared" si="58"/>
        <v>1</v>
      </c>
      <c r="H403" s="1128"/>
      <c r="I403" s="313">
        <f t="shared" si="59"/>
        <v>1</v>
      </c>
      <c r="J403" s="1128"/>
      <c r="K403" s="313">
        <f t="shared" si="60"/>
        <v>1</v>
      </c>
      <c r="L403" s="1128"/>
      <c r="M403" s="313">
        <f t="shared" si="61"/>
        <v>1</v>
      </c>
      <c r="N403" s="1128"/>
      <c r="O403" s="313">
        <f t="shared" si="62"/>
        <v>1</v>
      </c>
      <c r="P403" s="1128"/>
      <c r="Q403" s="313">
        <f t="shared" si="63"/>
        <v>1</v>
      </c>
      <c r="R403" s="1124">
        <f t="shared" si="64"/>
        <v>0</v>
      </c>
      <c r="S403" s="698">
        <f t="shared" si="55"/>
        <v>0</v>
      </c>
    </row>
    <row r="404" spans="1:19">
      <c r="A404" s="491"/>
      <c r="B404" s="348"/>
      <c r="C404" s="313">
        <f t="shared" si="56"/>
        <v>1</v>
      </c>
      <c r="D404" s="1128"/>
      <c r="E404" s="313">
        <f t="shared" si="57"/>
        <v>1</v>
      </c>
      <c r="F404" s="1128"/>
      <c r="G404" s="313">
        <f t="shared" si="58"/>
        <v>1</v>
      </c>
      <c r="H404" s="1128"/>
      <c r="I404" s="313">
        <f t="shared" si="59"/>
        <v>1</v>
      </c>
      <c r="J404" s="1128"/>
      <c r="K404" s="313">
        <f t="shared" si="60"/>
        <v>1</v>
      </c>
      <c r="L404" s="1128"/>
      <c r="M404" s="313">
        <f t="shared" si="61"/>
        <v>1</v>
      </c>
      <c r="N404" s="1128"/>
      <c r="O404" s="313">
        <f t="shared" si="62"/>
        <v>1</v>
      </c>
      <c r="P404" s="1128"/>
      <c r="Q404" s="313">
        <f t="shared" si="63"/>
        <v>1</v>
      </c>
      <c r="R404" s="1124">
        <f t="shared" si="64"/>
        <v>0</v>
      </c>
      <c r="S404" s="698">
        <f t="shared" si="55"/>
        <v>0</v>
      </c>
    </row>
    <row r="405" spans="1:19">
      <c r="A405" s="491"/>
      <c r="B405" s="348"/>
      <c r="C405" s="313">
        <f t="shared" si="56"/>
        <v>1</v>
      </c>
      <c r="D405" s="1128"/>
      <c r="E405" s="313">
        <f t="shared" si="57"/>
        <v>1</v>
      </c>
      <c r="F405" s="1128"/>
      <c r="G405" s="313">
        <f t="shared" si="58"/>
        <v>1</v>
      </c>
      <c r="H405" s="1128"/>
      <c r="I405" s="313">
        <f t="shared" si="59"/>
        <v>1</v>
      </c>
      <c r="J405" s="1128"/>
      <c r="K405" s="313">
        <f t="shared" si="60"/>
        <v>1</v>
      </c>
      <c r="L405" s="1128"/>
      <c r="M405" s="313">
        <f t="shared" si="61"/>
        <v>1</v>
      </c>
      <c r="N405" s="1128"/>
      <c r="O405" s="313">
        <f t="shared" si="62"/>
        <v>1</v>
      </c>
      <c r="P405" s="1128"/>
      <c r="Q405" s="313">
        <f t="shared" si="63"/>
        <v>1</v>
      </c>
      <c r="R405" s="1124">
        <f t="shared" si="64"/>
        <v>0</v>
      </c>
      <c r="S405" s="698">
        <f t="shared" si="55"/>
        <v>0</v>
      </c>
    </row>
    <row r="406" spans="1:19">
      <c r="A406" s="491"/>
      <c r="B406" s="348"/>
      <c r="C406" s="313">
        <f t="shared" si="56"/>
        <v>1</v>
      </c>
      <c r="D406" s="1128"/>
      <c r="E406" s="313">
        <f t="shared" si="57"/>
        <v>1</v>
      </c>
      <c r="F406" s="1128"/>
      <c r="G406" s="313">
        <f t="shared" si="58"/>
        <v>1</v>
      </c>
      <c r="H406" s="1128"/>
      <c r="I406" s="313">
        <f t="shared" si="59"/>
        <v>1</v>
      </c>
      <c r="J406" s="1128"/>
      <c r="K406" s="313">
        <f t="shared" si="60"/>
        <v>1</v>
      </c>
      <c r="L406" s="1128"/>
      <c r="M406" s="313">
        <f t="shared" si="61"/>
        <v>1</v>
      </c>
      <c r="N406" s="1128"/>
      <c r="O406" s="313">
        <f t="shared" si="62"/>
        <v>1</v>
      </c>
      <c r="P406" s="1128"/>
      <c r="Q406" s="313">
        <f t="shared" si="63"/>
        <v>1</v>
      </c>
      <c r="R406" s="1124">
        <f t="shared" si="64"/>
        <v>0</v>
      </c>
      <c r="S406" s="698">
        <f t="shared" si="55"/>
        <v>0</v>
      </c>
    </row>
    <row r="407" spans="1:19">
      <c r="A407" s="491"/>
      <c r="B407" s="348"/>
      <c r="C407" s="313">
        <f t="shared" si="56"/>
        <v>1</v>
      </c>
      <c r="D407" s="1128"/>
      <c r="E407" s="313">
        <f t="shared" si="57"/>
        <v>1</v>
      </c>
      <c r="F407" s="1128"/>
      <c r="G407" s="313">
        <f t="shared" si="58"/>
        <v>1</v>
      </c>
      <c r="H407" s="1128"/>
      <c r="I407" s="313">
        <f t="shared" si="59"/>
        <v>1</v>
      </c>
      <c r="J407" s="1128"/>
      <c r="K407" s="313">
        <f t="shared" si="60"/>
        <v>1</v>
      </c>
      <c r="L407" s="1128"/>
      <c r="M407" s="313">
        <f t="shared" si="61"/>
        <v>1</v>
      </c>
      <c r="N407" s="1128"/>
      <c r="O407" s="313">
        <f t="shared" si="62"/>
        <v>1</v>
      </c>
      <c r="P407" s="1128"/>
      <c r="Q407" s="313">
        <f t="shared" si="63"/>
        <v>1</v>
      </c>
      <c r="R407" s="1124">
        <f t="shared" si="64"/>
        <v>0</v>
      </c>
      <c r="S407" s="698">
        <f t="shared" si="55"/>
        <v>0</v>
      </c>
    </row>
    <row r="408" spans="1:19">
      <c r="A408" s="491"/>
      <c r="B408" s="348"/>
      <c r="C408" s="313">
        <f t="shared" si="56"/>
        <v>1</v>
      </c>
      <c r="D408" s="1128"/>
      <c r="E408" s="313">
        <f t="shared" si="57"/>
        <v>1</v>
      </c>
      <c r="F408" s="1128"/>
      <c r="G408" s="313">
        <f t="shared" si="58"/>
        <v>1</v>
      </c>
      <c r="H408" s="1128"/>
      <c r="I408" s="313">
        <f t="shared" si="59"/>
        <v>1</v>
      </c>
      <c r="J408" s="1128"/>
      <c r="K408" s="313">
        <f t="shared" si="60"/>
        <v>1</v>
      </c>
      <c r="L408" s="1128"/>
      <c r="M408" s="313">
        <f t="shared" si="61"/>
        <v>1</v>
      </c>
      <c r="N408" s="1128"/>
      <c r="O408" s="313">
        <f t="shared" si="62"/>
        <v>1</v>
      </c>
      <c r="P408" s="1128"/>
      <c r="Q408" s="313">
        <f t="shared" si="63"/>
        <v>1</v>
      </c>
      <c r="R408" s="1124">
        <f t="shared" si="64"/>
        <v>0</v>
      </c>
      <c r="S408" s="698">
        <f t="shared" ref="S408:S471" si="65">ROUND(R408*B408/10000,0)</f>
        <v>0</v>
      </c>
    </row>
    <row r="409" spans="1:19">
      <c r="A409" s="491"/>
      <c r="B409" s="348"/>
      <c r="C409" s="313">
        <f t="shared" si="56"/>
        <v>1</v>
      </c>
      <c r="D409" s="1128"/>
      <c r="E409" s="313">
        <f t="shared" si="57"/>
        <v>1</v>
      </c>
      <c r="F409" s="1128"/>
      <c r="G409" s="313">
        <f t="shared" si="58"/>
        <v>1</v>
      </c>
      <c r="H409" s="1128"/>
      <c r="I409" s="313">
        <f t="shared" si="59"/>
        <v>1</v>
      </c>
      <c r="J409" s="1128"/>
      <c r="K409" s="313">
        <f t="shared" si="60"/>
        <v>1</v>
      </c>
      <c r="L409" s="1128"/>
      <c r="M409" s="313">
        <f t="shared" si="61"/>
        <v>1</v>
      </c>
      <c r="N409" s="1128"/>
      <c r="O409" s="313">
        <f t="shared" si="62"/>
        <v>1</v>
      </c>
      <c r="P409" s="1128"/>
      <c r="Q409" s="313">
        <f t="shared" si="63"/>
        <v>1</v>
      </c>
      <c r="R409" s="1124">
        <f t="shared" si="64"/>
        <v>0</v>
      </c>
      <c r="S409" s="698">
        <f t="shared" si="65"/>
        <v>0</v>
      </c>
    </row>
    <row r="410" spans="1:19">
      <c r="A410" s="491"/>
      <c r="B410" s="348"/>
      <c r="C410" s="313">
        <f t="shared" ref="C410:C473" si="66">IF(B410="",1,(LOOKUP(B410,$3:$3,$4:$4)-LOOKUP($B$24,$3:$3,$4:$4)+100)/100)</f>
        <v>1</v>
      </c>
      <c r="D410" s="1128"/>
      <c r="E410" s="313">
        <f t="shared" ref="E410:E473" si="67">(SUMIF($5:$5,D410,$6:$6)-SUMIF($5:$5,$D$24,$6:$6)+100)/100</f>
        <v>1</v>
      </c>
      <c r="F410" s="1128"/>
      <c r="G410" s="313">
        <f t="shared" ref="G410:G473" si="68">(SUMIF($7:$7,F410,$8:$8)-SUMIF($7:$7,$F$24,$8:$8)+100)/100</f>
        <v>1</v>
      </c>
      <c r="H410" s="1128"/>
      <c r="I410" s="313">
        <f t="shared" ref="I410:I473" si="69">(SUMIF($9:$9,H410,$10:$10)-SUMIF($9:$9,$H$24,$10:$10)+100)/100</f>
        <v>1</v>
      </c>
      <c r="J410" s="1128"/>
      <c r="K410" s="313">
        <f t="shared" ref="K410:K473" si="70">(SUMIF($11:$11,J410,$12:$12)-SUMIF($11:$11,$J$24,$12:$12)+100)/100</f>
        <v>1</v>
      </c>
      <c r="L410" s="1128"/>
      <c r="M410" s="313">
        <f t="shared" ref="M410:M473" si="71">(SUMIF($13:$13,L410,$14:$14)-SUMIF($13:$13,$L$24,$14:$14)+100)/100</f>
        <v>1</v>
      </c>
      <c r="N410" s="1128"/>
      <c r="O410" s="313">
        <f t="shared" ref="O410:O473" si="72">(SUMIF($15:$15,N410,$16:$16)-SUMIF($15:$15,$N$24,$16:$16)+100)/100</f>
        <v>1</v>
      </c>
      <c r="P410" s="1128"/>
      <c r="Q410" s="313">
        <f t="shared" ref="Q410:Q473" si="73">(SUMIF($17:$17,P410,$18:$18)-SUMIF($17:$17,$P$24,$18:$18)+100)/100</f>
        <v>1</v>
      </c>
      <c r="R410" s="1124">
        <f t="shared" ref="R410:R473" si="74">IF(B410="",0,ROUND($R$24*C410*E410*G410*I410*K410*M410*O410*Q410,0))</f>
        <v>0</v>
      </c>
      <c r="S410" s="698">
        <f t="shared" si="65"/>
        <v>0</v>
      </c>
    </row>
    <row r="411" spans="1:19">
      <c r="A411" s="491"/>
      <c r="B411" s="348"/>
      <c r="C411" s="313">
        <f t="shared" si="66"/>
        <v>1</v>
      </c>
      <c r="D411" s="1128"/>
      <c r="E411" s="313">
        <f t="shared" si="67"/>
        <v>1</v>
      </c>
      <c r="F411" s="1128"/>
      <c r="G411" s="313">
        <f t="shared" si="68"/>
        <v>1</v>
      </c>
      <c r="H411" s="1128"/>
      <c r="I411" s="313">
        <f t="shared" si="69"/>
        <v>1</v>
      </c>
      <c r="J411" s="1128"/>
      <c r="K411" s="313">
        <f t="shared" si="70"/>
        <v>1</v>
      </c>
      <c r="L411" s="1128"/>
      <c r="M411" s="313">
        <f t="shared" si="71"/>
        <v>1</v>
      </c>
      <c r="N411" s="1128"/>
      <c r="O411" s="313">
        <f t="shared" si="72"/>
        <v>1</v>
      </c>
      <c r="P411" s="1128"/>
      <c r="Q411" s="313">
        <f t="shared" si="73"/>
        <v>1</v>
      </c>
      <c r="R411" s="1124">
        <f t="shared" si="74"/>
        <v>0</v>
      </c>
      <c r="S411" s="698">
        <f t="shared" si="65"/>
        <v>0</v>
      </c>
    </row>
    <row r="412" spans="1:19">
      <c r="A412" s="491"/>
      <c r="B412" s="348"/>
      <c r="C412" s="313">
        <f t="shared" si="66"/>
        <v>1</v>
      </c>
      <c r="D412" s="1128"/>
      <c r="E412" s="313">
        <f t="shared" si="67"/>
        <v>1</v>
      </c>
      <c r="F412" s="1128"/>
      <c r="G412" s="313">
        <f t="shared" si="68"/>
        <v>1</v>
      </c>
      <c r="H412" s="1128"/>
      <c r="I412" s="313">
        <f t="shared" si="69"/>
        <v>1</v>
      </c>
      <c r="J412" s="1128"/>
      <c r="K412" s="313">
        <f t="shared" si="70"/>
        <v>1</v>
      </c>
      <c r="L412" s="1128"/>
      <c r="M412" s="313">
        <f t="shared" si="71"/>
        <v>1</v>
      </c>
      <c r="N412" s="1128"/>
      <c r="O412" s="313">
        <f t="shared" si="72"/>
        <v>1</v>
      </c>
      <c r="P412" s="1128"/>
      <c r="Q412" s="313">
        <f t="shared" si="73"/>
        <v>1</v>
      </c>
      <c r="R412" s="1124">
        <f t="shared" si="74"/>
        <v>0</v>
      </c>
      <c r="S412" s="698">
        <f t="shared" si="65"/>
        <v>0</v>
      </c>
    </row>
    <row r="413" spans="1:19">
      <c r="A413" s="491"/>
      <c r="B413" s="348"/>
      <c r="C413" s="313">
        <f t="shared" si="66"/>
        <v>1</v>
      </c>
      <c r="D413" s="1128"/>
      <c r="E413" s="313">
        <f t="shared" si="67"/>
        <v>1</v>
      </c>
      <c r="F413" s="1128"/>
      <c r="G413" s="313">
        <f t="shared" si="68"/>
        <v>1</v>
      </c>
      <c r="H413" s="1128"/>
      <c r="I413" s="313">
        <f t="shared" si="69"/>
        <v>1</v>
      </c>
      <c r="J413" s="1128"/>
      <c r="K413" s="313">
        <f t="shared" si="70"/>
        <v>1</v>
      </c>
      <c r="L413" s="1128"/>
      <c r="M413" s="313">
        <f t="shared" si="71"/>
        <v>1</v>
      </c>
      <c r="N413" s="1128"/>
      <c r="O413" s="313">
        <f t="shared" si="72"/>
        <v>1</v>
      </c>
      <c r="P413" s="1128"/>
      <c r="Q413" s="313">
        <f t="shared" si="73"/>
        <v>1</v>
      </c>
      <c r="R413" s="1124">
        <f t="shared" si="74"/>
        <v>0</v>
      </c>
      <c r="S413" s="698">
        <f t="shared" si="65"/>
        <v>0</v>
      </c>
    </row>
    <row r="414" spans="1:19">
      <c r="A414" s="491"/>
      <c r="B414" s="348"/>
      <c r="C414" s="313">
        <f t="shared" si="66"/>
        <v>1</v>
      </c>
      <c r="D414" s="1128"/>
      <c r="E414" s="313">
        <f t="shared" si="67"/>
        <v>1</v>
      </c>
      <c r="F414" s="1128"/>
      <c r="G414" s="313">
        <f t="shared" si="68"/>
        <v>1</v>
      </c>
      <c r="H414" s="1128"/>
      <c r="I414" s="313">
        <f t="shared" si="69"/>
        <v>1</v>
      </c>
      <c r="J414" s="1128"/>
      <c r="K414" s="313">
        <f t="shared" si="70"/>
        <v>1</v>
      </c>
      <c r="L414" s="1128"/>
      <c r="M414" s="313">
        <f t="shared" si="71"/>
        <v>1</v>
      </c>
      <c r="N414" s="1128"/>
      <c r="O414" s="313">
        <f t="shared" si="72"/>
        <v>1</v>
      </c>
      <c r="P414" s="1128"/>
      <c r="Q414" s="313">
        <f t="shared" si="73"/>
        <v>1</v>
      </c>
      <c r="R414" s="1124">
        <f t="shared" si="74"/>
        <v>0</v>
      </c>
      <c r="S414" s="698">
        <f t="shared" si="65"/>
        <v>0</v>
      </c>
    </row>
    <row r="415" spans="1:19">
      <c r="A415" s="491"/>
      <c r="B415" s="348"/>
      <c r="C415" s="313">
        <f t="shared" si="66"/>
        <v>1</v>
      </c>
      <c r="D415" s="1128"/>
      <c r="E415" s="313">
        <f t="shared" si="67"/>
        <v>1</v>
      </c>
      <c r="F415" s="1128"/>
      <c r="G415" s="313">
        <f t="shared" si="68"/>
        <v>1</v>
      </c>
      <c r="H415" s="1128"/>
      <c r="I415" s="313">
        <f t="shared" si="69"/>
        <v>1</v>
      </c>
      <c r="J415" s="1128"/>
      <c r="K415" s="313">
        <f t="shared" si="70"/>
        <v>1</v>
      </c>
      <c r="L415" s="1128"/>
      <c r="M415" s="313">
        <f t="shared" si="71"/>
        <v>1</v>
      </c>
      <c r="N415" s="1128"/>
      <c r="O415" s="313">
        <f t="shared" si="72"/>
        <v>1</v>
      </c>
      <c r="P415" s="1128"/>
      <c r="Q415" s="313">
        <f t="shared" si="73"/>
        <v>1</v>
      </c>
      <c r="R415" s="1124">
        <f t="shared" si="74"/>
        <v>0</v>
      </c>
      <c r="S415" s="698">
        <f t="shared" si="65"/>
        <v>0</v>
      </c>
    </row>
    <row r="416" spans="1:19">
      <c r="A416" s="491"/>
      <c r="B416" s="348"/>
      <c r="C416" s="313">
        <f t="shared" si="66"/>
        <v>1</v>
      </c>
      <c r="D416" s="1128"/>
      <c r="E416" s="313">
        <f t="shared" si="67"/>
        <v>1</v>
      </c>
      <c r="F416" s="1128"/>
      <c r="G416" s="313">
        <f t="shared" si="68"/>
        <v>1</v>
      </c>
      <c r="H416" s="1128"/>
      <c r="I416" s="313">
        <f t="shared" si="69"/>
        <v>1</v>
      </c>
      <c r="J416" s="1128"/>
      <c r="K416" s="313">
        <f t="shared" si="70"/>
        <v>1</v>
      </c>
      <c r="L416" s="1128"/>
      <c r="M416" s="313">
        <f t="shared" si="71"/>
        <v>1</v>
      </c>
      <c r="N416" s="1128"/>
      <c r="O416" s="313">
        <f t="shared" si="72"/>
        <v>1</v>
      </c>
      <c r="P416" s="1128"/>
      <c r="Q416" s="313">
        <f t="shared" si="73"/>
        <v>1</v>
      </c>
      <c r="R416" s="1124">
        <f t="shared" si="74"/>
        <v>0</v>
      </c>
      <c r="S416" s="698">
        <f t="shared" si="65"/>
        <v>0</v>
      </c>
    </row>
    <row r="417" spans="1:19">
      <c r="A417" s="491"/>
      <c r="B417" s="348"/>
      <c r="C417" s="313">
        <f t="shared" si="66"/>
        <v>1</v>
      </c>
      <c r="D417" s="1128"/>
      <c r="E417" s="313">
        <f t="shared" si="67"/>
        <v>1</v>
      </c>
      <c r="F417" s="1128"/>
      <c r="G417" s="313">
        <f t="shared" si="68"/>
        <v>1</v>
      </c>
      <c r="H417" s="1128"/>
      <c r="I417" s="313">
        <f t="shared" si="69"/>
        <v>1</v>
      </c>
      <c r="J417" s="1128"/>
      <c r="K417" s="313">
        <f t="shared" si="70"/>
        <v>1</v>
      </c>
      <c r="L417" s="1128"/>
      <c r="M417" s="313">
        <f t="shared" si="71"/>
        <v>1</v>
      </c>
      <c r="N417" s="1128"/>
      <c r="O417" s="313">
        <f t="shared" si="72"/>
        <v>1</v>
      </c>
      <c r="P417" s="1128"/>
      <c r="Q417" s="313">
        <f t="shared" si="73"/>
        <v>1</v>
      </c>
      <c r="R417" s="1124">
        <f t="shared" si="74"/>
        <v>0</v>
      </c>
      <c r="S417" s="698">
        <f t="shared" si="65"/>
        <v>0</v>
      </c>
    </row>
    <row r="418" spans="1:19">
      <c r="A418" s="491"/>
      <c r="B418" s="348"/>
      <c r="C418" s="313">
        <f t="shared" si="66"/>
        <v>1</v>
      </c>
      <c r="D418" s="1128"/>
      <c r="E418" s="313">
        <f t="shared" si="67"/>
        <v>1</v>
      </c>
      <c r="F418" s="1128"/>
      <c r="G418" s="313">
        <f t="shared" si="68"/>
        <v>1</v>
      </c>
      <c r="H418" s="1128"/>
      <c r="I418" s="313">
        <f t="shared" si="69"/>
        <v>1</v>
      </c>
      <c r="J418" s="1128"/>
      <c r="K418" s="313">
        <f t="shared" si="70"/>
        <v>1</v>
      </c>
      <c r="L418" s="1128"/>
      <c r="M418" s="313">
        <f t="shared" si="71"/>
        <v>1</v>
      </c>
      <c r="N418" s="1128"/>
      <c r="O418" s="313">
        <f t="shared" si="72"/>
        <v>1</v>
      </c>
      <c r="P418" s="1128"/>
      <c r="Q418" s="313">
        <f t="shared" si="73"/>
        <v>1</v>
      </c>
      <c r="R418" s="1124">
        <f t="shared" si="74"/>
        <v>0</v>
      </c>
      <c r="S418" s="698">
        <f t="shared" si="65"/>
        <v>0</v>
      </c>
    </row>
    <row r="419" spans="1:19">
      <c r="A419" s="491"/>
      <c r="B419" s="348"/>
      <c r="C419" s="313">
        <f t="shared" si="66"/>
        <v>1</v>
      </c>
      <c r="D419" s="1128"/>
      <c r="E419" s="313">
        <f t="shared" si="67"/>
        <v>1</v>
      </c>
      <c r="F419" s="1128"/>
      <c r="G419" s="313">
        <f t="shared" si="68"/>
        <v>1</v>
      </c>
      <c r="H419" s="1128"/>
      <c r="I419" s="313">
        <f t="shared" si="69"/>
        <v>1</v>
      </c>
      <c r="J419" s="1128"/>
      <c r="K419" s="313">
        <f t="shared" si="70"/>
        <v>1</v>
      </c>
      <c r="L419" s="1128"/>
      <c r="M419" s="313">
        <f t="shared" si="71"/>
        <v>1</v>
      </c>
      <c r="N419" s="1128"/>
      <c r="O419" s="313">
        <f t="shared" si="72"/>
        <v>1</v>
      </c>
      <c r="P419" s="1128"/>
      <c r="Q419" s="313">
        <f t="shared" si="73"/>
        <v>1</v>
      </c>
      <c r="R419" s="1124">
        <f t="shared" si="74"/>
        <v>0</v>
      </c>
      <c r="S419" s="698">
        <f t="shared" si="65"/>
        <v>0</v>
      </c>
    </row>
    <row r="420" spans="1:19">
      <c r="A420" s="491"/>
      <c r="B420" s="348"/>
      <c r="C420" s="313">
        <f t="shared" si="66"/>
        <v>1</v>
      </c>
      <c r="D420" s="1128"/>
      <c r="E420" s="313">
        <f t="shared" si="67"/>
        <v>1</v>
      </c>
      <c r="F420" s="1128"/>
      <c r="G420" s="313">
        <f t="shared" si="68"/>
        <v>1</v>
      </c>
      <c r="H420" s="1128"/>
      <c r="I420" s="313">
        <f t="shared" si="69"/>
        <v>1</v>
      </c>
      <c r="J420" s="1128"/>
      <c r="K420" s="313">
        <f t="shared" si="70"/>
        <v>1</v>
      </c>
      <c r="L420" s="1128"/>
      <c r="M420" s="313">
        <f t="shared" si="71"/>
        <v>1</v>
      </c>
      <c r="N420" s="1128"/>
      <c r="O420" s="313">
        <f t="shared" si="72"/>
        <v>1</v>
      </c>
      <c r="P420" s="1128"/>
      <c r="Q420" s="313">
        <f t="shared" si="73"/>
        <v>1</v>
      </c>
      <c r="R420" s="1124">
        <f t="shared" si="74"/>
        <v>0</v>
      </c>
      <c r="S420" s="698">
        <f t="shared" si="65"/>
        <v>0</v>
      </c>
    </row>
    <row r="421" spans="1:19">
      <c r="A421" s="491"/>
      <c r="B421" s="348"/>
      <c r="C421" s="313">
        <f t="shared" si="66"/>
        <v>1</v>
      </c>
      <c r="D421" s="1128"/>
      <c r="E421" s="313">
        <f t="shared" si="67"/>
        <v>1</v>
      </c>
      <c r="F421" s="1128"/>
      <c r="G421" s="313">
        <f t="shared" si="68"/>
        <v>1</v>
      </c>
      <c r="H421" s="1128"/>
      <c r="I421" s="313">
        <f t="shared" si="69"/>
        <v>1</v>
      </c>
      <c r="J421" s="1128"/>
      <c r="K421" s="313">
        <f t="shared" si="70"/>
        <v>1</v>
      </c>
      <c r="L421" s="1128"/>
      <c r="M421" s="313">
        <f t="shared" si="71"/>
        <v>1</v>
      </c>
      <c r="N421" s="1128"/>
      <c r="O421" s="313">
        <f t="shared" si="72"/>
        <v>1</v>
      </c>
      <c r="P421" s="1128"/>
      <c r="Q421" s="313">
        <f t="shared" si="73"/>
        <v>1</v>
      </c>
      <c r="R421" s="1124">
        <f t="shared" si="74"/>
        <v>0</v>
      </c>
      <c r="S421" s="698">
        <f t="shared" si="65"/>
        <v>0</v>
      </c>
    </row>
    <row r="422" spans="1:19">
      <c r="A422" s="491"/>
      <c r="B422" s="348"/>
      <c r="C422" s="313">
        <f t="shared" si="66"/>
        <v>1</v>
      </c>
      <c r="D422" s="1128"/>
      <c r="E422" s="313">
        <f t="shared" si="67"/>
        <v>1</v>
      </c>
      <c r="F422" s="1128"/>
      <c r="G422" s="313">
        <f t="shared" si="68"/>
        <v>1</v>
      </c>
      <c r="H422" s="1128"/>
      <c r="I422" s="313">
        <f t="shared" si="69"/>
        <v>1</v>
      </c>
      <c r="J422" s="1128"/>
      <c r="K422" s="313">
        <f t="shared" si="70"/>
        <v>1</v>
      </c>
      <c r="L422" s="1128"/>
      <c r="M422" s="313">
        <f t="shared" si="71"/>
        <v>1</v>
      </c>
      <c r="N422" s="1128"/>
      <c r="O422" s="313">
        <f t="shared" si="72"/>
        <v>1</v>
      </c>
      <c r="P422" s="1128"/>
      <c r="Q422" s="313">
        <f t="shared" si="73"/>
        <v>1</v>
      </c>
      <c r="R422" s="1124">
        <f t="shared" si="74"/>
        <v>0</v>
      </c>
      <c r="S422" s="698">
        <f t="shared" si="65"/>
        <v>0</v>
      </c>
    </row>
    <row r="423" spans="1:19">
      <c r="A423" s="491"/>
      <c r="B423" s="348"/>
      <c r="C423" s="313">
        <f t="shared" si="66"/>
        <v>1</v>
      </c>
      <c r="D423" s="1128"/>
      <c r="E423" s="313">
        <f t="shared" si="67"/>
        <v>1</v>
      </c>
      <c r="F423" s="1128"/>
      <c r="G423" s="313">
        <f t="shared" si="68"/>
        <v>1</v>
      </c>
      <c r="H423" s="1128"/>
      <c r="I423" s="313">
        <f t="shared" si="69"/>
        <v>1</v>
      </c>
      <c r="J423" s="1128"/>
      <c r="K423" s="313">
        <f t="shared" si="70"/>
        <v>1</v>
      </c>
      <c r="L423" s="1128"/>
      <c r="M423" s="313">
        <f t="shared" si="71"/>
        <v>1</v>
      </c>
      <c r="N423" s="1128"/>
      <c r="O423" s="313">
        <f t="shared" si="72"/>
        <v>1</v>
      </c>
      <c r="P423" s="1128"/>
      <c r="Q423" s="313">
        <f t="shared" si="73"/>
        <v>1</v>
      </c>
      <c r="R423" s="1124">
        <f t="shared" si="74"/>
        <v>0</v>
      </c>
      <c r="S423" s="698">
        <f t="shared" si="65"/>
        <v>0</v>
      </c>
    </row>
    <row r="424" spans="1:19">
      <c r="A424" s="491"/>
      <c r="B424" s="348"/>
      <c r="C424" s="313">
        <f t="shared" si="66"/>
        <v>1</v>
      </c>
      <c r="D424" s="1128"/>
      <c r="E424" s="313">
        <f t="shared" si="67"/>
        <v>1</v>
      </c>
      <c r="F424" s="1128"/>
      <c r="G424" s="313">
        <f t="shared" si="68"/>
        <v>1</v>
      </c>
      <c r="H424" s="1128"/>
      <c r="I424" s="313">
        <f t="shared" si="69"/>
        <v>1</v>
      </c>
      <c r="J424" s="1128"/>
      <c r="K424" s="313">
        <f t="shared" si="70"/>
        <v>1</v>
      </c>
      <c r="L424" s="1128"/>
      <c r="M424" s="313">
        <f t="shared" si="71"/>
        <v>1</v>
      </c>
      <c r="N424" s="1128"/>
      <c r="O424" s="313">
        <f t="shared" si="72"/>
        <v>1</v>
      </c>
      <c r="P424" s="1128"/>
      <c r="Q424" s="313">
        <f t="shared" si="73"/>
        <v>1</v>
      </c>
      <c r="R424" s="1124">
        <f t="shared" si="74"/>
        <v>0</v>
      </c>
      <c r="S424" s="698">
        <f t="shared" si="65"/>
        <v>0</v>
      </c>
    </row>
    <row r="425" spans="1:19">
      <c r="A425" s="491"/>
      <c r="B425" s="348"/>
      <c r="C425" s="313">
        <f t="shared" si="66"/>
        <v>1</v>
      </c>
      <c r="D425" s="1128"/>
      <c r="E425" s="313">
        <f t="shared" si="67"/>
        <v>1</v>
      </c>
      <c r="F425" s="1128"/>
      <c r="G425" s="313">
        <f t="shared" si="68"/>
        <v>1</v>
      </c>
      <c r="H425" s="1128"/>
      <c r="I425" s="313">
        <f t="shared" si="69"/>
        <v>1</v>
      </c>
      <c r="J425" s="1128"/>
      <c r="K425" s="313">
        <f t="shared" si="70"/>
        <v>1</v>
      </c>
      <c r="L425" s="1128"/>
      <c r="M425" s="313">
        <f t="shared" si="71"/>
        <v>1</v>
      </c>
      <c r="N425" s="1128"/>
      <c r="O425" s="313">
        <f t="shared" si="72"/>
        <v>1</v>
      </c>
      <c r="P425" s="1128"/>
      <c r="Q425" s="313">
        <f t="shared" si="73"/>
        <v>1</v>
      </c>
      <c r="R425" s="1124">
        <f t="shared" si="74"/>
        <v>0</v>
      </c>
      <c r="S425" s="698">
        <f t="shared" si="65"/>
        <v>0</v>
      </c>
    </row>
    <row r="426" spans="1:19">
      <c r="A426" s="491"/>
      <c r="B426" s="348"/>
      <c r="C426" s="313">
        <f t="shared" si="66"/>
        <v>1</v>
      </c>
      <c r="D426" s="1128"/>
      <c r="E426" s="313">
        <f t="shared" si="67"/>
        <v>1</v>
      </c>
      <c r="F426" s="1128"/>
      <c r="G426" s="313">
        <f t="shared" si="68"/>
        <v>1</v>
      </c>
      <c r="H426" s="1128"/>
      <c r="I426" s="313">
        <f t="shared" si="69"/>
        <v>1</v>
      </c>
      <c r="J426" s="1128"/>
      <c r="K426" s="313">
        <f t="shared" si="70"/>
        <v>1</v>
      </c>
      <c r="L426" s="1128"/>
      <c r="M426" s="313">
        <f t="shared" si="71"/>
        <v>1</v>
      </c>
      <c r="N426" s="1128"/>
      <c r="O426" s="313">
        <f t="shared" si="72"/>
        <v>1</v>
      </c>
      <c r="P426" s="1128"/>
      <c r="Q426" s="313">
        <f t="shared" si="73"/>
        <v>1</v>
      </c>
      <c r="R426" s="1124">
        <f t="shared" si="74"/>
        <v>0</v>
      </c>
      <c r="S426" s="698">
        <f t="shared" si="65"/>
        <v>0</v>
      </c>
    </row>
    <row r="427" spans="1:19">
      <c r="A427" s="491"/>
      <c r="B427" s="348"/>
      <c r="C427" s="313">
        <f t="shared" si="66"/>
        <v>1</v>
      </c>
      <c r="D427" s="1128"/>
      <c r="E427" s="313">
        <f t="shared" si="67"/>
        <v>1</v>
      </c>
      <c r="F427" s="1128"/>
      <c r="G427" s="313">
        <f t="shared" si="68"/>
        <v>1</v>
      </c>
      <c r="H427" s="1128"/>
      <c r="I427" s="313">
        <f t="shared" si="69"/>
        <v>1</v>
      </c>
      <c r="J427" s="1128"/>
      <c r="K427" s="313">
        <f t="shared" si="70"/>
        <v>1</v>
      </c>
      <c r="L427" s="1128"/>
      <c r="M427" s="313">
        <f t="shared" si="71"/>
        <v>1</v>
      </c>
      <c r="N427" s="1128"/>
      <c r="O427" s="313">
        <f t="shared" si="72"/>
        <v>1</v>
      </c>
      <c r="P427" s="1128"/>
      <c r="Q427" s="313">
        <f t="shared" si="73"/>
        <v>1</v>
      </c>
      <c r="R427" s="1124">
        <f t="shared" si="74"/>
        <v>0</v>
      </c>
      <c r="S427" s="698">
        <f t="shared" si="65"/>
        <v>0</v>
      </c>
    </row>
    <row r="428" spans="1:19">
      <c r="A428" s="491"/>
      <c r="B428" s="348"/>
      <c r="C428" s="313">
        <f t="shared" si="66"/>
        <v>1</v>
      </c>
      <c r="D428" s="1128"/>
      <c r="E428" s="313">
        <f t="shared" si="67"/>
        <v>1</v>
      </c>
      <c r="F428" s="1128"/>
      <c r="G428" s="313">
        <f t="shared" si="68"/>
        <v>1</v>
      </c>
      <c r="H428" s="1128"/>
      <c r="I428" s="313">
        <f t="shared" si="69"/>
        <v>1</v>
      </c>
      <c r="J428" s="1128"/>
      <c r="K428" s="313">
        <f t="shared" si="70"/>
        <v>1</v>
      </c>
      <c r="L428" s="1128"/>
      <c r="M428" s="313">
        <f t="shared" si="71"/>
        <v>1</v>
      </c>
      <c r="N428" s="1128"/>
      <c r="O428" s="313">
        <f t="shared" si="72"/>
        <v>1</v>
      </c>
      <c r="P428" s="1128"/>
      <c r="Q428" s="313">
        <f t="shared" si="73"/>
        <v>1</v>
      </c>
      <c r="R428" s="1124">
        <f t="shared" si="74"/>
        <v>0</v>
      </c>
      <c r="S428" s="698">
        <f t="shared" si="65"/>
        <v>0</v>
      </c>
    </row>
    <row r="429" spans="1:19">
      <c r="A429" s="491"/>
      <c r="B429" s="348"/>
      <c r="C429" s="313">
        <f t="shared" si="66"/>
        <v>1</v>
      </c>
      <c r="D429" s="1128"/>
      <c r="E429" s="313">
        <f t="shared" si="67"/>
        <v>1</v>
      </c>
      <c r="F429" s="1128"/>
      <c r="G429" s="313">
        <f t="shared" si="68"/>
        <v>1</v>
      </c>
      <c r="H429" s="1128"/>
      <c r="I429" s="313">
        <f t="shared" si="69"/>
        <v>1</v>
      </c>
      <c r="J429" s="1128"/>
      <c r="K429" s="313">
        <f t="shared" si="70"/>
        <v>1</v>
      </c>
      <c r="L429" s="1128"/>
      <c r="M429" s="313">
        <f t="shared" si="71"/>
        <v>1</v>
      </c>
      <c r="N429" s="1128"/>
      <c r="O429" s="313">
        <f t="shared" si="72"/>
        <v>1</v>
      </c>
      <c r="P429" s="1128"/>
      <c r="Q429" s="313">
        <f t="shared" si="73"/>
        <v>1</v>
      </c>
      <c r="R429" s="1124">
        <f t="shared" si="74"/>
        <v>0</v>
      </c>
      <c r="S429" s="698">
        <f t="shared" si="65"/>
        <v>0</v>
      </c>
    </row>
    <row r="430" spans="1:19">
      <c r="A430" s="491"/>
      <c r="B430" s="348"/>
      <c r="C430" s="313">
        <f t="shared" si="66"/>
        <v>1</v>
      </c>
      <c r="D430" s="1128"/>
      <c r="E430" s="313">
        <f t="shared" si="67"/>
        <v>1</v>
      </c>
      <c r="F430" s="1128"/>
      <c r="G430" s="313">
        <f t="shared" si="68"/>
        <v>1</v>
      </c>
      <c r="H430" s="1128"/>
      <c r="I430" s="313">
        <f t="shared" si="69"/>
        <v>1</v>
      </c>
      <c r="J430" s="1128"/>
      <c r="K430" s="313">
        <f t="shared" si="70"/>
        <v>1</v>
      </c>
      <c r="L430" s="1128"/>
      <c r="M430" s="313">
        <f t="shared" si="71"/>
        <v>1</v>
      </c>
      <c r="N430" s="1128"/>
      <c r="O430" s="313">
        <f t="shared" si="72"/>
        <v>1</v>
      </c>
      <c r="P430" s="1128"/>
      <c r="Q430" s="313">
        <f t="shared" si="73"/>
        <v>1</v>
      </c>
      <c r="R430" s="1124">
        <f t="shared" si="74"/>
        <v>0</v>
      </c>
      <c r="S430" s="698">
        <f t="shared" si="65"/>
        <v>0</v>
      </c>
    </row>
    <row r="431" spans="1:19">
      <c r="A431" s="491"/>
      <c r="B431" s="348"/>
      <c r="C431" s="313">
        <f t="shared" si="66"/>
        <v>1</v>
      </c>
      <c r="D431" s="1128"/>
      <c r="E431" s="313">
        <f t="shared" si="67"/>
        <v>1</v>
      </c>
      <c r="F431" s="1128"/>
      <c r="G431" s="313">
        <f t="shared" si="68"/>
        <v>1</v>
      </c>
      <c r="H431" s="1128"/>
      <c r="I431" s="313">
        <f t="shared" si="69"/>
        <v>1</v>
      </c>
      <c r="J431" s="1128"/>
      <c r="K431" s="313">
        <f t="shared" si="70"/>
        <v>1</v>
      </c>
      <c r="L431" s="1128"/>
      <c r="M431" s="313">
        <f t="shared" si="71"/>
        <v>1</v>
      </c>
      <c r="N431" s="1128"/>
      <c r="O431" s="313">
        <f t="shared" si="72"/>
        <v>1</v>
      </c>
      <c r="P431" s="1128"/>
      <c r="Q431" s="313">
        <f t="shared" si="73"/>
        <v>1</v>
      </c>
      <c r="R431" s="1124">
        <f t="shared" si="74"/>
        <v>0</v>
      </c>
      <c r="S431" s="698">
        <f t="shared" si="65"/>
        <v>0</v>
      </c>
    </row>
    <row r="432" spans="1:19">
      <c r="A432" s="491"/>
      <c r="B432" s="348"/>
      <c r="C432" s="313">
        <f t="shared" si="66"/>
        <v>1</v>
      </c>
      <c r="D432" s="1128"/>
      <c r="E432" s="313">
        <f t="shared" si="67"/>
        <v>1</v>
      </c>
      <c r="F432" s="1128"/>
      <c r="G432" s="313">
        <f t="shared" si="68"/>
        <v>1</v>
      </c>
      <c r="H432" s="1128"/>
      <c r="I432" s="313">
        <f t="shared" si="69"/>
        <v>1</v>
      </c>
      <c r="J432" s="1128"/>
      <c r="K432" s="313">
        <f t="shared" si="70"/>
        <v>1</v>
      </c>
      <c r="L432" s="1128"/>
      <c r="M432" s="313">
        <f t="shared" si="71"/>
        <v>1</v>
      </c>
      <c r="N432" s="1128"/>
      <c r="O432" s="313">
        <f t="shared" si="72"/>
        <v>1</v>
      </c>
      <c r="P432" s="1128"/>
      <c r="Q432" s="313">
        <f t="shared" si="73"/>
        <v>1</v>
      </c>
      <c r="R432" s="1124">
        <f t="shared" si="74"/>
        <v>0</v>
      </c>
      <c r="S432" s="698">
        <f t="shared" si="65"/>
        <v>0</v>
      </c>
    </row>
    <row r="433" spans="1:19">
      <c r="A433" s="491"/>
      <c r="B433" s="348"/>
      <c r="C433" s="313">
        <f t="shared" si="66"/>
        <v>1</v>
      </c>
      <c r="D433" s="1128"/>
      <c r="E433" s="313">
        <f t="shared" si="67"/>
        <v>1</v>
      </c>
      <c r="F433" s="1128"/>
      <c r="G433" s="313">
        <f t="shared" si="68"/>
        <v>1</v>
      </c>
      <c r="H433" s="1128"/>
      <c r="I433" s="313">
        <f t="shared" si="69"/>
        <v>1</v>
      </c>
      <c r="J433" s="1128"/>
      <c r="K433" s="313">
        <f t="shared" si="70"/>
        <v>1</v>
      </c>
      <c r="L433" s="1128"/>
      <c r="M433" s="313">
        <f t="shared" si="71"/>
        <v>1</v>
      </c>
      <c r="N433" s="1128"/>
      <c r="O433" s="313">
        <f t="shared" si="72"/>
        <v>1</v>
      </c>
      <c r="P433" s="1128"/>
      <c r="Q433" s="313">
        <f t="shared" si="73"/>
        <v>1</v>
      </c>
      <c r="R433" s="1124">
        <f t="shared" si="74"/>
        <v>0</v>
      </c>
      <c r="S433" s="698">
        <f t="shared" si="65"/>
        <v>0</v>
      </c>
    </row>
    <row r="434" spans="1:19">
      <c r="A434" s="491"/>
      <c r="B434" s="348"/>
      <c r="C434" s="313">
        <f t="shared" si="66"/>
        <v>1</v>
      </c>
      <c r="D434" s="1128"/>
      <c r="E434" s="313">
        <f t="shared" si="67"/>
        <v>1</v>
      </c>
      <c r="F434" s="1128"/>
      <c r="G434" s="313">
        <f t="shared" si="68"/>
        <v>1</v>
      </c>
      <c r="H434" s="1128"/>
      <c r="I434" s="313">
        <f t="shared" si="69"/>
        <v>1</v>
      </c>
      <c r="J434" s="1128"/>
      <c r="K434" s="313">
        <f t="shared" si="70"/>
        <v>1</v>
      </c>
      <c r="L434" s="1128"/>
      <c r="M434" s="313">
        <f t="shared" si="71"/>
        <v>1</v>
      </c>
      <c r="N434" s="1128"/>
      <c r="O434" s="313">
        <f t="shared" si="72"/>
        <v>1</v>
      </c>
      <c r="P434" s="1128"/>
      <c r="Q434" s="313">
        <f t="shared" si="73"/>
        <v>1</v>
      </c>
      <c r="R434" s="1124">
        <f t="shared" si="74"/>
        <v>0</v>
      </c>
      <c r="S434" s="698">
        <f t="shared" si="65"/>
        <v>0</v>
      </c>
    </row>
    <row r="435" spans="1:19">
      <c r="A435" s="491"/>
      <c r="B435" s="348"/>
      <c r="C435" s="313">
        <f t="shared" si="66"/>
        <v>1</v>
      </c>
      <c r="D435" s="1128"/>
      <c r="E435" s="313">
        <f t="shared" si="67"/>
        <v>1</v>
      </c>
      <c r="F435" s="1128"/>
      <c r="G435" s="313">
        <f t="shared" si="68"/>
        <v>1</v>
      </c>
      <c r="H435" s="1128"/>
      <c r="I435" s="313">
        <f t="shared" si="69"/>
        <v>1</v>
      </c>
      <c r="J435" s="1128"/>
      <c r="K435" s="313">
        <f t="shared" si="70"/>
        <v>1</v>
      </c>
      <c r="L435" s="1128"/>
      <c r="M435" s="313">
        <f t="shared" si="71"/>
        <v>1</v>
      </c>
      <c r="N435" s="1128"/>
      <c r="O435" s="313">
        <f t="shared" si="72"/>
        <v>1</v>
      </c>
      <c r="P435" s="1128"/>
      <c r="Q435" s="313">
        <f t="shared" si="73"/>
        <v>1</v>
      </c>
      <c r="R435" s="1124">
        <f t="shared" si="74"/>
        <v>0</v>
      </c>
      <c r="S435" s="698">
        <f t="shared" si="65"/>
        <v>0</v>
      </c>
    </row>
    <row r="436" spans="1:19">
      <c r="A436" s="491"/>
      <c r="B436" s="348"/>
      <c r="C436" s="313">
        <f t="shared" si="66"/>
        <v>1</v>
      </c>
      <c r="D436" s="1128"/>
      <c r="E436" s="313">
        <f t="shared" si="67"/>
        <v>1</v>
      </c>
      <c r="F436" s="1128"/>
      <c r="G436" s="313">
        <f t="shared" si="68"/>
        <v>1</v>
      </c>
      <c r="H436" s="1128"/>
      <c r="I436" s="313">
        <f t="shared" si="69"/>
        <v>1</v>
      </c>
      <c r="J436" s="1128"/>
      <c r="K436" s="313">
        <f t="shared" si="70"/>
        <v>1</v>
      </c>
      <c r="L436" s="1128"/>
      <c r="M436" s="313">
        <f t="shared" si="71"/>
        <v>1</v>
      </c>
      <c r="N436" s="1128"/>
      <c r="O436" s="313">
        <f t="shared" si="72"/>
        <v>1</v>
      </c>
      <c r="P436" s="1128"/>
      <c r="Q436" s="313">
        <f t="shared" si="73"/>
        <v>1</v>
      </c>
      <c r="R436" s="1124">
        <f t="shared" si="74"/>
        <v>0</v>
      </c>
      <c r="S436" s="698">
        <f t="shared" si="65"/>
        <v>0</v>
      </c>
    </row>
    <row r="437" spans="1:19">
      <c r="A437" s="491"/>
      <c r="B437" s="348"/>
      <c r="C437" s="313">
        <f t="shared" si="66"/>
        <v>1</v>
      </c>
      <c r="D437" s="1128"/>
      <c r="E437" s="313">
        <f t="shared" si="67"/>
        <v>1</v>
      </c>
      <c r="F437" s="1128"/>
      <c r="G437" s="313">
        <f t="shared" si="68"/>
        <v>1</v>
      </c>
      <c r="H437" s="1128"/>
      <c r="I437" s="313">
        <f t="shared" si="69"/>
        <v>1</v>
      </c>
      <c r="J437" s="1128"/>
      <c r="K437" s="313">
        <f t="shared" si="70"/>
        <v>1</v>
      </c>
      <c r="L437" s="1128"/>
      <c r="M437" s="313">
        <f t="shared" si="71"/>
        <v>1</v>
      </c>
      <c r="N437" s="1128"/>
      <c r="O437" s="313">
        <f t="shared" si="72"/>
        <v>1</v>
      </c>
      <c r="P437" s="1128"/>
      <c r="Q437" s="313">
        <f t="shared" si="73"/>
        <v>1</v>
      </c>
      <c r="R437" s="1124">
        <f t="shared" si="74"/>
        <v>0</v>
      </c>
      <c r="S437" s="698">
        <f t="shared" si="65"/>
        <v>0</v>
      </c>
    </row>
    <row r="438" spans="1:19">
      <c r="A438" s="491"/>
      <c r="B438" s="348"/>
      <c r="C438" s="313">
        <f t="shared" si="66"/>
        <v>1</v>
      </c>
      <c r="D438" s="1128"/>
      <c r="E438" s="313">
        <f t="shared" si="67"/>
        <v>1</v>
      </c>
      <c r="F438" s="1128"/>
      <c r="G438" s="313">
        <f t="shared" si="68"/>
        <v>1</v>
      </c>
      <c r="H438" s="1128"/>
      <c r="I438" s="313">
        <f t="shared" si="69"/>
        <v>1</v>
      </c>
      <c r="J438" s="1128"/>
      <c r="K438" s="313">
        <f t="shared" si="70"/>
        <v>1</v>
      </c>
      <c r="L438" s="1128"/>
      <c r="M438" s="313">
        <f t="shared" si="71"/>
        <v>1</v>
      </c>
      <c r="N438" s="1128"/>
      <c r="O438" s="313">
        <f t="shared" si="72"/>
        <v>1</v>
      </c>
      <c r="P438" s="1128"/>
      <c r="Q438" s="313">
        <f t="shared" si="73"/>
        <v>1</v>
      </c>
      <c r="R438" s="1124">
        <f t="shared" si="74"/>
        <v>0</v>
      </c>
      <c r="S438" s="698">
        <f t="shared" si="65"/>
        <v>0</v>
      </c>
    </row>
    <row r="439" spans="1:19">
      <c r="A439" s="491"/>
      <c r="B439" s="348"/>
      <c r="C439" s="313">
        <f t="shared" si="66"/>
        <v>1</v>
      </c>
      <c r="D439" s="1128"/>
      <c r="E439" s="313">
        <f t="shared" si="67"/>
        <v>1</v>
      </c>
      <c r="F439" s="1128"/>
      <c r="G439" s="313">
        <f t="shared" si="68"/>
        <v>1</v>
      </c>
      <c r="H439" s="1128"/>
      <c r="I439" s="313">
        <f t="shared" si="69"/>
        <v>1</v>
      </c>
      <c r="J439" s="1128"/>
      <c r="K439" s="313">
        <f t="shared" si="70"/>
        <v>1</v>
      </c>
      <c r="L439" s="1128"/>
      <c r="M439" s="313">
        <f t="shared" si="71"/>
        <v>1</v>
      </c>
      <c r="N439" s="1128"/>
      <c r="O439" s="313">
        <f t="shared" si="72"/>
        <v>1</v>
      </c>
      <c r="P439" s="1128"/>
      <c r="Q439" s="313">
        <f t="shared" si="73"/>
        <v>1</v>
      </c>
      <c r="R439" s="1124">
        <f t="shared" si="74"/>
        <v>0</v>
      </c>
      <c r="S439" s="698">
        <f t="shared" si="65"/>
        <v>0</v>
      </c>
    </row>
    <row r="440" spans="1:19">
      <c r="A440" s="491"/>
      <c r="B440" s="348"/>
      <c r="C440" s="313">
        <f t="shared" si="66"/>
        <v>1</v>
      </c>
      <c r="D440" s="1128"/>
      <c r="E440" s="313">
        <f t="shared" si="67"/>
        <v>1</v>
      </c>
      <c r="F440" s="1128"/>
      <c r="G440" s="313">
        <f t="shared" si="68"/>
        <v>1</v>
      </c>
      <c r="H440" s="1128"/>
      <c r="I440" s="313">
        <f t="shared" si="69"/>
        <v>1</v>
      </c>
      <c r="J440" s="1128"/>
      <c r="K440" s="313">
        <f t="shared" si="70"/>
        <v>1</v>
      </c>
      <c r="L440" s="1128"/>
      <c r="M440" s="313">
        <f t="shared" si="71"/>
        <v>1</v>
      </c>
      <c r="N440" s="1128"/>
      <c r="O440" s="313">
        <f t="shared" si="72"/>
        <v>1</v>
      </c>
      <c r="P440" s="1128"/>
      <c r="Q440" s="313">
        <f t="shared" si="73"/>
        <v>1</v>
      </c>
      <c r="R440" s="1124">
        <f t="shared" si="74"/>
        <v>0</v>
      </c>
      <c r="S440" s="698">
        <f t="shared" si="65"/>
        <v>0</v>
      </c>
    </row>
    <row r="441" spans="1:19">
      <c r="A441" s="491"/>
      <c r="B441" s="348"/>
      <c r="C441" s="313">
        <f t="shared" si="66"/>
        <v>1</v>
      </c>
      <c r="D441" s="1128"/>
      <c r="E441" s="313">
        <f t="shared" si="67"/>
        <v>1</v>
      </c>
      <c r="F441" s="1128"/>
      <c r="G441" s="313">
        <f t="shared" si="68"/>
        <v>1</v>
      </c>
      <c r="H441" s="1128"/>
      <c r="I441" s="313">
        <f t="shared" si="69"/>
        <v>1</v>
      </c>
      <c r="J441" s="1128"/>
      <c r="K441" s="313">
        <f t="shared" si="70"/>
        <v>1</v>
      </c>
      <c r="L441" s="1128"/>
      <c r="M441" s="313">
        <f t="shared" si="71"/>
        <v>1</v>
      </c>
      <c r="N441" s="1128"/>
      <c r="O441" s="313">
        <f t="shared" si="72"/>
        <v>1</v>
      </c>
      <c r="P441" s="1128"/>
      <c r="Q441" s="313">
        <f t="shared" si="73"/>
        <v>1</v>
      </c>
      <c r="R441" s="1124">
        <f t="shared" si="74"/>
        <v>0</v>
      </c>
      <c r="S441" s="698">
        <f t="shared" si="65"/>
        <v>0</v>
      </c>
    </row>
    <row r="442" spans="1:19">
      <c r="A442" s="491"/>
      <c r="B442" s="348"/>
      <c r="C442" s="313">
        <f t="shared" si="66"/>
        <v>1</v>
      </c>
      <c r="D442" s="1128"/>
      <c r="E442" s="313">
        <f t="shared" si="67"/>
        <v>1</v>
      </c>
      <c r="F442" s="1128"/>
      <c r="G442" s="313">
        <f t="shared" si="68"/>
        <v>1</v>
      </c>
      <c r="H442" s="1128"/>
      <c r="I442" s="313">
        <f t="shared" si="69"/>
        <v>1</v>
      </c>
      <c r="J442" s="1128"/>
      <c r="K442" s="313">
        <f t="shared" si="70"/>
        <v>1</v>
      </c>
      <c r="L442" s="1128"/>
      <c r="M442" s="313">
        <f t="shared" si="71"/>
        <v>1</v>
      </c>
      <c r="N442" s="1128"/>
      <c r="O442" s="313">
        <f t="shared" si="72"/>
        <v>1</v>
      </c>
      <c r="P442" s="1128"/>
      <c r="Q442" s="313">
        <f t="shared" si="73"/>
        <v>1</v>
      </c>
      <c r="R442" s="1124">
        <f t="shared" si="74"/>
        <v>0</v>
      </c>
      <c r="S442" s="698">
        <f t="shared" si="65"/>
        <v>0</v>
      </c>
    </row>
    <row r="443" spans="1:19">
      <c r="A443" s="491"/>
      <c r="B443" s="348"/>
      <c r="C443" s="313">
        <f t="shared" si="66"/>
        <v>1</v>
      </c>
      <c r="D443" s="1128"/>
      <c r="E443" s="313">
        <f t="shared" si="67"/>
        <v>1</v>
      </c>
      <c r="F443" s="1128"/>
      <c r="G443" s="313">
        <f t="shared" si="68"/>
        <v>1</v>
      </c>
      <c r="H443" s="1128"/>
      <c r="I443" s="313">
        <f t="shared" si="69"/>
        <v>1</v>
      </c>
      <c r="J443" s="1128"/>
      <c r="K443" s="313">
        <f t="shared" si="70"/>
        <v>1</v>
      </c>
      <c r="L443" s="1128"/>
      <c r="M443" s="313">
        <f t="shared" si="71"/>
        <v>1</v>
      </c>
      <c r="N443" s="1128"/>
      <c r="O443" s="313">
        <f t="shared" si="72"/>
        <v>1</v>
      </c>
      <c r="P443" s="1128"/>
      <c r="Q443" s="313">
        <f t="shared" si="73"/>
        <v>1</v>
      </c>
      <c r="R443" s="1124">
        <f t="shared" si="74"/>
        <v>0</v>
      </c>
      <c r="S443" s="698">
        <f t="shared" si="65"/>
        <v>0</v>
      </c>
    </row>
    <row r="444" spans="1:19">
      <c r="A444" s="491"/>
      <c r="B444" s="348"/>
      <c r="C444" s="313">
        <f t="shared" si="66"/>
        <v>1</v>
      </c>
      <c r="D444" s="1128"/>
      <c r="E444" s="313">
        <f t="shared" si="67"/>
        <v>1</v>
      </c>
      <c r="F444" s="1128"/>
      <c r="G444" s="313">
        <f t="shared" si="68"/>
        <v>1</v>
      </c>
      <c r="H444" s="1128"/>
      <c r="I444" s="313">
        <f t="shared" si="69"/>
        <v>1</v>
      </c>
      <c r="J444" s="1128"/>
      <c r="K444" s="313">
        <f t="shared" si="70"/>
        <v>1</v>
      </c>
      <c r="L444" s="1128"/>
      <c r="M444" s="313">
        <f t="shared" si="71"/>
        <v>1</v>
      </c>
      <c r="N444" s="1128"/>
      <c r="O444" s="313">
        <f t="shared" si="72"/>
        <v>1</v>
      </c>
      <c r="P444" s="1128"/>
      <c r="Q444" s="313">
        <f t="shared" si="73"/>
        <v>1</v>
      </c>
      <c r="R444" s="1124">
        <f t="shared" si="74"/>
        <v>0</v>
      </c>
      <c r="S444" s="698">
        <f t="shared" si="65"/>
        <v>0</v>
      </c>
    </row>
    <row r="445" spans="1:19">
      <c r="A445" s="491"/>
      <c r="B445" s="348"/>
      <c r="C445" s="313">
        <f t="shared" si="66"/>
        <v>1</v>
      </c>
      <c r="D445" s="1128"/>
      <c r="E445" s="313">
        <f t="shared" si="67"/>
        <v>1</v>
      </c>
      <c r="F445" s="1128"/>
      <c r="G445" s="313">
        <f t="shared" si="68"/>
        <v>1</v>
      </c>
      <c r="H445" s="1128"/>
      <c r="I445" s="313">
        <f t="shared" si="69"/>
        <v>1</v>
      </c>
      <c r="J445" s="1128"/>
      <c r="K445" s="313">
        <f t="shared" si="70"/>
        <v>1</v>
      </c>
      <c r="L445" s="1128"/>
      <c r="M445" s="313">
        <f t="shared" si="71"/>
        <v>1</v>
      </c>
      <c r="N445" s="1128"/>
      <c r="O445" s="313">
        <f t="shared" si="72"/>
        <v>1</v>
      </c>
      <c r="P445" s="1128"/>
      <c r="Q445" s="313">
        <f t="shared" si="73"/>
        <v>1</v>
      </c>
      <c r="R445" s="1124">
        <f t="shared" si="74"/>
        <v>0</v>
      </c>
      <c r="S445" s="698">
        <f t="shared" si="65"/>
        <v>0</v>
      </c>
    </row>
    <row r="446" spans="1:19">
      <c r="A446" s="491"/>
      <c r="B446" s="348"/>
      <c r="C446" s="313">
        <f t="shared" si="66"/>
        <v>1</v>
      </c>
      <c r="D446" s="1128"/>
      <c r="E446" s="313">
        <f t="shared" si="67"/>
        <v>1</v>
      </c>
      <c r="F446" s="1128"/>
      <c r="G446" s="313">
        <f t="shared" si="68"/>
        <v>1</v>
      </c>
      <c r="H446" s="1128"/>
      <c r="I446" s="313">
        <f t="shared" si="69"/>
        <v>1</v>
      </c>
      <c r="J446" s="1128"/>
      <c r="K446" s="313">
        <f t="shared" si="70"/>
        <v>1</v>
      </c>
      <c r="L446" s="1128"/>
      <c r="M446" s="313">
        <f t="shared" si="71"/>
        <v>1</v>
      </c>
      <c r="N446" s="1128"/>
      <c r="O446" s="313">
        <f t="shared" si="72"/>
        <v>1</v>
      </c>
      <c r="P446" s="1128"/>
      <c r="Q446" s="313">
        <f t="shared" si="73"/>
        <v>1</v>
      </c>
      <c r="R446" s="1124">
        <f t="shared" si="74"/>
        <v>0</v>
      </c>
      <c r="S446" s="698">
        <f t="shared" si="65"/>
        <v>0</v>
      </c>
    </row>
    <row r="447" spans="1:19">
      <c r="A447" s="491"/>
      <c r="B447" s="348"/>
      <c r="C447" s="313">
        <f t="shared" si="66"/>
        <v>1</v>
      </c>
      <c r="D447" s="1128"/>
      <c r="E447" s="313">
        <f t="shared" si="67"/>
        <v>1</v>
      </c>
      <c r="F447" s="1128"/>
      <c r="G447" s="313">
        <f t="shared" si="68"/>
        <v>1</v>
      </c>
      <c r="H447" s="1128"/>
      <c r="I447" s="313">
        <f t="shared" si="69"/>
        <v>1</v>
      </c>
      <c r="J447" s="1128"/>
      <c r="K447" s="313">
        <f t="shared" si="70"/>
        <v>1</v>
      </c>
      <c r="L447" s="1128"/>
      <c r="M447" s="313">
        <f t="shared" si="71"/>
        <v>1</v>
      </c>
      <c r="N447" s="1128"/>
      <c r="O447" s="313">
        <f t="shared" si="72"/>
        <v>1</v>
      </c>
      <c r="P447" s="1128"/>
      <c r="Q447" s="313">
        <f t="shared" si="73"/>
        <v>1</v>
      </c>
      <c r="R447" s="1124">
        <f t="shared" si="74"/>
        <v>0</v>
      </c>
      <c r="S447" s="698">
        <f t="shared" si="65"/>
        <v>0</v>
      </c>
    </row>
    <row r="448" spans="1:19">
      <c r="A448" s="491"/>
      <c r="B448" s="348"/>
      <c r="C448" s="313">
        <f t="shared" si="66"/>
        <v>1</v>
      </c>
      <c r="D448" s="1128"/>
      <c r="E448" s="313">
        <f t="shared" si="67"/>
        <v>1</v>
      </c>
      <c r="F448" s="1128"/>
      <c r="G448" s="313">
        <f t="shared" si="68"/>
        <v>1</v>
      </c>
      <c r="H448" s="1128"/>
      <c r="I448" s="313">
        <f t="shared" si="69"/>
        <v>1</v>
      </c>
      <c r="J448" s="1128"/>
      <c r="K448" s="313">
        <f t="shared" si="70"/>
        <v>1</v>
      </c>
      <c r="L448" s="1128"/>
      <c r="M448" s="313">
        <f t="shared" si="71"/>
        <v>1</v>
      </c>
      <c r="N448" s="1128"/>
      <c r="O448" s="313">
        <f t="shared" si="72"/>
        <v>1</v>
      </c>
      <c r="P448" s="1128"/>
      <c r="Q448" s="313">
        <f t="shared" si="73"/>
        <v>1</v>
      </c>
      <c r="R448" s="1124">
        <f t="shared" si="74"/>
        <v>0</v>
      </c>
      <c r="S448" s="698">
        <f t="shared" si="65"/>
        <v>0</v>
      </c>
    </row>
    <row r="449" spans="1:19">
      <c r="A449" s="491"/>
      <c r="B449" s="348"/>
      <c r="C449" s="313">
        <f t="shared" si="66"/>
        <v>1</v>
      </c>
      <c r="D449" s="1128"/>
      <c r="E449" s="313">
        <f t="shared" si="67"/>
        <v>1</v>
      </c>
      <c r="F449" s="1128"/>
      <c r="G449" s="313">
        <f t="shared" si="68"/>
        <v>1</v>
      </c>
      <c r="H449" s="1128"/>
      <c r="I449" s="313">
        <f t="shared" si="69"/>
        <v>1</v>
      </c>
      <c r="J449" s="1128"/>
      <c r="K449" s="313">
        <f t="shared" si="70"/>
        <v>1</v>
      </c>
      <c r="L449" s="1128"/>
      <c r="M449" s="313">
        <f t="shared" si="71"/>
        <v>1</v>
      </c>
      <c r="N449" s="1128"/>
      <c r="O449" s="313">
        <f t="shared" si="72"/>
        <v>1</v>
      </c>
      <c r="P449" s="1128"/>
      <c r="Q449" s="313">
        <f t="shared" si="73"/>
        <v>1</v>
      </c>
      <c r="R449" s="1124">
        <f t="shared" si="74"/>
        <v>0</v>
      </c>
      <c r="S449" s="698">
        <f t="shared" si="65"/>
        <v>0</v>
      </c>
    </row>
    <row r="450" spans="1:19">
      <c r="A450" s="491"/>
      <c r="B450" s="348"/>
      <c r="C450" s="313">
        <f t="shared" si="66"/>
        <v>1</v>
      </c>
      <c r="D450" s="1128"/>
      <c r="E450" s="313">
        <f t="shared" si="67"/>
        <v>1</v>
      </c>
      <c r="F450" s="1128"/>
      <c r="G450" s="313">
        <f t="shared" si="68"/>
        <v>1</v>
      </c>
      <c r="H450" s="1128"/>
      <c r="I450" s="313">
        <f t="shared" si="69"/>
        <v>1</v>
      </c>
      <c r="J450" s="1128"/>
      <c r="K450" s="313">
        <f t="shared" si="70"/>
        <v>1</v>
      </c>
      <c r="L450" s="1128"/>
      <c r="M450" s="313">
        <f t="shared" si="71"/>
        <v>1</v>
      </c>
      <c r="N450" s="1128"/>
      <c r="O450" s="313">
        <f t="shared" si="72"/>
        <v>1</v>
      </c>
      <c r="P450" s="1128"/>
      <c r="Q450" s="313">
        <f t="shared" si="73"/>
        <v>1</v>
      </c>
      <c r="R450" s="1124">
        <f t="shared" si="74"/>
        <v>0</v>
      </c>
      <c r="S450" s="698">
        <f t="shared" si="65"/>
        <v>0</v>
      </c>
    </row>
    <row r="451" spans="1:19">
      <c r="A451" s="491"/>
      <c r="B451" s="348"/>
      <c r="C451" s="313">
        <f t="shared" si="66"/>
        <v>1</v>
      </c>
      <c r="D451" s="1128"/>
      <c r="E451" s="313">
        <f t="shared" si="67"/>
        <v>1</v>
      </c>
      <c r="F451" s="1128"/>
      <c r="G451" s="313">
        <f t="shared" si="68"/>
        <v>1</v>
      </c>
      <c r="H451" s="1128"/>
      <c r="I451" s="313">
        <f t="shared" si="69"/>
        <v>1</v>
      </c>
      <c r="J451" s="1128"/>
      <c r="K451" s="313">
        <f t="shared" si="70"/>
        <v>1</v>
      </c>
      <c r="L451" s="1128"/>
      <c r="M451" s="313">
        <f t="shared" si="71"/>
        <v>1</v>
      </c>
      <c r="N451" s="1128"/>
      <c r="O451" s="313">
        <f t="shared" si="72"/>
        <v>1</v>
      </c>
      <c r="P451" s="1128"/>
      <c r="Q451" s="313">
        <f t="shared" si="73"/>
        <v>1</v>
      </c>
      <c r="R451" s="1124">
        <f t="shared" si="74"/>
        <v>0</v>
      </c>
      <c r="S451" s="698">
        <f t="shared" si="65"/>
        <v>0</v>
      </c>
    </row>
    <row r="452" spans="1:19">
      <c r="A452" s="491"/>
      <c r="B452" s="348"/>
      <c r="C452" s="313">
        <f t="shared" si="66"/>
        <v>1</v>
      </c>
      <c r="D452" s="1128"/>
      <c r="E452" s="313">
        <f t="shared" si="67"/>
        <v>1</v>
      </c>
      <c r="F452" s="1128"/>
      <c r="G452" s="313">
        <f t="shared" si="68"/>
        <v>1</v>
      </c>
      <c r="H452" s="1128"/>
      <c r="I452" s="313">
        <f t="shared" si="69"/>
        <v>1</v>
      </c>
      <c r="J452" s="1128"/>
      <c r="K452" s="313">
        <f t="shared" si="70"/>
        <v>1</v>
      </c>
      <c r="L452" s="1128"/>
      <c r="M452" s="313">
        <f t="shared" si="71"/>
        <v>1</v>
      </c>
      <c r="N452" s="1128"/>
      <c r="O452" s="313">
        <f t="shared" si="72"/>
        <v>1</v>
      </c>
      <c r="P452" s="1128"/>
      <c r="Q452" s="313">
        <f t="shared" si="73"/>
        <v>1</v>
      </c>
      <c r="R452" s="1124">
        <f t="shared" si="74"/>
        <v>0</v>
      </c>
      <c r="S452" s="698">
        <f t="shared" si="65"/>
        <v>0</v>
      </c>
    </row>
    <row r="453" spans="1:19">
      <c r="A453" s="491"/>
      <c r="B453" s="348"/>
      <c r="C453" s="313">
        <f t="shared" si="66"/>
        <v>1</v>
      </c>
      <c r="D453" s="1128"/>
      <c r="E453" s="313">
        <f t="shared" si="67"/>
        <v>1</v>
      </c>
      <c r="F453" s="1128"/>
      <c r="G453" s="313">
        <f t="shared" si="68"/>
        <v>1</v>
      </c>
      <c r="H453" s="1128"/>
      <c r="I453" s="313">
        <f t="shared" si="69"/>
        <v>1</v>
      </c>
      <c r="J453" s="1128"/>
      <c r="K453" s="313">
        <f t="shared" si="70"/>
        <v>1</v>
      </c>
      <c r="L453" s="1128"/>
      <c r="M453" s="313">
        <f t="shared" si="71"/>
        <v>1</v>
      </c>
      <c r="N453" s="1128"/>
      <c r="O453" s="313">
        <f t="shared" si="72"/>
        <v>1</v>
      </c>
      <c r="P453" s="1128"/>
      <c r="Q453" s="313">
        <f t="shared" si="73"/>
        <v>1</v>
      </c>
      <c r="R453" s="1124">
        <f t="shared" si="74"/>
        <v>0</v>
      </c>
      <c r="S453" s="698">
        <f t="shared" si="65"/>
        <v>0</v>
      </c>
    </row>
    <row r="454" spans="1:19">
      <c r="A454" s="491"/>
      <c r="B454" s="348"/>
      <c r="C454" s="313">
        <f t="shared" si="66"/>
        <v>1</v>
      </c>
      <c r="D454" s="1128"/>
      <c r="E454" s="313">
        <f t="shared" si="67"/>
        <v>1</v>
      </c>
      <c r="F454" s="1128"/>
      <c r="G454" s="313">
        <f t="shared" si="68"/>
        <v>1</v>
      </c>
      <c r="H454" s="1128"/>
      <c r="I454" s="313">
        <f t="shared" si="69"/>
        <v>1</v>
      </c>
      <c r="J454" s="1128"/>
      <c r="K454" s="313">
        <f t="shared" si="70"/>
        <v>1</v>
      </c>
      <c r="L454" s="1128"/>
      <c r="M454" s="313">
        <f t="shared" si="71"/>
        <v>1</v>
      </c>
      <c r="N454" s="1128"/>
      <c r="O454" s="313">
        <f t="shared" si="72"/>
        <v>1</v>
      </c>
      <c r="P454" s="1128"/>
      <c r="Q454" s="313">
        <f t="shared" si="73"/>
        <v>1</v>
      </c>
      <c r="R454" s="1124">
        <f t="shared" si="74"/>
        <v>0</v>
      </c>
      <c r="S454" s="698">
        <f t="shared" si="65"/>
        <v>0</v>
      </c>
    </row>
    <row r="455" spans="1:19">
      <c r="A455" s="491"/>
      <c r="B455" s="348"/>
      <c r="C455" s="313">
        <f t="shared" si="66"/>
        <v>1</v>
      </c>
      <c r="D455" s="1128"/>
      <c r="E455" s="313">
        <f t="shared" si="67"/>
        <v>1</v>
      </c>
      <c r="F455" s="1128"/>
      <c r="G455" s="313">
        <f t="shared" si="68"/>
        <v>1</v>
      </c>
      <c r="H455" s="1128"/>
      <c r="I455" s="313">
        <f t="shared" si="69"/>
        <v>1</v>
      </c>
      <c r="J455" s="1128"/>
      <c r="K455" s="313">
        <f t="shared" si="70"/>
        <v>1</v>
      </c>
      <c r="L455" s="1128"/>
      <c r="M455" s="313">
        <f t="shared" si="71"/>
        <v>1</v>
      </c>
      <c r="N455" s="1128"/>
      <c r="O455" s="313">
        <f t="shared" si="72"/>
        <v>1</v>
      </c>
      <c r="P455" s="1128"/>
      <c r="Q455" s="313">
        <f t="shared" si="73"/>
        <v>1</v>
      </c>
      <c r="R455" s="1124">
        <f t="shared" si="74"/>
        <v>0</v>
      </c>
      <c r="S455" s="698">
        <f t="shared" si="65"/>
        <v>0</v>
      </c>
    </row>
    <row r="456" spans="1:19">
      <c r="A456" s="491"/>
      <c r="B456" s="348"/>
      <c r="C456" s="313">
        <f t="shared" si="66"/>
        <v>1</v>
      </c>
      <c r="D456" s="1128"/>
      <c r="E456" s="313">
        <f t="shared" si="67"/>
        <v>1</v>
      </c>
      <c r="F456" s="1128"/>
      <c r="G456" s="313">
        <f t="shared" si="68"/>
        <v>1</v>
      </c>
      <c r="H456" s="1128"/>
      <c r="I456" s="313">
        <f t="shared" si="69"/>
        <v>1</v>
      </c>
      <c r="J456" s="1128"/>
      <c r="K456" s="313">
        <f t="shared" si="70"/>
        <v>1</v>
      </c>
      <c r="L456" s="1128"/>
      <c r="M456" s="313">
        <f t="shared" si="71"/>
        <v>1</v>
      </c>
      <c r="N456" s="1128"/>
      <c r="O456" s="313">
        <f t="shared" si="72"/>
        <v>1</v>
      </c>
      <c r="P456" s="1128"/>
      <c r="Q456" s="313">
        <f t="shared" si="73"/>
        <v>1</v>
      </c>
      <c r="R456" s="1124">
        <f t="shared" si="74"/>
        <v>0</v>
      </c>
      <c r="S456" s="698">
        <f t="shared" si="65"/>
        <v>0</v>
      </c>
    </row>
    <row r="457" spans="1:19">
      <c r="A457" s="491"/>
      <c r="B457" s="348"/>
      <c r="C457" s="313">
        <f t="shared" si="66"/>
        <v>1</v>
      </c>
      <c r="D457" s="1128"/>
      <c r="E457" s="313">
        <f t="shared" si="67"/>
        <v>1</v>
      </c>
      <c r="F457" s="1128"/>
      <c r="G457" s="313">
        <f t="shared" si="68"/>
        <v>1</v>
      </c>
      <c r="H457" s="1128"/>
      <c r="I457" s="313">
        <f t="shared" si="69"/>
        <v>1</v>
      </c>
      <c r="J457" s="1128"/>
      <c r="K457" s="313">
        <f t="shared" si="70"/>
        <v>1</v>
      </c>
      <c r="L457" s="1128"/>
      <c r="M457" s="313">
        <f t="shared" si="71"/>
        <v>1</v>
      </c>
      <c r="N457" s="1128"/>
      <c r="O457" s="313">
        <f t="shared" si="72"/>
        <v>1</v>
      </c>
      <c r="P457" s="1128"/>
      <c r="Q457" s="313">
        <f t="shared" si="73"/>
        <v>1</v>
      </c>
      <c r="R457" s="1124">
        <f t="shared" si="74"/>
        <v>0</v>
      </c>
      <c r="S457" s="698">
        <f t="shared" si="65"/>
        <v>0</v>
      </c>
    </row>
    <row r="458" spans="1:19">
      <c r="A458" s="491"/>
      <c r="B458" s="348"/>
      <c r="C458" s="313">
        <f t="shared" si="66"/>
        <v>1</v>
      </c>
      <c r="D458" s="1128"/>
      <c r="E458" s="313">
        <f t="shared" si="67"/>
        <v>1</v>
      </c>
      <c r="F458" s="1128"/>
      <c r="G458" s="313">
        <f t="shared" si="68"/>
        <v>1</v>
      </c>
      <c r="H458" s="1128"/>
      <c r="I458" s="313">
        <f t="shared" si="69"/>
        <v>1</v>
      </c>
      <c r="J458" s="1128"/>
      <c r="K458" s="313">
        <f t="shared" si="70"/>
        <v>1</v>
      </c>
      <c r="L458" s="1128"/>
      <c r="M458" s="313">
        <f t="shared" si="71"/>
        <v>1</v>
      </c>
      <c r="N458" s="1128"/>
      <c r="O458" s="313">
        <f t="shared" si="72"/>
        <v>1</v>
      </c>
      <c r="P458" s="1128"/>
      <c r="Q458" s="313">
        <f t="shared" si="73"/>
        <v>1</v>
      </c>
      <c r="R458" s="1124">
        <f t="shared" si="74"/>
        <v>0</v>
      </c>
      <c r="S458" s="698">
        <f t="shared" si="65"/>
        <v>0</v>
      </c>
    </row>
    <row r="459" spans="1:19">
      <c r="A459" s="491"/>
      <c r="B459" s="348"/>
      <c r="C459" s="313">
        <f t="shared" si="66"/>
        <v>1</v>
      </c>
      <c r="D459" s="1128"/>
      <c r="E459" s="313">
        <f t="shared" si="67"/>
        <v>1</v>
      </c>
      <c r="F459" s="1128"/>
      <c r="G459" s="313">
        <f t="shared" si="68"/>
        <v>1</v>
      </c>
      <c r="H459" s="1128"/>
      <c r="I459" s="313">
        <f t="shared" si="69"/>
        <v>1</v>
      </c>
      <c r="J459" s="1128"/>
      <c r="K459" s="313">
        <f t="shared" si="70"/>
        <v>1</v>
      </c>
      <c r="L459" s="1128"/>
      <c r="M459" s="313">
        <f t="shared" si="71"/>
        <v>1</v>
      </c>
      <c r="N459" s="1128"/>
      <c r="O459" s="313">
        <f t="shared" si="72"/>
        <v>1</v>
      </c>
      <c r="P459" s="1128"/>
      <c r="Q459" s="313">
        <f t="shared" si="73"/>
        <v>1</v>
      </c>
      <c r="R459" s="1124">
        <f t="shared" si="74"/>
        <v>0</v>
      </c>
      <c r="S459" s="698">
        <f t="shared" si="65"/>
        <v>0</v>
      </c>
    </row>
    <row r="460" spans="1:19">
      <c r="A460" s="491"/>
      <c r="B460" s="348"/>
      <c r="C460" s="313">
        <f t="shared" si="66"/>
        <v>1</v>
      </c>
      <c r="D460" s="1128"/>
      <c r="E460" s="313">
        <f t="shared" si="67"/>
        <v>1</v>
      </c>
      <c r="F460" s="1128"/>
      <c r="G460" s="313">
        <f t="shared" si="68"/>
        <v>1</v>
      </c>
      <c r="H460" s="1128"/>
      <c r="I460" s="313">
        <f t="shared" si="69"/>
        <v>1</v>
      </c>
      <c r="J460" s="1128"/>
      <c r="K460" s="313">
        <f t="shared" si="70"/>
        <v>1</v>
      </c>
      <c r="L460" s="1128"/>
      <c r="M460" s="313">
        <f t="shared" si="71"/>
        <v>1</v>
      </c>
      <c r="N460" s="1128"/>
      <c r="O460" s="313">
        <f t="shared" si="72"/>
        <v>1</v>
      </c>
      <c r="P460" s="1128"/>
      <c r="Q460" s="313">
        <f t="shared" si="73"/>
        <v>1</v>
      </c>
      <c r="R460" s="1124">
        <f t="shared" si="74"/>
        <v>0</v>
      </c>
      <c r="S460" s="698">
        <f t="shared" si="65"/>
        <v>0</v>
      </c>
    </row>
    <row r="461" spans="1:19">
      <c r="A461" s="491"/>
      <c r="B461" s="348"/>
      <c r="C461" s="313">
        <f t="shared" si="66"/>
        <v>1</v>
      </c>
      <c r="D461" s="1128"/>
      <c r="E461" s="313">
        <f t="shared" si="67"/>
        <v>1</v>
      </c>
      <c r="F461" s="1128"/>
      <c r="G461" s="313">
        <f t="shared" si="68"/>
        <v>1</v>
      </c>
      <c r="H461" s="1128"/>
      <c r="I461" s="313">
        <f t="shared" si="69"/>
        <v>1</v>
      </c>
      <c r="J461" s="1128"/>
      <c r="K461" s="313">
        <f t="shared" si="70"/>
        <v>1</v>
      </c>
      <c r="L461" s="1128"/>
      <c r="M461" s="313">
        <f t="shared" si="71"/>
        <v>1</v>
      </c>
      <c r="N461" s="1128"/>
      <c r="O461" s="313">
        <f t="shared" si="72"/>
        <v>1</v>
      </c>
      <c r="P461" s="1128"/>
      <c r="Q461" s="313">
        <f t="shared" si="73"/>
        <v>1</v>
      </c>
      <c r="R461" s="1124">
        <f t="shared" si="74"/>
        <v>0</v>
      </c>
      <c r="S461" s="698">
        <f t="shared" si="65"/>
        <v>0</v>
      </c>
    </row>
    <row r="462" spans="1:19">
      <c r="A462" s="491"/>
      <c r="B462" s="348"/>
      <c r="C462" s="313">
        <f t="shared" si="66"/>
        <v>1</v>
      </c>
      <c r="D462" s="1128"/>
      <c r="E462" s="313">
        <f t="shared" si="67"/>
        <v>1</v>
      </c>
      <c r="F462" s="1128"/>
      <c r="G462" s="313">
        <f t="shared" si="68"/>
        <v>1</v>
      </c>
      <c r="H462" s="1128"/>
      <c r="I462" s="313">
        <f t="shared" si="69"/>
        <v>1</v>
      </c>
      <c r="J462" s="1128"/>
      <c r="K462" s="313">
        <f t="shared" si="70"/>
        <v>1</v>
      </c>
      <c r="L462" s="1128"/>
      <c r="M462" s="313">
        <f t="shared" si="71"/>
        <v>1</v>
      </c>
      <c r="N462" s="1128"/>
      <c r="O462" s="313">
        <f t="shared" si="72"/>
        <v>1</v>
      </c>
      <c r="P462" s="1128"/>
      <c r="Q462" s="313">
        <f t="shared" si="73"/>
        <v>1</v>
      </c>
      <c r="R462" s="1124">
        <f t="shared" si="74"/>
        <v>0</v>
      </c>
      <c r="S462" s="698">
        <f t="shared" si="65"/>
        <v>0</v>
      </c>
    </row>
    <row r="463" spans="1:19">
      <c r="A463" s="491"/>
      <c r="B463" s="348"/>
      <c r="C463" s="313">
        <f t="shared" si="66"/>
        <v>1</v>
      </c>
      <c r="D463" s="1128"/>
      <c r="E463" s="313">
        <f t="shared" si="67"/>
        <v>1</v>
      </c>
      <c r="F463" s="1128"/>
      <c r="G463" s="313">
        <f t="shared" si="68"/>
        <v>1</v>
      </c>
      <c r="H463" s="1128"/>
      <c r="I463" s="313">
        <f t="shared" si="69"/>
        <v>1</v>
      </c>
      <c r="J463" s="1128"/>
      <c r="K463" s="313">
        <f t="shared" si="70"/>
        <v>1</v>
      </c>
      <c r="L463" s="1128"/>
      <c r="M463" s="313">
        <f t="shared" si="71"/>
        <v>1</v>
      </c>
      <c r="N463" s="1128"/>
      <c r="O463" s="313">
        <f t="shared" si="72"/>
        <v>1</v>
      </c>
      <c r="P463" s="1128"/>
      <c r="Q463" s="313">
        <f t="shared" si="73"/>
        <v>1</v>
      </c>
      <c r="R463" s="1124">
        <f t="shared" si="74"/>
        <v>0</v>
      </c>
      <c r="S463" s="698">
        <f t="shared" si="65"/>
        <v>0</v>
      </c>
    </row>
    <row r="464" spans="1:19">
      <c r="A464" s="491"/>
      <c r="B464" s="348"/>
      <c r="C464" s="313">
        <f t="shared" si="66"/>
        <v>1</v>
      </c>
      <c r="D464" s="1128"/>
      <c r="E464" s="313">
        <f t="shared" si="67"/>
        <v>1</v>
      </c>
      <c r="F464" s="1128"/>
      <c r="G464" s="313">
        <f t="shared" si="68"/>
        <v>1</v>
      </c>
      <c r="H464" s="1128"/>
      <c r="I464" s="313">
        <f t="shared" si="69"/>
        <v>1</v>
      </c>
      <c r="J464" s="1128"/>
      <c r="K464" s="313">
        <f t="shared" si="70"/>
        <v>1</v>
      </c>
      <c r="L464" s="1128"/>
      <c r="M464" s="313">
        <f t="shared" si="71"/>
        <v>1</v>
      </c>
      <c r="N464" s="1128"/>
      <c r="O464" s="313">
        <f t="shared" si="72"/>
        <v>1</v>
      </c>
      <c r="P464" s="1128"/>
      <c r="Q464" s="313">
        <f t="shared" si="73"/>
        <v>1</v>
      </c>
      <c r="R464" s="1124">
        <f t="shared" si="74"/>
        <v>0</v>
      </c>
      <c r="S464" s="698">
        <f t="shared" si="65"/>
        <v>0</v>
      </c>
    </row>
    <row r="465" spans="1:19">
      <c r="A465" s="491"/>
      <c r="B465" s="348"/>
      <c r="C465" s="313">
        <f t="shared" si="66"/>
        <v>1</v>
      </c>
      <c r="D465" s="1128"/>
      <c r="E465" s="313">
        <f t="shared" si="67"/>
        <v>1</v>
      </c>
      <c r="F465" s="1128"/>
      <c r="G465" s="313">
        <f t="shared" si="68"/>
        <v>1</v>
      </c>
      <c r="H465" s="1128"/>
      <c r="I465" s="313">
        <f t="shared" si="69"/>
        <v>1</v>
      </c>
      <c r="J465" s="1128"/>
      <c r="K465" s="313">
        <f t="shared" si="70"/>
        <v>1</v>
      </c>
      <c r="L465" s="1128"/>
      <c r="M465" s="313">
        <f t="shared" si="71"/>
        <v>1</v>
      </c>
      <c r="N465" s="1128"/>
      <c r="O465" s="313">
        <f t="shared" si="72"/>
        <v>1</v>
      </c>
      <c r="P465" s="1128"/>
      <c r="Q465" s="313">
        <f t="shared" si="73"/>
        <v>1</v>
      </c>
      <c r="R465" s="1124">
        <f t="shared" si="74"/>
        <v>0</v>
      </c>
      <c r="S465" s="698">
        <f t="shared" si="65"/>
        <v>0</v>
      </c>
    </row>
    <row r="466" spans="1:19">
      <c r="A466" s="491"/>
      <c r="B466" s="348"/>
      <c r="C466" s="313">
        <f t="shared" si="66"/>
        <v>1</v>
      </c>
      <c r="D466" s="1128"/>
      <c r="E466" s="313">
        <f t="shared" si="67"/>
        <v>1</v>
      </c>
      <c r="F466" s="1128"/>
      <c r="G466" s="313">
        <f t="shared" si="68"/>
        <v>1</v>
      </c>
      <c r="H466" s="1128"/>
      <c r="I466" s="313">
        <f t="shared" si="69"/>
        <v>1</v>
      </c>
      <c r="J466" s="1128"/>
      <c r="K466" s="313">
        <f t="shared" si="70"/>
        <v>1</v>
      </c>
      <c r="L466" s="1128"/>
      <c r="M466" s="313">
        <f t="shared" si="71"/>
        <v>1</v>
      </c>
      <c r="N466" s="1128"/>
      <c r="O466" s="313">
        <f t="shared" si="72"/>
        <v>1</v>
      </c>
      <c r="P466" s="1128"/>
      <c r="Q466" s="313">
        <f t="shared" si="73"/>
        <v>1</v>
      </c>
      <c r="R466" s="1124">
        <f t="shared" si="74"/>
        <v>0</v>
      </c>
      <c r="S466" s="698">
        <f t="shared" si="65"/>
        <v>0</v>
      </c>
    </row>
    <row r="467" spans="1:19">
      <c r="A467" s="491"/>
      <c r="B467" s="348"/>
      <c r="C467" s="313">
        <f t="shared" si="66"/>
        <v>1</v>
      </c>
      <c r="D467" s="1128"/>
      <c r="E467" s="313">
        <f t="shared" si="67"/>
        <v>1</v>
      </c>
      <c r="F467" s="1128"/>
      <c r="G467" s="313">
        <f t="shared" si="68"/>
        <v>1</v>
      </c>
      <c r="H467" s="1128"/>
      <c r="I467" s="313">
        <f t="shared" si="69"/>
        <v>1</v>
      </c>
      <c r="J467" s="1128"/>
      <c r="K467" s="313">
        <f t="shared" si="70"/>
        <v>1</v>
      </c>
      <c r="L467" s="1128"/>
      <c r="M467" s="313">
        <f t="shared" si="71"/>
        <v>1</v>
      </c>
      <c r="N467" s="1128"/>
      <c r="O467" s="313">
        <f t="shared" si="72"/>
        <v>1</v>
      </c>
      <c r="P467" s="1128"/>
      <c r="Q467" s="313">
        <f t="shared" si="73"/>
        <v>1</v>
      </c>
      <c r="R467" s="1124">
        <f t="shared" si="74"/>
        <v>0</v>
      </c>
      <c r="S467" s="698">
        <f t="shared" si="65"/>
        <v>0</v>
      </c>
    </row>
    <row r="468" spans="1:19">
      <c r="A468" s="491"/>
      <c r="B468" s="348"/>
      <c r="C468" s="313">
        <f t="shared" si="66"/>
        <v>1</v>
      </c>
      <c r="D468" s="1128"/>
      <c r="E468" s="313">
        <f t="shared" si="67"/>
        <v>1</v>
      </c>
      <c r="F468" s="1128"/>
      <c r="G468" s="313">
        <f t="shared" si="68"/>
        <v>1</v>
      </c>
      <c r="H468" s="1128"/>
      <c r="I468" s="313">
        <f t="shared" si="69"/>
        <v>1</v>
      </c>
      <c r="J468" s="1128"/>
      <c r="K468" s="313">
        <f t="shared" si="70"/>
        <v>1</v>
      </c>
      <c r="L468" s="1128"/>
      <c r="M468" s="313">
        <f t="shared" si="71"/>
        <v>1</v>
      </c>
      <c r="N468" s="1128"/>
      <c r="O468" s="313">
        <f t="shared" si="72"/>
        <v>1</v>
      </c>
      <c r="P468" s="1128"/>
      <c r="Q468" s="313">
        <f t="shared" si="73"/>
        <v>1</v>
      </c>
      <c r="R468" s="1124">
        <f t="shared" si="74"/>
        <v>0</v>
      </c>
      <c r="S468" s="698">
        <f t="shared" si="65"/>
        <v>0</v>
      </c>
    </row>
    <row r="469" spans="1:19">
      <c r="A469" s="491"/>
      <c r="B469" s="348"/>
      <c r="C469" s="313">
        <f t="shared" si="66"/>
        <v>1</v>
      </c>
      <c r="D469" s="1128"/>
      <c r="E469" s="313">
        <f t="shared" si="67"/>
        <v>1</v>
      </c>
      <c r="F469" s="1128"/>
      <c r="G469" s="313">
        <f t="shared" si="68"/>
        <v>1</v>
      </c>
      <c r="H469" s="1128"/>
      <c r="I469" s="313">
        <f t="shared" si="69"/>
        <v>1</v>
      </c>
      <c r="J469" s="1128"/>
      <c r="K469" s="313">
        <f t="shared" si="70"/>
        <v>1</v>
      </c>
      <c r="L469" s="1128"/>
      <c r="M469" s="313">
        <f t="shared" si="71"/>
        <v>1</v>
      </c>
      <c r="N469" s="1128"/>
      <c r="O469" s="313">
        <f t="shared" si="72"/>
        <v>1</v>
      </c>
      <c r="P469" s="1128"/>
      <c r="Q469" s="313">
        <f t="shared" si="73"/>
        <v>1</v>
      </c>
      <c r="R469" s="1124">
        <f t="shared" si="74"/>
        <v>0</v>
      </c>
      <c r="S469" s="698">
        <f t="shared" si="65"/>
        <v>0</v>
      </c>
    </row>
    <row r="470" spans="1:19">
      <c r="A470" s="491"/>
      <c r="B470" s="348"/>
      <c r="C470" s="313">
        <f t="shared" si="66"/>
        <v>1</v>
      </c>
      <c r="D470" s="1128"/>
      <c r="E470" s="313">
        <f t="shared" si="67"/>
        <v>1</v>
      </c>
      <c r="F470" s="1128"/>
      <c r="G470" s="313">
        <f t="shared" si="68"/>
        <v>1</v>
      </c>
      <c r="H470" s="1128"/>
      <c r="I470" s="313">
        <f t="shared" si="69"/>
        <v>1</v>
      </c>
      <c r="J470" s="1128"/>
      <c r="K470" s="313">
        <f t="shared" si="70"/>
        <v>1</v>
      </c>
      <c r="L470" s="1128"/>
      <c r="M470" s="313">
        <f t="shared" si="71"/>
        <v>1</v>
      </c>
      <c r="N470" s="1128"/>
      <c r="O470" s="313">
        <f t="shared" si="72"/>
        <v>1</v>
      </c>
      <c r="P470" s="1128"/>
      <c r="Q470" s="313">
        <f t="shared" si="73"/>
        <v>1</v>
      </c>
      <c r="R470" s="1124">
        <f t="shared" si="74"/>
        <v>0</v>
      </c>
      <c r="S470" s="698">
        <f t="shared" si="65"/>
        <v>0</v>
      </c>
    </row>
    <row r="471" spans="1:19">
      <c r="A471" s="491"/>
      <c r="B471" s="348"/>
      <c r="C471" s="313">
        <f t="shared" si="66"/>
        <v>1</v>
      </c>
      <c r="D471" s="1128"/>
      <c r="E471" s="313">
        <f t="shared" si="67"/>
        <v>1</v>
      </c>
      <c r="F471" s="1128"/>
      <c r="G471" s="313">
        <f t="shared" si="68"/>
        <v>1</v>
      </c>
      <c r="H471" s="1128"/>
      <c r="I471" s="313">
        <f t="shared" si="69"/>
        <v>1</v>
      </c>
      <c r="J471" s="1128"/>
      <c r="K471" s="313">
        <f t="shared" si="70"/>
        <v>1</v>
      </c>
      <c r="L471" s="1128"/>
      <c r="M471" s="313">
        <f t="shared" si="71"/>
        <v>1</v>
      </c>
      <c r="N471" s="1128"/>
      <c r="O471" s="313">
        <f t="shared" si="72"/>
        <v>1</v>
      </c>
      <c r="P471" s="1128"/>
      <c r="Q471" s="313">
        <f t="shared" si="73"/>
        <v>1</v>
      </c>
      <c r="R471" s="1124">
        <f t="shared" si="74"/>
        <v>0</v>
      </c>
      <c r="S471" s="698">
        <f t="shared" si="65"/>
        <v>0</v>
      </c>
    </row>
    <row r="472" spans="1:19">
      <c r="A472" s="491"/>
      <c r="B472" s="348"/>
      <c r="C472" s="313">
        <f t="shared" si="66"/>
        <v>1</v>
      </c>
      <c r="D472" s="1128"/>
      <c r="E472" s="313">
        <f t="shared" si="67"/>
        <v>1</v>
      </c>
      <c r="F472" s="1128"/>
      <c r="G472" s="313">
        <f t="shared" si="68"/>
        <v>1</v>
      </c>
      <c r="H472" s="1128"/>
      <c r="I472" s="313">
        <f t="shared" si="69"/>
        <v>1</v>
      </c>
      <c r="J472" s="1128"/>
      <c r="K472" s="313">
        <f t="shared" si="70"/>
        <v>1</v>
      </c>
      <c r="L472" s="1128"/>
      <c r="M472" s="313">
        <f t="shared" si="71"/>
        <v>1</v>
      </c>
      <c r="N472" s="1128"/>
      <c r="O472" s="313">
        <f t="shared" si="72"/>
        <v>1</v>
      </c>
      <c r="P472" s="1128"/>
      <c r="Q472" s="313">
        <f t="shared" si="73"/>
        <v>1</v>
      </c>
      <c r="R472" s="1124">
        <f t="shared" si="74"/>
        <v>0</v>
      </c>
      <c r="S472" s="698">
        <f t="shared" ref="S472:S524" si="75">ROUND(R472*B472/10000,0)</f>
        <v>0</v>
      </c>
    </row>
    <row r="473" spans="1:19">
      <c r="A473" s="491"/>
      <c r="B473" s="348"/>
      <c r="C473" s="313">
        <f t="shared" si="66"/>
        <v>1</v>
      </c>
      <c r="D473" s="1128"/>
      <c r="E473" s="313">
        <f t="shared" si="67"/>
        <v>1</v>
      </c>
      <c r="F473" s="1128"/>
      <c r="G473" s="313">
        <f t="shared" si="68"/>
        <v>1</v>
      </c>
      <c r="H473" s="1128"/>
      <c r="I473" s="313">
        <f t="shared" si="69"/>
        <v>1</v>
      </c>
      <c r="J473" s="1128"/>
      <c r="K473" s="313">
        <f t="shared" si="70"/>
        <v>1</v>
      </c>
      <c r="L473" s="1128"/>
      <c r="M473" s="313">
        <f t="shared" si="71"/>
        <v>1</v>
      </c>
      <c r="N473" s="1128"/>
      <c r="O473" s="313">
        <f t="shared" si="72"/>
        <v>1</v>
      </c>
      <c r="P473" s="1128"/>
      <c r="Q473" s="313">
        <f t="shared" si="73"/>
        <v>1</v>
      </c>
      <c r="R473" s="1124">
        <f t="shared" si="74"/>
        <v>0</v>
      </c>
      <c r="S473" s="698">
        <f t="shared" si="75"/>
        <v>0</v>
      </c>
    </row>
    <row r="474" spans="1:19">
      <c r="A474" s="491"/>
      <c r="B474" s="348"/>
      <c r="C474" s="313">
        <f t="shared" ref="C474:C524" si="76">IF(B474="",1,(LOOKUP(B474,$3:$3,$4:$4)-LOOKUP($B$24,$3:$3,$4:$4)+100)/100)</f>
        <v>1</v>
      </c>
      <c r="D474" s="1128"/>
      <c r="E474" s="313">
        <f t="shared" ref="E474:E524" si="77">(SUMIF($5:$5,D474,$6:$6)-SUMIF($5:$5,$D$24,$6:$6)+100)/100</f>
        <v>1</v>
      </c>
      <c r="F474" s="1128"/>
      <c r="G474" s="313">
        <f t="shared" ref="G474:G524" si="78">(SUMIF($7:$7,F474,$8:$8)-SUMIF($7:$7,$F$24,$8:$8)+100)/100</f>
        <v>1</v>
      </c>
      <c r="H474" s="1128"/>
      <c r="I474" s="313">
        <f t="shared" ref="I474:I524" si="79">(SUMIF($9:$9,H474,$10:$10)-SUMIF($9:$9,$H$24,$10:$10)+100)/100</f>
        <v>1</v>
      </c>
      <c r="J474" s="1128"/>
      <c r="K474" s="313">
        <f t="shared" ref="K474:K524" si="80">(SUMIF($11:$11,J474,$12:$12)-SUMIF($11:$11,$J$24,$12:$12)+100)/100</f>
        <v>1</v>
      </c>
      <c r="L474" s="1128"/>
      <c r="M474" s="313">
        <f t="shared" ref="M474:M524" si="81">(SUMIF($13:$13,L474,$14:$14)-SUMIF($13:$13,$L$24,$14:$14)+100)/100</f>
        <v>1</v>
      </c>
      <c r="N474" s="1128"/>
      <c r="O474" s="313">
        <f t="shared" ref="O474:O524" si="82">(SUMIF($15:$15,N474,$16:$16)-SUMIF($15:$15,$N$24,$16:$16)+100)/100</f>
        <v>1</v>
      </c>
      <c r="P474" s="1128"/>
      <c r="Q474" s="313">
        <f t="shared" ref="Q474:Q524" si="83">(SUMIF($17:$17,P474,$18:$18)-SUMIF($17:$17,$P$24,$18:$18)+100)/100</f>
        <v>1</v>
      </c>
      <c r="R474" s="1124">
        <f t="shared" ref="R474:R524" si="84">IF(B474="",0,ROUND($R$24*C474*E474*G474*I474*K474*M474*O474*Q474,0))</f>
        <v>0</v>
      </c>
      <c r="S474" s="698">
        <f t="shared" si="75"/>
        <v>0</v>
      </c>
    </row>
    <row r="475" spans="1:19">
      <c r="A475" s="491"/>
      <c r="B475" s="348"/>
      <c r="C475" s="313">
        <f t="shared" si="76"/>
        <v>1</v>
      </c>
      <c r="D475" s="1128"/>
      <c r="E475" s="313">
        <f t="shared" si="77"/>
        <v>1</v>
      </c>
      <c r="F475" s="1128"/>
      <c r="G475" s="313">
        <f t="shared" si="78"/>
        <v>1</v>
      </c>
      <c r="H475" s="1128"/>
      <c r="I475" s="313">
        <f t="shared" si="79"/>
        <v>1</v>
      </c>
      <c r="J475" s="1128"/>
      <c r="K475" s="313">
        <f t="shared" si="80"/>
        <v>1</v>
      </c>
      <c r="L475" s="1128"/>
      <c r="M475" s="313">
        <f t="shared" si="81"/>
        <v>1</v>
      </c>
      <c r="N475" s="1128"/>
      <c r="O475" s="313">
        <f t="shared" si="82"/>
        <v>1</v>
      </c>
      <c r="P475" s="1128"/>
      <c r="Q475" s="313">
        <f t="shared" si="83"/>
        <v>1</v>
      </c>
      <c r="R475" s="1124">
        <f t="shared" si="84"/>
        <v>0</v>
      </c>
      <c r="S475" s="698">
        <f t="shared" si="75"/>
        <v>0</v>
      </c>
    </row>
    <row r="476" spans="1:19">
      <c r="A476" s="491"/>
      <c r="B476" s="348"/>
      <c r="C476" s="313">
        <f t="shared" si="76"/>
        <v>1</v>
      </c>
      <c r="D476" s="1128"/>
      <c r="E476" s="313">
        <f t="shared" si="77"/>
        <v>1</v>
      </c>
      <c r="F476" s="1128"/>
      <c r="G476" s="313">
        <f t="shared" si="78"/>
        <v>1</v>
      </c>
      <c r="H476" s="1128"/>
      <c r="I476" s="313">
        <f t="shared" si="79"/>
        <v>1</v>
      </c>
      <c r="J476" s="1128"/>
      <c r="K476" s="313">
        <f t="shared" si="80"/>
        <v>1</v>
      </c>
      <c r="L476" s="1128"/>
      <c r="M476" s="313">
        <f t="shared" si="81"/>
        <v>1</v>
      </c>
      <c r="N476" s="1128"/>
      <c r="O476" s="313">
        <f t="shared" si="82"/>
        <v>1</v>
      </c>
      <c r="P476" s="1128"/>
      <c r="Q476" s="313">
        <f t="shared" si="83"/>
        <v>1</v>
      </c>
      <c r="R476" s="1124">
        <f t="shared" si="84"/>
        <v>0</v>
      </c>
      <c r="S476" s="698">
        <f t="shared" si="75"/>
        <v>0</v>
      </c>
    </row>
    <row r="477" spans="1:19">
      <c r="A477" s="491"/>
      <c r="B477" s="348"/>
      <c r="C477" s="313">
        <f t="shared" si="76"/>
        <v>1</v>
      </c>
      <c r="D477" s="1128"/>
      <c r="E477" s="313">
        <f t="shared" si="77"/>
        <v>1</v>
      </c>
      <c r="F477" s="1128"/>
      <c r="G477" s="313">
        <f t="shared" si="78"/>
        <v>1</v>
      </c>
      <c r="H477" s="1128"/>
      <c r="I477" s="313">
        <f t="shared" si="79"/>
        <v>1</v>
      </c>
      <c r="J477" s="1128"/>
      <c r="K477" s="313">
        <f t="shared" si="80"/>
        <v>1</v>
      </c>
      <c r="L477" s="1128"/>
      <c r="M477" s="313">
        <f t="shared" si="81"/>
        <v>1</v>
      </c>
      <c r="N477" s="1128"/>
      <c r="O477" s="313">
        <f t="shared" si="82"/>
        <v>1</v>
      </c>
      <c r="P477" s="1128"/>
      <c r="Q477" s="313">
        <f t="shared" si="83"/>
        <v>1</v>
      </c>
      <c r="R477" s="1124">
        <f t="shared" si="84"/>
        <v>0</v>
      </c>
      <c r="S477" s="698">
        <f t="shared" si="75"/>
        <v>0</v>
      </c>
    </row>
    <row r="478" spans="1:19">
      <c r="A478" s="491"/>
      <c r="B478" s="348"/>
      <c r="C478" s="313">
        <f t="shared" si="76"/>
        <v>1</v>
      </c>
      <c r="D478" s="1128"/>
      <c r="E478" s="313">
        <f t="shared" si="77"/>
        <v>1</v>
      </c>
      <c r="F478" s="1128"/>
      <c r="G478" s="313">
        <f t="shared" si="78"/>
        <v>1</v>
      </c>
      <c r="H478" s="1128"/>
      <c r="I478" s="313">
        <f t="shared" si="79"/>
        <v>1</v>
      </c>
      <c r="J478" s="1128"/>
      <c r="K478" s="313">
        <f t="shared" si="80"/>
        <v>1</v>
      </c>
      <c r="L478" s="1128"/>
      <c r="M478" s="313">
        <f t="shared" si="81"/>
        <v>1</v>
      </c>
      <c r="N478" s="1128"/>
      <c r="O478" s="313">
        <f t="shared" si="82"/>
        <v>1</v>
      </c>
      <c r="P478" s="1128"/>
      <c r="Q478" s="313">
        <f t="shared" si="83"/>
        <v>1</v>
      </c>
      <c r="R478" s="1124">
        <f t="shared" si="84"/>
        <v>0</v>
      </c>
      <c r="S478" s="698">
        <f t="shared" si="75"/>
        <v>0</v>
      </c>
    </row>
    <row r="479" spans="1:19">
      <c r="A479" s="491"/>
      <c r="B479" s="348"/>
      <c r="C479" s="313">
        <f t="shared" si="76"/>
        <v>1</v>
      </c>
      <c r="D479" s="1128"/>
      <c r="E479" s="313">
        <f t="shared" si="77"/>
        <v>1</v>
      </c>
      <c r="F479" s="1128"/>
      <c r="G479" s="313">
        <f t="shared" si="78"/>
        <v>1</v>
      </c>
      <c r="H479" s="1128"/>
      <c r="I479" s="313">
        <f t="shared" si="79"/>
        <v>1</v>
      </c>
      <c r="J479" s="1128"/>
      <c r="K479" s="313">
        <f t="shared" si="80"/>
        <v>1</v>
      </c>
      <c r="L479" s="1128"/>
      <c r="M479" s="313">
        <f t="shared" si="81"/>
        <v>1</v>
      </c>
      <c r="N479" s="1128"/>
      <c r="O479" s="313">
        <f t="shared" si="82"/>
        <v>1</v>
      </c>
      <c r="P479" s="1128"/>
      <c r="Q479" s="313">
        <f t="shared" si="83"/>
        <v>1</v>
      </c>
      <c r="R479" s="1124">
        <f t="shared" si="84"/>
        <v>0</v>
      </c>
      <c r="S479" s="698">
        <f t="shared" si="75"/>
        <v>0</v>
      </c>
    </row>
    <row r="480" spans="1:19">
      <c r="A480" s="491"/>
      <c r="B480" s="348"/>
      <c r="C480" s="313">
        <f t="shared" si="76"/>
        <v>1</v>
      </c>
      <c r="D480" s="1128"/>
      <c r="E480" s="313">
        <f t="shared" si="77"/>
        <v>1</v>
      </c>
      <c r="F480" s="1128"/>
      <c r="G480" s="313">
        <f t="shared" si="78"/>
        <v>1</v>
      </c>
      <c r="H480" s="1128"/>
      <c r="I480" s="313">
        <f t="shared" si="79"/>
        <v>1</v>
      </c>
      <c r="J480" s="1128"/>
      <c r="K480" s="313">
        <f t="shared" si="80"/>
        <v>1</v>
      </c>
      <c r="L480" s="1128"/>
      <c r="M480" s="313">
        <f t="shared" si="81"/>
        <v>1</v>
      </c>
      <c r="N480" s="1128"/>
      <c r="O480" s="313">
        <f t="shared" si="82"/>
        <v>1</v>
      </c>
      <c r="P480" s="1128"/>
      <c r="Q480" s="313">
        <f t="shared" si="83"/>
        <v>1</v>
      </c>
      <c r="R480" s="1124">
        <f t="shared" si="84"/>
        <v>0</v>
      </c>
      <c r="S480" s="698">
        <f t="shared" si="75"/>
        <v>0</v>
      </c>
    </row>
    <row r="481" spans="1:19">
      <c r="A481" s="491"/>
      <c r="B481" s="348"/>
      <c r="C481" s="313">
        <f t="shared" si="76"/>
        <v>1</v>
      </c>
      <c r="D481" s="1128"/>
      <c r="E481" s="313">
        <f t="shared" si="77"/>
        <v>1</v>
      </c>
      <c r="F481" s="1128"/>
      <c r="G481" s="313">
        <f t="shared" si="78"/>
        <v>1</v>
      </c>
      <c r="H481" s="1128"/>
      <c r="I481" s="313">
        <f t="shared" si="79"/>
        <v>1</v>
      </c>
      <c r="J481" s="1128"/>
      <c r="K481" s="313">
        <f t="shared" si="80"/>
        <v>1</v>
      </c>
      <c r="L481" s="1128"/>
      <c r="M481" s="313">
        <f t="shared" si="81"/>
        <v>1</v>
      </c>
      <c r="N481" s="1128"/>
      <c r="O481" s="313">
        <f t="shared" si="82"/>
        <v>1</v>
      </c>
      <c r="P481" s="1128"/>
      <c r="Q481" s="313">
        <f t="shared" si="83"/>
        <v>1</v>
      </c>
      <c r="R481" s="1124">
        <f t="shared" si="84"/>
        <v>0</v>
      </c>
      <c r="S481" s="698">
        <f t="shared" si="75"/>
        <v>0</v>
      </c>
    </row>
    <row r="482" spans="1:19">
      <c r="A482" s="491"/>
      <c r="B482" s="348"/>
      <c r="C482" s="313">
        <f t="shared" si="76"/>
        <v>1</v>
      </c>
      <c r="D482" s="1128"/>
      <c r="E482" s="313">
        <f t="shared" si="77"/>
        <v>1</v>
      </c>
      <c r="F482" s="1128"/>
      <c r="G482" s="313">
        <f t="shared" si="78"/>
        <v>1</v>
      </c>
      <c r="H482" s="1128"/>
      <c r="I482" s="313">
        <f t="shared" si="79"/>
        <v>1</v>
      </c>
      <c r="J482" s="1128"/>
      <c r="K482" s="313">
        <f t="shared" si="80"/>
        <v>1</v>
      </c>
      <c r="L482" s="1128"/>
      <c r="M482" s="313">
        <f t="shared" si="81"/>
        <v>1</v>
      </c>
      <c r="N482" s="1128"/>
      <c r="O482" s="313">
        <f t="shared" si="82"/>
        <v>1</v>
      </c>
      <c r="P482" s="1128"/>
      <c r="Q482" s="313">
        <f t="shared" si="83"/>
        <v>1</v>
      </c>
      <c r="R482" s="1124">
        <f t="shared" si="84"/>
        <v>0</v>
      </c>
      <c r="S482" s="698">
        <f t="shared" si="75"/>
        <v>0</v>
      </c>
    </row>
    <row r="483" spans="1:19">
      <c r="A483" s="491"/>
      <c r="B483" s="348"/>
      <c r="C483" s="313">
        <f t="shared" si="76"/>
        <v>1</v>
      </c>
      <c r="D483" s="1128"/>
      <c r="E483" s="313">
        <f t="shared" si="77"/>
        <v>1</v>
      </c>
      <c r="F483" s="1128"/>
      <c r="G483" s="313">
        <f t="shared" si="78"/>
        <v>1</v>
      </c>
      <c r="H483" s="1128"/>
      <c r="I483" s="313">
        <f t="shared" si="79"/>
        <v>1</v>
      </c>
      <c r="J483" s="1128"/>
      <c r="K483" s="313">
        <f t="shared" si="80"/>
        <v>1</v>
      </c>
      <c r="L483" s="1128"/>
      <c r="M483" s="313">
        <f t="shared" si="81"/>
        <v>1</v>
      </c>
      <c r="N483" s="1128"/>
      <c r="O483" s="313">
        <f t="shared" si="82"/>
        <v>1</v>
      </c>
      <c r="P483" s="1128"/>
      <c r="Q483" s="313">
        <f t="shared" si="83"/>
        <v>1</v>
      </c>
      <c r="R483" s="1124">
        <f t="shared" si="84"/>
        <v>0</v>
      </c>
      <c r="S483" s="698">
        <f t="shared" si="75"/>
        <v>0</v>
      </c>
    </row>
    <row r="484" spans="1:19">
      <c r="A484" s="491"/>
      <c r="B484" s="348"/>
      <c r="C484" s="313">
        <f t="shared" si="76"/>
        <v>1</v>
      </c>
      <c r="D484" s="1128"/>
      <c r="E484" s="313">
        <f t="shared" si="77"/>
        <v>1</v>
      </c>
      <c r="F484" s="1128"/>
      <c r="G484" s="313">
        <f t="shared" si="78"/>
        <v>1</v>
      </c>
      <c r="H484" s="1128"/>
      <c r="I484" s="313">
        <f t="shared" si="79"/>
        <v>1</v>
      </c>
      <c r="J484" s="1128"/>
      <c r="K484" s="313">
        <f t="shared" si="80"/>
        <v>1</v>
      </c>
      <c r="L484" s="1128"/>
      <c r="M484" s="313">
        <f t="shared" si="81"/>
        <v>1</v>
      </c>
      <c r="N484" s="1128"/>
      <c r="O484" s="313">
        <f t="shared" si="82"/>
        <v>1</v>
      </c>
      <c r="P484" s="1128"/>
      <c r="Q484" s="313">
        <f t="shared" si="83"/>
        <v>1</v>
      </c>
      <c r="R484" s="1124">
        <f t="shared" si="84"/>
        <v>0</v>
      </c>
      <c r="S484" s="698">
        <f t="shared" si="75"/>
        <v>0</v>
      </c>
    </row>
    <row r="485" spans="1:19">
      <c r="A485" s="491"/>
      <c r="B485" s="348"/>
      <c r="C485" s="313">
        <f t="shared" si="76"/>
        <v>1</v>
      </c>
      <c r="D485" s="1128"/>
      <c r="E485" s="313">
        <f t="shared" si="77"/>
        <v>1</v>
      </c>
      <c r="F485" s="1128"/>
      <c r="G485" s="313">
        <f t="shared" si="78"/>
        <v>1</v>
      </c>
      <c r="H485" s="1128"/>
      <c r="I485" s="313">
        <f t="shared" si="79"/>
        <v>1</v>
      </c>
      <c r="J485" s="1128"/>
      <c r="K485" s="313">
        <f t="shared" si="80"/>
        <v>1</v>
      </c>
      <c r="L485" s="1128"/>
      <c r="M485" s="313">
        <f t="shared" si="81"/>
        <v>1</v>
      </c>
      <c r="N485" s="1128"/>
      <c r="O485" s="313">
        <f t="shared" si="82"/>
        <v>1</v>
      </c>
      <c r="P485" s="1128"/>
      <c r="Q485" s="313">
        <f t="shared" si="83"/>
        <v>1</v>
      </c>
      <c r="R485" s="1124">
        <f t="shared" si="84"/>
        <v>0</v>
      </c>
      <c r="S485" s="698">
        <f t="shared" si="75"/>
        <v>0</v>
      </c>
    </row>
    <row r="486" spans="1:19">
      <c r="A486" s="491"/>
      <c r="B486" s="348"/>
      <c r="C486" s="313">
        <f t="shared" si="76"/>
        <v>1</v>
      </c>
      <c r="D486" s="1128"/>
      <c r="E486" s="313">
        <f t="shared" si="77"/>
        <v>1</v>
      </c>
      <c r="F486" s="1128"/>
      <c r="G486" s="313">
        <f t="shared" si="78"/>
        <v>1</v>
      </c>
      <c r="H486" s="1128"/>
      <c r="I486" s="313">
        <f t="shared" si="79"/>
        <v>1</v>
      </c>
      <c r="J486" s="1128"/>
      <c r="K486" s="313">
        <f t="shared" si="80"/>
        <v>1</v>
      </c>
      <c r="L486" s="1128"/>
      <c r="M486" s="313">
        <f t="shared" si="81"/>
        <v>1</v>
      </c>
      <c r="N486" s="1128"/>
      <c r="O486" s="313">
        <f t="shared" si="82"/>
        <v>1</v>
      </c>
      <c r="P486" s="1128"/>
      <c r="Q486" s="313">
        <f t="shared" si="83"/>
        <v>1</v>
      </c>
      <c r="R486" s="1124">
        <f t="shared" si="84"/>
        <v>0</v>
      </c>
      <c r="S486" s="698">
        <f t="shared" si="75"/>
        <v>0</v>
      </c>
    </row>
    <row r="487" spans="1:19">
      <c r="A487" s="491"/>
      <c r="B487" s="348"/>
      <c r="C487" s="313">
        <f t="shared" si="76"/>
        <v>1</v>
      </c>
      <c r="D487" s="1128"/>
      <c r="E487" s="313">
        <f t="shared" si="77"/>
        <v>1</v>
      </c>
      <c r="F487" s="1128"/>
      <c r="G487" s="313">
        <f t="shared" si="78"/>
        <v>1</v>
      </c>
      <c r="H487" s="1128"/>
      <c r="I487" s="313">
        <f t="shared" si="79"/>
        <v>1</v>
      </c>
      <c r="J487" s="1128"/>
      <c r="K487" s="313">
        <f t="shared" si="80"/>
        <v>1</v>
      </c>
      <c r="L487" s="1128"/>
      <c r="M487" s="313">
        <f t="shared" si="81"/>
        <v>1</v>
      </c>
      <c r="N487" s="1128"/>
      <c r="O487" s="313">
        <f t="shared" si="82"/>
        <v>1</v>
      </c>
      <c r="P487" s="1128"/>
      <c r="Q487" s="313">
        <f t="shared" si="83"/>
        <v>1</v>
      </c>
      <c r="R487" s="1124">
        <f t="shared" si="84"/>
        <v>0</v>
      </c>
      <c r="S487" s="698">
        <f t="shared" si="75"/>
        <v>0</v>
      </c>
    </row>
    <row r="488" spans="1:19">
      <c r="A488" s="491"/>
      <c r="B488" s="348"/>
      <c r="C488" s="313">
        <f t="shared" si="76"/>
        <v>1</v>
      </c>
      <c r="D488" s="1128"/>
      <c r="E488" s="313">
        <f t="shared" si="77"/>
        <v>1</v>
      </c>
      <c r="F488" s="1128"/>
      <c r="G488" s="313">
        <f t="shared" si="78"/>
        <v>1</v>
      </c>
      <c r="H488" s="1128"/>
      <c r="I488" s="313">
        <f t="shared" si="79"/>
        <v>1</v>
      </c>
      <c r="J488" s="1128"/>
      <c r="K488" s="313">
        <f t="shared" si="80"/>
        <v>1</v>
      </c>
      <c r="L488" s="1128"/>
      <c r="M488" s="313">
        <f t="shared" si="81"/>
        <v>1</v>
      </c>
      <c r="N488" s="1128"/>
      <c r="O488" s="313">
        <f t="shared" si="82"/>
        <v>1</v>
      </c>
      <c r="P488" s="1128"/>
      <c r="Q488" s="313">
        <f t="shared" si="83"/>
        <v>1</v>
      </c>
      <c r="R488" s="1124">
        <f t="shared" si="84"/>
        <v>0</v>
      </c>
      <c r="S488" s="698">
        <f t="shared" si="75"/>
        <v>0</v>
      </c>
    </row>
    <row r="489" spans="1:19">
      <c r="A489" s="491"/>
      <c r="B489" s="348"/>
      <c r="C489" s="313">
        <f t="shared" si="76"/>
        <v>1</v>
      </c>
      <c r="D489" s="1128"/>
      <c r="E489" s="313">
        <f t="shared" si="77"/>
        <v>1</v>
      </c>
      <c r="F489" s="1128"/>
      <c r="G489" s="313">
        <f t="shared" si="78"/>
        <v>1</v>
      </c>
      <c r="H489" s="1128"/>
      <c r="I489" s="313">
        <f t="shared" si="79"/>
        <v>1</v>
      </c>
      <c r="J489" s="1128"/>
      <c r="K489" s="313">
        <f t="shared" si="80"/>
        <v>1</v>
      </c>
      <c r="L489" s="1128"/>
      <c r="M489" s="313">
        <f t="shared" si="81"/>
        <v>1</v>
      </c>
      <c r="N489" s="1128"/>
      <c r="O489" s="313">
        <f t="shared" si="82"/>
        <v>1</v>
      </c>
      <c r="P489" s="1128"/>
      <c r="Q489" s="313">
        <f t="shared" si="83"/>
        <v>1</v>
      </c>
      <c r="R489" s="1124">
        <f t="shared" si="84"/>
        <v>0</v>
      </c>
      <c r="S489" s="698">
        <f t="shared" si="75"/>
        <v>0</v>
      </c>
    </row>
    <row r="490" spans="1:19">
      <c r="A490" s="491"/>
      <c r="B490" s="348"/>
      <c r="C490" s="313">
        <f t="shared" si="76"/>
        <v>1</v>
      </c>
      <c r="D490" s="1128"/>
      <c r="E490" s="313">
        <f t="shared" si="77"/>
        <v>1</v>
      </c>
      <c r="F490" s="1128"/>
      <c r="G490" s="313">
        <f t="shared" si="78"/>
        <v>1</v>
      </c>
      <c r="H490" s="1128"/>
      <c r="I490" s="313">
        <f t="shared" si="79"/>
        <v>1</v>
      </c>
      <c r="J490" s="1128"/>
      <c r="K490" s="313">
        <f t="shared" si="80"/>
        <v>1</v>
      </c>
      <c r="L490" s="1128"/>
      <c r="M490" s="313">
        <f t="shared" si="81"/>
        <v>1</v>
      </c>
      <c r="N490" s="1128"/>
      <c r="O490" s="313">
        <f t="shared" si="82"/>
        <v>1</v>
      </c>
      <c r="P490" s="1128"/>
      <c r="Q490" s="313">
        <f t="shared" si="83"/>
        <v>1</v>
      </c>
      <c r="R490" s="1124">
        <f t="shared" si="84"/>
        <v>0</v>
      </c>
      <c r="S490" s="698">
        <f t="shared" si="75"/>
        <v>0</v>
      </c>
    </row>
    <row r="491" spans="1:19">
      <c r="A491" s="491"/>
      <c r="B491" s="348"/>
      <c r="C491" s="313">
        <f t="shared" si="76"/>
        <v>1</v>
      </c>
      <c r="D491" s="1128"/>
      <c r="E491" s="313">
        <f t="shared" si="77"/>
        <v>1</v>
      </c>
      <c r="F491" s="1128"/>
      <c r="G491" s="313">
        <f t="shared" si="78"/>
        <v>1</v>
      </c>
      <c r="H491" s="1128"/>
      <c r="I491" s="313">
        <f t="shared" si="79"/>
        <v>1</v>
      </c>
      <c r="J491" s="1128"/>
      <c r="K491" s="313">
        <f t="shared" si="80"/>
        <v>1</v>
      </c>
      <c r="L491" s="1128"/>
      <c r="M491" s="313">
        <f t="shared" si="81"/>
        <v>1</v>
      </c>
      <c r="N491" s="1128"/>
      <c r="O491" s="313">
        <f t="shared" si="82"/>
        <v>1</v>
      </c>
      <c r="P491" s="1128"/>
      <c r="Q491" s="313">
        <f t="shared" si="83"/>
        <v>1</v>
      </c>
      <c r="R491" s="1124">
        <f t="shared" si="84"/>
        <v>0</v>
      </c>
      <c r="S491" s="698">
        <f t="shared" si="75"/>
        <v>0</v>
      </c>
    </row>
    <row r="492" spans="1:19">
      <c r="A492" s="491"/>
      <c r="B492" s="348"/>
      <c r="C492" s="313">
        <f t="shared" si="76"/>
        <v>1</v>
      </c>
      <c r="D492" s="1128"/>
      <c r="E492" s="313">
        <f t="shared" si="77"/>
        <v>1</v>
      </c>
      <c r="F492" s="1128"/>
      <c r="G492" s="313">
        <f t="shared" si="78"/>
        <v>1</v>
      </c>
      <c r="H492" s="1128"/>
      <c r="I492" s="313">
        <f t="shared" si="79"/>
        <v>1</v>
      </c>
      <c r="J492" s="1128"/>
      <c r="K492" s="313">
        <f t="shared" si="80"/>
        <v>1</v>
      </c>
      <c r="L492" s="1128"/>
      <c r="M492" s="313">
        <f t="shared" si="81"/>
        <v>1</v>
      </c>
      <c r="N492" s="1128"/>
      <c r="O492" s="313">
        <f t="shared" si="82"/>
        <v>1</v>
      </c>
      <c r="P492" s="1128"/>
      <c r="Q492" s="313">
        <f t="shared" si="83"/>
        <v>1</v>
      </c>
      <c r="R492" s="1124">
        <f t="shared" si="84"/>
        <v>0</v>
      </c>
      <c r="S492" s="698">
        <f t="shared" si="75"/>
        <v>0</v>
      </c>
    </row>
    <row r="493" spans="1:19">
      <c r="A493" s="491"/>
      <c r="B493" s="348"/>
      <c r="C493" s="313">
        <f t="shared" si="76"/>
        <v>1</v>
      </c>
      <c r="D493" s="1128"/>
      <c r="E493" s="313">
        <f t="shared" si="77"/>
        <v>1</v>
      </c>
      <c r="F493" s="1128"/>
      <c r="G493" s="313">
        <f t="shared" si="78"/>
        <v>1</v>
      </c>
      <c r="H493" s="1128"/>
      <c r="I493" s="313">
        <f t="shared" si="79"/>
        <v>1</v>
      </c>
      <c r="J493" s="1128"/>
      <c r="K493" s="313">
        <f t="shared" si="80"/>
        <v>1</v>
      </c>
      <c r="L493" s="1128"/>
      <c r="M493" s="313">
        <f t="shared" si="81"/>
        <v>1</v>
      </c>
      <c r="N493" s="1128"/>
      <c r="O493" s="313">
        <f t="shared" si="82"/>
        <v>1</v>
      </c>
      <c r="P493" s="1128"/>
      <c r="Q493" s="313">
        <f t="shared" si="83"/>
        <v>1</v>
      </c>
      <c r="R493" s="1124">
        <f t="shared" si="84"/>
        <v>0</v>
      </c>
      <c r="S493" s="698">
        <f t="shared" si="75"/>
        <v>0</v>
      </c>
    </row>
    <row r="494" spans="1:19">
      <c r="A494" s="491"/>
      <c r="B494" s="348"/>
      <c r="C494" s="313">
        <f t="shared" si="76"/>
        <v>1</v>
      </c>
      <c r="D494" s="1128"/>
      <c r="E494" s="313">
        <f t="shared" si="77"/>
        <v>1</v>
      </c>
      <c r="F494" s="1128"/>
      <c r="G494" s="313">
        <f t="shared" si="78"/>
        <v>1</v>
      </c>
      <c r="H494" s="1128"/>
      <c r="I494" s="313">
        <f t="shared" si="79"/>
        <v>1</v>
      </c>
      <c r="J494" s="1128"/>
      <c r="K494" s="313">
        <f t="shared" si="80"/>
        <v>1</v>
      </c>
      <c r="L494" s="1128"/>
      <c r="M494" s="313">
        <f t="shared" si="81"/>
        <v>1</v>
      </c>
      <c r="N494" s="1128"/>
      <c r="O494" s="313">
        <f t="shared" si="82"/>
        <v>1</v>
      </c>
      <c r="P494" s="1128"/>
      <c r="Q494" s="313">
        <f t="shared" si="83"/>
        <v>1</v>
      </c>
      <c r="R494" s="1124">
        <f t="shared" si="84"/>
        <v>0</v>
      </c>
      <c r="S494" s="698">
        <f t="shared" si="75"/>
        <v>0</v>
      </c>
    </row>
    <row r="495" spans="1:19">
      <c r="A495" s="491"/>
      <c r="B495" s="348"/>
      <c r="C495" s="313">
        <f t="shared" si="76"/>
        <v>1</v>
      </c>
      <c r="D495" s="1128"/>
      <c r="E495" s="313">
        <f t="shared" si="77"/>
        <v>1</v>
      </c>
      <c r="F495" s="1128"/>
      <c r="G495" s="313">
        <f t="shared" si="78"/>
        <v>1</v>
      </c>
      <c r="H495" s="1128"/>
      <c r="I495" s="313">
        <f t="shared" si="79"/>
        <v>1</v>
      </c>
      <c r="J495" s="1128"/>
      <c r="K495" s="313">
        <f t="shared" si="80"/>
        <v>1</v>
      </c>
      <c r="L495" s="1128"/>
      <c r="M495" s="313">
        <f t="shared" si="81"/>
        <v>1</v>
      </c>
      <c r="N495" s="1128"/>
      <c r="O495" s="313">
        <f t="shared" si="82"/>
        <v>1</v>
      </c>
      <c r="P495" s="1128"/>
      <c r="Q495" s="313">
        <f t="shared" si="83"/>
        <v>1</v>
      </c>
      <c r="R495" s="1124">
        <f t="shared" si="84"/>
        <v>0</v>
      </c>
      <c r="S495" s="698">
        <f t="shared" si="75"/>
        <v>0</v>
      </c>
    </row>
    <row r="496" spans="1:19">
      <c r="A496" s="491"/>
      <c r="B496" s="348"/>
      <c r="C496" s="313">
        <f t="shared" si="76"/>
        <v>1</v>
      </c>
      <c r="D496" s="1128"/>
      <c r="E496" s="313">
        <f t="shared" si="77"/>
        <v>1</v>
      </c>
      <c r="F496" s="1128"/>
      <c r="G496" s="313">
        <f t="shared" si="78"/>
        <v>1</v>
      </c>
      <c r="H496" s="1128"/>
      <c r="I496" s="313">
        <f t="shared" si="79"/>
        <v>1</v>
      </c>
      <c r="J496" s="1128"/>
      <c r="K496" s="313">
        <f t="shared" si="80"/>
        <v>1</v>
      </c>
      <c r="L496" s="1128"/>
      <c r="M496" s="313">
        <f t="shared" si="81"/>
        <v>1</v>
      </c>
      <c r="N496" s="1128"/>
      <c r="O496" s="313">
        <f t="shared" si="82"/>
        <v>1</v>
      </c>
      <c r="P496" s="1128"/>
      <c r="Q496" s="313">
        <f t="shared" si="83"/>
        <v>1</v>
      </c>
      <c r="R496" s="1124">
        <f t="shared" si="84"/>
        <v>0</v>
      </c>
      <c r="S496" s="698">
        <f t="shared" si="75"/>
        <v>0</v>
      </c>
    </row>
    <row r="497" spans="1:19">
      <c r="A497" s="491"/>
      <c r="B497" s="348"/>
      <c r="C497" s="313">
        <f t="shared" si="76"/>
        <v>1</v>
      </c>
      <c r="D497" s="1128"/>
      <c r="E497" s="313">
        <f t="shared" si="77"/>
        <v>1</v>
      </c>
      <c r="F497" s="1128"/>
      <c r="G497" s="313">
        <f t="shared" si="78"/>
        <v>1</v>
      </c>
      <c r="H497" s="1128"/>
      <c r="I497" s="313">
        <f t="shared" si="79"/>
        <v>1</v>
      </c>
      <c r="J497" s="1128"/>
      <c r="K497" s="313">
        <f t="shared" si="80"/>
        <v>1</v>
      </c>
      <c r="L497" s="1128"/>
      <c r="M497" s="313">
        <f t="shared" si="81"/>
        <v>1</v>
      </c>
      <c r="N497" s="1128"/>
      <c r="O497" s="313">
        <f t="shared" si="82"/>
        <v>1</v>
      </c>
      <c r="P497" s="1128"/>
      <c r="Q497" s="313">
        <f t="shared" si="83"/>
        <v>1</v>
      </c>
      <c r="R497" s="1124">
        <f t="shared" si="84"/>
        <v>0</v>
      </c>
      <c r="S497" s="698">
        <f t="shared" si="75"/>
        <v>0</v>
      </c>
    </row>
    <row r="498" spans="1:19">
      <c r="A498" s="491"/>
      <c r="B498" s="348"/>
      <c r="C498" s="313">
        <f t="shared" si="76"/>
        <v>1</v>
      </c>
      <c r="D498" s="1128"/>
      <c r="E498" s="313">
        <f t="shared" si="77"/>
        <v>1</v>
      </c>
      <c r="F498" s="1128"/>
      <c r="G498" s="313">
        <f t="shared" si="78"/>
        <v>1</v>
      </c>
      <c r="H498" s="1128"/>
      <c r="I498" s="313">
        <f t="shared" si="79"/>
        <v>1</v>
      </c>
      <c r="J498" s="1128"/>
      <c r="K498" s="313">
        <f t="shared" si="80"/>
        <v>1</v>
      </c>
      <c r="L498" s="1128"/>
      <c r="M498" s="313">
        <f t="shared" si="81"/>
        <v>1</v>
      </c>
      <c r="N498" s="1128"/>
      <c r="O498" s="313">
        <f t="shared" si="82"/>
        <v>1</v>
      </c>
      <c r="P498" s="1128"/>
      <c r="Q498" s="313">
        <f t="shared" si="83"/>
        <v>1</v>
      </c>
      <c r="R498" s="1124">
        <f t="shared" si="84"/>
        <v>0</v>
      </c>
      <c r="S498" s="698">
        <f t="shared" si="75"/>
        <v>0</v>
      </c>
    </row>
    <row r="499" spans="1:19">
      <c r="A499" s="491"/>
      <c r="B499" s="348"/>
      <c r="C499" s="313">
        <f t="shared" si="76"/>
        <v>1</v>
      </c>
      <c r="D499" s="1128"/>
      <c r="E499" s="313">
        <f t="shared" si="77"/>
        <v>1</v>
      </c>
      <c r="F499" s="1128"/>
      <c r="G499" s="313">
        <f t="shared" si="78"/>
        <v>1</v>
      </c>
      <c r="H499" s="1128"/>
      <c r="I499" s="313">
        <f t="shared" si="79"/>
        <v>1</v>
      </c>
      <c r="J499" s="1128"/>
      <c r="K499" s="313">
        <f t="shared" si="80"/>
        <v>1</v>
      </c>
      <c r="L499" s="1128"/>
      <c r="M499" s="313">
        <f t="shared" si="81"/>
        <v>1</v>
      </c>
      <c r="N499" s="1128"/>
      <c r="O499" s="313">
        <f t="shared" si="82"/>
        <v>1</v>
      </c>
      <c r="P499" s="1128"/>
      <c r="Q499" s="313">
        <f t="shared" si="83"/>
        <v>1</v>
      </c>
      <c r="R499" s="1124">
        <f t="shared" si="84"/>
        <v>0</v>
      </c>
      <c r="S499" s="698">
        <f t="shared" si="75"/>
        <v>0</v>
      </c>
    </row>
    <row r="500" spans="1:19">
      <c r="A500" s="491"/>
      <c r="B500" s="348"/>
      <c r="C500" s="313">
        <f t="shared" si="76"/>
        <v>1</v>
      </c>
      <c r="D500" s="1128"/>
      <c r="E500" s="313">
        <f t="shared" si="77"/>
        <v>1</v>
      </c>
      <c r="F500" s="1128"/>
      <c r="G500" s="313">
        <f t="shared" si="78"/>
        <v>1</v>
      </c>
      <c r="H500" s="1128"/>
      <c r="I500" s="313">
        <f t="shared" si="79"/>
        <v>1</v>
      </c>
      <c r="J500" s="1128"/>
      <c r="K500" s="313">
        <f t="shared" si="80"/>
        <v>1</v>
      </c>
      <c r="L500" s="1128"/>
      <c r="M500" s="313">
        <f t="shared" si="81"/>
        <v>1</v>
      </c>
      <c r="N500" s="1128"/>
      <c r="O500" s="313">
        <f t="shared" si="82"/>
        <v>1</v>
      </c>
      <c r="P500" s="1128"/>
      <c r="Q500" s="313">
        <f t="shared" si="83"/>
        <v>1</v>
      </c>
      <c r="R500" s="1124">
        <f t="shared" si="84"/>
        <v>0</v>
      </c>
      <c r="S500" s="698">
        <f t="shared" si="75"/>
        <v>0</v>
      </c>
    </row>
    <row r="501" spans="1:19">
      <c r="A501" s="491"/>
      <c r="B501" s="348"/>
      <c r="C501" s="313">
        <f t="shared" si="76"/>
        <v>1</v>
      </c>
      <c r="D501" s="1128"/>
      <c r="E501" s="313">
        <f t="shared" si="77"/>
        <v>1</v>
      </c>
      <c r="F501" s="1128"/>
      <c r="G501" s="313">
        <f t="shared" si="78"/>
        <v>1</v>
      </c>
      <c r="H501" s="1128"/>
      <c r="I501" s="313">
        <f t="shared" si="79"/>
        <v>1</v>
      </c>
      <c r="J501" s="1128"/>
      <c r="K501" s="313">
        <f t="shared" si="80"/>
        <v>1</v>
      </c>
      <c r="L501" s="1128"/>
      <c r="M501" s="313">
        <f t="shared" si="81"/>
        <v>1</v>
      </c>
      <c r="N501" s="1128"/>
      <c r="O501" s="313">
        <f t="shared" si="82"/>
        <v>1</v>
      </c>
      <c r="P501" s="1128"/>
      <c r="Q501" s="313">
        <f t="shared" si="83"/>
        <v>1</v>
      </c>
      <c r="R501" s="1124">
        <f t="shared" si="84"/>
        <v>0</v>
      </c>
      <c r="S501" s="698">
        <f t="shared" si="75"/>
        <v>0</v>
      </c>
    </row>
    <row r="502" spans="1:19">
      <c r="A502" s="491"/>
      <c r="B502" s="348"/>
      <c r="C502" s="313">
        <f t="shared" si="76"/>
        <v>1</v>
      </c>
      <c r="D502" s="1128"/>
      <c r="E502" s="313">
        <f t="shared" si="77"/>
        <v>1</v>
      </c>
      <c r="F502" s="1128"/>
      <c r="G502" s="313">
        <f t="shared" si="78"/>
        <v>1</v>
      </c>
      <c r="H502" s="1128"/>
      <c r="I502" s="313">
        <f t="shared" si="79"/>
        <v>1</v>
      </c>
      <c r="J502" s="1128"/>
      <c r="K502" s="313">
        <f t="shared" si="80"/>
        <v>1</v>
      </c>
      <c r="L502" s="1128"/>
      <c r="M502" s="313">
        <f t="shared" si="81"/>
        <v>1</v>
      </c>
      <c r="N502" s="1128"/>
      <c r="O502" s="313">
        <f t="shared" si="82"/>
        <v>1</v>
      </c>
      <c r="P502" s="1128"/>
      <c r="Q502" s="313">
        <f t="shared" si="83"/>
        <v>1</v>
      </c>
      <c r="R502" s="1124">
        <f t="shared" si="84"/>
        <v>0</v>
      </c>
      <c r="S502" s="698">
        <f t="shared" si="75"/>
        <v>0</v>
      </c>
    </row>
    <row r="503" spans="1:19">
      <c r="A503" s="491"/>
      <c r="B503" s="348"/>
      <c r="C503" s="313">
        <f t="shared" si="76"/>
        <v>1</v>
      </c>
      <c r="D503" s="1128"/>
      <c r="E503" s="313">
        <f t="shared" si="77"/>
        <v>1</v>
      </c>
      <c r="F503" s="1128"/>
      <c r="G503" s="313">
        <f t="shared" si="78"/>
        <v>1</v>
      </c>
      <c r="H503" s="1128"/>
      <c r="I503" s="313">
        <f t="shared" si="79"/>
        <v>1</v>
      </c>
      <c r="J503" s="1128"/>
      <c r="K503" s="313">
        <f t="shared" si="80"/>
        <v>1</v>
      </c>
      <c r="L503" s="1128"/>
      <c r="M503" s="313">
        <f t="shared" si="81"/>
        <v>1</v>
      </c>
      <c r="N503" s="1128"/>
      <c r="O503" s="313">
        <f t="shared" si="82"/>
        <v>1</v>
      </c>
      <c r="P503" s="1128"/>
      <c r="Q503" s="313">
        <f t="shared" si="83"/>
        <v>1</v>
      </c>
      <c r="R503" s="1124">
        <f t="shared" si="84"/>
        <v>0</v>
      </c>
      <c r="S503" s="698">
        <f t="shared" si="75"/>
        <v>0</v>
      </c>
    </row>
    <row r="504" spans="1:19">
      <c r="A504" s="491"/>
      <c r="B504" s="348"/>
      <c r="C504" s="313">
        <f t="shared" si="76"/>
        <v>1</v>
      </c>
      <c r="D504" s="1128"/>
      <c r="E504" s="313">
        <f t="shared" si="77"/>
        <v>1</v>
      </c>
      <c r="F504" s="1128"/>
      <c r="G504" s="313">
        <f t="shared" si="78"/>
        <v>1</v>
      </c>
      <c r="H504" s="1128"/>
      <c r="I504" s="313">
        <f t="shared" si="79"/>
        <v>1</v>
      </c>
      <c r="J504" s="1128"/>
      <c r="K504" s="313">
        <f t="shared" si="80"/>
        <v>1</v>
      </c>
      <c r="L504" s="1128"/>
      <c r="M504" s="313">
        <f t="shared" si="81"/>
        <v>1</v>
      </c>
      <c r="N504" s="1128"/>
      <c r="O504" s="313">
        <f t="shared" si="82"/>
        <v>1</v>
      </c>
      <c r="P504" s="1128"/>
      <c r="Q504" s="313">
        <f t="shared" si="83"/>
        <v>1</v>
      </c>
      <c r="R504" s="1124">
        <f t="shared" si="84"/>
        <v>0</v>
      </c>
      <c r="S504" s="698">
        <f t="shared" si="75"/>
        <v>0</v>
      </c>
    </row>
    <row r="505" spans="1:19">
      <c r="A505" s="491"/>
      <c r="B505" s="348"/>
      <c r="C505" s="313">
        <f t="shared" si="76"/>
        <v>1</v>
      </c>
      <c r="D505" s="1128"/>
      <c r="E505" s="313">
        <f t="shared" si="77"/>
        <v>1</v>
      </c>
      <c r="F505" s="1128"/>
      <c r="G505" s="313">
        <f t="shared" si="78"/>
        <v>1</v>
      </c>
      <c r="H505" s="1128"/>
      <c r="I505" s="313">
        <f t="shared" si="79"/>
        <v>1</v>
      </c>
      <c r="J505" s="1128"/>
      <c r="K505" s="313">
        <f t="shared" si="80"/>
        <v>1</v>
      </c>
      <c r="L505" s="1128"/>
      <c r="M505" s="313">
        <f t="shared" si="81"/>
        <v>1</v>
      </c>
      <c r="N505" s="1128"/>
      <c r="O505" s="313">
        <f t="shared" si="82"/>
        <v>1</v>
      </c>
      <c r="P505" s="1128"/>
      <c r="Q505" s="313">
        <f t="shared" si="83"/>
        <v>1</v>
      </c>
      <c r="R505" s="1124">
        <f t="shared" si="84"/>
        <v>0</v>
      </c>
      <c r="S505" s="698">
        <f t="shared" si="75"/>
        <v>0</v>
      </c>
    </row>
    <row r="506" spans="1:19">
      <c r="A506" s="491"/>
      <c r="B506" s="348"/>
      <c r="C506" s="313">
        <f t="shared" si="76"/>
        <v>1</v>
      </c>
      <c r="D506" s="1128"/>
      <c r="E506" s="313">
        <f t="shared" si="77"/>
        <v>1</v>
      </c>
      <c r="F506" s="1128"/>
      <c r="G506" s="313">
        <f t="shared" si="78"/>
        <v>1</v>
      </c>
      <c r="H506" s="1128"/>
      <c r="I506" s="313">
        <f t="shared" si="79"/>
        <v>1</v>
      </c>
      <c r="J506" s="1128"/>
      <c r="K506" s="313">
        <f t="shared" si="80"/>
        <v>1</v>
      </c>
      <c r="L506" s="1128"/>
      <c r="M506" s="313">
        <f t="shared" si="81"/>
        <v>1</v>
      </c>
      <c r="N506" s="1128"/>
      <c r="O506" s="313">
        <f t="shared" si="82"/>
        <v>1</v>
      </c>
      <c r="P506" s="1128"/>
      <c r="Q506" s="313">
        <f t="shared" si="83"/>
        <v>1</v>
      </c>
      <c r="R506" s="1124">
        <f t="shared" si="84"/>
        <v>0</v>
      </c>
      <c r="S506" s="698">
        <f t="shared" si="75"/>
        <v>0</v>
      </c>
    </row>
    <row r="507" spans="1:19">
      <c r="A507" s="491"/>
      <c r="B507" s="348"/>
      <c r="C507" s="313">
        <f t="shared" si="76"/>
        <v>1</v>
      </c>
      <c r="D507" s="1128"/>
      <c r="E507" s="313">
        <f t="shared" si="77"/>
        <v>1</v>
      </c>
      <c r="F507" s="1128"/>
      <c r="G507" s="313">
        <f t="shared" si="78"/>
        <v>1</v>
      </c>
      <c r="H507" s="1128"/>
      <c r="I507" s="313">
        <f t="shared" si="79"/>
        <v>1</v>
      </c>
      <c r="J507" s="1128"/>
      <c r="K507" s="313">
        <f t="shared" si="80"/>
        <v>1</v>
      </c>
      <c r="L507" s="1128"/>
      <c r="M507" s="313">
        <f t="shared" si="81"/>
        <v>1</v>
      </c>
      <c r="N507" s="1128"/>
      <c r="O507" s="313">
        <f t="shared" si="82"/>
        <v>1</v>
      </c>
      <c r="P507" s="1128"/>
      <c r="Q507" s="313">
        <f t="shared" si="83"/>
        <v>1</v>
      </c>
      <c r="R507" s="1124">
        <f t="shared" si="84"/>
        <v>0</v>
      </c>
      <c r="S507" s="698">
        <f t="shared" si="75"/>
        <v>0</v>
      </c>
    </row>
    <row r="508" spans="1:19">
      <c r="A508" s="491"/>
      <c r="B508" s="348"/>
      <c r="C508" s="313">
        <f t="shared" si="76"/>
        <v>1</v>
      </c>
      <c r="D508" s="1128"/>
      <c r="E508" s="313">
        <f t="shared" si="77"/>
        <v>1</v>
      </c>
      <c r="F508" s="1128"/>
      <c r="G508" s="313">
        <f t="shared" si="78"/>
        <v>1</v>
      </c>
      <c r="H508" s="1128"/>
      <c r="I508" s="313">
        <f t="shared" si="79"/>
        <v>1</v>
      </c>
      <c r="J508" s="1128"/>
      <c r="K508" s="313">
        <f t="shared" si="80"/>
        <v>1</v>
      </c>
      <c r="L508" s="1128"/>
      <c r="M508" s="313">
        <f t="shared" si="81"/>
        <v>1</v>
      </c>
      <c r="N508" s="1128"/>
      <c r="O508" s="313">
        <f t="shared" si="82"/>
        <v>1</v>
      </c>
      <c r="P508" s="1128"/>
      <c r="Q508" s="313">
        <f t="shared" si="83"/>
        <v>1</v>
      </c>
      <c r="R508" s="1124">
        <f t="shared" si="84"/>
        <v>0</v>
      </c>
      <c r="S508" s="698">
        <f t="shared" si="75"/>
        <v>0</v>
      </c>
    </row>
    <row r="509" spans="1:19">
      <c r="A509" s="491"/>
      <c r="B509" s="348"/>
      <c r="C509" s="313">
        <f t="shared" si="76"/>
        <v>1</v>
      </c>
      <c r="D509" s="1128"/>
      <c r="E509" s="313">
        <f t="shared" si="77"/>
        <v>1</v>
      </c>
      <c r="F509" s="1128"/>
      <c r="G509" s="313">
        <f t="shared" si="78"/>
        <v>1</v>
      </c>
      <c r="H509" s="1128"/>
      <c r="I509" s="313">
        <f t="shared" si="79"/>
        <v>1</v>
      </c>
      <c r="J509" s="1128"/>
      <c r="K509" s="313">
        <f t="shared" si="80"/>
        <v>1</v>
      </c>
      <c r="L509" s="1128"/>
      <c r="M509" s="313">
        <f t="shared" si="81"/>
        <v>1</v>
      </c>
      <c r="N509" s="1128"/>
      <c r="O509" s="313">
        <f t="shared" si="82"/>
        <v>1</v>
      </c>
      <c r="P509" s="1128"/>
      <c r="Q509" s="313">
        <f t="shared" si="83"/>
        <v>1</v>
      </c>
      <c r="R509" s="1124">
        <f t="shared" si="84"/>
        <v>0</v>
      </c>
      <c r="S509" s="698">
        <f t="shared" si="75"/>
        <v>0</v>
      </c>
    </row>
    <row r="510" spans="1:19">
      <c r="A510" s="491"/>
      <c r="B510" s="348"/>
      <c r="C510" s="313">
        <f t="shared" si="76"/>
        <v>1</v>
      </c>
      <c r="D510" s="1128"/>
      <c r="E510" s="313">
        <f t="shared" si="77"/>
        <v>1</v>
      </c>
      <c r="F510" s="1128"/>
      <c r="G510" s="313">
        <f t="shared" si="78"/>
        <v>1</v>
      </c>
      <c r="H510" s="1128"/>
      <c r="I510" s="313">
        <f t="shared" si="79"/>
        <v>1</v>
      </c>
      <c r="J510" s="1128"/>
      <c r="K510" s="313">
        <f t="shared" si="80"/>
        <v>1</v>
      </c>
      <c r="L510" s="1128"/>
      <c r="M510" s="313">
        <f t="shared" si="81"/>
        <v>1</v>
      </c>
      <c r="N510" s="1128"/>
      <c r="O510" s="313">
        <f t="shared" si="82"/>
        <v>1</v>
      </c>
      <c r="P510" s="1128"/>
      <c r="Q510" s="313">
        <f t="shared" si="83"/>
        <v>1</v>
      </c>
      <c r="R510" s="1124">
        <f t="shared" si="84"/>
        <v>0</v>
      </c>
      <c r="S510" s="698">
        <f t="shared" si="75"/>
        <v>0</v>
      </c>
    </row>
    <row r="511" spans="1:19">
      <c r="A511" s="491"/>
      <c r="B511" s="348"/>
      <c r="C511" s="313">
        <f t="shared" si="76"/>
        <v>1</v>
      </c>
      <c r="D511" s="1128"/>
      <c r="E511" s="313">
        <f t="shared" si="77"/>
        <v>1</v>
      </c>
      <c r="F511" s="1128"/>
      <c r="G511" s="313">
        <f t="shared" si="78"/>
        <v>1</v>
      </c>
      <c r="H511" s="1128"/>
      <c r="I511" s="313">
        <f t="shared" si="79"/>
        <v>1</v>
      </c>
      <c r="J511" s="1128"/>
      <c r="K511" s="313">
        <f t="shared" si="80"/>
        <v>1</v>
      </c>
      <c r="L511" s="1128"/>
      <c r="M511" s="313">
        <f t="shared" si="81"/>
        <v>1</v>
      </c>
      <c r="N511" s="1128"/>
      <c r="O511" s="313">
        <f t="shared" si="82"/>
        <v>1</v>
      </c>
      <c r="P511" s="1128"/>
      <c r="Q511" s="313">
        <f t="shared" si="83"/>
        <v>1</v>
      </c>
      <c r="R511" s="1124">
        <f t="shared" si="84"/>
        <v>0</v>
      </c>
      <c r="S511" s="698">
        <f t="shared" si="75"/>
        <v>0</v>
      </c>
    </row>
    <row r="512" spans="1:19">
      <c r="A512" s="491"/>
      <c r="B512" s="348"/>
      <c r="C512" s="313">
        <f t="shared" si="76"/>
        <v>1</v>
      </c>
      <c r="D512" s="1128"/>
      <c r="E512" s="313">
        <f t="shared" si="77"/>
        <v>1</v>
      </c>
      <c r="F512" s="1128"/>
      <c r="G512" s="313">
        <f t="shared" si="78"/>
        <v>1</v>
      </c>
      <c r="H512" s="1128"/>
      <c r="I512" s="313">
        <f t="shared" si="79"/>
        <v>1</v>
      </c>
      <c r="J512" s="1128"/>
      <c r="K512" s="313">
        <f t="shared" si="80"/>
        <v>1</v>
      </c>
      <c r="L512" s="1128"/>
      <c r="M512" s="313">
        <f t="shared" si="81"/>
        <v>1</v>
      </c>
      <c r="N512" s="1128"/>
      <c r="O512" s="313">
        <f t="shared" si="82"/>
        <v>1</v>
      </c>
      <c r="P512" s="1128"/>
      <c r="Q512" s="313">
        <f t="shared" si="83"/>
        <v>1</v>
      </c>
      <c r="R512" s="1124">
        <f t="shared" si="84"/>
        <v>0</v>
      </c>
      <c r="S512" s="698">
        <f t="shared" si="75"/>
        <v>0</v>
      </c>
    </row>
    <row r="513" spans="1:19">
      <c r="A513" s="491"/>
      <c r="B513" s="348"/>
      <c r="C513" s="313">
        <f t="shared" si="76"/>
        <v>1</v>
      </c>
      <c r="D513" s="1128"/>
      <c r="E513" s="313">
        <f t="shared" si="77"/>
        <v>1</v>
      </c>
      <c r="F513" s="1128"/>
      <c r="G513" s="313">
        <f t="shared" si="78"/>
        <v>1</v>
      </c>
      <c r="H513" s="1128"/>
      <c r="I513" s="313">
        <f t="shared" si="79"/>
        <v>1</v>
      </c>
      <c r="J513" s="1128"/>
      <c r="K513" s="313">
        <f t="shared" si="80"/>
        <v>1</v>
      </c>
      <c r="L513" s="1128"/>
      <c r="M513" s="313">
        <f t="shared" si="81"/>
        <v>1</v>
      </c>
      <c r="N513" s="1128"/>
      <c r="O513" s="313">
        <f t="shared" si="82"/>
        <v>1</v>
      </c>
      <c r="P513" s="1128"/>
      <c r="Q513" s="313">
        <f t="shared" si="83"/>
        <v>1</v>
      </c>
      <c r="R513" s="1124">
        <f t="shared" si="84"/>
        <v>0</v>
      </c>
      <c r="S513" s="698">
        <f t="shared" si="75"/>
        <v>0</v>
      </c>
    </row>
    <row r="514" spans="1:19">
      <c r="A514" s="491"/>
      <c r="B514" s="348"/>
      <c r="C514" s="313">
        <f t="shared" si="76"/>
        <v>1</v>
      </c>
      <c r="D514" s="1128"/>
      <c r="E514" s="313">
        <f t="shared" si="77"/>
        <v>1</v>
      </c>
      <c r="F514" s="1128"/>
      <c r="G514" s="313">
        <f t="shared" si="78"/>
        <v>1</v>
      </c>
      <c r="H514" s="1128"/>
      <c r="I514" s="313">
        <f t="shared" si="79"/>
        <v>1</v>
      </c>
      <c r="J514" s="1128"/>
      <c r="K514" s="313">
        <f t="shared" si="80"/>
        <v>1</v>
      </c>
      <c r="L514" s="1128"/>
      <c r="M514" s="313">
        <f t="shared" si="81"/>
        <v>1</v>
      </c>
      <c r="N514" s="1128"/>
      <c r="O514" s="313">
        <f t="shared" si="82"/>
        <v>1</v>
      </c>
      <c r="P514" s="1128"/>
      <c r="Q514" s="313">
        <f t="shared" si="83"/>
        <v>1</v>
      </c>
      <c r="R514" s="1124">
        <f t="shared" si="84"/>
        <v>0</v>
      </c>
      <c r="S514" s="698">
        <f t="shared" si="75"/>
        <v>0</v>
      </c>
    </row>
    <row r="515" spans="1:19">
      <c r="A515" s="491"/>
      <c r="B515" s="348"/>
      <c r="C515" s="313">
        <f t="shared" si="76"/>
        <v>1</v>
      </c>
      <c r="D515" s="1128"/>
      <c r="E515" s="313">
        <f t="shared" si="77"/>
        <v>1</v>
      </c>
      <c r="F515" s="1128"/>
      <c r="G515" s="313">
        <f t="shared" si="78"/>
        <v>1</v>
      </c>
      <c r="H515" s="1128"/>
      <c r="I515" s="313">
        <f t="shared" si="79"/>
        <v>1</v>
      </c>
      <c r="J515" s="1128"/>
      <c r="K515" s="313">
        <f t="shared" si="80"/>
        <v>1</v>
      </c>
      <c r="L515" s="1128"/>
      <c r="M515" s="313">
        <f t="shared" si="81"/>
        <v>1</v>
      </c>
      <c r="N515" s="1128"/>
      <c r="O515" s="313">
        <f t="shared" si="82"/>
        <v>1</v>
      </c>
      <c r="P515" s="1128"/>
      <c r="Q515" s="313">
        <f t="shared" si="83"/>
        <v>1</v>
      </c>
      <c r="R515" s="1124">
        <f t="shared" si="84"/>
        <v>0</v>
      </c>
      <c r="S515" s="698">
        <f t="shared" si="75"/>
        <v>0</v>
      </c>
    </row>
    <row r="516" spans="1:19">
      <c r="A516" s="491"/>
      <c r="B516" s="348"/>
      <c r="C516" s="313">
        <f t="shared" si="76"/>
        <v>1</v>
      </c>
      <c r="D516" s="1128"/>
      <c r="E516" s="313">
        <f t="shared" si="77"/>
        <v>1</v>
      </c>
      <c r="F516" s="1128"/>
      <c r="G516" s="313">
        <f t="shared" si="78"/>
        <v>1</v>
      </c>
      <c r="H516" s="1128"/>
      <c r="I516" s="313">
        <f t="shared" si="79"/>
        <v>1</v>
      </c>
      <c r="J516" s="1128"/>
      <c r="K516" s="313">
        <f t="shared" si="80"/>
        <v>1</v>
      </c>
      <c r="L516" s="1128"/>
      <c r="M516" s="313">
        <f t="shared" si="81"/>
        <v>1</v>
      </c>
      <c r="N516" s="1128"/>
      <c r="O516" s="313">
        <f t="shared" si="82"/>
        <v>1</v>
      </c>
      <c r="P516" s="1128"/>
      <c r="Q516" s="313">
        <f t="shared" si="83"/>
        <v>1</v>
      </c>
      <c r="R516" s="1124">
        <f t="shared" si="84"/>
        <v>0</v>
      </c>
      <c r="S516" s="698">
        <f t="shared" si="75"/>
        <v>0</v>
      </c>
    </row>
    <row r="517" spans="1:19">
      <c r="A517" s="491"/>
      <c r="B517" s="348"/>
      <c r="C517" s="313">
        <f t="shared" si="76"/>
        <v>1</v>
      </c>
      <c r="D517" s="1128"/>
      <c r="E517" s="313">
        <f t="shared" si="77"/>
        <v>1</v>
      </c>
      <c r="F517" s="1128"/>
      <c r="G517" s="313">
        <f t="shared" si="78"/>
        <v>1</v>
      </c>
      <c r="H517" s="1128"/>
      <c r="I517" s="313">
        <f t="shared" si="79"/>
        <v>1</v>
      </c>
      <c r="J517" s="1128"/>
      <c r="K517" s="313">
        <f t="shared" si="80"/>
        <v>1</v>
      </c>
      <c r="L517" s="1128"/>
      <c r="M517" s="313">
        <f t="shared" si="81"/>
        <v>1</v>
      </c>
      <c r="N517" s="1128"/>
      <c r="O517" s="313">
        <f t="shared" si="82"/>
        <v>1</v>
      </c>
      <c r="P517" s="1128"/>
      <c r="Q517" s="313">
        <f t="shared" si="83"/>
        <v>1</v>
      </c>
      <c r="R517" s="1124">
        <f t="shared" si="84"/>
        <v>0</v>
      </c>
      <c r="S517" s="698">
        <f t="shared" si="75"/>
        <v>0</v>
      </c>
    </row>
    <row r="518" spans="1:19">
      <c r="A518" s="491"/>
      <c r="B518" s="348"/>
      <c r="C518" s="313">
        <f t="shared" si="76"/>
        <v>1</v>
      </c>
      <c r="D518" s="1128"/>
      <c r="E518" s="313">
        <f t="shared" si="77"/>
        <v>1</v>
      </c>
      <c r="F518" s="1128"/>
      <c r="G518" s="313">
        <f t="shared" si="78"/>
        <v>1</v>
      </c>
      <c r="H518" s="1128"/>
      <c r="I518" s="313">
        <f t="shared" si="79"/>
        <v>1</v>
      </c>
      <c r="J518" s="1128"/>
      <c r="K518" s="313">
        <f t="shared" si="80"/>
        <v>1</v>
      </c>
      <c r="L518" s="1128"/>
      <c r="M518" s="313">
        <f t="shared" si="81"/>
        <v>1</v>
      </c>
      <c r="N518" s="1128"/>
      <c r="O518" s="313">
        <f t="shared" si="82"/>
        <v>1</v>
      </c>
      <c r="P518" s="1128"/>
      <c r="Q518" s="313">
        <f t="shared" si="83"/>
        <v>1</v>
      </c>
      <c r="R518" s="1124">
        <f t="shared" si="84"/>
        <v>0</v>
      </c>
      <c r="S518" s="698">
        <f t="shared" si="75"/>
        <v>0</v>
      </c>
    </row>
    <row r="519" spans="1:19">
      <c r="A519" s="491"/>
      <c r="B519" s="348"/>
      <c r="C519" s="313">
        <f t="shared" si="76"/>
        <v>1</v>
      </c>
      <c r="D519" s="1128"/>
      <c r="E519" s="313">
        <f t="shared" si="77"/>
        <v>1</v>
      </c>
      <c r="F519" s="1128"/>
      <c r="G519" s="313">
        <f t="shared" si="78"/>
        <v>1</v>
      </c>
      <c r="H519" s="1128"/>
      <c r="I519" s="313">
        <f t="shared" si="79"/>
        <v>1</v>
      </c>
      <c r="J519" s="1128"/>
      <c r="K519" s="313">
        <f t="shared" si="80"/>
        <v>1</v>
      </c>
      <c r="L519" s="1128"/>
      <c r="M519" s="313">
        <f t="shared" si="81"/>
        <v>1</v>
      </c>
      <c r="N519" s="1128"/>
      <c r="O519" s="313">
        <f t="shared" si="82"/>
        <v>1</v>
      </c>
      <c r="P519" s="1128"/>
      <c r="Q519" s="313">
        <f t="shared" si="83"/>
        <v>1</v>
      </c>
      <c r="R519" s="1124">
        <f t="shared" si="84"/>
        <v>0</v>
      </c>
      <c r="S519" s="698">
        <f t="shared" si="75"/>
        <v>0</v>
      </c>
    </row>
    <row r="520" spans="1:19">
      <c r="A520" s="491"/>
      <c r="B520" s="348"/>
      <c r="C520" s="313">
        <f t="shared" si="76"/>
        <v>1</v>
      </c>
      <c r="D520" s="1128"/>
      <c r="E520" s="313">
        <f t="shared" si="77"/>
        <v>1</v>
      </c>
      <c r="F520" s="1128"/>
      <c r="G520" s="313">
        <f t="shared" si="78"/>
        <v>1</v>
      </c>
      <c r="H520" s="1128"/>
      <c r="I520" s="313">
        <f t="shared" si="79"/>
        <v>1</v>
      </c>
      <c r="J520" s="1128"/>
      <c r="K520" s="313">
        <f t="shared" si="80"/>
        <v>1</v>
      </c>
      <c r="L520" s="1128"/>
      <c r="M520" s="313">
        <f t="shared" si="81"/>
        <v>1</v>
      </c>
      <c r="N520" s="1128"/>
      <c r="O520" s="313">
        <f t="shared" si="82"/>
        <v>1</v>
      </c>
      <c r="P520" s="1128"/>
      <c r="Q520" s="313">
        <f t="shared" si="83"/>
        <v>1</v>
      </c>
      <c r="R520" s="1124">
        <f t="shared" si="84"/>
        <v>0</v>
      </c>
      <c r="S520" s="698">
        <f t="shared" si="75"/>
        <v>0</v>
      </c>
    </row>
    <row r="521" spans="1:19">
      <c r="A521" s="491"/>
      <c r="B521" s="348"/>
      <c r="C521" s="313">
        <f t="shared" si="76"/>
        <v>1</v>
      </c>
      <c r="D521" s="1128"/>
      <c r="E521" s="313">
        <f t="shared" si="77"/>
        <v>1</v>
      </c>
      <c r="F521" s="1128"/>
      <c r="G521" s="313">
        <f t="shared" si="78"/>
        <v>1</v>
      </c>
      <c r="H521" s="1128"/>
      <c r="I521" s="313">
        <f t="shared" si="79"/>
        <v>1</v>
      </c>
      <c r="J521" s="1128"/>
      <c r="K521" s="313">
        <f t="shared" si="80"/>
        <v>1</v>
      </c>
      <c r="L521" s="1128"/>
      <c r="M521" s="313">
        <f t="shared" si="81"/>
        <v>1</v>
      </c>
      <c r="N521" s="1128"/>
      <c r="O521" s="313">
        <f t="shared" si="82"/>
        <v>1</v>
      </c>
      <c r="P521" s="1128"/>
      <c r="Q521" s="313">
        <f t="shared" si="83"/>
        <v>1</v>
      </c>
      <c r="R521" s="1124">
        <f t="shared" si="84"/>
        <v>0</v>
      </c>
      <c r="S521" s="698">
        <f t="shared" si="75"/>
        <v>0</v>
      </c>
    </row>
    <row r="522" spans="1:19">
      <c r="A522" s="491"/>
      <c r="B522" s="348"/>
      <c r="C522" s="313">
        <f t="shared" si="76"/>
        <v>1</v>
      </c>
      <c r="D522" s="1128"/>
      <c r="E522" s="313">
        <f t="shared" si="77"/>
        <v>1</v>
      </c>
      <c r="F522" s="1128"/>
      <c r="G522" s="313">
        <f t="shared" si="78"/>
        <v>1</v>
      </c>
      <c r="H522" s="1128"/>
      <c r="I522" s="313">
        <f t="shared" si="79"/>
        <v>1</v>
      </c>
      <c r="J522" s="1128"/>
      <c r="K522" s="313">
        <f t="shared" si="80"/>
        <v>1</v>
      </c>
      <c r="L522" s="1128"/>
      <c r="M522" s="313">
        <f t="shared" si="81"/>
        <v>1</v>
      </c>
      <c r="N522" s="1128"/>
      <c r="O522" s="313">
        <f t="shared" si="82"/>
        <v>1</v>
      </c>
      <c r="P522" s="1128"/>
      <c r="Q522" s="313">
        <f t="shared" si="83"/>
        <v>1</v>
      </c>
      <c r="R522" s="1124">
        <f t="shared" si="84"/>
        <v>0</v>
      </c>
      <c r="S522" s="698">
        <f t="shared" si="75"/>
        <v>0</v>
      </c>
    </row>
    <row r="523" spans="1:19">
      <c r="A523" s="491"/>
      <c r="B523" s="348"/>
      <c r="C523" s="313">
        <f t="shared" si="76"/>
        <v>1</v>
      </c>
      <c r="D523" s="1128"/>
      <c r="E523" s="313">
        <f t="shared" si="77"/>
        <v>1</v>
      </c>
      <c r="F523" s="1128"/>
      <c r="G523" s="313">
        <f t="shared" si="78"/>
        <v>1</v>
      </c>
      <c r="H523" s="1128"/>
      <c r="I523" s="313">
        <f t="shared" si="79"/>
        <v>1</v>
      </c>
      <c r="J523" s="1128"/>
      <c r="K523" s="313">
        <f t="shared" si="80"/>
        <v>1</v>
      </c>
      <c r="L523" s="1128"/>
      <c r="M523" s="313">
        <f t="shared" si="81"/>
        <v>1</v>
      </c>
      <c r="N523" s="1128"/>
      <c r="O523" s="313">
        <f t="shared" si="82"/>
        <v>1</v>
      </c>
      <c r="P523" s="1128"/>
      <c r="Q523" s="313">
        <f t="shared" si="83"/>
        <v>1</v>
      </c>
      <c r="R523" s="1124">
        <f t="shared" si="84"/>
        <v>0</v>
      </c>
      <c r="S523" s="698">
        <f t="shared" si="75"/>
        <v>0</v>
      </c>
    </row>
    <row r="524" spans="1:19">
      <c r="A524" s="491"/>
      <c r="B524" s="348"/>
      <c r="C524" s="313">
        <f t="shared" si="76"/>
        <v>1</v>
      </c>
      <c r="D524" s="1128"/>
      <c r="E524" s="313">
        <f t="shared" si="77"/>
        <v>1</v>
      </c>
      <c r="F524" s="1128"/>
      <c r="G524" s="313">
        <f t="shared" si="78"/>
        <v>1</v>
      </c>
      <c r="H524" s="1128"/>
      <c r="I524" s="313">
        <f t="shared" si="79"/>
        <v>1</v>
      </c>
      <c r="J524" s="1128"/>
      <c r="K524" s="313">
        <f t="shared" si="80"/>
        <v>1</v>
      </c>
      <c r="L524" s="1128"/>
      <c r="M524" s="313">
        <f t="shared" si="81"/>
        <v>1</v>
      </c>
      <c r="N524" s="1128"/>
      <c r="O524" s="313">
        <f t="shared" si="82"/>
        <v>1</v>
      </c>
      <c r="P524" s="1128"/>
      <c r="Q524" s="313">
        <f t="shared" si="83"/>
        <v>1</v>
      </c>
      <c r="R524" s="1124">
        <f t="shared" si="84"/>
        <v>0</v>
      </c>
      <c r="S524" s="698">
        <f t="shared" si="75"/>
        <v>0</v>
      </c>
    </row>
  </sheetData>
  <mergeCells count="2">
    <mergeCell ref="C1:S1"/>
    <mergeCell ref="C22:Q22"/>
  </mergeCells>
  <phoneticPr fontId="205"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PageLayoutView="90" workbookViewId="0">
      <selection sqref="A1:I1"/>
    </sheetView>
  </sheetViews>
  <sheetFormatPr defaultRowHeight="13.5"/>
  <cols>
    <col min="1" max="1" width="27.625" customWidth="1"/>
    <col min="2" max="9" width="12.125" customWidth="1"/>
  </cols>
  <sheetData>
    <row r="1" spans="1:9" ht="19.5" thickBot="1">
      <c r="A1" s="3449" t="str">
        <f>IF(项目基本情况!B9="房地产市场价值","估价结果一览表","结果表-2")</f>
        <v>结果表-2</v>
      </c>
      <c r="B1" s="3449"/>
      <c r="C1" s="3449"/>
      <c r="D1" s="3449"/>
      <c r="E1" s="3449"/>
      <c r="F1" s="3449"/>
      <c r="G1" s="3449"/>
      <c r="H1" s="3449"/>
      <c r="I1" s="3449"/>
    </row>
    <row r="2" spans="1:9" ht="30" customHeight="1" thickTop="1">
      <c r="A2" s="3450" t="s">
        <v>2879</v>
      </c>
      <c r="B2" s="3450" t="s">
        <v>2045</v>
      </c>
      <c r="C2" s="3450" t="s">
        <v>2046</v>
      </c>
      <c r="D2" s="3450" t="str">
        <f>结果表!D116</f>
        <v>出让国有建设用地使用权价值</v>
      </c>
      <c r="E2" s="3450"/>
      <c r="F2" s="3450" t="str">
        <f>结果表!F116</f>
        <v>在建建筑物价值</v>
      </c>
      <c r="G2" s="3450"/>
      <c r="H2" s="3450" t="str">
        <f>IF(项目基本情况!B9="房地产市场价值","房地产市场价值","房地产价值")</f>
        <v>房地产价值</v>
      </c>
      <c r="I2" s="3450"/>
    </row>
    <row r="3" spans="1:9" ht="14.25">
      <c r="A3" s="3451"/>
      <c r="B3" s="3451"/>
      <c r="C3" s="3451"/>
      <c r="D3" s="1910" t="s">
        <v>7</v>
      </c>
      <c r="E3" s="1910" t="s">
        <v>2047</v>
      </c>
      <c r="F3" s="1910" t="s">
        <v>7</v>
      </c>
      <c r="G3" s="1910" t="s">
        <v>8</v>
      </c>
      <c r="H3" s="1910" t="s">
        <v>7</v>
      </c>
      <c r="I3" s="1910" t="s">
        <v>8</v>
      </c>
    </row>
    <row r="4" spans="1:9" ht="28.5">
      <c r="A4" s="1979" t="str">
        <f>项目基本情况!S2</f>
        <v>西安市西安市未央区三桥街办昆明路立交以西房地产</v>
      </c>
      <c r="B4" s="1973">
        <f>项目基本情况!C17</f>
        <v>4043.7000000000003</v>
      </c>
      <c r="C4" s="1973">
        <f>项目基本情况!C18</f>
        <v>1218.83</v>
      </c>
      <c r="D4" s="1973" t="e">
        <f ca="1">结果表!D118</f>
        <v>#REF!</v>
      </c>
      <c r="E4" s="1973" t="e">
        <f ca="1">结果表!E118</f>
        <v>#REF!</v>
      </c>
      <c r="F4" s="1973" t="e">
        <f ca="1">结果表!F118</f>
        <v>#REF!</v>
      </c>
      <c r="G4" s="1973" t="e">
        <f ca="1">结果表!G118</f>
        <v>#REF!</v>
      </c>
      <c r="H4" s="1973">
        <f ca="1">结果表!H118</f>
        <v>1587</v>
      </c>
      <c r="I4" s="1973">
        <f ca="1">结果表!I118</f>
        <v>3925</v>
      </c>
    </row>
    <row r="5" spans="1:9" ht="30" customHeight="1">
      <c r="A5" s="3451" t="s">
        <v>9</v>
      </c>
      <c r="B5" s="3451"/>
      <c r="C5" s="3451"/>
      <c r="D5" s="3452" t="e">
        <f ca="1">结果表!D119</f>
        <v>#REF!</v>
      </c>
      <c r="E5" s="3452"/>
      <c r="F5" s="3452" t="e">
        <f ca="1">结果表!F119</f>
        <v>#REF!</v>
      </c>
      <c r="G5" s="3452"/>
      <c r="H5" s="3452" t="str">
        <f ca="1">结果表!H119</f>
        <v>壹仟伍佰捌拾柒万元整</v>
      </c>
      <c r="I5" s="3452"/>
    </row>
    <row r="6" spans="1:9" ht="15.75">
      <c r="A6" s="3453" t="str">
        <f>结果表!A120</f>
        <v>估价师知悉的法定优先受偿款</v>
      </c>
      <c r="B6" s="3453"/>
      <c r="C6" s="3453"/>
      <c r="D6" s="3454">
        <f>结果表!D120</f>
        <v>0</v>
      </c>
      <c r="E6" s="3454"/>
      <c r="F6" s="3454"/>
      <c r="G6" s="3454"/>
      <c r="H6" s="3454"/>
      <c r="I6" s="3454"/>
    </row>
    <row r="7" spans="1:9" ht="14.25">
      <c r="A7" s="3451" t="s">
        <v>9</v>
      </c>
      <c r="B7" s="3451"/>
      <c r="C7" s="3451"/>
      <c r="D7" s="3455" t="str">
        <f>结果表!D121</f>
        <v>零元整</v>
      </c>
      <c r="E7" s="3456"/>
      <c r="F7" s="3456"/>
      <c r="G7" s="3456"/>
      <c r="H7" s="3456"/>
      <c r="I7" s="3457"/>
    </row>
    <row r="8" spans="1:9" ht="15.75">
      <c r="A8" s="3453" t="str">
        <f>结果表!A122</f>
        <v>房地产抵押价值</v>
      </c>
      <c r="B8" s="3453"/>
      <c r="C8" s="3453"/>
      <c r="D8" s="3454">
        <f ca="1">结果表!D122</f>
        <v>1587</v>
      </c>
      <c r="E8" s="3454"/>
      <c r="F8" s="3454"/>
      <c r="G8" s="3454"/>
      <c r="H8" s="3454"/>
      <c r="I8" s="3454"/>
    </row>
    <row r="9" spans="1:9" ht="14.25">
      <c r="A9" s="3451" t="s">
        <v>9</v>
      </c>
      <c r="B9" s="3451"/>
      <c r="C9" s="3451"/>
      <c r="D9" s="3452" t="str">
        <f ca="1">结果表!D123</f>
        <v>壹仟伍佰捌拾柒万元整</v>
      </c>
      <c r="E9" s="3452"/>
      <c r="F9" s="3452"/>
      <c r="G9" s="3452"/>
      <c r="H9" s="3452"/>
      <c r="I9" s="3452"/>
    </row>
    <row r="10" spans="1:9" ht="15.75">
      <c r="A10" s="3453" t="str">
        <f>结果表!A124</f>
        <v/>
      </c>
      <c r="B10" s="3453"/>
      <c r="C10" s="3453"/>
      <c r="D10" s="3454" t="str">
        <f>结果表!D124</f>
        <v>——</v>
      </c>
      <c r="E10" s="3454"/>
      <c r="F10" s="3454"/>
      <c r="G10" s="3454"/>
      <c r="H10" s="3454"/>
      <c r="I10" s="3454"/>
    </row>
    <row r="11" spans="1:9" ht="14.25">
      <c r="A11" s="3451" t="s">
        <v>9</v>
      </c>
      <c r="B11" s="3451"/>
      <c r="C11" s="3451"/>
      <c r="D11" s="3452" t="e">
        <f>结果表!D125</f>
        <v>#VALUE!</v>
      </c>
      <c r="E11" s="3452"/>
      <c r="F11" s="3452"/>
      <c r="G11" s="3452"/>
      <c r="H11" s="3452"/>
      <c r="I11" s="3452"/>
    </row>
    <row r="12" spans="1:9" ht="15.75">
      <c r="A12" s="3453" t="str">
        <f>结果表!A126</f>
        <v>抵押净值</v>
      </c>
      <c r="B12" s="3453"/>
      <c r="C12" s="3453"/>
      <c r="D12" s="3454">
        <f ca="1">结果表!D126</f>
        <v>1586</v>
      </c>
      <c r="E12" s="3454"/>
      <c r="F12" s="3454"/>
      <c r="G12" s="3454"/>
      <c r="H12" s="3454"/>
      <c r="I12" s="3454"/>
    </row>
    <row r="13" spans="1:9" ht="15" thickBot="1">
      <c r="A13" s="3458" t="s">
        <v>9</v>
      </c>
      <c r="B13" s="3458"/>
      <c r="C13" s="3458"/>
      <c r="D13" s="3459" t="str">
        <f ca="1">结果表!D127</f>
        <v>壹仟伍佰捌拾陆万元整</v>
      </c>
      <c r="E13" s="3459"/>
      <c r="F13" s="3459"/>
      <c r="G13" s="3459"/>
      <c r="H13" s="3459"/>
      <c r="I13" s="3459"/>
    </row>
    <row r="14" spans="1:9" ht="14.25" thickTop="1">
      <c r="A14" s="3460" t="s">
        <v>2048</v>
      </c>
      <c r="B14" s="3460"/>
      <c r="C14" s="3460"/>
      <c r="D14" s="3460"/>
      <c r="E14" s="3460"/>
      <c r="F14" s="3460"/>
      <c r="G14" s="3460"/>
      <c r="H14" s="3460"/>
      <c r="I14" s="3460"/>
    </row>
    <row r="16" spans="1:9" ht="18.75">
      <c r="A16" s="1988" t="s">
        <v>2049</v>
      </c>
      <c r="B16" s="1989"/>
      <c r="C16" s="1989"/>
      <c r="D16" s="1989"/>
      <c r="E16" s="1989"/>
      <c r="F16" s="1989"/>
      <c r="G16" s="1989"/>
      <c r="H16" s="1989"/>
      <c r="I16" s="1989"/>
    </row>
    <row r="17" spans="1:9">
      <c r="A17" s="1989"/>
      <c r="B17" s="1989"/>
      <c r="C17" s="1989"/>
      <c r="D17" s="1989"/>
      <c r="E17" s="1989"/>
      <c r="F17" s="1989"/>
      <c r="G17" s="1989"/>
      <c r="H17" s="1989"/>
      <c r="I17" s="1989"/>
    </row>
    <row r="18" spans="1:9">
      <c r="A18" s="1989"/>
      <c r="B18" s="1989"/>
      <c r="C18" s="1989"/>
      <c r="D18" s="1989"/>
      <c r="E18" s="1989"/>
      <c r="F18" s="1989"/>
      <c r="G18" s="1989"/>
      <c r="H18" s="1989"/>
      <c r="I18" s="1989"/>
    </row>
    <row r="19" spans="1:9">
      <c r="A19" s="1989"/>
      <c r="B19" s="1989"/>
      <c r="C19" s="1989"/>
      <c r="D19" s="1989"/>
      <c r="E19" s="1989"/>
      <c r="F19" s="1989"/>
      <c r="G19" s="1989"/>
      <c r="H19" s="1989"/>
      <c r="I19" s="1989"/>
    </row>
    <row r="20" spans="1:9">
      <c r="A20" s="1989"/>
      <c r="B20" s="1989"/>
      <c r="C20" s="1989"/>
      <c r="D20" s="1989"/>
      <c r="E20" s="1989"/>
      <c r="F20" s="1989"/>
      <c r="G20" s="1989"/>
      <c r="H20" s="1989"/>
      <c r="I20" s="1989"/>
    </row>
    <row r="21" spans="1:9">
      <c r="A21" s="1989"/>
      <c r="B21" s="1989"/>
      <c r="C21" s="1989"/>
      <c r="D21" s="1989"/>
      <c r="E21" s="1989"/>
      <c r="F21" s="1989"/>
      <c r="G21" s="1989"/>
      <c r="H21" s="1989"/>
      <c r="I21" s="1989"/>
    </row>
    <row r="22" spans="1:9">
      <c r="A22" s="1989"/>
      <c r="B22" s="1989"/>
      <c r="C22" s="1989"/>
      <c r="D22" s="1989"/>
      <c r="E22" s="1989"/>
      <c r="F22" s="1989"/>
      <c r="G22" s="1989"/>
      <c r="H22" s="1989"/>
      <c r="I22" s="19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dimension ref="C3:P59"/>
  <sheetViews>
    <sheetView topLeftCell="A52" workbookViewId="0">
      <selection activeCell="F29" sqref="F29"/>
    </sheetView>
  </sheetViews>
  <sheetFormatPr defaultRowHeight="13.5"/>
  <cols>
    <col min="4" max="4" width="11.25" customWidth="1"/>
    <col min="5" max="5" width="13.5" customWidth="1"/>
  </cols>
  <sheetData>
    <row r="3" spans="4:16">
      <c r="E3" s="3373" t="s">
        <v>3090</v>
      </c>
      <c r="F3" s="3373" t="s">
        <v>3091</v>
      </c>
    </row>
    <row r="4" spans="4:16">
      <c r="D4" t="s">
        <v>3092</v>
      </c>
      <c r="E4">
        <v>19310.669999999998</v>
      </c>
      <c r="F4">
        <v>921.02</v>
      </c>
    </row>
    <row r="5" spans="4:16">
      <c r="D5" s="3373" t="s">
        <v>3093</v>
      </c>
      <c r="E5" s="3374">
        <v>19493.25</v>
      </c>
    </row>
    <row r="6" spans="4:16">
      <c r="D6" s="3373" t="s">
        <v>3094</v>
      </c>
      <c r="G6" s="3374">
        <v>3059.97</v>
      </c>
    </row>
    <row r="7" spans="4:16">
      <c r="D7" s="3373" t="s">
        <v>3095</v>
      </c>
      <c r="E7" s="3375">
        <f>88185.26-F7</f>
        <v>76550.59</v>
      </c>
      <c r="F7" s="3375">
        <f>5774.04+5860.63</f>
        <v>11634.67</v>
      </c>
    </row>
    <row r="8" spans="4:16">
      <c r="D8" s="3373" t="s">
        <v>3096</v>
      </c>
      <c r="H8">
        <v>1192.46</v>
      </c>
    </row>
    <row r="9" spans="4:16">
      <c r="D9" s="3373" t="s">
        <v>3097</v>
      </c>
      <c r="E9">
        <v>10414.18</v>
      </c>
      <c r="O9">
        <v>9511.86</v>
      </c>
      <c r="P9">
        <f>E9-O9</f>
        <v>902.31999999999971</v>
      </c>
    </row>
    <row r="10" spans="4:16">
      <c r="D10" s="3373" t="s">
        <v>3098</v>
      </c>
      <c r="E10">
        <v>11000.42</v>
      </c>
    </row>
    <row r="11" spans="4:16">
      <c r="D11" s="3373" t="s">
        <v>3099</v>
      </c>
      <c r="E11">
        <v>10775.88</v>
      </c>
    </row>
    <row r="12" spans="4:16">
      <c r="D12" s="3373" t="s">
        <v>3100</v>
      </c>
      <c r="E12">
        <v>11440.18</v>
      </c>
      <c r="F12">
        <v>1261.93</v>
      </c>
    </row>
    <row r="13" spans="4:16">
      <c r="D13" s="3373" t="s">
        <v>3101</v>
      </c>
      <c r="E13">
        <v>19489.990000000002</v>
      </c>
    </row>
    <row r="14" spans="4:16">
      <c r="D14" s="3373" t="s">
        <v>3102</v>
      </c>
      <c r="E14">
        <v>19679.400000000001</v>
      </c>
    </row>
    <row r="15" spans="4:16">
      <c r="D15" s="3373" t="s">
        <v>3103</v>
      </c>
      <c r="E15">
        <v>19483.3</v>
      </c>
      <c r="F15">
        <v>1772.64</v>
      </c>
    </row>
    <row r="16" spans="4:16">
      <c r="D16" s="3373" t="s">
        <v>3104</v>
      </c>
      <c r="E16">
        <v>18823.03</v>
      </c>
      <c r="F16">
        <v>1748.93</v>
      </c>
    </row>
    <row r="17" spans="4:13">
      <c r="D17" s="3373" t="s">
        <v>3105</v>
      </c>
      <c r="E17">
        <v>13393.13</v>
      </c>
    </row>
    <row r="18" spans="4:13">
      <c r="D18" s="3373" t="s">
        <v>3106</v>
      </c>
      <c r="E18">
        <v>13904.38</v>
      </c>
    </row>
    <row r="19" spans="4:13">
      <c r="D19" s="3373" t="s">
        <v>3107</v>
      </c>
      <c r="E19">
        <v>13832.54</v>
      </c>
    </row>
    <row r="20" spans="4:13">
      <c r="D20" s="3373" t="s">
        <v>3108</v>
      </c>
      <c r="E20" s="3374">
        <v>13368.41</v>
      </c>
    </row>
    <row r="21" spans="4:13">
      <c r="D21" s="3373" t="s">
        <v>3109</v>
      </c>
      <c r="E21">
        <v>14053.35</v>
      </c>
    </row>
    <row r="22" spans="4:13">
      <c r="D22" s="3373" t="s">
        <v>3110</v>
      </c>
      <c r="F22" s="3375">
        <v>1589.43</v>
      </c>
      <c r="G22" s="3375">
        <f>17117.92-F22</f>
        <v>15528.489999999998</v>
      </c>
    </row>
    <row r="23" spans="4:13">
      <c r="E23">
        <f>SUM(E4:E22)</f>
        <v>305012.6999999999</v>
      </c>
      <c r="F23">
        <f>SUM(F4:F22)</f>
        <v>18928.62</v>
      </c>
    </row>
    <row r="25" spans="4:13">
      <c r="E25">
        <f>E23-F23</f>
        <v>286084.0799999999</v>
      </c>
      <c r="G25">
        <f>SUM(G4:G22)</f>
        <v>18588.46</v>
      </c>
      <c r="K25" s="3373" t="s">
        <v>3111</v>
      </c>
      <c r="L25" s="3373" t="s">
        <v>3112</v>
      </c>
    </row>
    <row r="26" spans="4:13">
      <c r="K26">
        <v>53477.89</v>
      </c>
      <c r="L26">
        <v>2253.7199999999998</v>
      </c>
    </row>
    <row r="27" spans="4:13">
      <c r="E27" s="3373" t="s">
        <v>3113</v>
      </c>
      <c r="F27" s="3373" t="s">
        <v>3114</v>
      </c>
      <c r="K27">
        <v>28380.18</v>
      </c>
      <c r="L27">
        <v>510.23</v>
      </c>
    </row>
    <row r="28" spans="4:13">
      <c r="D28" s="3373" t="s">
        <v>3115</v>
      </c>
      <c r="E28">
        <f>E25+G25</f>
        <v>304672.53999999992</v>
      </c>
      <c r="F28">
        <f>M29</f>
        <v>91832.47</v>
      </c>
      <c r="K28">
        <v>6802.89</v>
      </c>
      <c r="L28">
        <v>407.56</v>
      </c>
    </row>
    <row r="29" spans="4:13">
      <c r="D29" s="3373" t="s">
        <v>3116</v>
      </c>
      <c r="E29">
        <f>'数据-基础表'!B3</f>
        <v>4043.7000000000003</v>
      </c>
      <c r="F29">
        <f>ROUND(E29/E28*F28,2)</f>
        <v>1218.83</v>
      </c>
      <c r="G29">
        <v>2818.2</v>
      </c>
      <c r="H29">
        <f>ROUND(F29*G29/10000,0)</f>
        <v>343</v>
      </c>
      <c r="K29">
        <f>SUM(K26:K28)</f>
        <v>88660.96</v>
      </c>
      <c r="L29">
        <f>SUM(L26:L28)</f>
        <v>3171.5099999999998</v>
      </c>
      <c r="M29">
        <f>K29+L29</f>
        <v>91832.47</v>
      </c>
    </row>
    <row r="34" spans="3:15" ht="14.25" thickBot="1"/>
    <row r="35" spans="3:15" ht="26.25" thickBot="1">
      <c r="D35" s="3376" t="s">
        <v>3117</v>
      </c>
      <c r="E35" s="3377" t="s">
        <v>3040</v>
      </c>
      <c r="F35" s="3377" t="s">
        <v>3118</v>
      </c>
      <c r="G35" s="3377" t="s">
        <v>3119</v>
      </c>
    </row>
    <row r="36" spans="3:15" ht="14.25" thickBot="1">
      <c r="D36" s="3814" t="s">
        <v>3120</v>
      </c>
      <c r="E36" s="3378" t="s">
        <v>40</v>
      </c>
      <c r="F36" s="3379">
        <f>'[1]数据-基础表'!I13</f>
        <v>14525.75</v>
      </c>
      <c r="G36" s="3817">
        <f>'[1]数据-基础表'!A3</f>
        <v>6057.71</v>
      </c>
    </row>
    <row r="37" spans="3:15" ht="14.25" thickBot="1">
      <c r="D37" s="3815"/>
      <c r="E37" s="3378" t="s">
        <v>3042</v>
      </c>
      <c r="F37" s="3379">
        <f>'[1]数据-基础表'!K13</f>
        <v>41.9</v>
      </c>
      <c r="G37" s="3818"/>
    </row>
    <row r="38" spans="3:15" ht="14.25" thickBot="1">
      <c r="D38" s="3816"/>
      <c r="E38" s="3378" t="s">
        <v>195</v>
      </c>
      <c r="F38" s="3379">
        <f>'[1]数据-基础表'!M13</f>
        <v>5530.01</v>
      </c>
      <c r="G38" s="3819"/>
    </row>
    <row r="39" spans="3:15" ht="14.25" thickBot="1">
      <c r="D39" s="3380" t="s">
        <v>184</v>
      </c>
      <c r="E39" s="3379" t="s">
        <v>3121</v>
      </c>
      <c r="F39" s="3379">
        <f>SUM(F36:F38)</f>
        <v>20097.66</v>
      </c>
      <c r="G39" s="3379">
        <f>SUM(G36:G38)</f>
        <v>6057.71</v>
      </c>
    </row>
    <row r="45" spans="3:15" ht="14.25" thickBot="1"/>
    <row r="46" spans="3:15" ht="158.25" thickTop="1" thickBot="1">
      <c r="C46" s="3820" t="s">
        <v>3306</v>
      </c>
      <c r="D46" s="3821"/>
      <c r="E46" s="3426" t="s">
        <v>3307</v>
      </c>
      <c r="F46" s="3426" t="s">
        <v>3308</v>
      </c>
      <c r="G46" s="3427" t="s">
        <v>3309</v>
      </c>
      <c r="K46" s="3841" t="s">
        <v>3316</v>
      </c>
      <c r="L46" s="3842"/>
      <c r="M46" s="3825" t="s">
        <v>209</v>
      </c>
      <c r="N46" s="3826"/>
      <c r="O46" s="3827" t="s">
        <v>3055</v>
      </c>
    </row>
    <row r="47" spans="3:15" ht="15" thickBot="1">
      <c r="C47" s="3822" t="s">
        <v>3310</v>
      </c>
      <c r="D47" s="3428" t="s">
        <v>210</v>
      </c>
      <c r="E47" s="3428">
        <v>775</v>
      </c>
      <c r="F47" s="3428">
        <v>812</v>
      </c>
      <c r="G47" s="3429">
        <v>1587</v>
      </c>
      <c r="K47" s="3843"/>
      <c r="L47" s="3844"/>
      <c r="M47" s="3435" t="s">
        <v>3132</v>
      </c>
      <c r="N47" s="3435" t="s">
        <v>3317</v>
      </c>
      <c r="O47" s="3828"/>
    </row>
    <row r="48" spans="3:15" ht="141.75" customHeight="1" thickBot="1">
      <c r="C48" s="3823"/>
      <c r="D48" s="3430" t="s">
        <v>9</v>
      </c>
      <c r="E48" s="3833" t="s">
        <v>3319</v>
      </c>
      <c r="F48" s="3834"/>
      <c r="G48" s="3835"/>
      <c r="K48" s="3829" t="s">
        <v>3307</v>
      </c>
      <c r="L48" s="3436" t="s">
        <v>210</v>
      </c>
      <c r="M48" s="3436">
        <v>794</v>
      </c>
      <c r="N48" s="3436">
        <v>762</v>
      </c>
      <c r="O48" s="3436">
        <v>775</v>
      </c>
    </row>
    <row r="49" spans="3:15" ht="15" thickBot="1">
      <c r="C49" s="3824"/>
      <c r="D49" s="3428" t="s">
        <v>211</v>
      </c>
      <c r="E49" s="3430">
        <v>4687</v>
      </c>
      <c r="F49" s="3428">
        <v>3397</v>
      </c>
      <c r="G49" s="3431">
        <v>3925</v>
      </c>
      <c r="K49" s="3830"/>
      <c r="L49" s="3436" t="s">
        <v>211</v>
      </c>
      <c r="M49" s="3436">
        <v>4800</v>
      </c>
      <c r="N49" s="3436">
        <v>4608</v>
      </c>
      <c r="O49" s="3436">
        <v>4687</v>
      </c>
    </row>
    <row r="50" spans="3:15" ht="141.75" customHeight="1" thickBot="1">
      <c r="C50" s="3832" t="s">
        <v>3311</v>
      </c>
      <c r="D50" s="3428" t="s">
        <v>213</v>
      </c>
      <c r="E50" s="3432">
        <v>0</v>
      </c>
      <c r="F50" s="3428">
        <v>0</v>
      </c>
      <c r="G50" s="3429">
        <v>0</v>
      </c>
      <c r="K50" s="3831" t="s">
        <v>3308</v>
      </c>
      <c r="L50" s="3436" t="s">
        <v>210</v>
      </c>
      <c r="M50" s="3436">
        <v>994</v>
      </c>
      <c r="N50" s="3436">
        <v>525</v>
      </c>
      <c r="O50" s="3436">
        <v>812</v>
      </c>
    </row>
    <row r="51" spans="3:15" ht="15" thickBot="1">
      <c r="C51" s="3824"/>
      <c r="D51" s="3430" t="s">
        <v>9</v>
      </c>
      <c r="E51" s="3833" t="s">
        <v>3320</v>
      </c>
      <c r="F51" s="3834"/>
      <c r="G51" s="3835"/>
      <c r="K51" s="3830"/>
      <c r="L51" s="3436" t="s">
        <v>211</v>
      </c>
      <c r="M51" s="3436">
        <v>4160</v>
      </c>
      <c r="N51" s="3436">
        <v>2196</v>
      </c>
      <c r="O51" s="3436">
        <v>3397</v>
      </c>
    </row>
    <row r="52" spans="3:15" ht="58.5" thickBot="1">
      <c r="C52" s="3433" t="s">
        <v>3312</v>
      </c>
      <c r="D52" s="3428" t="s">
        <v>213</v>
      </c>
      <c r="E52" s="3434">
        <v>0</v>
      </c>
      <c r="F52" s="3428">
        <v>0</v>
      </c>
      <c r="G52" s="3429">
        <v>0</v>
      </c>
      <c r="K52" s="3831" t="s">
        <v>3318</v>
      </c>
      <c r="L52" s="3436" t="s">
        <v>210</v>
      </c>
      <c r="M52" s="3436" t="s">
        <v>530</v>
      </c>
      <c r="N52" s="3436" t="s">
        <v>530</v>
      </c>
      <c r="O52" s="3436">
        <v>1587</v>
      </c>
    </row>
    <row r="53" spans="3:15" ht="44.25" thickBot="1">
      <c r="C53" s="3433" t="s">
        <v>3313</v>
      </c>
      <c r="D53" s="3428" t="s">
        <v>213</v>
      </c>
      <c r="E53" s="3428">
        <v>0</v>
      </c>
      <c r="F53" s="3428">
        <v>0</v>
      </c>
      <c r="G53" s="3429">
        <v>0</v>
      </c>
      <c r="K53" s="3836"/>
      <c r="L53" s="3437" t="s">
        <v>211</v>
      </c>
      <c r="M53" s="3437" t="s">
        <v>530</v>
      </c>
      <c r="N53" s="3437" t="s">
        <v>530</v>
      </c>
      <c r="O53" s="3437">
        <v>3925</v>
      </c>
    </row>
    <row r="54" spans="3:15" ht="44.25" thickBot="1">
      <c r="C54" s="3433" t="s">
        <v>3314</v>
      </c>
      <c r="D54" s="3428" t="s">
        <v>213</v>
      </c>
      <c r="E54" s="3428">
        <v>0</v>
      </c>
      <c r="F54" s="3428">
        <v>0</v>
      </c>
      <c r="G54" s="3429">
        <v>0</v>
      </c>
    </row>
    <row r="55" spans="3:15" ht="15" thickBot="1">
      <c r="C55" s="3822" t="s">
        <v>3315</v>
      </c>
      <c r="D55" s="3428" t="s">
        <v>210</v>
      </c>
      <c r="E55" s="3428">
        <v>775</v>
      </c>
      <c r="F55" s="3428">
        <v>812</v>
      </c>
      <c r="G55" s="3429">
        <v>1587</v>
      </c>
    </row>
    <row r="56" spans="3:15" ht="15" thickBot="1">
      <c r="C56" s="3823"/>
      <c r="D56" s="3430" t="s">
        <v>9</v>
      </c>
      <c r="E56" s="3833" t="s">
        <v>3319</v>
      </c>
      <c r="F56" s="3834"/>
      <c r="G56" s="3835"/>
    </row>
    <row r="57" spans="3:15" ht="15" thickBot="1">
      <c r="C57" s="3823"/>
      <c r="D57" s="3428" t="s">
        <v>211</v>
      </c>
      <c r="E57" s="3430">
        <v>4687</v>
      </c>
      <c r="F57" s="3428">
        <v>3397</v>
      </c>
      <c r="G57" s="3431">
        <v>3925</v>
      </c>
    </row>
    <row r="58" spans="3:15" ht="15" thickBot="1">
      <c r="C58" s="3837" t="s">
        <v>3321</v>
      </c>
      <c r="D58" s="3428" t="s">
        <v>213</v>
      </c>
      <c r="E58" s="3838">
        <v>0</v>
      </c>
      <c r="F58" s="3839"/>
      <c r="G58" s="3840"/>
    </row>
    <row r="59" spans="3:15" ht="15" thickBot="1">
      <c r="C59" s="3837"/>
      <c r="D59" s="3430" t="s">
        <v>9</v>
      </c>
      <c r="E59" s="3833" t="s">
        <v>3320</v>
      </c>
      <c r="F59" s="3834"/>
      <c r="G59" s="3835"/>
    </row>
  </sheetData>
  <mergeCells count="18">
    <mergeCell ref="K52:K53"/>
    <mergeCell ref="E59:G59"/>
    <mergeCell ref="C58:C59"/>
    <mergeCell ref="E58:G58"/>
    <mergeCell ref="K46:L47"/>
    <mergeCell ref="C55:C57"/>
    <mergeCell ref="E56:G56"/>
    <mergeCell ref="O46:O47"/>
    <mergeCell ref="K48:K49"/>
    <mergeCell ref="K50:K51"/>
    <mergeCell ref="C50:C51"/>
    <mergeCell ref="E48:G48"/>
    <mergeCell ref="E51:G51"/>
    <mergeCell ref="D36:D38"/>
    <mergeCell ref="G36:G38"/>
    <mergeCell ref="C46:D46"/>
    <mergeCell ref="C47:C49"/>
    <mergeCell ref="M46:N46"/>
  </mergeCells>
  <phoneticPr fontId="205"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dimension ref="B2:P221"/>
  <sheetViews>
    <sheetView topLeftCell="A105" workbookViewId="0">
      <selection activeCell="B121" sqref="B121:F221"/>
    </sheetView>
  </sheetViews>
  <sheetFormatPr defaultRowHeight="13.5"/>
  <cols>
    <col min="4" max="4" width="13.25" customWidth="1"/>
    <col min="5" max="5" width="14.75" customWidth="1"/>
    <col min="9" max="9" width="9.5" bestFit="1" customWidth="1"/>
    <col min="10" max="10" width="10.5" bestFit="1" customWidth="1"/>
    <col min="11" max="11" width="10.375" customWidth="1"/>
    <col min="12" max="12" width="12.5" customWidth="1"/>
    <col min="13" max="13" width="11.25" customWidth="1"/>
    <col min="14" max="15" width="11.125" customWidth="1"/>
  </cols>
  <sheetData>
    <row r="2" spans="2:16">
      <c r="I2" s="3846" t="s">
        <v>3285</v>
      </c>
      <c r="J2" s="3402" t="s">
        <v>3277</v>
      </c>
      <c r="K2" s="3398" t="s">
        <v>3281</v>
      </c>
      <c r="L2" s="3398" t="s">
        <v>3282</v>
      </c>
      <c r="M2" s="3398" t="s">
        <v>3283</v>
      </c>
      <c r="N2" s="3398" t="s">
        <v>3284</v>
      </c>
      <c r="O2" s="3398" t="s">
        <v>3288</v>
      </c>
      <c r="P2" s="3837" t="s">
        <v>3286</v>
      </c>
    </row>
    <row r="3" spans="2:16">
      <c r="B3" s="3381" t="s">
        <v>219</v>
      </c>
      <c r="C3" s="3382" t="s">
        <v>3135</v>
      </c>
      <c r="D3" s="3382" t="s">
        <v>3136</v>
      </c>
      <c r="E3" s="3381" t="s">
        <v>3137</v>
      </c>
      <c r="F3" s="3383" t="s">
        <v>3138</v>
      </c>
      <c r="I3" s="3847"/>
      <c r="J3" s="3402" t="s">
        <v>3278</v>
      </c>
      <c r="K3" s="3382">
        <f ca="1">结果表!J22</f>
        <v>749</v>
      </c>
      <c r="L3" s="3382"/>
      <c r="M3" s="3382">
        <f ca="1">J28</f>
        <v>812</v>
      </c>
      <c r="N3" s="3382">
        <f ca="1">J29</f>
        <v>1515</v>
      </c>
      <c r="O3" s="3382">
        <f ca="1">ROUND(N3*10000/'数据-汇总表'!E3,0)</f>
        <v>3747</v>
      </c>
      <c r="P3" s="3845"/>
    </row>
    <row r="4" spans="2:16">
      <c r="B4" s="3381">
        <v>1</v>
      </c>
      <c r="C4" s="3845" t="s">
        <v>3139</v>
      </c>
      <c r="D4" s="3382" t="s">
        <v>3140</v>
      </c>
      <c r="E4" s="3381" t="s">
        <v>3141</v>
      </c>
      <c r="F4" s="3407">
        <v>91.1</v>
      </c>
      <c r="I4" s="3847"/>
      <c r="J4" s="3402" t="s">
        <v>3279</v>
      </c>
      <c r="K4" s="3382">
        <v>6281</v>
      </c>
      <c r="L4" s="3382">
        <v>65</v>
      </c>
      <c r="M4" s="3382">
        <v>1374</v>
      </c>
      <c r="N4" s="3382">
        <f ca="1">[1]结果表!$G$19</f>
        <v>7704</v>
      </c>
      <c r="O4" s="3382"/>
      <c r="P4" s="3845"/>
    </row>
    <row r="5" spans="2:16">
      <c r="B5" s="3381">
        <v>2</v>
      </c>
      <c r="C5" s="3845"/>
      <c r="D5" s="3382" t="s">
        <v>3140</v>
      </c>
      <c r="E5" s="3381" t="s">
        <v>3142</v>
      </c>
      <c r="F5" s="3407">
        <v>94.27</v>
      </c>
      <c r="I5" s="3847"/>
      <c r="J5" s="3402" t="s">
        <v>3280</v>
      </c>
      <c r="K5" s="3382">
        <f>[2]面积及价值汇总!$M$39</f>
        <v>1328</v>
      </c>
      <c r="L5" s="3382">
        <f>[2]面积及价值汇总!$M$40</f>
        <v>2384</v>
      </c>
      <c r="M5" s="3382">
        <f>[2]面积及价值汇总!$M$41</f>
        <v>4899</v>
      </c>
      <c r="N5" s="3382">
        <f>[2]面积及价值汇总!$M$42</f>
        <v>8611</v>
      </c>
      <c r="O5" s="3382"/>
      <c r="P5" s="3845"/>
    </row>
    <row r="6" spans="2:16">
      <c r="B6" s="3381">
        <v>3</v>
      </c>
      <c r="C6" s="3845"/>
      <c r="D6" s="3382" t="s">
        <v>3140</v>
      </c>
      <c r="E6" s="3381" t="s">
        <v>3143</v>
      </c>
      <c r="F6" s="3407">
        <v>89.53</v>
      </c>
      <c r="I6" s="3847"/>
      <c r="J6" s="3402" t="s">
        <v>3284</v>
      </c>
      <c r="K6" s="3382">
        <f ca="1">SUM(K3:K5)</f>
        <v>8358</v>
      </c>
      <c r="L6" s="3382">
        <f>SUM(L3:L5)</f>
        <v>2449</v>
      </c>
      <c r="M6" s="3382">
        <f ca="1">SUM(M3:M5)</f>
        <v>7085</v>
      </c>
      <c r="N6" s="3382">
        <f ca="1">SUM(N3:N5)</f>
        <v>17830</v>
      </c>
      <c r="O6" s="3382"/>
      <c r="P6" s="3845"/>
    </row>
    <row r="7" spans="2:16">
      <c r="B7" s="3381">
        <v>4</v>
      </c>
      <c r="C7" s="3845"/>
      <c r="D7" s="3382" t="s">
        <v>3140</v>
      </c>
      <c r="E7" s="3381" t="s">
        <v>3144</v>
      </c>
      <c r="F7" s="3407">
        <v>91.62</v>
      </c>
      <c r="I7" s="3847"/>
    </row>
    <row r="8" spans="2:16">
      <c r="B8" s="3381">
        <v>5</v>
      </c>
      <c r="C8" s="3845"/>
      <c r="D8" s="3382" t="s">
        <v>3140</v>
      </c>
      <c r="E8" s="3381" t="s">
        <v>3145</v>
      </c>
      <c r="F8" s="3407">
        <v>89.98</v>
      </c>
      <c r="I8" s="3847"/>
    </row>
    <row r="9" spans="2:16">
      <c r="B9" s="3381">
        <v>6</v>
      </c>
      <c r="C9" s="3845"/>
      <c r="D9" s="3382" t="s">
        <v>3140</v>
      </c>
      <c r="E9" s="3381" t="s">
        <v>3146</v>
      </c>
      <c r="F9" s="3407">
        <v>89.98</v>
      </c>
      <c r="I9" s="3847"/>
      <c r="J9" s="3402" t="s">
        <v>3277</v>
      </c>
      <c r="K9" s="3398" t="s">
        <v>3281</v>
      </c>
      <c r="L9" s="3398" t="s">
        <v>3282</v>
      </c>
      <c r="M9" s="3398" t="s">
        <v>3283</v>
      </c>
      <c r="N9" s="3398" t="s">
        <v>3284</v>
      </c>
      <c r="O9" s="3398"/>
      <c r="P9" s="3837" t="s">
        <v>3287</v>
      </c>
    </row>
    <row r="10" spans="2:16">
      <c r="B10" s="3381">
        <v>7</v>
      </c>
      <c r="C10" s="3845"/>
      <c r="D10" s="3382" t="s">
        <v>3140</v>
      </c>
      <c r="E10" s="3381" t="s">
        <v>3147</v>
      </c>
      <c r="F10" s="3407">
        <v>95.43</v>
      </c>
      <c r="I10" s="3847"/>
      <c r="J10" s="3402" t="s">
        <v>3278</v>
      </c>
      <c r="K10" s="3401">
        <f>F22</f>
        <v>1653.4</v>
      </c>
      <c r="L10" s="3382"/>
      <c r="M10" s="3382">
        <f>'数据-基础表'!K14</f>
        <v>2390.3000000000002</v>
      </c>
      <c r="N10" s="3401">
        <f>SUM(K10:M10)</f>
        <v>4043.7000000000003</v>
      </c>
      <c r="O10" s="3401"/>
      <c r="P10" s="3845"/>
    </row>
    <row r="11" spans="2:16">
      <c r="B11" s="3381">
        <v>8</v>
      </c>
      <c r="C11" s="3845"/>
      <c r="D11" s="3382" t="s">
        <v>3140</v>
      </c>
      <c r="E11" s="3381" t="s">
        <v>3148</v>
      </c>
      <c r="F11" s="3407">
        <v>95.43</v>
      </c>
      <c r="I11" s="3847"/>
      <c r="J11" s="3402" t="s">
        <v>3279</v>
      </c>
      <c r="K11" s="3382">
        <f>'[1]数据-基础表'!$I$13</f>
        <v>14525.75</v>
      </c>
      <c r="L11" s="3382">
        <f>'[1]数据-基础表'!$K$13</f>
        <v>41.9</v>
      </c>
      <c r="M11" s="3382">
        <f>'[1]数据-基础表'!$M$13</f>
        <v>5530.01</v>
      </c>
      <c r="N11" s="3401">
        <f>SUM(K11:M11)</f>
        <v>20097.66</v>
      </c>
      <c r="O11" s="3401"/>
      <c r="P11" s="3845"/>
    </row>
    <row r="12" spans="2:16">
      <c r="B12" s="3381">
        <v>9</v>
      </c>
      <c r="C12" s="3845"/>
      <c r="D12" s="3382" t="s">
        <v>3140</v>
      </c>
      <c r="E12" s="3381" t="s">
        <v>3149</v>
      </c>
      <c r="F12" s="3407">
        <v>89.98</v>
      </c>
      <c r="I12" s="3847"/>
      <c r="J12" s="3402" t="s">
        <v>3280</v>
      </c>
      <c r="K12" s="3382">
        <f>'[2]数据-基础表'!$I$13</f>
        <v>2889.74</v>
      </c>
      <c r="L12" s="3382">
        <f>'[2]数据-基础表'!$K$14</f>
        <v>824.4</v>
      </c>
      <c r="M12" s="3382">
        <f>'[2]数据-基础表'!$M$15</f>
        <v>11708.62</v>
      </c>
      <c r="N12" s="3401">
        <f>SUM(K12:M12)</f>
        <v>15422.76</v>
      </c>
      <c r="O12" s="3401"/>
      <c r="P12" s="3845"/>
    </row>
    <row r="13" spans="2:16">
      <c r="B13" s="3381">
        <v>10</v>
      </c>
      <c r="C13" s="3845"/>
      <c r="D13" s="3382" t="s">
        <v>3140</v>
      </c>
      <c r="E13" s="3381" t="s">
        <v>3150</v>
      </c>
      <c r="F13" s="3407">
        <v>89.98</v>
      </c>
      <c r="I13" s="3848"/>
      <c r="J13" s="3402" t="s">
        <v>3284</v>
      </c>
      <c r="K13" s="3401">
        <f>SUM(K10:K12)</f>
        <v>19068.89</v>
      </c>
      <c r="L13" s="3401">
        <f>SUM(L10:L12)</f>
        <v>866.3</v>
      </c>
      <c r="M13" s="3401">
        <f>SUM(M10:M12)</f>
        <v>19628.93</v>
      </c>
      <c r="N13" s="3401">
        <f>SUM(N10:N12)</f>
        <v>39564.120000000003</v>
      </c>
      <c r="O13" s="3401"/>
      <c r="P13" s="3845"/>
    </row>
    <row r="14" spans="2:16">
      <c r="B14" s="3381">
        <v>11</v>
      </c>
      <c r="C14" s="3845"/>
      <c r="D14" s="3382" t="s">
        <v>3140</v>
      </c>
      <c r="E14" s="3381" t="s">
        <v>3151</v>
      </c>
      <c r="F14" s="3407">
        <v>89.98</v>
      </c>
    </row>
    <row r="15" spans="2:16">
      <c r="B15" s="3381">
        <v>12</v>
      </c>
      <c r="C15" s="3845"/>
      <c r="D15" s="3382" t="s">
        <v>3140</v>
      </c>
      <c r="E15" s="3381" t="s">
        <v>3152</v>
      </c>
      <c r="F15" s="3407">
        <v>91.85</v>
      </c>
      <c r="K15">
        <f>'[3]数据-基础表'!$I$13</f>
        <v>36949.25</v>
      </c>
      <c r="L15">
        <f>'[3]数据-基础表'!$K$13</f>
        <v>866.3</v>
      </c>
      <c r="M15">
        <f>'[3]数据-基础表'!$M$13</f>
        <v>19870.05</v>
      </c>
      <c r="N15">
        <f>SUM(K15:M15)</f>
        <v>57685.600000000006</v>
      </c>
      <c r="P15">
        <f>[3]结果表!$G$19</f>
        <v>24912</v>
      </c>
    </row>
    <row r="16" spans="2:16">
      <c r="B16" s="3381">
        <v>13</v>
      </c>
      <c r="C16" s="3845"/>
      <c r="D16" s="3382" t="s">
        <v>3140</v>
      </c>
      <c r="E16" s="3381" t="s">
        <v>3153</v>
      </c>
      <c r="F16" s="3407">
        <v>95.73</v>
      </c>
      <c r="K16" s="3385">
        <f>K15-K13</f>
        <v>17880.36</v>
      </c>
      <c r="L16" s="3385"/>
      <c r="M16" s="3385">
        <f>M15-M13</f>
        <v>241.11999999999898</v>
      </c>
      <c r="N16" s="3385">
        <f>N15-N13</f>
        <v>18121.480000000003</v>
      </c>
      <c r="O16" s="3385"/>
    </row>
    <row r="17" spans="2:16">
      <c r="B17" s="3381">
        <v>14</v>
      </c>
      <c r="C17" s="3845"/>
      <c r="D17" s="3382" t="s">
        <v>3140</v>
      </c>
      <c r="E17" s="3381" t="s">
        <v>3154</v>
      </c>
      <c r="F17" s="3407">
        <v>95.73</v>
      </c>
      <c r="K17">
        <v>4800</v>
      </c>
    </row>
    <row r="18" spans="2:16">
      <c r="B18" s="3381">
        <v>15</v>
      </c>
      <c r="C18" s="3845"/>
      <c r="D18" s="3382" t="s">
        <v>3140</v>
      </c>
      <c r="E18" s="3381" t="s">
        <v>3155</v>
      </c>
      <c r="F18" s="3407">
        <v>89.98</v>
      </c>
      <c r="I18" s="3373"/>
      <c r="K18">
        <f>K16*K17/10000</f>
        <v>8582.5727999999999</v>
      </c>
      <c r="P18">
        <f ca="1">P15-N6</f>
        <v>7082</v>
      </c>
    </row>
    <row r="19" spans="2:16">
      <c r="B19" s="3381">
        <v>16</v>
      </c>
      <c r="C19" s="3845"/>
      <c r="D19" s="3382" t="s">
        <v>3140</v>
      </c>
      <c r="E19" s="3381" t="s">
        <v>3156</v>
      </c>
      <c r="F19" s="3407">
        <v>91.85</v>
      </c>
      <c r="I19" s="3399"/>
    </row>
    <row r="20" spans="2:16">
      <c r="B20" s="3381">
        <v>17</v>
      </c>
      <c r="C20" s="3845" t="s">
        <v>3157</v>
      </c>
      <c r="D20" s="3382" t="s">
        <v>3140</v>
      </c>
      <c r="E20" s="3381" t="s">
        <v>3158</v>
      </c>
      <c r="F20" s="3383">
        <v>91.05</v>
      </c>
      <c r="I20" s="3400"/>
    </row>
    <row r="21" spans="2:16" ht="17.25" customHeight="1">
      <c r="B21" s="3381">
        <v>18</v>
      </c>
      <c r="C21" s="3845"/>
      <c r="D21" s="3382" t="s">
        <v>3140</v>
      </c>
      <c r="E21" s="3384" t="s">
        <v>3159</v>
      </c>
      <c r="F21" s="3383">
        <v>89.93</v>
      </c>
      <c r="I21" s="3400"/>
    </row>
    <row r="22" spans="2:16">
      <c r="F22" s="3385">
        <f>SUM(F4:F21)</f>
        <v>1653.4</v>
      </c>
    </row>
    <row r="26" spans="2:16">
      <c r="H26" s="3398" t="s">
        <v>3267</v>
      </c>
      <c r="I26" s="3398" t="s">
        <v>3268</v>
      </c>
      <c r="J26" s="3398" t="s">
        <v>3269</v>
      </c>
      <c r="K26" s="3398" t="s">
        <v>3270</v>
      </c>
    </row>
    <row r="27" spans="2:16">
      <c r="B27" s="3386" t="s">
        <v>3160</v>
      </c>
      <c r="C27" s="3382" t="s">
        <v>3136</v>
      </c>
      <c r="D27" s="3387" t="s">
        <v>3161</v>
      </c>
      <c r="E27" s="3388" t="s">
        <v>3162</v>
      </c>
      <c r="H27" s="3398" t="s">
        <v>3271</v>
      </c>
      <c r="I27" s="3382">
        <f>'数据-基础表'!I13</f>
        <v>1653.4</v>
      </c>
      <c r="J27" s="3382">
        <f ca="1">典型户型修正!S22</f>
        <v>703</v>
      </c>
      <c r="K27" s="3382">
        <f ca="1">典型户型修正!R22</f>
        <v>4252</v>
      </c>
    </row>
    <row r="28" spans="2:16">
      <c r="B28" s="3386">
        <v>1</v>
      </c>
      <c r="C28" s="3382" t="s">
        <v>3163</v>
      </c>
      <c r="D28" s="3387" t="s">
        <v>3164</v>
      </c>
      <c r="E28" s="3389">
        <v>29.51</v>
      </c>
      <c r="H28" s="3398" t="s">
        <v>3272</v>
      </c>
      <c r="I28" s="3382">
        <f>'数据-基础表'!K14</f>
        <v>2390.3000000000002</v>
      </c>
      <c r="J28" s="3382">
        <f ca="1">'典型户型修正-车位'!S22</f>
        <v>812</v>
      </c>
      <c r="K28" s="3382">
        <f ca="1">'典型户型修正-车位'!R22</f>
        <v>3397</v>
      </c>
    </row>
    <row r="29" spans="2:16" ht="14.25">
      <c r="B29" s="3386">
        <v>2</v>
      </c>
      <c r="C29" s="3382" t="s">
        <v>3163</v>
      </c>
      <c r="D29" s="3387" t="s">
        <v>3165</v>
      </c>
      <c r="E29" s="3389">
        <v>29.51</v>
      </c>
      <c r="H29" s="3398" t="s">
        <v>3273</v>
      </c>
      <c r="I29" s="3382">
        <f>SUM(I27:I28)</f>
        <v>4043.7000000000003</v>
      </c>
      <c r="J29" s="3382">
        <f ca="1">SUM(J27:J28)</f>
        <v>1515</v>
      </c>
      <c r="K29" s="3382"/>
    </row>
    <row r="30" spans="2:16" ht="14.25">
      <c r="B30" s="3386">
        <v>3</v>
      </c>
      <c r="C30" s="3382" t="s">
        <v>3163</v>
      </c>
      <c r="D30" s="3387" t="s">
        <v>3166</v>
      </c>
      <c r="E30" s="3389">
        <v>29.51</v>
      </c>
      <c r="N30" s="3373"/>
      <c r="O30" s="3373"/>
    </row>
    <row r="31" spans="2:16" ht="14.25">
      <c r="B31" s="3386">
        <v>4</v>
      </c>
      <c r="C31" s="3382" t="s">
        <v>3163</v>
      </c>
      <c r="D31" s="3387" t="s">
        <v>3167</v>
      </c>
      <c r="E31" s="3389">
        <v>29.51</v>
      </c>
    </row>
    <row r="32" spans="2:16" ht="14.25">
      <c r="B32" s="3386">
        <v>5</v>
      </c>
      <c r="C32" s="3382" t="s">
        <v>3163</v>
      </c>
      <c r="D32" s="3387" t="s">
        <v>3168</v>
      </c>
      <c r="E32" s="3389">
        <v>29.51</v>
      </c>
    </row>
    <row r="33" spans="2:15" ht="14.25">
      <c r="B33" s="3386">
        <v>6</v>
      </c>
      <c r="C33" s="3382" t="s">
        <v>3163</v>
      </c>
      <c r="D33" s="3387" t="s">
        <v>3169</v>
      </c>
      <c r="E33" s="3389">
        <v>29.51</v>
      </c>
      <c r="K33" s="3398" t="s">
        <v>3322</v>
      </c>
      <c r="L33" s="3398" t="s">
        <v>3324</v>
      </c>
      <c r="M33" s="3398" t="s">
        <v>3323</v>
      </c>
      <c r="N33" s="3398" t="s">
        <v>3326</v>
      </c>
      <c r="O33" s="3398" t="s">
        <v>3327</v>
      </c>
    </row>
    <row r="34" spans="2:15" ht="14.25">
      <c r="B34" s="3386">
        <v>7</v>
      </c>
      <c r="C34" s="3382" t="s">
        <v>3163</v>
      </c>
      <c r="D34" s="3387" t="s">
        <v>3170</v>
      </c>
      <c r="E34" s="3389">
        <v>29.51</v>
      </c>
      <c r="K34" s="3382">
        <v>1</v>
      </c>
      <c r="L34" s="3382" t="str">
        <f>E4</f>
        <v>DK1-1-10703</v>
      </c>
      <c r="M34" s="3398" t="s">
        <v>3325</v>
      </c>
      <c r="N34" s="3401">
        <f>F4</f>
        <v>91.1</v>
      </c>
      <c r="O34" s="3382">
        <f>ROUND(N34/分摊土地面积!$E$29*分摊土地面积!$F$29,2)</f>
        <v>27.46</v>
      </c>
    </row>
    <row r="35" spans="2:15" ht="14.25">
      <c r="B35" s="3386">
        <v>8</v>
      </c>
      <c r="C35" s="3382" t="s">
        <v>3163</v>
      </c>
      <c r="D35" s="3387" t="s">
        <v>3171</v>
      </c>
      <c r="E35" s="3389">
        <v>29.51</v>
      </c>
      <c r="K35" s="3382">
        <v>2</v>
      </c>
      <c r="L35" s="3382" t="str">
        <f t="shared" ref="L35:L44" si="0">E5</f>
        <v>DK1-1-10906</v>
      </c>
      <c r="M35" s="3398" t="s">
        <v>3325</v>
      </c>
      <c r="N35" s="3401">
        <f t="shared" ref="N35:N51" si="1">F5</f>
        <v>94.27</v>
      </c>
      <c r="O35" s="3382">
        <f>ROUND(N35/分摊土地面积!$E$29*分摊土地面积!$F$29,2)+0.01</f>
        <v>28.42</v>
      </c>
    </row>
    <row r="36" spans="2:15" ht="14.25">
      <c r="B36" s="3386">
        <v>9</v>
      </c>
      <c r="C36" s="3382" t="s">
        <v>3163</v>
      </c>
      <c r="D36" s="3387" t="s">
        <v>3172</v>
      </c>
      <c r="E36" s="3389">
        <v>29.51</v>
      </c>
      <c r="K36" s="3382">
        <v>3</v>
      </c>
      <c r="L36" s="3382" t="str">
        <f t="shared" si="0"/>
        <v>DK1-1-11005</v>
      </c>
      <c r="M36" s="3398" t="s">
        <v>3325</v>
      </c>
      <c r="N36" s="3401">
        <f t="shared" si="1"/>
        <v>89.53</v>
      </c>
      <c r="O36" s="3382">
        <f>ROUND(N36/分摊土地面积!$E$29*分摊土地面积!$F$29,2)</f>
        <v>26.99</v>
      </c>
    </row>
    <row r="37" spans="2:15" ht="14.25">
      <c r="B37" s="3386">
        <v>10</v>
      </c>
      <c r="C37" s="3382" t="s">
        <v>3163</v>
      </c>
      <c r="D37" s="3387" t="s">
        <v>3173</v>
      </c>
      <c r="E37" s="3389">
        <v>29.51</v>
      </c>
      <c r="K37" s="3382">
        <v>4</v>
      </c>
      <c r="L37" s="3382" t="str">
        <f t="shared" si="0"/>
        <v>DK1-1-11503</v>
      </c>
      <c r="M37" s="3398" t="s">
        <v>3325</v>
      </c>
      <c r="N37" s="3401">
        <f t="shared" si="1"/>
        <v>91.62</v>
      </c>
      <c r="O37" s="3382">
        <f>ROUND(N37/分摊土地面积!$E$29*分摊土地面积!$F$29,2)</f>
        <v>27.62</v>
      </c>
    </row>
    <row r="38" spans="2:15" ht="14.25">
      <c r="B38" s="3386">
        <v>11</v>
      </c>
      <c r="C38" s="3382" t="s">
        <v>3163</v>
      </c>
      <c r="D38" s="3390" t="s">
        <v>3174</v>
      </c>
      <c r="E38" s="3391">
        <v>29.51</v>
      </c>
      <c r="K38" s="3382">
        <v>5</v>
      </c>
      <c r="L38" s="3382" t="str">
        <f t="shared" si="0"/>
        <v>DK1-1-11702</v>
      </c>
      <c r="M38" s="3398" t="s">
        <v>3325</v>
      </c>
      <c r="N38" s="3401">
        <f t="shared" si="1"/>
        <v>89.98</v>
      </c>
      <c r="O38" s="3382">
        <f>ROUND(N38/分摊土地面积!$E$29*分摊土地面积!$F$29,2)</f>
        <v>27.12</v>
      </c>
    </row>
    <row r="39" spans="2:15" ht="14.25">
      <c r="B39" s="3386">
        <v>12</v>
      </c>
      <c r="C39" s="3382" t="s">
        <v>3163</v>
      </c>
      <c r="D39" s="3387" t="s">
        <v>3175</v>
      </c>
      <c r="E39" s="3389">
        <v>29.51</v>
      </c>
      <c r="K39" s="3382">
        <v>6</v>
      </c>
      <c r="L39" s="3382" t="str">
        <f t="shared" si="0"/>
        <v>DK1-1-11902</v>
      </c>
      <c r="M39" s="3398" t="s">
        <v>3325</v>
      </c>
      <c r="N39" s="3401">
        <f t="shared" si="1"/>
        <v>89.98</v>
      </c>
      <c r="O39" s="3382">
        <f>ROUND(N39/分摊土地面积!$E$29*分摊土地面积!$F$29,2)</f>
        <v>27.12</v>
      </c>
    </row>
    <row r="40" spans="2:15" ht="14.25">
      <c r="B40" s="3386">
        <v>13</v>
      </c>
      <c r="C40" s="3382" t="s">
        <v>3163</v>
      </c>
      <c r="D40" s="3387" t="s">
        <v>3176</v>
      </c>
      <c r="E40" s="3389">
        <v>29.51</v>
      </c>
      <c r="K40" s="3382">
        <v>7</v>
      </c>
      <c r="L40" s="3382" t="str">
        <f t="shared" si="0"/>
        <v>DK1-1-11906</v>
      </c>
      <c r="M40" s="3398" t="s">
        <v>3325</v>
      </c>
      <c r="N40" s="3401">
        <f t="shared" si="1"/>
        <v>95.43</v>
      </c>
      <c r="O40" s="3382">
        <f>ROUND(N40/分摊土地面积!$E$29*分摊土地面积!$F$29,2)</f>
        <v>28.76</v>
      </c>
    </row>
    <row r="41" spans="2:15" ht="14.25">
      <c r="B41" s="3386">
        <v>14</v>
      </c>
      <c r="C41" s="3382" t="s">
        <v>3163</v>
      </c>
      <c r="D41" s="3390" t="s">
        <v>3177</v>
      </c>
      <c r="E41" s="3391">
        <v>29.51</v>
      </c>
      <c r="K41" s="3382">
        <v>8</v>
      </c>
      <c r="L41" s="3382" t="str">
        <f t="shared" si="0"/>
        <v>DK1-1-12101</v>
      </c>
      <c r="M41" s="3398" t="s">
        <v>3325</v>
      </c>
      <c r="N41" s="3401">
        <f t="shared" si="1"/>
        <v>95.43</v>
      </c>
      <c r="O41" s="3382">
        <f>ROUND(N41/分摊土地面积!$E$29*分摊土地面积!$F$29,2)</f>
        <v>28.76</v>
      </c>
    </row>
    <row r="42" spans="2:15" ht="14.25">
      <c r="B42" s="3386">
        <v>15</v>
      </c>
      <c r="C42" s="3382" t="s">
        <v>3163</v>
      </c>
      <c r="D42" s="3387" t="s">
        <v>3178</v>
      </c>
      <c r="E42" s="3389">
        <v>29.51</v>
      </c>
      <c r="K42" s="3382">
        <v>9</v>
      </c>
      <c r="L42" s="3382" t="str">
        <f t="shared" si="0"/>
        <v>DK1-1-12305</v>
      </c>
      <c r="M42" s="3398" t="s">
        <v>3325</v>
      </c>
      <c r="N42" s="3401">
        <f t="shared" si="1"/>
        <v>89.98</v>
      </c>
      <c r="O42" s="3382">
        <f>ROUND(N42/分摊土地面积!$E$29*分摊土地面积!$F$29,2)</f>
        <v>27.12</v>
      </c>
    </row>
    <row r="43" spans="2:15" ht="14.25">
      <c r="B43" s="3386">
        <v>16</v>
      </c>
      <c r="C43" s="3382" t="s">
        <v>3163</v>
      </c>
      <c r="D43" s="3390" t="s">
        <v>3179</v>
      </c>
      <c r="E43" s="3391">
        <v>29.51</v>
      </c>
      <c r="K43" s="3382">
        <v>10</v>
      </c>
      <c r="L43" s="3382" t="str">
        <f t="shared" si="0"/>
        <v>DK1-1-12405</v>
      </c>
      <c r="M43" s="3398" t="s">
        <v>3325</v>
      </c>
      <c r="N43" s="3401">
        <f t="shared" si="1"/>
        <v>89.98</v>
      </c>
      <c r="O43" s="3382">
        <f>ROUND(N43/分摊土地面积!$E$29*分摊土地面积!$F$29,2)</f>
        <v>27.12</v>
      </c>
    </row>
    <row r="44" spans="2:15" ht="14.25">
      <c r="B44" s="3386">
        <v>17</v>
      </c>
      <c r="C44" s="3382" t="s">
        <v>3163</v>
      </c>
      <c r="D44" s="3387" t="s">
        <v>3180</v>
      </c>
      <c r="E44" s="3389">
        <v>29.51</v>
      </c>
      <c r="K44" s="3382">
        <v>11</v>
      </c>
      <c r="L44" s="3382" t="str">
        <f t="shared" si="0"/>
        <v>DK1-1-12605</v>
      </c>
      <c r="M44" s="3398" t="s">
        <v>3325</v>
      </c>
      <c r="N44" s="3401">
        <f t="shared" si="1"/>
        <v>89.98</v>
      </c>
      <c r="O44" s="3382">
        <f>ROUND(N44/分摊土地面积!$E$29*分摊土地面积!$F$29,2)</f>
        <v>27.12</v>
      </c>
    </row>
    <row r="45" spans="2:15" ht="14.25">
      <c r="B45" s="3386">
        <v>18</v>
      </c>
      <c r="C45" s="3382" t="s">
        <v>3163</v>
      </c>
      <c r="D45" s="3390" t="s">
        <v>3181</v>
      </c>
      <c r="E45" s="3391">
        <v>29.51</v>
      </c>
      <c r="K45" s="3382">
        <v>12</v>
      </c>
      <c r="L45" s="3382" t="str">
        <f>E15</f>
        <v>DK1-1-12704</v>
      </c>
      <c r="M45" s="3398" t="s">
        <v>3325</v>
      </c>
      <c r="N45" s="3401">
        <f t="shared" si="1"/>
        <v>91.85</v>
      </c>
      <c r="O45" s="3382">
        <f>ROUND(N45/分摊土地面积!$E$29*分摊土地面积!$F$29,2)</f>
        <v>27.68</v>
      </c>
    </row>
    <row r="46" spans="2:15" ht="14.25">
      <c r="B46" s="3386">
        <v>19</v>
      </c>
      <c r="C46" s="3382" t="s">
        <v>3163</v>
      </c>
      <c r="D46" s="3390" t="s">
        <v>3182</v>
      </c>
      <c r="E46" s="3391">
        <v>29.51</v>
      </c>
      <c r="K46" s="3382">
        <v>13</v>
      </c>
      <c r="L46" s="3382" t="str">
        <f>E16</f>
        <v>DK1-1-12806</v>
      </c>
      <c r="M46" s="3398" t="s">
        <v>3325</v>
      </c>
      <c r="N46" s="3401">
        <f t="shared" si="1"/>
        <v>95.73</v>
      </c>
      <c r="O46" s="3382">
        <f>ROUND(N46/分摊土地面积!$E$29*分摊土地面积!$F$29,2)</f>
        <v>28.85</v>
      </c>
    </row>
    <row r="47" spans="2:15" ht="14.25">
      <c r="B47" s="3386">
        <v>20</v>
      </c>
      <c r="C47" s="3382" t="s">
        <v>3163</v>
      </c>
      <c r="D47" s="3387" t="s">
        <v>3183</v>
      </c>
      <c r="E47" s="3389">
        <v>29.51</v>
      </c>
      <c r="K47" s="3382">
        <v>14</v>
      </c>
      <c r="L47" s="3382" t="str">
        <f t="shared" ref="L47:L48" si="2">E17</f>
        <v>DK1-1-13206</v>
      </c>
      <c r="M47" s="3398" t="s">
        <v>3325</v>
      </c>
      <c r="N47" s="3401">
        <f t="shared" si="1"/>
        <v>95.73</v>
      </c>
      <c r="O47" s="3382">
        <f>ROUND(N47/分摊土地面积!$E$29*分摊土地面积!$F$29,2)</f>
        <v>28.85</v>
      </c>
    </row>
    <row r="48" spans="2:15" ht="14.25">
      <c r="B48" s="3386">
        <v>21</v>
      </c>
      <c r="C48" s="3382" t="s">
        <v>3163</v>
      </c>
      <c r="D48" s="3390" t="s">
        <v>3184</v>
      </c>
      <c r="E48" s="3391">
        <v>29.51</v>
      </c>
      <c r="K48" s="3382">
        <v>15</v>
      </c>
      <c r="L48" s="3382" t="str">
        <f t="shared" si="2"/>
        <v>DK1-1-13302</v>
      </c>
      <c r="M48" s="3398" t="s">
        <v>3325</v>
      </c>
      <c r="N48" s="3401">
        <f t="shared" si="1"/>
        <v>89.98</v>
      </c>
      <c r="O48" s="3382">
        <f>ROUND(N48/分摊土地面积!$E$29*分摊土地面积!$F$29,2)</f>
        <v>27.12</v>
      </c>
    </row>
    <row r="49" spans="2:15" ht="14.25">
      <c r="B49" s="3386">
        <v>22</v>
      </c>
      <c r="C49" s="3382" t="s">
        <v>3163</v>
      </c>
      <c r="D49" s="3387" t="s">
        <v>3185</v>
      </c>
      <c r="E49" s="3389">
        <v>29.51</v>
      </c>
      <c r="K49" s="3382">
        <v>16</v>
      </c>
      <c r="L49" s="3382" t="str">
        <f>E19</f>
        <v>DK1-1-13303</v>
      </c>
      <c r="M49" s="3398" t="s">
        <v>3325</v>
      </c>
      <c r="N49" s="3401">
        <f t="shared" si="1"/>
        <v>91.85</v>
      </c>
      <c r="O49" s="3382">
        <f>ROUND(N49/分摊土地面积!$E$29*分摊土地面积!$F$29,2)</f>
        <v>27.68</v>
      </c>
    </row>
    <row r="50" spans="2:15" ht="14.25">
      <c r="B50" s="3386">
        <v>23</v>
      </c>
      <c r="C50" s="3382" t="s">
        <v>3163</v>
      </c>
      <c r="D50" s="3387" t="s">
        <v>3186</v>
      </c>
      <c r="E50" s="3392">
        <v>59.02</v>
      </c>
      <c r="K50" s="3382">
        <v>17</v>
      </c>
      <c r="L50" s="3382" t="str">
        <f t="shared" ref="L50:L51" si="3">E20</f>
        <v>DK1-2-10304</v>
      </c>
      <c r="M50" s="3398" t="s">
        <v>3325</v>
      </c>
      <c r="N50" s="3401">
        <f t="shared" si="1"/>
        <v>91.05</v>
      </c>
      <c r="O50" s="3382">
        <f>ROUND(N50/分摊土地面积!$E$29*分摊土地面积!$F$29,2)</f>
        <v>27.44</v>
      </c>
    </row>
    <row r="51" spans="2:15" ht="14.25">
      <c r="B51" s="3386">
        <v>24</v>
      </c>
      <c r="C51" s="3382" t="s">
        <v>3163</v>
      </c>
      <c r="D51" s="3387" t="s">
        <v>3187</v>
      </c>
      <c r="E51" s="3392">
        <v>59.02</v>
      </c>
      <c r="K51" s="3382">
        <v>18</v>
      </c>
      <c r="L51" s="3382" t="str">
        <f t="shared" si="3"/>
        <v>DK1-2-11805</v>
      </c>
      <c r="M51" s="3398" t="s">
        <v>3325</v>
      </c>
      <c r="N51" s="3401">
        <f t="shared" si="1"/>
        <v>89.93</v>
      </c>
      <c r="O51" s="3382">
        <f>ROUND(N51/分摊土地面积!$E$29*分摊土地面积!$F$29,2)</f>
        <v>27.11</v>
      </c>
    </row>
    <row r="52" spans="2:15" ht="14.25">
      <c r="B52" s="3386">
        <v>25</v>
      </c>
      <c r="C52" s="3382" t="s">
        <v>3163</v>
      </c>
      <c r="D52" s="3387" t="s">
        <v>3188</v>
      </c>
      <c r="E52" s="3392">
        <v>29.51</v>
      </c>
      <c r="K52" s="3398" t="s">
        <v>3328</v>
      </c>
      <c r="L52" s="3382"/>
      <c r="M52" s="3382"/>
      <c r="N52" s="3401">
        <f>SUM(N34:N51)</f>
        <v>1653.4</v>
      </c>
      <c r="O52" s="3401">
        <f>SUM(O34:O51)</f>
        <v>498.34000000000009</v>
      </c>
    </row>
    <row r="53" spans="2:15" ht="14.25">
      <c r="B53" s="3386">
        <v>26</v>
      </c>
      <c r="C53" s="3382" t="s">
        <v>3163</v>
      </c>
      <c r="D53" s="3387" t="s">
        <v>3189</v>
      </c>
      <c r="E53" s="3392">
        <v>29.51</v>
      </c>
    </row>
    <row r="54" spans="2:15" ht="14.25">
      <c r="B54" s="3386">
        <v>27</v>
      </c>
      <c r="C54" s="3382" t="s">
        <v>3163</v>
      </c>
      <c r="D54" s="3387" t="s">
        <v>3190</v>
      </c>
      <c r="E54" s="3392">
        <v>29.51</v>
      </c>
    </row>
    <row r="55" spans="2:15" ht="14.25">
      <c r="B55" s="3386">
        <v>28</v>
      </c>
      <c r="C55" s="3382" t="s">
        <v>3163</v>
      </c>
      <c r="D55" s="3387" t="s">
        <v>3191</v>
      </c>
      <c r="E55" s="3392">
        <v>29.51</v>
      </c>
      <c r="K55" s="3398" t="s">
        <v>3322</v>
      </c>
      <c r="L55" s="3398" t="s">
        <v>3324</v>
      </c>
      <c r="M55" s="3398" t="s">
        <v>3323</v>
      </c>
      <c r="N55" s="3398" t="s">
        <v>3326</v>
      </c>
      <c r="O55" s="3398" t="s">
        <v>3327</v>
      </c>
    </row>
    <row r="56" spans="2:15" ht="14.25">
      <c r="B56" s="3386">
        <v>29</v>
      </c>
      <c r="C56" s="3382" t="s">
        <v>3163</v>
      </c>
      <c r="D56" s="3387" t="s">
        <v>3192</v>
      </c>
      <c r="E56" s="3392">
        <v>29.51</v>
      </c>
      <c r="K56" s="3382">
        <v>1</v>
      </c>
      <c r="L56" s="3382" t="str">
        <f>D28</f>
        <v>1F101</v>
      </c>
      <c r="M56" s="3382" t="str">
        <f>C28</f>
        <v>地下车库</v>
      </c>
      <c r="N56" s="3382">
        <f>E28</f>
        <v>29.51</v>
      </c>
      <c r="O56" s="3382">
        <f>ROUND(N56/分摊土地面积!$E$29*分摊土地面积!$F$29,2)</f>
        <v>8.89</v>
      </c>
    </row>
    <row r="57" spans="2:15" ht="14.25">
      <c r="B57" s="3386">
        <v>30</v>
      </c>
      <c r="C57" s="3382" t="s">
        <v>3163</v>
      </c>
      <c r="D57" s="3387" t="s">
        <v>3193</v>
      </c>
      <c r="E57" s="3392">
        <v>29.51</v>
      </c>
      <c r="K57" s="3382">
        <v>2</v>
      </c>
      <c r="L57" s="3382" t="str">
        <f t="shared" ref="L57:L115" si="4">D29</f>
        <v>1F103</v>
      </c>
      <c r="M57" s="3382" t="str">
        <f t="shared" ref="M57:M115" si="5">C29</f>
        <v>地下车库</v>
      </c>
      <c r="N57" s="3382">
        <f t="shared" ref="N57:N115" si="6">E29</f>
        <v>29.51</v>
      </c>
      <c r="O57" s="3382">
        <f>ROUND(N57/分摊土地面积!$E$29*分摊土地面积!$F$29,2)</f>
        <v>8.89</v>
      </c>
    </row>
    <row r="58" spans="2:15" ht="14.25">
      <c r="B58" s="3386">
        <v>31</v>
      </c>
      <c r="C58" s="3382" t="s">
        <v>3163</v>
      </c>
      <c r="D58" s="3387" t="s">
        <v>3194</v>
      </c>
      <c r="E58" s="3392">
        <v>29.51</v>
      </c>
      <c r="K58" s="3382">
        <v>3</v>
      </c>
      <c r="L58" s="3382" t="str">
        <f t="shared" si="4"/>
        <v>1F104</v>
      </c>
      <c r="M58" s="3382" t="str">
        <f t="shared" si="5"/>
        <v>地下车库</v>
      </c>
      <c r="N58" s="3382">
        <f t="shared" si="6"/>
        <v>29.51</v>
      </c>
      <c r="O58" s="3382">
        <f>ROUND(N58/分摊土地面积!$E$29*分摊土地面积!$F$29,2)</f>
        <v>8.89</v>
      </c>
    </row>
    <row r="59" spans="2:15" ht="14.25">
      <c r="B59" s="3386">
        <v>32</v>
      </c>
      <c r="C59" s="3382" t="s">
        <v>3163</v>
      </c>
      <c r="D59" s="3387" t="s">
        <v>3195</v>
      </c>
      <c r="E59" s="3392">
        <v>29.51</v>
      </c>
      <c r="K59" s="3382">
        <v>4</v>
      </c>
      <c r="L59" s="3382" t="str">
        <f t="shared" si="4"/>
        <v>1F105</v>
      </c>
      <c r="M59" s="3382" t="str">
        <f t="shared" si="5"/>
        <v>地下车库</v>
      </c>
      <c r="N59" s="3382">
        <f t="shared" si="6"/>
        <v>29.51</v>
      </c>
      <c r="O59" s="3382">
        <f>ROUND(N59/分摊土地面积!$E$29*分摊土地面积!$F$29,2)</f>
        <v>8.89</v>
      </c>
    </row>
    <row r="60" spans="2:15" ht="14.25">
      <c r="B60" s="3386">
        <v>33</v>
      </c>
      <c r="C60" s="3382" t="s">
        <v>3163</v>
      </c>
      <c r="D60" s="3387" t="s">
        <v>3196</v>
      </c>
      <c r="E60" s="3392">
        <v>29.51</v>
      </c>
      <c r="K60" s="3382">
        <v>5</v>
      </c>
      <c r="L60" s="3382" t="str">
        <f t="shared" si="4"/>
        <v>1F106</v>
      </c>
      <c r="M60" s="3382" t="str">
        <f t="shared" si="5"/>
        <v>地下车库</v>
      </c>
      <c r="N60" s="3382">
        <f t="shared" si="6"/>
        <v>29.51</v>
      </c>
      <c r="O60" s="3382">
        <f>ROUND(N60/分摊土地面积!$E$29*分摊土地面积!$F$29,2)</f>
        <v>8.89</v>
      </c>
    </row>
    <row r="61" spans="2:15" ht="14.25">
      <c r="B61" s="3386">
        <v>34</v>
      </c>
      <c r="C61" s="3382" t="s">
        <v>3163</v>
      </c>
      <c r="D61" s="3387" t="s">
        <v>3197</v>
      </c>
      <c r="E61" s="3392">
        <v>29.51</v>
      </c>
      <c r="K61" s="3382">
        <v>6</v>
      </c>
      <c r="L61" s="3382" t="str">
        <f t="shared" si="4"/>
        <v>1F107</v>
      </c>
      <c r="M61" s="3382" t="str">
        <f t="shared" si="5"/>
        <v>地下车库</v>
      </c>
      <c r="N61" s="3382">
        <f t="shared" si="6"/>
        <v>29.51</v>
      </c>
      <c r="O61" s="3382">
        <f>ROUND(N61/分摊土地面积!$E$29*分摊土地面积!$F$29,2)</f>
        <v>8.89</v>
      </c>
    </row>
    <row r="62" spans="2:15" ht="14.25">
      <c r="B62" s="3386">
        <v>35</v>
      </c>
      <c r="C62" s="3382" t="s">
        <v>3163</v>
      </c>
      <c r="D62" s="3387" t="s">
        <v>3198</v>
      </c>
      <c r="E62" s="3392">
        <v>29.51</v>
      </c>
      <c r="K62" s="3382">
        <v>7</v>
      </c>
      <c r="L62" s="3382" t="str">
        <f t="shared" si="4"/>
        <v>1F108</v>
      </c>
      <c r="M62" s="3382" t="str">
        <f t="shared" si="5"/>
        <v>地下车库</v>
      </c>
      <c r="N62" s="3382">
        <f t="shared" si="6"/>
        <v>29.51</v>
      </c>
      <c r="O62" s="3382">
        <f>ROUND(N62/分摊土地面积!$E$29*分摊土地面积!$F$29,2)</f>
        <v>8.89</v>
      </c>
    </row>
    <row r="63" spans="2:15" ht="14.25">
      <c r="B63" s="3386">
        <v>36</v>
      </c>
      <c r="C63" s="3382" t="s">
        <v>3163</v>
      </c>
      <c r="D63" s="3387" t="s">
        <v>3199</v>
      </c>
      <c r="E63" s="3392">
        <v>29.51</v>
      </c>
      <c r="K63" s="3382">
        <v>8</v>
      </c>
      <c r="L63" s="3382" t="str">
        <f t="shared" si="4"/>
        <v>1F109</v>
      </c>
      <c r="M63" s="3382" t="str">
        <f t="shared" si="5"/>
        <v>地下车库</v>
      </c>
      <c r="N63" s="3382">
        <f t="shared" si="6"/>
        <v>29.51</v>
      </c>
      <c r="O63" s="3382">
        <f>ROUND(N63/分摊土地面积!$E$29*分摊土地面积!$F$29,2)</f>
        <v>8.89</v>
      </c>
    </row>
    <row r="64" spans="2:15" ht="14.25">
      <c r="B64" s="3386">
        <v>37</v>
      </c>
      <c r="C64" s="3382" t="s">
        <v>3163</v>
      </c>
      <c r="D64" s="3387" t="s">
        <v>3200</v>
      </c>
      <c r="E64" s="3393">
        <v>29.51</v>
      </c>
      <c r="K64" s="3382">
        <v>9</v>
      </c>
      <c r="L64" s="3382" t="str">
        <f t="shared" si="4"/>
        <v>1F110</v>
      </c>
      <c r="M64" s="3382" t="str">
        <f t="shared" si="5"/>
        <v>地下车库</v>
      </c>
      <c r="N64" s="3382">
        <f t="shared" si="6"/>
        <v>29.51</v>
      </c>
      <c r="O64" s="3382">
        <f>ROUND(N64/分摊土地面积!$E$29*分摊土地面积!$F$29,2)</f>
        <v>8.89</v>
      </c>
    </row>
    <row r="65" spans="2:15" ht="14.25">
      <c r="B65" s="3386">
        <v>38</v>
      </c>
      <c r="C65" s="3382" t="s">
        <v>3163</v>
      </c>
      <c r="D65" s="3387" t="s">
        <v>3201</v>
      </c>
      <c r="E65" s="3393">
        <v>29.51</v>
      </c>
      <c r="K65" s="3382">
        <v>10</v>
      </c>
      <c r="L65" s="3382" t="str">
        <f t="shared" si="4"/>
        <v>1F111</v>
      </c>
      <c r="M65" s="3382" t="str">
        <f t="shared" si="5"/>
        <v>地下车库</v>
      </c>
      <c r="N65" s="3382">
        <f t="shared" si="6"/>
        <v>29.51</v>
      </c>
      <c r="O65" s="3382">
        <f>ROUND(N65/分摊土地面积!$E$29*分摊土地面积!$F$29,2)</f>
        <v>8.89</v>
      </c>
    </row>
    <row r="66" spans="2:15" ht="14.25">
      <c r="B66" s="3386">
        <v>39</v>
      </c>
      <c r="C66" s="3382" t="s">
        <v>3163</v>
      </c>
      <c r="D66" s="3387" t="s">
        <v>3202</v>
      </c>
      <c r="E66" s="3392">
        <v>29.51</v>
      </c>
      <c r="K66" s="3382">
        <v>11</v>
      </c>
      <c r="L66" s="3382" t="str">
        <f t="shared" si="4"/>
        <v>1F112</v>
      </c>
      <c r="M66" s="3382" t="str">
        <f t="shared" si="5"/>
        <v>地下车库</v>
      </c>
      <c r="N66" s="3382">
        <f t="shared" si="6"/>
        <v>29.51</v>
      </c>
      <c r="O66" s="3382">
        <f>ROUND(N66/分摊土地面积!$E$29*分摊土地面积!$F$29,2)</f>
        <v>8.89</v>
      </c>
    </row>
    <row r="67" spans="2:15" ht="14.25">
      <c r="B67" s="3386">
        <v>40</v>
      </c>
      <c r="C67" s="3382" t="s">
        <v>3163</v>
      </c>
      <c r="D67" s="3387" t="s">
        <v>3203</v>
      </c>
      <c r="E67" s="3392">
        <v>29.51</v>
      </c>
      <c r="K67" s="3382">
        <v>12</v>
      </c>
      <c r="L67" s="3382" t="str">
        <f t="shared" si="4"/>
        <v>1F114</v>
      </c>
      <c r="M67" s="3382" t="str">
        <f t="shared" si="5"/>
        <v>地下车库</v>
      </c>
      <c r="N67" s="3382">
        <f t="shared" si="6"/>
        <v>29.51</v>
      </c>
      <c r="O67" s="3382">
        <f>ROUND(N67/分摊土地面积!$E$29*分摊土地面积!$F$29,2)</f>
        <v>8.89</v>
      </c>
    </row>
    <row r="68" spans="2:15" ht="14.25">
      <c r="B68" s="3386">
        <v>41</v>
      </c>
      <c r="C68" s="3382" t="s">
        <v>3163</v>
      </c>
      <c r="D68" s="3387" t="s">
        <v>3204</v>
      </c>
      <c r="E68" s="3392">
        <v>29.51</v>
      </c>
      <c r="K68" s="3382">
        <v>13</v>
      </c>
      <c r="L68" s="3382" t="str">
        <f t="shared" si="4"/>
        <v>1F115</v>
      </c>
      <c r="M68" s="3382" t="str">
        <f t="shared" si="5"/>
        <v>地下车库</v>
      </c>
      <c r="N68" s="3382">
        <f t="shared" si="6"/>
        <v>29.51</v>
      </c>
      <c r="O68" s="3382">
        <f>ROUND(N68/分摊土地面积!$E$29*分摊土地面积!$F$29,2)</f>
        <v>8.89</v>
      </c>
    </row>
    <row r="69" spans="2:15" ht="14.25">
      <c r="B69" s="3386">
        <v>42</v>
      </c>
      <c r="C69" s="3382" t="s">
        <v>3163</v>
      </c>
      <c r="D69" s="3387" t="s">
        <v>3205</v>
      </c>
      <c r="E69" s="3392">
        <v>29.51</v>
      </c>
      <c r="K69" s="3382">
        <v>14</v>
      </c>
      <c r="L69" s="3382" t="str">
        <f t="shared" si="4"/>
        <v>1F116</v>
      </c>
      <c r="M69" s="3382" t="str">
        <f t="shared" si="5"/>
        <v>地下车库</v>
      </c>
      <c r="N69" s="3382">
        <f t="shared" si="6"/>
        <v>29.51</v>
      </c>
      <c r="O69" s="3382">
        <f>ROUND(N69/分摊土地面积!$E$29*分摊土地面积!$F$29,2)</f>
        <v>8.89</v>
      </c>
    </row>
    <row r="70" spans="2:15" ht="14.25">
      <c r="B70" s="3386">
        <v>43</v>
      </c>
      <c r="C70" s="3382" t="s">
        <v>3163</v>
      </c>
      <c r="D70" s="3387" t="s">
        <v>3206</v>
      </c>
      <c r="E70" s="3392">
        <v>29.51</v>
      </c>
      <c r="K70" s="3382">
        <v>15</v>
      </c>
      <c r="L70" s="3382" t="str">
        <f t="shared" si="4"/>
        <v>1F118</v>
      </c>
      <c r="M70" s="3382" t="str">
        <f t="shared" si="5"/>
        <v>地下车库</v>
      </c>
      <c r="N70" s="3382">
        <f t="shared" si="6"/>
        <v>29.51</v>
      </c>
      <c r="O70" s="3382">
        <f>ROUND(N70/分摊土地面积!$E$29*分摊土地面积!$F$29,2)</f>
        <v>8.89</v>
      </c>
    </row>
    <row r="71" spans="2:15" ht="14.25">
      <c r="B71" s="3386">
        <v>44</v>
      </c>
      <c r="C71" s="3382" t="s">
        <v>3163</v>
      </c>
      <c r="D71" s="3387" t="s">
        <v>3207</v>
      </c>
      <c r="E71" s="3392">
        <v>29.51</v>
      </c>
      <c r="K71" s="3382">
        <v>16</v>
      </c>
      <c r="L71" s="3382" t="str">
        <f t="shared" si="4"/>
        <v>1F120</v>
      </c>
      <c r="M71" s="3382" t="str">
        <f t="shared" si="5"/>
        <v>地下车库</v>
      </c>
      <c r="N71" s="3382">
        <f t="shared" si="6"/>
        <v>29.51</v>
      </c>
      <c r="O71" s="3382">
        <f>ROUND(N71/分摊土地面积!$E$29*分摊土地面积!$F$29,2)</f>
        <v>8.89</v>
      </c>
    </row>
    <row r="72" spans="2:15" ht="14.25">
      <c r="B72" s="3386">
        <v>45</v>
      </c>
      <c r="C72" s="3382" t="s">
        <v>3163</v>
      </c>
      <c r="D72" s="3387" t="s">
        <v>3208</v>
      </c>
      <c r="E72" s="3392">
        <v>29.51</v>
      </c>
      <c r="K72" s="3382">
        <v>17</v>
      </c>
      <c r="L72" s="3382" t="str">
        <f t="shared" si="4"/>
        <v>1F121</v>
      </c>
      <c r="M72" s="3382" t="str">
        <f t="shared" si="5"/>
        <v>地下车库</v>
      </c>
      <c r="N72" s="3382">
        <f t="shared" si="6"/>
        <v>29.51</v>
      </c>
      <c r="O72" s="3382">
        <f>ROUND(N72/分摊土地面积!$E$29*分摊土地面积!$F$29,2)</f>
        <v>8.89</v>
      </c>
    </row>
    <row r="73" spans="2:15" ht="14.25">
      <c r="B73" s="3386">
        <v>46</v>
      </c>
      <c r="C73" s="3382" t="s">
        <v>3163</v>
      </c>
      <c r="D73" s="3387" t="s">
        <v>3209</v>
      </c>
      <c r="E73" s="3392">
        <v>29.51</v>
      </c>
      <c r="K73" s="3382">
        <v>18</v>
      </c>
      <c r="L73" s="3382" t="str">
        <f t="shared" si="4"/>
        <v>1F124</v>
      </c>
      <c r="M73" s="3382" t="str">
        <f t="shared" si="5"/>
        <v>地下车库</v>
      </c>
      <c r="N73" s="3382">
        <f t="shared" si="6"/>
        <v>29.51</v>
      </c>
      <c r="O73" s="3382">
        <f>ROUND(N73/分摊土地面积!$E$29*分摊土地面积!$F$29,2)</f>
        <v>8.89</v>
      </c>
    </row>
    <row r="74" spans="2:15" ht="14.25">
      <c r="B74" s="3386">
        <v>47</v>
      </c>
      <c r="C74" s="3382" t="s">
        <v>3163</v>
      </c>
      <c r="D74" s="3387" t="s">
        <v>3210</v>
      </c>
      <c r="E74" s="3392">
        <v>29.51</v>
      </c>
      <c r="K74" s="3382">
        <v>19</v>
      </c>
      <c r="L74" s="3382" t="str">
        <f t="shared" si="4"/>
        <v>1F126</v>
      </c>
      <c r="M74" s="3382" t="str">
        <f t="shared" si="5"/>
        <v>地下车库</v>
      </c>
      <c r="N74" s="3382">
        <f t="shared" si="6"/>
        <v>29.51</v>
      </c>
      <c r="O74" s="3382">
        <f>ROUND(N74/分摊土地面积!$E$29*分摊土地面积!$F$29,2)</f>
        <v>8.89</v>
      </c>
    </row>
    <row r="75" spans="2:15" ht="14.25">
      <c r="B75" s="3386">
        <v>48</v>
      </c>
      <c r="C75" s="3382" t="s">
        <v>3163</v>
      </c>
      <c r="D75" s="3387" t="s">
        <v>3211</v>
      </c>
      <c r="E75" s="3392">
        <v>29.51</v>
      </c>
      <c r="K75" s="3382">
        <v>20</v>
      </c>
      <c r="L75" s="3382" t="str">
        <f t="shared" si="4"/>
        <v>1F127</v>
      </c>
      <c r="M75" s="3382" t="str">
        <f t="shared" si="5"/>
        <v>地下车库</v>
      </c>
      <c r="N75" s="3382">
        <f t="shared" si="6"/>
        <v>29.51</v>
      </c>
      <c r="O75" s="3382">
        <f>ROUND(N75/分摊土地面积!$E$29*分摊土地面积!$F$29,2)</f>
        <v>8.89</v>
      </c>
    </row>
    <row r="76" spans="2:15" ht="14.25">
      <c r="B76" s="3386">
        <v>49</v>
      </c>
      <c r="C76" s="3382" t="s">
        <v>3163</v>
      </c>
      <c r="D76" s="3387" t="s">
        <v>3212</v>
      </c>
      <c r="E76" s="3392">
        <v>29.51</v>
      </c>
      <c r="K76" s="3382">
        <v>21</v>
      </c>
      <c r="L76" s="3382" t="str">
        <f t="shared" si="4"/>
        <v>1F128</v>
      </c>
      <c r="M76" s="3382" t="str">
        <f t="shared" si="5"/>
        <v>地下车库</v>
      </c>
      <c r="N76" s="3382">
        <f t="shared" si="6"/>
        <v>29.51</v>
      </c>
      <c r="O76" s="3382">
        <f>ROUND(N76/分摊土地面积!$E$29*分摊土地面积!$F$29,2)</f>
        <v>8.89</v>
      </c>
    </row>
    <row r="77" spans="2:15" ht="14.25">
      <c r="B77" s="3386">
        <v>50</v>
      </c>
      <c r="C77" s="3382" t="s">
        <v>3163</v>
      </c>
      <c r="D77" s="3387" t="s">
        <v>3213</v>
      </c>
      <c r="E77" s="3392">
        <v>29.51</v>
      </c>
      <c r="K77" s="3382">
        <v>22</v>
      </c>
      <c r="L77" s="3382" t="str">
        <f t="shared" si="4"/>
        <v>1F129</v>
      </c>
      <c r="M77" s="3382" t="str">
        <f t="shared" si="5"/>
        <v>地下车库</v>
      </c>
      <c r="N77" s="3382">
        <f t="shared" si="6"/>
        <v>29.51</v>
      </c>
      <c r="O77" s="3382">
        <f>ROUND(N77/分摊土地面积!$E$29*分摊土地面积!$F$29,2)</f>
        <v>8.89</v>
      </c>
    </row>
    <row r="78" spans="2:15" ht="14.25">
      <c r="B78" s="3386">
        <v>51</v>
      </c>
      <c r="C78" s="3382" t="s">
        <v>3163</v>
      </c>
      <c r="D78" s="3387" t="s">
        <v>3214</v>
      </c>
      <c r="E78" s="3392">
        <v>29.51</v>
      </c>
      <c r="K78" s="3382">
        <v>23</v>
      </c>
      <c r="L78" s="3382" t="str">
        <f t="shared" si="4"/>
        <v>1F131</v>
      </c>
      <c r="M78" s="3382" t="str">
        <f t="shared" si="5"/>
        <v>地下车库</v>
      </c>
      <c r="N78" s="3382">
        <f t="shared" si="6"/>
        <v>59.02</v>
      </c>
      <c r="O78" s="3382">
        <f>ROUND(N78/分摊土地面积!$E$29*分摊土地面积!$F$29,2)+0.19</f>
        <v>17.98</v>
      </c>
    </row>
    <row r="79" spans="2:15" ht="14.25">
      <c r="B79" s="3386">
        <v>52</v>
      </c>
      <c r="C79" s="3382" t="s">
        <v>3163</v>
      </c>
      <c r="D79" s="3387" t="s">
        <v>3215</v>
      </c>
      <c r="E79" s="3392">
        <v>29.51</v>
      </c>
      <c r="K79" s="3382">
        <v>24</v>
      </c>
      <c r="L79" s="3382" t="str">
        <f t="shared" si="4"/>
        <v>1F132</v>
      </c>
      <c r="M79" s="3382" t="str">
        <f t="shared" si="5"/>
        <v>地下车库</v>
      </c>
      <c r="N79" s="3382">
        <f t="shared" si="6"/>
        <v>59.02</v>
      </c>
      <c r="O79" s="3382">
        <f>ROUND(N79/分摊土地面积!$E$29*分摊土地面积!$F$29,2)+0.19</f>
        <v>17.98</v>
      </c>
    </row>
    <row r="80" spans="2:15" ht="14.25">
      <c r="B80" s="3386">
        <v>53</v>
      </c>
      <c r="C80" s="3382" t="s">
        <v>3163</v>
      </c>
      <c r="D80" s="3387" t="s">
        <v>3216</v>
      </c>
      <c r="E80" s="3392">
        <v>29.51</v>
      </c>
      <c r="K80" s="3382">
        <v>25</v>
      </c>
      <c r="L80" s="3382" t="str">
        <f t="shared" si="4"/>
        <v>1F134</v>
      </c>
      <c r="M80" s="3382" t="str">
        <f t="shared" si="5"/>
        <v>地下车库</v>
      </c>
      <c r="N80" s="3382">
        <f t="shared" si="6"/>
        <v>29.51</v>
      </c>
      <c r="O80" s="3382">
        <f>ROUND(N80/分摊土地面积!$E$29*分摊土地面积!$F$29,2)</f>
        <v>8.89</v>
      </c>
    </row>
    <row r="81" spans="2:15" ht="14.25">
      <c r="B81" s="3386">
        <v>54</v>
      </c>
      <c r="C81" s="3382" t="s">
        <v>3163</v>
      </c>
      <c r="D81" s="3387" t="s">
        <v>3217</v>
      </c>
      <c r="E81" s="3392">
        <v>29.51</v>
      </c>
      <c r="K81" s="3382">
        <v>26</v>
      </c>
      <c r="L81" s="3382" t="str">
        <f t="shared" si="4"/>
        <v>1F135</v>
      </c>
      <c r="M81" s="3382" t="str">
        <f t="shared" si="5"/>
        <v>地下车库</v>
      </c>
      <c r="N81" s="3382">
        <f t="shared" si="6"/>
        <v>29.51</v>
      </c>
      <c r="O81" s="3382">
        <f>ROUND(N81/分摊土地面积!$E$29*分摊土地面积!$F$29,2)</f>
        <v>8.89</v>
      </c>
    </row>
    <row r="82" spans="2:15" ht="14.25">
      <c r="B82" s="3386">
        <v>55</v>
      </c>
      <c r="C82" s="3382" t="s">
        <v>3163</v>
      </c>
      <c r="D82" s="3387" t="s">
        <v>3218</v>
      </c>
      <c r="E82" s="3392">
        <v>29.51</v>
      </c>
      <c r="K82" s="3382">
        <v>27</v>
      </c>
      <c r="L82" s="3382" t="str">
        <f t="shared" si="4"/>
        <v>1F136</v>
      </c>
      <c r="M82" s="3382" t="str">
        <f t="shared" si="5"/>
        <v>地下车库</v>
      </c>
      <c r="N82" s="3382">
        <f t="shared" si="6"/>
        <v>29.51</v>
      </c>
      <c r="O82" s="3382">
        <f>ROUND(N82/分摊土地面积!$E$29*分摊土地面积!$F$29,2)</f>
        <v>8.89</v>
      </c>
    </row>
    <row r="83" spans="2:15" ht="14.25">
      <c r="B83" s="3386">
        <v>56</v>
      </c>
      <c r="C83" s="3382" t="s">
        <v>3163</v>
      </c>
      <c r="D83" s="3387" t="s">
        <v>3219</v>
      </c>
      <c r="E83" s="3392">
        <v>29.51</v>
      </c>
      <c r="K83" s="3382">
        <v>28</v>
      </c>
      <c r="L83" s="3382" t="str">
        <f t="shared" si="4"/>
        <v>1F137</v>
      </c>
      <c r="M83" s="3382" t="str">
        <f t="shared" si="5"/>
        <v>地下车库</v>
      </c>
      <c r="N83" s="3382">
        <f t="shared" si="6"/>
        <v>29.51</v>
      </c>
      <c r="O83" s="3382">
        <f>ROUND(N83/分摊土地面积!$E$29*分摊土地面积!$F$29,2)</f>
        <v>8.89</v>
      </c>
    </row>
    <row r="84" spans="2:15" ht="14.25">
      <c r="B84" s="3386">
        <v>57</v>
      </c>
      <c r="C84" s="3382" t="s">
        <v>3163</v>
      </c>
      <c r="D84" s="3387" t="s">
        <v>3220</v>
      </c>
      <c r="E84" s="3392">
        <v>29.51</v>
      </c>
      <c r="K84" s="3382">
        <v>29</v>
      </c>
      <c r="L84" s="3382" t="str">
        <f t="shared" si="4"/>
        <v>1F138</v>
      </c>
      <c r="M84" s="3382" t="str">
        <f t="shared" si="5"/>
        <v>地下车库</v>
      </c>
      <c r="N84" s="3382">
        <f t="shared" si="6"/>
        <v>29.51</v>
      </c>
      <c r="O84" s="3382">
        <f>ROUND(N84/分摊土地面积!$E$29*分摊土地面积!$F$29,2)</f>
        <v>8.89</v>
      </c>
    </row>
    <row r="85" spans="2:15" ht="14.25">
      <c r="B85" s="3386">
        <v>58</v>
      </c>
      <c r="C85" s="3382" t="s">
        <v>3163</v>
      </c>
      <c r="D85" s="3387" t="s">
        <v>3221</v>
      </c>
      <c r="E85" s="3392">
        <v>29.51</v>
      </c>
      <c r="K85" s="3382">
        <v>30</v>
      </c>
      <c r="L85" s="3382" t="str">
        <f t="shared" si="4"/>
        <v>1F139</v>
      </c>
      <c r="M85" s="3382" t="str">
        <f t="shared" si="5"/>
        <v>地下车库</v>
      </c>
      <c r="N85" s="3382">
        <f t="shared" si="6"/>
        <v>29.51</v>
      </c>
      <c r="O85" s="3382">
        <f>ROUND(N85/分摊土地面积!$E$29*分摊土地面积!$F$29,2)</f>
        <v>8.89</v>
      </c>
    </row>
    <row r="86" spans="2:15" ht="14.25">
      <c r="B86" s="3386">
        <v>59</v>
      </c>
      <c r="C86" s="3382" t="s">
        <v>3163</v>
      </c>
      <c r="D86" s="3387" t="s">
        <v>3222</v>
      </c>
      <c r="E86" s="3392">
        <v>29.51</v>
      </c>
      <c r="K86" s="3382">
        <v>31</v>
      </c>
      <c r="L86" s="3382" t="str">
        <f t="shared" si="4"/>
        <v>1F140</v>
      </c>
      <c r="M86" s="3382" t="str">
        <f t="shared" si="5"/>
        <v>地下车库</v>
      </c>
      <c r="N86" s="3382">
        <f t="shared" si="6"/>
        <v>29.51</v>
      </c>
      <c r="O86" s="3382">
        <f>ROUND(N86/分摊土地面积!$E$29*分摊土地面积!$F$29,2)</f>
        <v>8.89</v>
      </c>
    </row>
    <row r="87" spans="2:15" ht="14.25">
      <c r="B87" s="3386">
        <v>60</v>
      </c>
      <c r="C87" s="3382" t="s">
        <v>3163</v>
      </c>
      <c r="D87" s="3387" t="s">
        <v>3223</v>
      </c>
      <c r="E87" s="3392">
        <v>29.51</v>
      </c>
      <c r="K87" s="3382">
        <v>32</v>
      </c>
      <c r="L87" s="3382" t="str">
        <f t="shared" si="4"/>
        <v>1F141</v>
      </c>
      <c r="M87" s="3382" t="str">
        <f t="shared" si="5"/>
        <v>地下车库</v>
      </c>
      <c r="N87" s="3382">
        <f t="shared" si="6"/>
        <v>29.51</v>
      </c>
      <c r="O87" s="3382">
        <f>ROUND(N87/分摊土地面积!$E$29*分摊土地面积!$F$29,2)</f>
        <v>8.89</v>
      </c>
    </row>
    <row r="88" spans="2:15" ht="14.25">
      <c r="B88" s="3386">
        <v>61</v>
      </c>
      <c r="C88" s="3382" t="s">
        <v>3163</v>
      </c>
      <c r="D88" s="3387" t="s">
        <v>3224</v>
      </c>
      <c r="E88" s="3392">
        <v>29.51</v>
      </c>
      <c r="K88" s="3382">
        <v>33</v>
      </c>
      <c r="L88" s="3382" t="str">
        <f t="shared" si="4"/>
        <v>1F142</v>
      </c>
      <c r="M88" s="3382" t="str">
        <f t="shared" si="5"/>
        <v>地下车库</v>
      </c>
      <c r="N88" s="3382">
        <f t="shared" si="6"/>
        <v>29.51</v>
      </c>
      <c r="O88" s="3382">
        <f>ROUND(N88/分摊土地面积!$E$29*分摊土地面积!$F$29,2)</f>
        <v>8.89</v>
      </c>
    </row>
    <row r="89" spans="2:15" ht="14.25">
      <c r="B89" s="3386">
        <v>62</v>
      </c>
      <c r="C89" s="3382" t="s">
        <v>3163</v>
      </c>
      <c r="D89" s="3387" t="s">
        <v>3225</v>
      </c>
      <c r="E89" s="3392">
        <v>29.51</v>
      </c>
      <c r="K89" s="3382">
        <v>34</v>
      </c>
      <c r="L89" s="3382" t="str">
        <f t="shared" si="4"/>
        <v>1F143</v>
      </c>
      <c r="M89" s="3382" t="str">
        <f t="shared" si="5"/>
        <v>地下车库</v>
      </c>
      <c r="N89" s="3382">
        <f t="shared" si="6"/>
        <v>29.51</v>
      </c>
      <c r="O89" s="3382">
        <f>ROUND(N89/分摊土地面积!$E$29*分摊土地面积!$F$29,2)</f>
        <v>8.89</v>
      </c>
    </row>
    <row r="90" spans="2:15" ht="14.25">
      <c r="B90" s="3386">
        <v>63</v>
      </c>
      <c r="C90" s="3382" t="s">
        <v>3163</v>
      </c>
      <c r="D90" s="3387" t="s">
        <v>3226</v>
      </c>
      <c r="E90" s="3392">
        <v>29.51</v>
      </c>
      <c r="K90" s="3382">
        <v>35</v>
      </c>
      <c r="L90" s="3382" t="str">
        <f t="shared" si="4"/>
        <v>1F144</v>
      </c>
      <c r="M90" s="3382" t="str">
        <f t="shared" si="5"/>
        <v>地下车库</v>
      </c>
      <c r="N90" s="3382">
        <f t="shared" si="6"/>
        <v>29.51</v>
      </c>
      <c r="O90" s="3382">
        <f>ROUND(N90/分摊土地面积!$E$29*分摊土地面积!$F$29,2)</f>
        <v>8.89</v>
      </c>
    </row>
    <row r="91" spans="2:15" ht="14.25">
      <c r="B91" s="3386">
        <v>64</v>
      </c>
      <c r="C91" s="3382" t="s">
        <v>3227</v>
      </c>
      <c r="D91" s="3387" t="s">
        <v>3228</v>
      </c>
      <c r="E91" s="3392">
        <v>29.51</v>
      </c>
      <c r="K91" s="3382">
        <v>36</v>
      </c>
      <c r="L91" s="3382" t="str">
        <f t="shared" si="4"/>
        <v>1F145</v>
      </c>
      <c r="M91" s="3382" t="str">
        <f t="shared" si="5"/>
        <v>地下车库</v>
      </c>
      <c r="N91" s="3382">
        <f t="shared" si="6"/>
        <v>29.51</v>
      </c>
      <c r="O91" s="3382">
        <f>ROUND(N91/分摊土地面积!$E$29*分摊土地面积!$F$29,2)</f>
        <v>8.89</v>
      </c>
    </row>
    <row r="92" spans="2:15" ht="14.25">
      <c r="B92" s="3386">
        <v>65</v>
      </c>
      <c r="C92" s="3382" t="s">
        <v>3227</v>
      </c>
      <c r="D92" s="3387" t="s">
        <v>3229</v>
      </c>
      <c r="E92" s="3392">
        <v>29.51</v>
      </c>
      <c r="K92" s="3382">
        <v>37</v>
      </c>
      <c r="L92" s="3382" t="str">
        <f t="shared" si="4"/>
        <v>1F146</v>
      </c>
      <c r="M92" s="3382" t="str">
        <f t="shared" si="5"/>
        <v>地下车库</v>
      </c>
      <c r="N92" s="3382">
        <f t="shared" si="6"/>
        <v>29.51</v>
      </c>
      <c r="O92" s="3382">
        <f>ROUND(N92/分摊土地面积!$E$29*分摊土地面积!$F$29,2)</f>
        <v>8.89</v>
      </c>
    </row>
    <row r="93" spans="2:15" ht="14.25">
      <c r="B93" s="3386">
        <v>66</v>
      </c>
      <c r="C93" s="3382" t="s">
        <v>3227</v>
      </c>
      <c r="D93" s="3387" t="s">
        <v>3230</v>
      </c>
      <c r="E93" s="3392">
        <v>29.51</v>
      </c>
      <c r="K93" s="3382">
        <v>38</v>
      </c>
      <c r="L93" s="3382" t="str">
        <f t="shared" si="4"/>
        <v>1F147</v>
      </c>
      <c r="M93" s="3382" t="str">
        <f t="shared" si="5"/>
        <v>地下车库</v>
      </c>
      <c r="N93" s="3382">
        <f t="shared" si="6"/>
        <v>29.51</v>
      </c>
      <c r="O93" s="3382">
        <f>ROUND(N93/分摊土地面积!$E$29*分摊土地面积!$F$29,2)</f>
        <v>8.89</v>
      </c>
    </row>
    <row r="94" spans="2:15" ht="14.25">
      <c r="B94" s="3386">
        <v>67</v>
      </c>
      <c r="C94" s="3382" t="s">
        <v>3227</v>
      </c>
      <c r="D94" s="3387" t="s">
        <v>3231</v>
      </c>
      <c r="E94" s="3392">
        <v>29.51</v>
      </c>
      <c r="K94" s="3382">
        <v>39</v>
      </c>
      <c r="L94" s="3382" t="str">
        <f t="shared" si="4"/>
        <v>1F148</v>
      </c>
      <c r="M94" s="3382" t="str">
        <f t="shared" si="5"/>
        <v>地下车库</v>
      </c>
      <c r="N94" s="3382">
        <f t="shared" si="6"/>
        <v>29.51</v>
      </c>
      <c r="O94" s="3382">
        <f>ROUND(N94/分摊土地面积!$E$29*分摊土地面积!$F$29,2)</f>
        <v>8.89</v>
      </c>
    </row>
    <row r="95" spans="2:15" ht="14.25">
      <c r="B95" s="3386">
        <v>68</v>
      </c>
      <c r="C95" s="3382" t="s">
        <v>3227</v>
      </c>
      <c r="D95" s="3387" t="s">
        <v>3232</v>
      </c>
      <c r="E95" s="3392">
        <v>29.51</v>
      </c>
      <c r="K95" s="3382">
        <v>40</v>
      </c>
      <c r="L95" s="3382" t="str">
        <f t="shared" si="4"/>
        <v>1F150</v>
      </c>
      <c r="M95" s="3382" t="str">
        <f t="shared" si="5"/>
        <v>地下车库</v>
      </c>
      <c r="N95" s="3382">
        <f t="shared" si="6"/>
        <v>29.51</v>
      </c>
      <c r="O95" s="3382">
        <f>ROUND(N95/分摊土地面积!$E$29*分摊土地面积!$F$29,2)</f>
        <v>8.89</v>
      </c>
    </row>
    <row r="96" spans="2:15" ht="14.25">
      <c r="B96" s="3386">
        <v>69</v>
      </c>
      <c r="C96" s="3382" t="s">
        <v>3227</v>
      </c>
      <c r="D96" s="3387" t="s">
        <v>3233</v>
      </c>
      <c r="E96" s="3392">
        <v>29.51</v>
      </c>
      <c r="K96" s="3382">
        <v>41</v>
      </c>
      <c r="L96" s="3382" t="str">
        <f t="shared" si="4"/>
        <v>1F151</v>
      </c>
      <c r="M96" s="3382" t="str">
        <f t="shared" si="5"/>
        <v>地下车库</v>
      </c>
      <c r="N96" s="3382">
        <f t="shared" si="6"/>
        <v>29.51</v>
      </c>
      <c r="O96" s="3382">
        <f>ROUND(N96/分摊土地面积!$E$29*分摊土地面积!$F$29,2)</f>
        <v>8.89</v>
      </c>
    </row>
    <row r="97" spans="2:15" ht="14.25">
      <c r="B97" s="3386">
        <v>70</v>
      </c>
      <c r="C97" s="3382" t="s">
        <v>3227</v>
      </c>
      <c r="D97" s="3387" t="s">
        <v>3234</v>
      </c>
      <c r="E97" s="3392">
        <v>29.51</v>
      </c>
      <c r="K97" s="3382">
        <v>42</v>
      </c>
      <c r="L97" s="3382" t="str">
        <f t="shared" si="4"/>
        <v>1F152</v>
      </c>
      <c r="M97" s="3382" t="str">
        <f t="shared" si="5"/>
        <v>地下车库</v>
      </c>
      <c r="N97" s="3382">
        <f t="shared" si="6"/>
        <v>29.51</v>
      </c>
      <c r="O97" s="3382">
        <f>ROUND(N97/分摊土地面积!$E$29*分摊土地面积!$F$29,2)</f>
        <v>8.89</v>
      </c>
    </row>
    <row r="98" spans="2:15" ht="14.25">
      <c r="B98" s="3386">
        <v>71</v>
      </c>
      <c r="C98" s="3382" t="s">
        <v>3227</v>
      </c>
      <c r="D98" s="3387" t="s">
        <v>3235</v>
      </c>
      <c r="E98" s="3392">
        <v>29.51</v>
      </c>
      <c r="K98" s="3382">
        <v>43</v>
      </c>
      <c r="L98" s="3382" t="str">
        <f t="shared" si="4"/>
        <v>1F153</v>
      </c>
      <c r="M98" s="3382" t="str">
        <f t="shared" si="5"/>
        <v>地下车库</v>
      </c>
      <c r="N98" s="3382">
        <f t="shared" si="6"/>
        <v>29.51</v>
      </c>
      <c r="O98" s="3382">
        <f>ROUND(N98/分摊土地面积!$E$29*分摊土地面积!$F$29,2)</f>
        <v>8.89</v>
      </c>
    </row>
    <row r="99" spans="2:15" ht="14.25">
      <c r="B99" s="3386">
        <v>72</v>
      </c>
      <c r="C99" s="3382" t="s">
        <v>3227</v>
      </c>
      <c r="D99" s="3387" t="s">
        <v>3236</v>
      </c>
      <c r="E99" s="3392">
        <v>29.51</v>
      </c>
      <c r="K99" s="3382">
        <v>44</v>
      </c>
      <c r="L99" s="3382" t="str">
        <f t="shared" si="4"/>
        <v>1F154</v>
      </c>
      <c r="M99" s="3382" t="str">
        <f t="shared" si="5"/>
        <v>地下车库</v>
      </c>
      <c r="N99" s="3382">
        <f t="shared" si="6"/>
        <v>29.51</v>
      </c>
      <c r="O99" s="3382">
        <f>ROUND(N99/分摊土地面积!$E$29*分摊土地面积!$F$29,2)</f>
        <v>8.89</v>
      </c>
    </row>
    <row r="100" spans="2:15" ht="14.25">
      <c r="B100" s="3386">
        <v>73</v>
      </c>
      <c r="C100" s="3382" t="s">
        <v>3227</v>
      </c>
      <c r="D100" s="3387" t="s">
        <v>3237</v>
      </c>
      <c r="E100" s="3392">
        <v>29.51</v>
      </c>
      <c r="K100" s="3382">
        <v>45</v>
      </c>
      <c r="L100" s="3382" t="str">
        <f t="shared" si="4"/>
        <v>1F155</v>
      </c>
      <c r="M100" s="3382" t="str">
        <f t="shared" si="5"/>
        <v>地下车库</v>
      </c>
      <c r="N100" s="3382">
        <f t="shared" si="6"/>
        <v>29.51</v>
      </c>
      <c r="O100" s="3382">
        <f>ROUND(N100/分摊土地面积!$E$29*分摊土地面积!$F$29,2)</f>
        <v>8.89</v>
      </c>
    </row>
    <row r="101" spans="2:15" ht="14.25">
      <c r="B101" s="3386">
        <v>74</v>
      </c>
      <c r="C101" s="3382" t="s">
        <v>3227</v>
      </c>
      <c r="D101" s="3387" t="s">
        <v>3238</v>
      </c>
      <c r="E101" s="3392">
        <v>29.51</v>
      </c>
      <c r="K101" s="3382">
        <v>46</v>
      </c>
      <c r="L101" s="3382" t="str">
        <f t="shared" si="4"/>
        <v>1F156</v>
      </c>
      <c r="M101" s="3382" t="str">
        <f t="shared" si="5"/>
        <v>地下车库</v>
      </c>
      <c r="N101" s="3382">
        <f t="shared" si="6"/>
        <v>29.51</v>
      </c>
      <c r="O101" s="3382">
        <f>ROUND(N101/分摊土地面积!$E$29*分摊土地面积!$F$29,2)</f>
        <v>8.89</v>
      </c>
    </row>
    <row r="102" spans="2:15" ht="14.25">
      <c r="B102" s="3386">
        <v>75</v>
      </c>
      <c r="C102" s="3382" t="s">
        <v>3227</v>
      </c>
      <c r="D102" s="3387" t="s">
        <v>3239</v>
      </c>
      <c r="E102" s="3392">
        <v>29.51</v>
      </c>
      <c r="K102" s="3382">
        <v>47</v>
      </c>
      <c r="L102" s="3382" t="str">
        <f t="shared" si="4"/>
        <v>1F157</v>
      </c>
      <c r="M102" s="3382" t="str">
        <f t="shared" si="5"/>
        <v>地下车库</v>
      </c>
      <c r="N102" s="3382">
        <f t="shared" si="6"/>
        <v>29.51</v>
      </c>
      <c r="O102" s="3382">
        <f>ROUND(N102/分摊土地面积!$E$29*分摊土地面积!$F$29,2)</f>
        <v>8.89</v>
      </c>
    </row>
    <row r="103" spans="2:15" ht="14.25">
      <c r="B103" s="3386">
        <v>76</v>
      </c>
      <c r="C103" s="3382" t="s">
        <v>3227</v>
      </c>
      <c r="D103" s="3387" t="s">
        <v>3240</v>
      </c>
      <c r="E103" s="3392">
        <v>29.51</v>
      </c>
      <c r="K103" s="3382">
        <v>48</v>
      </c>
      <c r="L103" s="3382" t="str">
        <f t="shared" si="4"/>
        <v>1F158</v>
      </c>
      <c r="M103" s="3382" t="str">
        <f t="shared" si="5"/>
        <v>地下车库</v>
      </c>
      <c r="N103" s="3382">
        <f t="shared" si="6"/>
        <v>29.51</v>
      </c>
      <c r="O103" s="3382">
        <f>ROUND(N103/分摊土地面积!$E$29*分摊土地面积!$F$29,2)</f>
        <v>8.89</v>
      </c>
    </row>
    <row r="104" spans="2:15" ht="14.25">
      <c r="B104" s="3386">
        <v>77</v>
      </c>
      <c r="C104" s="3382" t="s">
        <v>3227</v>
      </c>
      <c r="D104" s="3387" t="s">
        <v>3241</v>
      </c>
      <c r="E104" s="3392">
        <v>29.51</v>
      </c>
      <c r="K104" s="3382">
        <v>49</v>
      </c>
      <c r="L104" s="3382" t="str">
        <f t="shared" si="4"/>
        <v>1F159</v>
      </c>
      <c r="M104" s="3382" t="str">
        <f t="shared" si="5"/>
        <v>地下车库</v>
      </c>
      <c r="N104" s="3382">
        <f t="shared" si="6"/>
        <v>29.51</v>
      </c>
      <c r="O104" s="3382">
        <f>ROUND(N104/分摊土地面积!$E$29*分摊土地面积!$F$29,2)</f>
        <v>8.89</v>
      </c>
    </row>
    <row r="105" spans="2:15" ht="14.25">
      <c r="B105" s="3386">
        <v>78</v>
      </c>
      <c r="C105" s="3382" t="s">
        <v>3227</v>
      </c>
      <c r="D105" s="3387" t="s">
        <v>3242</v>
      </c>
      <c r="E105" s="3392">
        <v>29.51</v>
      </c>
      <c r="K105" s="3382">
        <v>50</v>
      </c>
      <c r="L105" s="3382" t="str">
        <f t="shared" si="4"/>
        <v>1F160</v>
      </c>
      <c r="M105" s="3382" t="str">
        <f t="shared" si="5"/>
        <v>地下车库</v>
      </c>
      <c r="N105" s="3382">
        <f t="shared" si="6"/>
        <v>29.51</v>
      </c>
      <c r="O105" s="3382">
        <f>ROUND(N105/分摊土地面积!$E$29*分摊土地面积!$F$29,2)</f>
        <v>8.89</v>
      </c>
    </row>
    <row r="106" spans="2:15" ht="14.25">
      <c r="B106" s="3386">
        <v>79</v>
      </c>
      <c r="C106" s="3382" t="s">
        <v>3227</v>
      </c>
      <c r="D106" s="3387" t="s">
        <v>3243</v>
      </c>
      <c r="E106" s="3392">
        <v>29.51</v>
      </c>
      <c r="K106" s="3382">
        <v>51</v>
      </c>
      <c r="L106" s="3382" t="str">
        <f t="shared" si="4"/>
        <v>1F161</v>
      </c>
      <c r="M106" s="3382" t="str">
        <f t="shared" si="5"/>
        <v>地下车库</v>
      </c>
      <c r="N106" s="3382">
        <f t="shared" si="6"/>
        <v>29.51</v>
      </c>
      <c r="O106" s="3382">
        <f>ROUND(N106/分摊土地面积!$E$29*分摊土地面积!$F$29,2)</f>
        <v>8.89</v>
      </c>
    </row>
    <row r="107" spans="2:15">
      <c r="B107" s="3394" t="s">
        <v>3244</v>
      </c>
      <c r="E107" s="3394">
        <f>SUM(E28:E106)</f>
        <v>2390.3100000000022</v>
      </c>
      <c r="K107" s="3382">
        <v>52</v>
      </c>
      <c r="L107" s="3382" t="str">
        <f t="shared" si="4"/>
        <v>1F162</v>
      </c>
      <c r="M107" s="3382" t="str">
        <f t="shared" si="5"/>
        <v>地下车库</v>
      </c>
      <c r="N107" s="3382">
        <f t="shared" si="6"/>
        <v>29.51</v>
      </c>
      <c r="O107" s="3382">
        <f>ROUND(N107/分摊土地面积!$E$29*分摊土地面积!$F$29,2)</f>
        <v>8.89</v>
      </c>
    </row>
    <row r="108" spans="2:15">
      <c r="K108" s="3382">
        <v>53</v>
      </c>
      <c r="L108" s="3382" t="str">
        <f t="shared" si="4"/>
        <v>1F163</v>
      </c>
      <c r="M108" s="3382" t="str">
        <f t="shared" si="5"/>
        <v>地下车库</v>
      </c>
      <c r="N108" s="3382">
        <f t="shared" si="6"/>
        <v>29.51</v>
      </c>
      <c r="O108" s="3382">
        <f>ROUND(N108/分摊土地面积!$E$29*分摊土地面积!$F$29,2)</f>
        <v>8.89</v>
      </c>
    </row>
    <row r="109" spans="2:15">
      <c r="K109" s="3382">
        <v>54</v>
      </c>
      <c r="L109" s="3382" t="str">
        <f t="shared" si="4"/>
        <v>1F164</v>
      </c>
      <c r="M109" s="3382" t="str">
        <f t="shared" si="5"/>
        <v>地下车库</v>
      </c>
      <c r="N109" s="3382">
        <f t="shared" si="6"/>
        <v>29.51</v>
      </c>
      <c r="O109" s="3382">
        <f>ROUND(N109/分摊土地面积!$E$29*分摊土地面积!$F$29,2)</f>
        <v>8.89</v>
      </c>
    </row>
    <row r="110" spans="2:15">
      <c r="K110" s="3382">
        <v>55</v>
      </c>
      <c r="L110" s="3382" t="str">
        <f t="shared" si="4"/>
        <v>1F165</v>
      </c>
      <c r="M110" s="3382" t="str">
        <f t="shared" si="5"/>
        <v>地下车库</v>
      </c>
      <c r="N110" s="3382">
        <f t="shared" si="6"/>
        <v>29.51</v>
      </c>
      <c r="O110" s="3382">
        <f>ROUND(N110/分摊土地面积!$E$29*分摊土地面积!$F$29,2)</f>
        <v>8.89</v>
      </c>
    </row>
    <row r="111" spans="2:15">
      <c r="K111" s="3382">
        <v>56</v>
      </c>
      <c r="L111" s="3382" t="str">
        <f t="shared" si="4"/>
        <v>1F166</v>
      </c>
      <c r="M111" s="3382" t="str">
        <f t="shared" si="5"/>
        <v>地下车库</v>
      </c>
      <c r="N111" s="3382">
        <f t="shared" si="6"/>
        <v>29.51</v>
      </c>
      <c r="O111" s="3382">
        <f>ROUND(N111/分摊土地面积!$E$29*分摊土地面积!$F$29,2)</f>
        <v>8.89</v>
      </c>
    </row>
    <row r="112" spans="2:15">
      <c r="K112" s="3382">
        <v>57</v>
      </c>
      <c r="L112" s="3382" t="str">
        <f t="shared" si="4"/>
        <v>1F167</v>
      </c>
      <c r="M112" s="3382" t="str">
        <f t="shared" si="5"/>
        <v>地下车库</v>
      </c>
      <c r="N112" s="3382">
        <f t="shared" si="6"/>
        <v>29.51</v>
      </c>
      <c r="O112" s="3382">
        <f>ROUND(N112/分摊土地面积!$E$29*分摊土地面积!$F$29,2)</f>
        <v>8.89</v>
      </c>
    </row>
    <row r="113" spans="2:15">
      <c r="K113" s="3382">
        <v>58</v>
      </c>
      <c r="L113" s="3382" t="str">
        <f t="shared" si="4"/>
        <v>1F168</v>
      </c>
      <c r="M113" s="3382" t="str">
        <f t="shared" si="5"/>
        <v>地下车库</v>
      </c>
      <c r="N113" s="3382">
        <f t="shared" si="6"/>
        <v>29.51</v>
      </c>
      <c r="O113" s="3382">
        <f>ROUND(N113/分摊土地面积!$E$29*分摊土地面积!$F$29,2)</f>
        <v>8.89</v>
      </c>
    </row>
    <row r="114" spans="2:15">
      <c r="K114" s="3382">
        <v>59</v>
      </c>
      <c r="L114" s="3382" t="str">
        <f t="shared" si="4"/>
        <v>1F169</v>
      </c>
      <c r="M114" s="3382" t="str">
        <f t="shared" si="5"/>
        <v>地下车库</v>
      </c>
      <c r="N114" s="3382">
        <f t="shared" si="6"/>
        <v>29.51</v>
      </c>
      <c r="O114" s="3382">
        <f>ROUND(N114/分摊土地面积!$E$29*分摊土地面积!$F$29,2)</f>
        <v>8.89</v>
      </c>
    </row>
    <row r="115" spans="2:15">
      <c r="K115" s="3382">
        <v>60</v>
      </c>
      <c r="L115" s="3382" t="str">
        <f t="shared" si="4"/>
        <v>1F170</v>
      </c>
      <c r="M115" s="3382" t="str">
        <f t="shared" si="5"/>
        <v>地下车库</v>
      </c>
      <c r="N115" s="3382">
        <f t="shared" si="6"/>
        <v>29.51</v>
      </c>
      <c r="O115" s="3382">
        <f>ROUND(N115/分摊土地面积!$E$29*分摊土地面积!$F$29,2)</f>
        <v>8.89</v>
      </c>
    </row>
    <row r="116" spans="2:15">
      <c r="K116" s="3382">
        <v>61</v>
      </c>
      <c r="L116" s="3382" t="str">
        <f>D88</f>
        <v>1F171</v>
      </c>
      <c r="M116" s="3382" t="str">
        <f>C88</f>
        <v>地下车库</v>
      </c>
      <c r="N116" s="3382">
        <f>E88</f>
        <v>29.51</v>
      </c>
      <c r="O116" s="3382">
        <f>ROUND(N116/分摊土地面积!$E$29*分摊土地面积!$F$29,2)</f>
        <v>8.89</v>
      </c>
    </row>
    <row r="117" spans="2:15">
      <c r="K117" s="3382">
        <v>62</v>
      </c>
      <c r="L117" s="3382" t="str">
        <f t="shared" ref="L117:L121" si="7">D89</f>
        <v>1F172</v>
      </c>
      <c r="M117" s="3382" t="str">
        <f t="shared" ref="M117:M121" si="8">C89</f>
        <v>地下车库</v>
      </c>
      <c r="N117" s="3382">
        <f t="shared" ref="N117:N121" si="9">E89</f>
        <v>29.51</v>
      </c>
      <c r="O117" s="3382">
        <f>ROUND(N117/分摊土地面积!$E$29*分摊土地面积!$F$29,2)</f>
        <v>8.89</v>
      </c>
    </row>
    <row r="118" spans="2:15">
      <c r="K118" s="3382">
        <v>63</v>
      </c>
      <c r="L118" s="3382" t="str">
        <f t="shared" si="7"/>
        <v>1F173</v>
      </c>
      <c r="M118" s="3382" t="str">
        <f t="shared" si="8"/>
        <v>地下车库</v>
      </c>
      <c r="N118" s="3382">
        <f t="shared" si="9"/>
        <v>29.51</v>
      </c>
      <c r="O118" s="3382">
        <f>ROUND(N118/分摊土地面积!$E$29*分摊土地面积!$F$29,2)</f>
        <v>8.89</v>
      </c>
    </row>
    <row r="119" spans="2:15">
      <c r="K119" s="3382">
        <v>64</v>
      </c>
      <c r="L119" s="3382" t="str">
        <f t="shared" si="7"/>
        <v>1F174</v>
      </c>
      <c r="M119" s="3382" t="str">
        <f t="shared" si="8"/>
        <v>地下车库</v>
      </c>
      <c r="N119" s="3382">
        <f t="shared" si="9"/>
        <v>29.51</v>
      </c>
      <c r="O119" s="3382">
        <f>ROUND(N119/分摊土地面积!$E$29*分摊土地面积!$F$29,2)</f>
        <v>8.89</v>
      </c>
    </row>
    <row r="120" spans="2:15">
      <c r="K120" s="3382">
        <v>65</v>
      </c>
      <c r="L120" s="3382" t="str">
        <f t="shared" si="7"/>
        <v>1F175</v>
      </c>
      <c r="M120" s="3382" t="str">
        <f t="shared" si="8"/>
        <v>地下车库</v>
      </c>
      <c r="N120" s="3382">
        <f t="shared" si="9"/>
        <v>29.51</v>
      </c>
      <c r="O120" s="3382">
        <f>ROUND(N120/分摊土地面积!$E$29*分摊土地面积!$F$29,2)</f>
        <v>8.89</v>
      </c>
    </row>
    <row r="121" spans="2:15">
      <c r="B121" s="3865" t="s">
        <v>219</v>
      </c>
      <c r="C121" s="3865" t="s">
        <v>3137</v>
      </c>
      <c r="D121" s="3865" t="s">
        <v>3040</v>
      </c>
      <c r="E121" s="3865" t="s">
        <v>3329</v>
      </c>
      <c r="F121" s="3865" t="s">
        <v>3330</v>
      </c>
      <c r="K121" s="3382">
        <v>66</v>
      </c>
      <c r="L121" s="3382" t="str">
        <f t="shared" si="7"/>
        <v>1F176</v>
      </c>
      <c r="M121" s="3382" t="str">
        <f t="shared" si="8"/>
        <v>地下车库</v>
      </c>
      <c r="N121" s="3382">
        <f t="shared" si="9"/>
        <v>29.51</v>
      </c>
      <c r="O121" s="3382">
        <f>ROUND(N121/分摊土地面积!$E$29*分摊土地面积!$F$29,2)</f>
        <v>8.89</v>
      </c>
    </row>
    <row r="122" spans="2:15">
      <c r="B122" s="3866">
        <v>1</v>
      </c>
      <c r="C122" s="3866" t="s">
        <v>3331</v>
      </c>
      <c r="D122" s="3865" t="s">
        <v>40</v>
      </c>
      <c r="E122" s="3866">
        <v>91.1</v>
      </c>
      <c r="F122" s="3866">
        <v>27.46</v>
      </c>
      <c r="K122" s="3382">
        <v>67</v>
      </c>
      <c r="L122" s="3382" t="str">
        <f>D94</f>
        <v>1F177</v>
      </c>
      <c r="M122" s="3382" t="str">
        <f>C94</f>
        <v>地下车库</v>
      </c>
      <c r="N122" s="3382">
        <f>E94</f>
        <v>29.51</v>
      </c>
      <c r="O122" s="3382">
        <f>ROUND(N122/分摊土地面积!$E$29*分摊土地面积!$F$29,2)</f>
        <v>8.89</v>
      </c>
    </row>
    <row r="123" spans="2:15">
      <c r="B123" s="3866">
        <v>2</v>
      </c>
      <c r="C123" s="3866" t="s">
        <v>3142</v>
      </c>
      <c r="D123" s="3865" t="s">
        <v>40</v>
      </c>
      <c r="E123" s="3866">
        <v>94.27</v>
      </c>
      <c r="F123" s="3866">
        <v>28.42</v>
      </c>
      <c r="K123" s="3382">
        <v>68</v>
      </c>
      <c r="L123" s="3382" t="str">
        <f t="shared" ref="L123:L131" si="10">D95</f>
        <v>1F180</v>
      </c>
      <c r="M123" s="3382" t="str">
        <f t="shared" ref="M123:M131" si="11">C95</f>
        <v>地下车库</v>
      </c>
      <c r="N123" s="3382">
        <f t="shared" ref="N123:N131" si="12">E95</f>
        <v>29.51</v>
      </c>
      <c r="O123" s="3382">
        <f>ROUND(N123/分摊土地面积!$E$29*分摊土地面积!$F$29,2)</f>
        <v>8.89</v>
      </c>
    </row>
    <row r="124" spans="2:15">
      <c r="B124" s="3866">
        <v>3</v>
      </c>
      <c r="C124" s="3866" t="s">
        <v>3143</v>
      </c>
      <c r="D124" s="3865" t="s">
        <v>40</v>
      </c>
      <c r="E124" s="3866">
        <v>89.53</v>
      </c>
      <c r="F124" s="3866">
        <v>26.99</v>
      </c>
      <c r="K124" s="3382">
        <v>69</v>
      </c>
      <c r="L124" s="3382" t="str">
        <f t="shared" si="10"/>
        <v>1F181</v>
      </c>
      <c r="M124" s="3382" t="str">
        <f t="shared" si="11"/>
        <v>地下车库</v>
      </c>
      <c r="N124" s="3382">
        <f t="shared" si="12"/>
        <v>29.51</v>
      </c>
      <c r="O124" s="3382">
        <f>ROUND(N124/分摊土地面积!$E$29*分摊土地面积!$F$29,2)</f>
        <v>8.89</v>
      </c>
    </row>
    <row r="125" spans="2:15">
      <c r="B125" s="3866">
        <v>4</v>
      </c>
      <c r="C125" s="3866" t="s">
        <v>3144</v>
      </c>
      <c r="D125" s="3865" t="s">
        <v>40</v>
      </c>
      <c r="E125" s="3866">
        <v>91.62</v>
      </c>
      <c r="F125" s="3866">
        <v>27.62</v>
      </c>
      <c r="K125" s="3382">
        <v>70</v>
      </c>
      <c r="L125" s="3382" t="str">
        <f t="shared" si="10"/>
        <v>1F182</v>
      </c>
      <c r="M125" s="3382" t="str">
        <f t="shared" si="11"/>
        <v>地下车库</v>
      </c>
      <c r="N125" s="3382">
        <f t="shared" si="12"/>
        <v>29.51</v>
      </c>
      <c r="O125" s="3382">
        <f>ROUND(N125/分摊土地面积!$E$29*分摊土地面积!$F$29,2)</f>
        <v>8.89</v>
      </c>
    </row>
    <row r="126" spans="2:15">
      <c r="B126" s="3866">
        <v>5</v>
      </c>
      <c r="C126" s="3866" t="s">
        <v>3145</v>
      </c>
      <c r="D126" s="3865" t="s">
        <v>40</v>
      </c>
      <c r="E126" s="3866">
        <v>89.98</v>
      </c>
      <c r="F126" s="3866">
        <v>27.12</v>
      </c>
      <c r="K126" s="3382">
        <v>71</v>
      </c>
      <c r="L126" s="3382" t="str">
        <f t="shared" si="10"/>
        <v>1F183</v>
      </c>
      <c r="M126" s="3382" t="str">
        <f t="shared" si="11"/>
        <v>地下车库</v>
      </c>
      <c r="N126" s="3382">
        <f t="shared" si="12"/>
        <v>29.51</v>
      </c>
      <c r="O126" s="3382">
        <f>ROUND(N126/分摊土地面积!$E$29*分摊土地面积!$F$29,2)</f>
        <v>8.89</v>
      </c>
    </row>
    <row r="127" spans="2:15">
      <c r="B127" s="3866">
        <v>6</v>
      </c>
      <c r="C127" s="3866" t="s">
        <v>3146</v>
      </c>
      <c r="D127" s="3865" t="s">
        <v>40</v>
      </c>
      <c r="E127" s="3866">
        <v>89.98</v>
      </c>
      <c r="F127" s="3866">
        <v>27.12</v>
      </c>
      <c r="K127" s="3382">
        <v>72</v>
      </c>
      <c r="L127" s="3382" t="str">
        <f t="shared" si="10"/>
        <v>1F184</v>
      </c>
      <c r="M127" s="3382" t="str">
        <f t="shared" si="11"/>
        <v>地下车库</v>
      </c>
      <c r="N127" s="3382">
        <f t="shared" si="12"/>
        <v>29.51</v>
      </c>
      <c r="O127" s="3382">
        <f>ROUND(N127/分摊土地面积!$E$29*分摊土地面积!$F$29,2)</f>
        <v>8.89</v>
      </c>
    </row>
    <row r="128" spans="2:15">
      <c r="B128" s="3866">
        <v>7</v>
      </c>
      <c r="C128" s="3866" t="s">
        <v>3147</v>
      </c>
      <c r="D128" s="3865" t="s">
        <v>40</v>
      </c>
      <c r="E128" s="3866">
        <v>95.43</v>
      </c>
      <c r="F128" s="3866">
        <v>28.76</v>
      </c>
      <c r="K128" s="3382">
        <v>73</v>
      </c>
      <c r="L128" s="3382" t="str">
        <f t="shared" si="10"/>
        <v>1F185</v>
      </c>
      <c r="M128" s="3382" t="str">
        <f t="shared" si="11"/>
        <v>地下车库</v>
      </c>
      <c r="N128" s="3382">
        <f t="shared" si="12"/>
        <v>29.51</v>
      </c>
      <c r="O128" s="3382">
        <f>ROUND(N128/分摊土地面积!$E$29*分摊土地面积!$F$29,2)</f>
        <v>8.89</v>
      </c>
    </row>
    <row r="129" spans="2:15">
      <c r="B129" s="3866">
        <v>8</v>
      </c>
      <c r="C129" s="3866" t="s">
        <v>3148</v>
      </c>
      <c r="D129" s="3865" t="s">
        <v>40</v>
      </c>
      <c r="E129" s="3866">
        <v>95.43</v>
      </c>
      <c r="F129" s="3866">
        <v>28.76</v>
      </c>
      <c r="K129" s="3382">
        <v>74</v>
      </c>
      <c r="L129" s="3382" t="str">
        <f t="shared" si="10"/>
        <v>1F186</v>
      </c>
      <c r="M129" s="3382" t="str">
        <f t="shared" si="11"/>
        <v>地下车库</v>
      </c>
      <c r="N129" s="3382">
        <f t="shared" si="12"/>
        <v>29.51</v>
      </c>
      <c r="O129" s="3382">
        <f>ROUND(N129/分摊土地面积!$E$29*分摊土地面积!$F$29,2)</f>
        <v>8.89</v>
      </c>
    </row>
    <row r="130" spans="2:15">
      <c r="B130" s="3866">
        <v>9</v>
      </c>
      <c r="C130" s="3866" t="s">
        <v>3149</v>
      </c>
      <c r="D130" s="3865" t="s">
        <v>40</v>
      </c>
      <c r="E130" s="3866">
        <v>89.98</v>
      </c>
      <c r="F130" s="3866">
        <v>27.12</v>
      </c>
      <c r="I130" s="3385">
        <f>N135+N52</f>
        <v>4043.7100000000023</v>
      </c>
      <c r="K130" s="3382">
        <v>75</v>
      </c>
      <c r="L130" s="3382" t="str">
        <f t="shared" si="10"/>
        <v>1F187</v>
      </c>
      <c r="M130" s="3382" t="str">
        <f t="shared" si="11"/>
        <v>地下车库</v>
      </c>
      <c r="N130" s="3382">
        <f t="shared" si="12"/>
        <v>29.51</v>
      </c>
      <c r="O130" s="3382">
        <f>ROUND(N130/分摊土地面积!$E$29*分摊土地面积!$F$29,2)</f>
        <v>8.89</v>
      </c>
    </row>
    <row r="131" spans="2:15">
      <c r="B131" s="3866">
        <v>10</v>
      </c>
      <c r="C131" s="3866" t="s">
        <v>3150</v>
      </c>
      <c r="D131" s="3865" t="s">
        <v>40</v>
      </c>
      <c r="E131" s="3866">
        <v>89.98</v>
      </c>
      <c r="F131" s="3866">
        <v>27.12</v>
      </c>
      <c r="I131" s="3385">
        <f>O135+O52</f>
        <v>1218.8299999999992</v>
      </c>
      <c r="K131" s="3382">
        <v>76</v>
      </c>
      <c r="L131" s="3382" t="str">
        <f t="shared" si="10"/>
        <v>1F188</v>
      </c>
      <c r="M131" s="3382" t="str">
        <f t="shared" si="11"/>
        <v>地下车库</v>
      </c>
      <c r="N131" s="3382">
        <f t="shared" si="12"/>
        <v>29.51</v>
      </c>
      <c r="O131" s="3382">
        <f>ROUND(N131/分摊土地面积!$E$29*分摊土地面积!$F$29,2)</f>
        <v>8.89</v>
      </c>
    </row>
    <row r="132" spans="2:15">
      <c r="B132" s="3866">
        <v>11</v>
      </c>
      <c r="C132" s="3866" t="s">
        <v>3151</v>
      </c>
      <c r="D132" s="3865" t="s">
        <v>40</v>
      </c>
      <c r="E132" s="3866">
        <v>89.98</v>
      </c>
      <c r="F132" s="3866">
        <v>27.12</v>
      </c>
      <c r="I132" s="3385">
        <v>0.39</v>
      </c>
      <c r="K132" s="3382">
        <v>77</v>
      </c>
      <c r="L132" s="3382" t="str">
        <f>D104</f>
        <v>1F189</v>
      </c>
      <c r="M132" s="3382" t="str">
        <f>C104</f>
        <v>地下车库</v>
      </c>
      <c r="N132" s="3382">
        <f>E104</f>
        <v>29.51</v>
      </c>
      <c r="O132" s="3382">
        <f>ROUND(N132/分摊土地面积!$E$29*分摊土地面积!$F$29,2)</f>
        <v>8.89</v>
      </c>
    </row>
    <row r="133" spans="2:15">
      <c r="B133" s="3866">
        <v>12</v>
      </c>
      <c r="C133" s="3866" t="s">
        <v>3152</v>
      </c>
      <c r="D133" s="3865" t="s">
        <v>40</v>
      </c>
      <c r="E133" s="3866">
        <v>91.85</v>
      </c>
      <c r="F133" s="3866">
        <v>27.68</v>
      </c>
      <c r="I133">
        <f>I132/2</f>
        <v>0.19500000000000001</v>
      </c>
      <c r="K133" s="3382">
        <v>78</v>
      </c>
      <c r="L133" s="3382" t="str">
        <f t="shared" ref="L133:L134" si="13">D105</f>
        <v>1F190</v>
      </c>
      <c r="M133" s="3382" t="str">
        <f t="shared" ref="M133:M134" si="14">C105</f>
        <v>地下车库</v>
      </c>
      <c r="N133" s="3382">
        <f t="shared" ref="N133:N134" si="15">E105</f>
        <v>29.51</v>
      </c>
      <c r="O133" s="3382">
        <f>ROUND(N133/分摊土地面积!$E$29*分摊土地面积!$F$29,2)</f>
        <v>8.89</v>
      </c>
    </row>
    <row r="134" spans="2:15">
      <c r="B134" s="3866">
        <v>13</v>
      </c>
      <c r="C134" s="3866" t="s">
        <v>3153</v>
      </c>
      <c r="D134" s="3865" t="s">
        <v>40</v>
      </c>
      <c r="E134" s="3866">
        <v>95.73</v>
      </c>
      <c r="F134" s="3866">
        <v>28.85</v>
      </c>
      <c r="K134" s="3382">
        <v>79</v>
      </c>
      <c r="L134" s="3382" t="str">
        <f t="shared" si="13"/>
        <v>1F191</v>
      </c>
      <c r="M134" s="3382" t="str">
        <f t="shared" si="14"/>
        <v>地下车库</v>
      </c>
      <c r="N134" s="3382">
        <f t="shared" si="15"/>
        <v>29.51</v>
      </c>
      <c r="O134" s="3382">
        <f>ROUND(N134/分摊土地面积!$E$29*分摊土地面积!$F$29,2)</f>
        <v>8.89</v>
      </c>
    </row>
    <row r="135" spans="2:15">
      <c r="B135" s="3866">
        <v>14</v>
      </c>
      <c r="C135" s="3866" t="s">
        <v>3154</v>
      </c>
      <c r="D135" s="3865" t="s">
        <v>40</v>
      </c>
      <c r="E135" s="3866">
        <v>95.73</v>
      </c>
      <c r="F135" s="3866">
        <v>28.85</v>
      </c>
      <c r="K135" s="3398" t="s">
        <v>3328</v>
      </c>
      <c r="L135" s="3382"/>
      <c r="M135" s="3382"/>
      <c r="N135" s="3382">
        <f>SUM(N56:N134)</f>
        <v>2390.3100000000022</v>
      </c>
      <c r="O135" s="3382">
        <f>SUM(O56:O134)</f>
        <v>720.48999999999921</v>
      </c>
    </row>
    <row r="136" spans="2:15">
      <c r="B136" s="3866">
        <v>15</v>
      </c>
      <c r="C136" s="3866" t="s">
        <v>3155</v>
      </c>
      <c r="D136" s="3865" t="s">
        <v>40</v>
      </c>
      <c r="E136" s="3866">
        <v>89.98</v>
      </c>
      <c r="F136" s="3866">
        <v>27.12</v>
      </c>
    </row>
    <row r="137" spans="2:15">
      <c r="B137" s="3866">
        <v>16</v>
      </c>
      <c r="C137" s="3866" t="s">
        <v>3332</v>
      </c>
      <c r="D137" s="3865" t="s">
        <v>40</v>
      </c>
      <c r="E137" s="3866">
        <v>91.85</v>
      </c>
      <c r="F137" s="3866">
        <v>27.68</v>
      </c>
    </row>
    <row r="138" spans="2:15">
      <c r="B138" s="3866">
        <v>17</v>
      </c>
      <c r="C138" s="3866" t="s">
        <v>3158</v>
      </c>
      <c r="D138" s="3865" t="s">
        <v>40</v>
      </c>
      <c r="E138" s="3866">
        <v>91.05</v>
      </c>
      <c r="F138" s="3866">
        <v>27.44</v>
      </c>
    </row>
    <row r="139" spans="2:15">
      <c r="B139" s="3866">
        <v>18</v>
      </c>
      <c r="C139" s="3866" t="s">
        <v>3333</v>
      </c>
      <c r="D139" s="3865" t="s">
        <v>40</v>
      </c>
      <c r="E139" s="3866">
        <v>89.93</v>
      </c>
      <c r="F139" s="3866">
        <v>27.11</v>
      </c>
    </row>
    <row r="140" spans="2:15">
      <c r="B140" s="3865" t="s">
        <v>187</v>
      </c>
      <c r="C140" s="3866" t="s">
        <v>3121</v>
      </c>
      <c r="D140" s="3866" t="s">
        <v>3121</v>
      </c>
      <c r="E140" s="3866">
        <v>1653.4</v>
      </c>
      <c r="F140" s="3866">
        <v>498.34</v>
      </c>
    </row>
    <row r="141" spans="2:15">
      <c r="B141" s="3866">
        <v>19</v>
      </c>
      <c r="C141" s="3866" t="s">
        <v>3334</v>
      </c>
      <c r="D141" s="3865" t="s">
        <v>195</v>
      </c>
      <c r="E141" s="3866">
        <v>29.51</v>
      </c>
      <c r="F141" s="3866">
        <v>8.89</v>
      </c>
    </row>
    <row r="142" spans="2:15">
      <c r="B142" s="3866">
        <v>20</v>
      </c>
      <c r="C142" s="3866" t="s">
        <v>3335</v>
      </c>
      <c r="D142" s="3865" t="s">
        <v>195</v>
      </c>
      <c r="E142" s="3866">
        <v>29.51</v>
      </c>
      <c r="F142" s="3866">
        <v>8.89</v>
      </c>
    </row>
    <row r="143" spans="2:15">
      <c r="B143" s="3866">
        <v>21</v>
      </c>
      <c r="C143" s="3866" t="s">
        <v>3336</v>
      </c>
      <c r="D143" s="3865" t="s">
        <v>195</v>
      </c>
      <c r="E143" s="3866">
        <v>29.51</v>
      </c>
      <c r="F143" s="3866">
        <v>8.89</v>
      </c>
    </row>
    <row r="144" spans="2:15">
      <c r="B144" s="3866">
        <v>22</v>
      </c>
      <c r="C144" s="3866" t="s">
        <v>3337</v>
      </c>
      <c r="D144" s="3865" t="s">
        <v>195</v>
      </c>
      <c r="E144" s="3866">
        <v>29.51</v>
      </c>
      <c r="F144" s="3866">
        <v>8.89</v>
      </c>
    </row>
    <row r="145" spans="2:6">
      <c r="B145" s="3866">
        <v>23</v>
      </c>
      <c r="C145" s="3866" t="s">
        <v>3338</v>
      </c>
      <c r="D145" s="3865" t="s">
        <v>195</v>
      </c>
      <c r="E145" s="3866">
        <v>29.51</v>
      </c>
      <c r="F145" s="3866">
        <v>8.89</v>
      </c>
    </row>
    <row r="146" spans="2:6">
      <c r="B146" s="3866">
        <v>24</v>
      </c>
      <c r="C146" s="3866" t="s">
        <v>3339</v>
      </c>
      <c r="D146" s="3865" t="s">
        <v>195</v>
      </c>
      <c r="E146" s="3866">
        <v>29.51</v>
      </c>
      <c r="F146" s="3866">
        <v>8.89</v>
      </c>
    </row>
    <row r="147" spans="2:6">
      <c r="B147" s="3866">
        <v>25</v>
      </c>
      <c r="C147" s="3866" t="s">
        <v>3340</v>
      </c>
      <c r="D147" s="3865" t="s">
        <v>195</v>
      </c>
      <c r="E147" s="3866">
        <v>29.51</v>
      </c>
      <c r="F147" s="3866">
        <v>8.89</v>
      </c>
    </row>
    <row r="148" spans="2:6">
      <c r="B148" s="3866">
        <v>26</v>
      </c>
      <c r="C148" s="3866" t="s">
        <v>3341</v>
      </c>
      <c r="D148" s="3865" t="s">
        <v>195</v>
      </c>
      <c r="E148" s="3866">
        <v>29.51</v>
      </c>
      <c r="F148" s="3866">
        <v>8.89</v>
      </c>
    </row>
    <row r="149" spans="2:6">
      <c r="B149" s="3866">
        <v>27</v>
      </c>
      <c r="C149" s="3866" t="s">
        <v>3342</v>
      </c>
      <c r="D149" s="3865" t="s">
        <v>195</v>
      </c>
      <c r="E149" s="3866">
        <v>29.51</v>
      </c>
      <c r="F149" s="3866">
        <v>8.89</v>
      </c>
    </row>
    <row r="150" spans="2:6">
      <c r="B150" s="3866">
        <v>28</v>
      </c>
      <c r="C150" s="3866" t="s">
        <v>3343</v>
      </c>
      <c r="D150" s="3865" t="s">
        <v>195</v>
      </c>
      <c r="E150" s="3866">
        <v>29.51</v>
      </c>
      <c r="F150" s="3866">
        <v>8.89</v>
      </c>
    </row>
    <row r="151" spans="2:6">
      <c r="B151" s="3866">
        <v>29</v>
      </c>
      <c r="C151" s="3866" t="s">
        <v>3344</v>
      </c>
      <c r="D151" s="3865" t="s">
        <v>195</v>
      </c>
      <c r="E151" s="3866">
        <v>29.51</v>
      </c>
      <c r="F151" s="3866">
        <v>8.89</v>
      </c>
    </row>
    <row r="152" spans="2:6">
      <c r="B152" s="3866">
        <v>30</v>
      </c>
      <c r="C152" s="3866" t="s">
        <v>3345</v>
      </c>
      <c r="D152" s="3865" t="s">
        <v>195</v>
      </c>
      <c r="E152" s="3866">
        <v>29.51</v>
      </c>
      <c r="F152" s="3866">
        <v>8.89</v>
      </c>
    </row>
    <row r="153" spans="2:6">
      <c r="B153" s="3866">
        <v>31</v>
      </c>
      <c r="C153" s="3866" t="s">
        <v>3346</v>
      </c>
      <c r="D153" s="3865" t="s">
        <v>195</v>
      </c>
      <c r="E153" s="3866">
        <v>29.51</v>
      </c>
      <c r="F153" s="3866">
        <v>8.89</v>
      </c>
    </row>
    <row r="154" spans="2:6">
      <c r="B154" s="3866">
        <v>32</v>
      </c>
      <c r="C154" s="3866" t="s">
        <v>3347</v>
      </c>
      <c r="D154" s="3865" t="s">
        <v>195</v>
      </c>
      <c r="E154" s="3866">
        <v>29.51</v>
      </c>
      <c r="F154" s="3866">
        <v>8.89</v>
      </c>
    </row>
    <row r="155" spans="2:6">
      <c r="B155" s="3866">
        <v>33</v>
      </c>
      <c r="C155" s="3866" t="s">
        <v>3348</v>
      </c>
      <c r="D155" s="3865" t="s">
        <v>195</v>
      </c>
      <c r="E155" s="3866">
        <v>29.51</v>
      </c>
      <c r="F155" s="3866">
        <v>8.89</v>
      </c>
    </row>
    <row r="156" spans="2:6">
      <c r="B156" s="3866">
        <v>34</v>
      </c>
      <c r="C156" s="3866" t="s">
        <v>3349</v>
      </c>
      <c r="D156" s="3865" t="s">
        <v>195</v>
      </c>
      <c r="E156" s="3866">
        <v>29.51</v>
      </c>
      <c r="F156" s="3866">
        <v>8.89</v>
      </c>
    </row>
    <row r="157" spans="2:6">
      <c r="B157" s="3866">
        <v>35</v>
      </c>
      <c r="C157" s="3866" t="s">
        <v>3350</v>
      </c>
      <c r="D157" s="3865" t="s">
        <v>195</v>
      </c>
      <c r="E157" s="3866">
        <v>29.51</v>
      </c>
      <c r="F157" s="3866">
        <v>8.89</v>
      </c>
    </row>
    <row r="158" spans="2:6">
      <c r="B158" s="3866">
        <v>36</v>
      </c>
      <c r="C158" s="3866" t="s">
        <v>3351</v>
      </c>
      <c r="D158" s="3865" t="s">
        <v>195</v>
      </c>
      <c r="E158" s="3866">
        <v>29.51</v>
      </c>
      <c r="F158" s="3866">
        <v>8.89</v>
      </c>
    </row>
    <row r="159" spans="2:6">
      <c r="B159" s="3866">
        <v>37</v>
      </c>
      <c r="C159" s="3866" t="s">
        <v>3352</v>
      </c>
      <c r="D159" s="3865" t="s">
        <v>195</v>
      </c>
      <c r="E159" s="3866">
        <v>29.51</v>
      </c>
      <c r="F159" s="3866">
        <v>8.89</v>
      </c>
    </row>
    <row r="160" spans="2:6">
      <c r="B160" s="3866">
        <v>38</v>
      </c>
      <c r="C160" s="3866" t="s">
        <v>3353</v>
      </c>
      <c r="D160" s="3865" t="s">
        <v>195</v>
      </c>
      <c r="E160" s="3866">
        <v>29.51</v>
      </c>
      <c r="F160" s="3866">
        <v>8.89</v>
      </c>
    </row>
    <row r="161" spans="2:6">
      <c r="B161" s="3866">
        <v>39</v>
      </c>
      <c r="C161" s="3866" t="s">
        <v>3354</v>
      </c>
      <c r="D161" s="3865" t="s">
        <v>195</v>
      </c>
      <c r="E161" s="3866">
        <v>29.51</v>
      </c>
      <c r="F161" s="3866">
        <v>8.89</v>
      </c>
    </row>
    <row r="162" spans="2:6">
      <c r="B162" s="3866">
        <v>40</v>
      </c>
      <c r="C162" s="3866" t="s">
        <v>3355</v>
      </c>
      <c r="D162" s="3865" t="s">
        <v>195</v>
      </c>
      <c r="E162" s="3866">
        <v>29.51</v>
      </c>
      <c r="F162" s="3866">
        <v>8.89</v>
      </c>
    </row>
    <row r="163" spans="2:6">
      <c r="B163" s="3866">
        <v>41</v>
      </c>
      <c r="C163" s="3866" t="s">
        <v>3356</v>
      </c>
      <c r="D163" s="3865" t="s">
        <v>195</v>
      </c>
      <c r="E163" s="3866">
        <v>59.02</v>
      </c>
      <c r="F163" s="3866">
        <v>17.98</v>
      </c>
    </row>
    <row r="164" spans="2:6">
      <c r="B164" s="3866">
        <v>42</v>
      </c>
      <c r="C164" s="3866" t="s">
        <v>3357</v>
      </c>
      <c r="D164" s="3865" t="s">
        <v>195</v>
      </c>
      <c r="E164" s="3866">
        <v>59.02</v>
      </c>
      <c r="F164" s="3866">
        <v>17.98</v>
      </c>
    </row>
    <row r="165" spans="2:6">
      <c r="B165" s="3866">
        <v>43</v>
      </c>
      <c r="C165" s="3866" t="s">
        <v>3358</v>
      </c>
      <c r="D165" s="3865" t="s">
        <v>195</v>
      </c>
      <c r="E165" s="3866">
        <v>29.51</v>
      </c>
      <c r="F165" s="3866">
        <v>8.89</v>
      </c>
    </row>
    <row r="166" spans="2:6">
      <c r="B166" s="3866">
        <v>44</v>
      </c>
      <c r="C166" s="3866" t="s">
        <v>3359</v>
      </c>
      <c r="D166" s="3865" t="s">
        <v>195</v>
      </c>
      <c r="E166" s="3866">
        <v>29.51</v>
      </c>
      <c r="F166" s="3866">
        <v>8.89</v>
      </c>
    </row>
    <row r="167" spans="2:6">
      <c r="B167" s="3866">
        <v>45</v>
      </c>
      <c r="C167" s="3866" t="s">
        <v>3360</v>
      </c>
      <c r="D167" s="3865" t="s">
        <v>195</v>
      </c>
      <c r="E167" s="3866">
        <v>29.51</v>
      </c>
      <c r="F167" s="3866">
        <v>8.89</v>
      </c>
    </row>
    <row r="168" spans="2:6">
      <c r="B168" s="3866">
        <v>46</v>
      </c>
      <c r="C168" s="3866" t="s">
        <v>3361</v>
      </c>
      <c r="D168" s="3865" t="s">
        <v>195</v>
      </c>
      <c r="E168" s="3866">
        <v>29.51</v>
      </c>
      <c r="F168" s="3866">
        <v>8.89</v>
      </c>
    </row>
    <row r="169" spans="2:6">
      <c r="B169" s="3866">
        <v>47</v>
      </c>
      <c r="C169" s="3866" t="s">
        <v>3362</v>
      </c>
      <c r="D169" s="3865" t="s">
        <v>195</v>
      </c>
      <c r="E169" s="3866">
        <v>29.51</v>
      </c>
      <c r="F169" s="3866">
        <v>8.89</v>
      </c>
    </row>
    <row r="170" spans="2:6">
      <c r="B170" s="3866">
        <v>48</v>
      </c>
      <c r="C170" s="3866" t="s">
        <v>3363</v>
      </c>
      <c r="D170" s="3865" t="s">
        <v>195</v>
      </c>
      <c r="E170" s="3866">
        <v>29.51</v>
      </c>
      <c r="F170" s="3866">
        <v>8.89</v>
      </c>
    </row>
    <row r="171" spans="2:6">
      <c r="B171" s="3866">
        <v>49</v>
      </c>
      <c r="C171" s="3866" t="s">
        <v>3364</v>
      </c>
      <c r="D171" s="3865" t="s">
        <v>195</v>
      </c>
      <c r="E171" s="3866">
        <v>29.51</v>
      </c>
      <c r="F171" s="3866">
        <v>8.89</v>
      </c>
    </row>
    <row r="172" spans="2:6">
      <c r="B172" s="3866">
        <v>50</v>
      </c>
      <c r="C172" s="3866" t="s">
        <v>3365</v>
      </c>
      <c r="D172" s="3865" t="s">
        <v>195</v>
      </c>
      <c r="E172" s="3866">
        <v>29.51</v>
      </c>
      <c r="F172" s="3866">
        <v>8.89</v>
      </c>
    </row>
    <row r="173" spans="2:6">
      <c r="B173" s="3866">
        <v>51</v>
      </c>
      <c r="C173" s="3866" t="s">
        <v>3366</v>
      </c>
      <c r="D173" s="3865" t="s">
        <v>195</v>
      </c>
      <c r="E173" s="3866">
        <v>29.51</v>
      </c>
      <c r="F173" s="3866">
        <v>8.89</v>
      </c>
    </row>
    <row r="174" spans="2:6">
      <c r="B174" s="3866">
        <v>52</v>
      </c>
      <c r="C174" s="3866" t="s">
        <v>3367</v>
      </c>
      <c r="D174" s="3865" t="s">
        <v>195</v>
      </c>
      <c r="E174" s="3866">
        <v>29.51</v>
      </c>
      <c r="F174" s="3866">
        <v>8.89</v>
      </c>
    </row>
    <row r="175" spans="2:6">
      <c r="B175" s="3866">
        <v>53</v>
      </c>
      <c r="C175" s="3866" t="s">
        <v>3368</v>
      </c>
      <c r="D175" s="3865" t="s">
        <v>195</v>
      </c>
      <c r="E175" s="3866">
        <v>29.51</v>
      </c>
      <c r="F175" s="3866">
        <v>8.89</v>
      </c>
    </row>
    <row r="176" spans="2:6">
      <c r="B176" s="3866">
        <v>54</v>
      </c>
      <c r="C176" s="3866" t="s">
        <v>3369</v>
      </c>
      <c r="D176" s="3865" t="s">
        <v>195</v>
      </c>
      <c r="E176" s="3866">
        <v>29.51</v>
      </c>
      <c r="F176" s="3866">
        <v>8.89</v>
      </c>
    </row>
    <row r="177" spans="2:6">
      <c r="B177" s="3866">
        <v>55</v>
      </c>
      <c r="C177" s="3866" t="s">
        <v>3370</v>
      </c>
      <c r="D177" s="3865" t="s">
        <v>195</v>
      </c>
      <c r="E177" s="3866">
        <v>29.51</v>
      </c>
      <c r="F177" s="3866">
        <v>8.89</v>
      </c>
    </row>
    <row r="178" spans="2:6">
      <c r="B178" s="3866">
        <v>56</v>
      </c>
      <c r="C178" s="3866" t="s">
        <v>3371</v>
      </c>
      <c r="D178" s="3865" t="s">
        <v>195</v>
      </c>
      <c r="E178" s="3866">
        <v>29.51</v>
      </c>
      <c r="F178" s="3866">
        <v>8.89</v>
      </c>
    </row>
    <row r="179" spans="2:6">
      <c r="B179" s="3866">
        <v>57</v>
      </c>
      <c r="C179" s="3866" t="s">
        <v>3372</v>
      </c>
      <c r="D179" s="3865" t="s">
        <v>195</v>
      </c>
      <c r="E179" s="3866">
        <v>29.51</v>
      </c>
      <c r="F179" s="3866">
        <v>8.89</v>
      </c>
    </row>
    <row r="180" spans="2:6">
      <c r="B180" s="3866">
        <v>58</v>
      </c>
      <c r="C180" s="3866" t="s">
        <v>3373</v>
      </c>
      <c r="D180" s="3865" t="s">
        <v>195</v>
      </c>
      <c r="E180" s="3866">
        <v>29.51</v>
      </c>
      <c r="F180" s="3866">
        <v>8.89</v>
      </c>
    </row>
    <row r="181" spans="2:6">
      <c r="B181" s="3866">
        <v>59</v>
      </c>
      <c r="C181" s="3866" t="s">
        <v>3374</v>
      </c>
      <c r="D181" s="3865" t="s">
        <v>195</v>
      </c>
      <c r="E181" s="3866">
        <v>29.51</v>
      </c>
      <c r="F181" s="3866">
        <v>8.89</v>
      </c>
    </row>
    <row r="182" spans="2:6">
      <c r="B182" s="3866">
        <v>60</v>
      </c>
      <c r="C182" s="3866" t="s">
        <v>3375</v>
      </c>
      <c r="D182" s="3865" t="s">
        <v>195</v>
      </c>
      <c r="E182" s="3866">
        <v>29.51</v>
      </c>
      <c r="F182" s="3866">
        <v>8.89</v>
      </c>
    </row>
    <row r="183" spans="2:6">
      <c r="B183" s="3866">
        <v>61</v>
      </c>
      <c r="C183" s="3866" t="s">
        <v>3376</v>
      </c>
      <c r="D183" s="3865" t="s">
        <v>195</v>
      </c>
      <c r="E183" s="3866">
        <v>29.51</v>
      </c>
      <c r="F183" s="3866">
        <v>8.89</v>
      </c>
    </row>
    <row r="184" spans="2:6">
      <c r="B184" s="3866">
        <v>62</v>
      </c>
      <c r="C184" s="3866" t="s">
        <v>3377</v>
      </c>
      <c r="D184" s="3865" t="s">
        <v>195</v>
      </c>
      <c r="E184" s="3866">
        <v>29.51</v>
      </c>
      <c r="F184" s="3866">
        <v>8.89</v>
      </c>
    </row>
    <row r="185" spans="2:6">
      <c r="B185" s="3866">
        <v>63</v>
      </c>
      <c r="C185" s="3866" t="s">
        <v>3378</v>
      </c>
      <c r="D185" s="3865" t="s">
        <v>195</v>
      </c>
      <c r="E185" s="3866">
        <v>29.51</v>
      </c>
      <c r="F185" s="3866">
        <v>8.89</v>
      </c>
    </row>
    <row r="186" spans="2:6">
      <c r="B186" s="3866">
        <v>64</v>
      </c>
      <c r="C186" s="3866" t="s">
        <v>3379</v>
      </c>
      <c r="D186" s="3865" t="s">
        <v>195</v>
      </c>
      <c r="E186" s="3866">
        <v>29.51</v>
      </c>
      <c r="F186" s="3866">
        <v>8.89</v>
      </c>
    </row>
    <row r="187" spans="2:6">
      <c r="B187" s="3866">
        <v>65</v>
      </c>
      <c r="C187" s="3866" t="s">
        <v>3380</v>
      </c>
      <c r="D187" s="3865" t="s">
        <v>195</v>
      </c>
      <c r="E187" s="3866">
        <v>29.51</v>
      </c>
      <c r="F187" s="3866">
        <v>8.89</v>
      </c>
    </row>
    <row r="188" spans="2:6">
      <c r="B188" s="3866">
        <v>66</v>
      </c>
      <c r="C188" s="3866" t="s">
        <v>3381</v>
      </c>
      <c r="D188" s="3865" t="s">
        <v>195</v>
      </c>
      <c r="E188" s="3866">
        <v>29.51</v>
      </c>
      <c r="F188" s="3866">
        <v>8.89</v>
      </c>
    </row>
    <row r="189" spans="2:6">
      <c r="B189" s="3866">
        <v>67</v>
      </c>
      <c r="C189" s="3866" t="s">
        <v>3382</v>
      </c>
      <c r="D189" s="3865" t="s">
        <v>195</v>
      </c>
      <c r="E189" s="3866">
        <v>29.51</v>
      </c>
      <c r="F189" s="3866">
        <v>8.89</v>
      </c>
    </row>
    <row r="190" spans="2:6">
      <c r="B190" s="3866">
        <v>68</v>
      </c>
      <c r="C190" s="3866" t="s">
        <v>3383</v>
      </c>
      <c r="D190" s="3865" t="s">
        <v>195</v>
      </c>
      <c r="E190" s="3866">
        <v>29.51</v>
      </c>
      <c r="F190" s="3866">
        <v>8.89</v>
      </c>
    </row>
    <row r="191" spans="2:6">
      <c r="B191" s="3866">
        <v>69</v>
      </c>
      <c r="C191" s="3866" t="s">
        <v>3384</v>
      </c>
      <c r="D191" s="3865" t="s">
        <v>195</v>
      </c>
      <c r="E191" s="3866">
        <v>29.51</v>
      </c>
      <c r="F191" s="3866">
        <v>8.89</v>
      </c>
    </row>
    <row r="192" spans="2:6">
      <c r="B192" s="3866">
        <v>70</v>
      </c>
      <c r="C192" s="3866" t="s">
        <v>3385</v>
      </c>
      <c r="D192" s="3865" t="s">
        <v>195</v>
      </c>
      <c r="E192" s="3866">
        <v>29.51</v>
      </c>
      <c r="F192" s="3866">
        <v>8.89</v>
      </c>
    </row>
    <row r="193" spans="2:6">
      <c r="B193" s="3866">
        <v>71</v>
      </c>
      <c r="C193" s="3866" t="s">
        <v>3386</v>
      </c>
      <c r="D193" s="3865" t="s">
        <v>195</v>
      </c>
      <c r="E193" s="3866">
        <v>29.51</v>
      </c>
      <c r="F193" s="3866">
        <v>8.89</v>
      </c>
    </row>
    <row r="194" spans="2:6">
      <c r="B194" s="3866">
        <v>72</v>
      </c>
      <c r="C194" s="3866" t="s">
        <v>3387</v>
      </c>
      <c r="D194" s="3865" t="s">
        <v>195</v>
      </c>
      <c r="E194" s="3866">
        <v>29.51</v>
      </c>
      <c r="F194" s="3866">
        <v>8.89</v>
      </c>
    </row>
    <row r="195" spans="2:6">
      <c r="B195" s="3866">
        <v>73</v>
      </c>
      <c r="C195" s="3866" t="s">
        <v>3388</v>
      </c>
      <c r="D195" s="3865" t="s">
        <v>195</v>
      </c>
      <c r="E195" s="3866">
        <v>29.51</v>
      </c>
      <c r="F195" s="3866">
        <v>8.89</v>
      </c>
    </row>
    <row r="196" spans="2:6">
      <c r="B196" s="3866">
        <v>74</v>
      </c>
      <c r="C196" s="3866" t="s">
        <v>3389</v>
      </c>
      <c r="D196" s="3865" t="s">
        <v>195</v>
      </c>
      <c r="E196" s="3866">
        <v>29.51</v>
      </c>
      <c r="F196" s="3866">
        <v>8.89</v>
      </c>
    </row>
    <row r="197" spans="2:6">
      <c r="B197" s="3866">
        <v>75</v>
      </c>
      <c r="C197" s="3866" t="s">
        <v>3390</v>
      </c>
      <c r="D197" s="3865" t="s">
        <v>195</v>
      </c>
      <c r="E197" s="3866">
        <v>29.51</v>
      </c>
      <c r="F197" s="3866">
        <v>8.89</v>
      </c>
    </row>
    <row r="198" spans="2:6">
      <c r="B198" s="3866">
        <v>76</v>
      </c>
      <c r="C198" s="3866" t="s">
        <v>3391</v>
      </c>
      <c r="D198" s="3865" t="s">
        <v>195</v>
      </c>
      <c r="E198" s="3866">
        <v>29.51</v>
      </c>
      <c r="F198" s="3866">
        <v>8.89</v>
      </c>
    </row>
    <row r="199" spans="2:6">
      <c r="B199" s="3866">
        <v>77</v>
      </c>
      <c r="C199" s="3866" t="s">
        <v>3392</v>
      </c>
      <c r="D199" s="3865" t="s">
        <v>195</v>
      </c>
      <c r="E199" s="3866">
        <v>29.51</v>
      </c>
      <c r="F199" s="3866">
        <v>8.89</v>
      </c>
    </row>
    <row r="200" spans="2:6">
      <c r="B200" s="3866">
        <v>78</v>
      </c>
      <c r="C200" s="3866" t="s">
        <v>3393</v>
      </c>
      <c r="D200" s="3865" t="s">
        <v>195</v>
      </c>
      <c r="E200" s="3866">
        <v>29.51</v>
      </c>
      <c r="F200" s="3866">
        <v>8.89</v>
      </c>
    </row>
    <row r="201" spans="2:6">
      <c r="B201" s="3866">
        <v>79</v>
      </c>
      <c r="C201" s="3866" t="s">
        <v>3394</v>
      </c>
      <c r="D201" s="3865" t="s">
        <v>195</v>
      </c>
      <c r="E201" s="3866">
        <v>29.51</v>
      </c>
      <c r="F201" s="3866">
        <v>8.89</v>
      </c>
    </row>
    <row r="202" spans="2:6">
      <c r="B202" s="3866">
        <v>80</v>
      </c>
      <c r="C202" s="3866" t="s">
        <v>3395</v>
      </c>
      <c r="D202" s="3865" t="s">
        <v>195</v>
      </c>
      <c r="E202" s="3866">
        <v>29.51</v>
      </c>
      <c r="F202" s="3866">
        <v>8.89</v>
      </c>
    </row>
    <row r="203" spans="2:6">
      <c r="B203" s="3866">
        <v>81</v>
      </c>
      <c r="C203" s="3866" t="s">
        <v>3396</v>
      </c>
      <c r="D203" s="3865" t="s">
        <v>195</v>
      </c>
      <c r="E203" s="3866">
        <v>29.51</v>
      </c>
      <c r="F203" s="3866">
        <v>8.89</v>
      </c>
    </row>
    <row r="204" spans="2:6">
      <c r="B204" s="3866">
        <v>82</v>
      </c>
      <c r="C204" s="3866" t="s">
        <v>3397</v>
      </c>
      <c r="D204" s="3865" t="s">
        <v>195</v>
      </c>
      <c r="E204" s="3866">
        <v>29.51</v>
      </c>
      <c r="F204" s="3866">
        <v>8.89</v>
      </c>
    </row>
    <row r="205" spans="2:6">
      <c r="B205" s="3866">
        <v>83</v>
      </c>
      <c r="C205" s="3866" t="s">
        <v>3398</v>
      </c>
      <c r="D205" s="3865" t="s">
        <v>195</v>
      </c>
      <c r="E205" s="3866">
        <v>29.51</v>
      </c>
      <c r="F205" s="3866">
        <v>8.89</v>
      </c>
    </row>
    <row r="206" spans="2:6">
      <c r="B206" s="3866">
        <v>84</v>
      </c>
      <c r="C206" s="3866" t="s">
        <v>3399</v>
      </c>
      <c r="D206" s="3865" t="s">
        <v>195</v>
      </c>
      <c r="E206" s="3866">
        <v>29.51</v>
      </c>
      <c r="F206" s="3866">
        <v>8.89</v>
      </c>
    </row>
    <row r="207" spans="2:6">
      <c r="B207" s="3866">
        <v>85</v>
      </c>
      <c r="C207" s="3866" t="s">
        <v>3400</v>
      </c>
      <c r="D207" s="3865" t="s">
        <v>195</v>
      </c>
      <c r="E207" s="3866">
        <v>29.51</v>
      </c>
      <c r="F207" s="3866">
        <v>8.89</v>
      </c>
    </row>
    <row r="208" spans="2:6">
      <c r="B208" s="3866">
        <v>86</v>
      </c>
      <c r="C208" s="3866" t="s">
        <v>3401</v>
      </c>
      <c r="D208" s="3865" t="s">
        <v>195</v>
      </c>
      <c r="E208" s="3866">
        <v>29.51</v>
      </c>
      <c r="F208" s="3866">
        <v>8.89</v>
      </c>
    </row>
    <row r="209" spans="2:6">
      <c r="B209" s="3866">
        <v>87</v>
      </c>
      <c r="C209" s="3866" t="s">
        <v>3402</v>
      </c>
      <c r="D209" s="3865" t="s">
        <v>195</v>
      </c>
      <c r="E209" s="3866">
        <v>29.51</v>
      </c>
      <c r="F209" s="3866">
        <v>8.89</v>
      </c>
    </row>
    <row r="210" spans="2:6">
      <c r="B210" s="3866">
        <v>88</v>
      </c>
      <c r="C210" s="3866" t="s">
        <v>3403</v>
      </c>
      <c r="D210" s="3865" t="s">
        <v>195</v>
      </c>
      <c r="E210" s="3866">
        <v>29.51</v>
      </c>
      <c r="F210" s="3866">
        <v>8.89</v>
      </c>
    </row>
    <row r="211" spans="2:6">
      <c r="B211" s="3866">
        <v>89</v>
      </c>
      <c r="C211" s="3866" t="s">
        <v>3404</v>
      </c>
      <c r="D211" s="3865" t="s">
        <v>195</v>
      </c>
      <c r="E211" s="3866">
        <v>29.51</v>
      </c>
      <c r="F211" s="3866">
        <v>8.89</v>
      </c>
    </row>
    <row r="212" spans="2:6">
      <c r="B212" s="3866">
        <v>90</v>
      </c>
      <c r="C212" s="3866" t="s">
        <v>3405</v>
      </c>
      <c r="D212" s="3865" t="s">
        <v>195</v>
      </c>
      <c r="E212" s="3866">
        <v>29.51</v>
      </c>
      <c r="F212" s="3866">
        <v>8.89</v>
      </c>
    </row>
    <row r="213" spans="2:6">
      <c r="B213" s="3866">
        <v>91</v>
      </c>
      <c r="C213" s="3866" t="s">
        <v>3406</v>
      </c>
      <c r="D213" s="3865" t="s">
        <v>195</v>
      </c>
      <c r="E213" s="3866">
        <v>29.51</v>
      </c>
      <c r="F213" s="3866">
        <v>8.89</v>
      </c>
    </row>
    <row r="214" spans="2:6">
      <c r="B214" s="3866">
        <v>92</v>
      </c>
      <c r="C214" s="3866" t="s">
        <v>3407</v>
      </c>
      <c r="D214" s="3865" t="s">
        <v>195</v>
      </c>
      <c r="E214" s="3866">
        <v>29.51</v>
      </c>
      <c r="F214" s="3866">
        <v>8.89</v>
      </c>
    </row>
    <row r="215" spans="2:6">
      <c r="B215" s="3866">
        <v>93</v>
      </c>
      <c r="C215" s="3866" t="s">
        <v>3408</v>
      </c>
      <c r="D215" s="3865" t="s">
        <v>195</v>
      </c>
      <c r="E215" s="3866">
        <v>29.51</v>
      </c>
      <c r="F215" s="3866">
        <v>8.89</v>
      </c>
    </row>
    <row r="216" spans="2:6">
      <c r="B216" s="3866">
        <v>94</v>
      </c>
      <c r="C216" s="3866" t="s">
        <v>3409</v>
      </c>
      <c r="D216" s="3865" t="s">
        <v>195</v>
      </c>
      <c r="E216" s="3866">
        <v>29.51</v>
      </c>
      <c r="F216" s="3866">
        <v>8.89</v>
      </c>
    </row>
    <row r="217" spans="2:6">
      <c r="B217" s="3866">
        <v>95</v>
      </c>
      <c r="C217" s="3866" t="s">
        <v>3410</v>
      </c>
      <c r="D217" s="3865" t="s">
        <v>195</v>
      </c>
      <c r="E217" s="3866">
        <v>29.51</v>
      </c>
      <c r="F217" s="3866">
        <v>8.89</v>
      </c>
    </row>
    <row r="218" spans="2:6">
      <c r="B218" s="3866">
        <v>96</v>
      </c>
      <c r="C218" s="3866" t="s">
        <v>3411</v>
      </c>
      <c r="D218" s="3865" t="s">
        <v>195</v>
      </c>
      <c r="E218" s="3866">
        <v>29.51</v>
      </c>
      <c r="F218" s="3866">
        <v>8.89</v>
      </c>
    </row>
    <row r="219" spans="2:6">
      <c r="B219" s="3866">
        <v>97</v>
      </c>
      <c r="C219" s="3866" t="s">
        <v>3412</v>
      </c>
      <c r="D219" s="3865" t="s">
        <v>195</v>
      </c>
      <c r="E219" s="3866">
        <v>29.51</v>
      </c>
      <c r="F219" s="3866">
        <v>8.89</v>
      </c>
    </row>
    <row r="220" spans="2:6">
      <c r="B220" s="3865" t="s">
        <v>3413</v>
      </c>
      <c r="C220" s="3866" t="s">
        <v>3121</v>
      </c>
      <c r="D220" s="3866" t="s">
        <v>3121</v>
      </c>
      <c r="E220" s="3866">
        <v>2390.31</v>
      </c>
      <c r="F220" s="3866">
        <v>720.49</v>
      </c>
    </row>
    <row r="221" spans="2:6">
      <c r="B221" s="3398" t="s">
        <v>3414</v>
      </c>
      <c r="C221" s="3867" t="s">
        <v>3416</v>
      </c>
      <c r="D221" s="3868" t="s">
        <v>3415</v>
      </c>
      <c r="E221" s="3382">
        <f>E220+E140</f>
        <v>4043.71</v>
      </c>
      <c r="F221" s="3382">
        <f>F220+F140</f>
        <v>1218.83</v>
      </c>
    </row>
  </sheetData>
  <mergeCells count="5">
    <mergeCell ref="C4:C19"/>
    <mergeCell ref="C20:C21"/>
    <mergeCell ref="I2:I13"/>
    <mergeCell ref="P2:P6"/>
    <mergeCell ref="P9:P13"/>
  </mergeCells>
  <phoneticPr fontId="205" type="noConversion"/>
  <conditionalFormatting sqref="E3:E19">
    <cfRule type="duplicateValues" dxfId="11" priority="11" stopIfTrue="1"/>
    <cfRule type="duplicateValues" dxfId="10" priority="12" stopIfTrue="1"/>
  </conditionalFormatting>
  <conditionalFormatting sqref="E3:E19">
    <cfRule type="duplicateValues" dxfId="9" priority="10" stopIfTrue="1"/>
  </conditionalFormatting>
  <conditionalFormatting sqref="E3:E19">
    <cfRule type="duplicateValues" dxfId="8" priority="9" stopIfTrue="1"/>
  </conditionalFormatting>
  <conditionalFormatting sqref="E3:E19">
    <cfRule type="duplicateValues" dxfId="7" priority="7" stopIfTrue="1"/>
    <cfRule type="duplicateValues" dxfId="6" priority="8" stopIfTrue="1"/>
  </conditionalFormatting>
  <conditionalFormatting sqref="E20:E21">
    <cfRule type="duplicateValues" dxfId="5" priority="5" stopIfTrue="1"/>
    <cfRule type="duplicateValues" dxfId="4" priority="6" stopIfTrue="1"/>
  </conditionalFormatting>
  <conditionalFormatting sqref="E20:E21">
    <cfRule type="duplicateValues" dxfId="3" priority="4" stopIfTrue="1"/>
  </conditionalFormatting>
  <conditionalFormatting sqref="E20:E21">
    <cfRule type="duplicateValues" dxfId="2" priority="3" stopIfTrue="1"/>
  </conditionalFormatting>
  <conditionalFormatting sqref="E20:E21">
    <cfRule type="duplicateValues" dxfId="1" priority="1" stopIfTrue="1"/>
    <cfRule type="duplicateValues" dxfId="0" priority="2" stopIfTrue="1"/>
  </conditionalFormatting>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dimension ref="C3:G14"/>
  <sheetViews>
    <sheetView topLeftCell="A13" workbookViewId="0">
      <selection activeCell="C14" sqref="C14:G14"/>
    </sheetView>
  </sheetViews>
  <sheetFormatPr defaultRowHeight="13.5"/>
  <sheetData>
    <row r="3" spans="3:7" ht="14.25" thickBot="1"/>
    <row r="4" spans="3:7" ht="28.5" customHeight="1" thickTop="1" thickBot="1">
      <c r="C4" s="3861" t="s">
        <v>3291</v>
      </c>
      <c r="D4" s="3861" t="s">
        <v>3056</v>
      </c>
      <c r="E4" s="3861" t="s">
        <v>3295</v>
      </c>
      <c r="F4" s="3863" t="s">
        <v>6</v>
      </c>
      <c r="G4" s="3864"/>
    </row>
    <row r="5" spans="3:7" ht="15" thickBot="1">
      <c r="C5" s="3862"/>
      <c r="D5" s="3862"/>
      <c r="E5" s="3862"/>
      <c r="F5" s="3404" t="s">
        <v>7</v>
      </c>
      <c r="G5" s="3404" t="s">
        <v>8</v>
      </c>
    </row>
    <row r="6" spans="3:7" ht="200.25" thickBot="1">
      <c r="C6" s="3405" t="s">
        <v>3292</v>
      </c>
      <c r="D6" s="3406">
        <v>4043.7</v>
      </c>
      <c r="E6" s="3406">
        <v>1218.83</v>
      </c>
      <c r="F6" s="3406">
        <v>2000</v>
      </c>
      <c r="G6" s="3406">
        <v>4946</v>
      </c>
    </row>
    <row r="7" spans="3:7" ht="28.5" customHeight="1" thickBot="1">
      <c r="C7" s="3858" t="s">
        <v>9</v>
      </c>
      <c r="D7" s="3859"/>
      <c r="E7" s="3860"/>
      <c r="F7" s="3858" t="s">
        <v>3296</v>
      </c>
      <c r="G7" s="3860"/>
    </row>
    <row r="8" spans="3:7" ht="28.5" customHeight="1" thickBot="1">
      <c r="C8" s="3853" t="s">
        <v>3293</v>
      </c>
      <c r="D8" s="3854"/>
      <c r="E8" s="3855"/>
      <c r="F8" s="3856">
        <v>0</v>
      </c>
      <c r="G8" s="3857"/>
    </row>
    <row r="9" spans="3:7" ht="15" thickBot="1">
      <c r="C9" s="3858" t="s">
        <v>9</v>
      </c>
      <c r="D9" s="3859"/>
      <c r="E9" s="3860"/>
      <c r="F9" s="3858" t="s">
        <v>3297</v>
      </c>
      <c r="G9" s="3860"/>
    </row>
    <row r="10" spans="3:7" ht="16.5" thickBot="1">
      <c r="C10" s="3853" t="s">
        <v>3071</v>
      </c>
      <c r="D10" s="3854"/>
      <c r="E10" s="3855"/>
      <c r="F10" s="3856">
        <v>2000</v>
      </c>
      <c r="G10" s="3857"/>
    </row>
    <row r="11" spans="3:7" ht="15" thickBot="1">
      <c r="C11" s="3858" t="s">
        <v>9</v>
      </c>
      <c r="D11" s="3859"/>
      <c r="E11" s="3860"/>
      <c r="F11" s="3858" t="s">
        <v>3294</v>
      </c>
      <c r="G11" s="3860"/>
    </row>
    <row r="12" spans="3:7" ht="16.5" thickBot="1">
      <c r="C12" s="3853" t="s">
        <v>3298</v>
      </c>
      <c r="D12" s="3854"/>
      <c r="E12" s="3855"/>
      <c r="F12" s="3856">
        <v>45</v>
      </c>
      <c r="G12" s="3857"/>
    </row>
    <row r="13" spans="3:7" ht="15" thickBot="1">
      <c r="C13" s="3849" t="s">
        <v>9</v>
      </c>
      <c r="D13" s="3850"/>
      <c r="E13" s="3851"/>
      <c r="F13" s="3849" t="s">
        <v>3294</v>
      </c>
      <c r="G13" s="3851"/>
    </row>
    <row r="14" spans="3:7" ht="14.25" thickTop="1">
      <c r="C14" s="3852" t="s">
        <v>3299</v>
      </c>
      <c r="D14" s="3852"/>
      <c r="E14" s="3852"/>
      <c r="F14" s="3852"/>
      <c r="G14" s="3852"/>
    </row>
  </sheetData>
  <mergeCells count="19">
    <mergeCell ref="C7:E7"/>
    <mergeCell ref="F7:G7"/>
    <mergeCell ref="C8:E8"/>
    <mergeCell ref="F8:G8"/>
    <mergeCell ref="C4:C5"/>
    <mergeCell ref="D4:D5"/>
    <mergeCell ref="E4:E5"/>
    <mergeCell ref="F4:G4"/>
    <mergeCell ref="C11:E11"/>
    <mergeCell ref="F11:G11"/>
    <mergeCell ref="C9:E9"/>
    <mergeCell ref="F9:G9"/>
    <mergeCell ref="C10:E10"/>
    <mergeCell ref="F10:G10"/>
    <mergeCell ref="C13:E13"/>
    <mergeCell ref="F13:G13"/>
    <mergeCell ref="C14:G14"/>
    <mergeCell ref="C12:E12"/>
    <mergeCell ref="F12:G12"/>
  </mergeCells>
  <phoneticPr fontId="20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461" t="s">
        <v>2856</v>
      </c>
      <c r="B1" s="3461"/>
      <c r="C1" s="3461"/>
      <c r="D1" s="3461"/>
    </row>
    <row r="2" spans="1:4" ht="18.75">
      <c r="A2" s="3462" t="s">
        <v>2118</v>
      </c>
      <c r="B2" s="3462"/>
      <c r="C2" s="3462"/>
      <c r="D2" s="3462"/>
    </row>
    <row r="3" spans="1:4" ht="18.75">
      <c r="A3" s="2608" t="s">
        <v>2119</v>
      </c>
      <c r="B3" s="2608" t="s">
        <v>2120</v>
      </c>
      <c r="C3" s="2608" t="s">
        <v>2121</v>
      </c>
      <c r="D3" s="2608" t="s">
        <v>2122</v>
      </c>
    </row>
    <row r="4" spans="1:4" ht="56.25" customHeight="1">
      <c r="A4" s="2614" t="str">
        <f>项目基本情况!B4</f>
        <v>梁津</v>
      </c>
      <c r="B4" s="2609">
        <f ca="1">项目基本情况!C4</f>
        <v>1119970066</v>
      </c>
      <c r="C4" s="2612"/>
      <c r="D4" s="2610" t="s">
        <v>2123</v>
      </c>
    </row>
    <row r="5" spans="1:4" ht="56.25" customHeight="1">
      <c r="A5" s="2614" t="str">
        <f>项目基本情况!D4</f>
        <v>郑燚</v>
      </c>
      <c r="B5" s="2609">
        <f ca="1">项目基本情况!E4</f>
        <v>1120070131</v>
      </c>
      <c r="C5" s="2613"/>
      <c r="D5" s="2610" t="s">
        <v>2123</v>
      </c>
    </row>
    <row r="6" spans="1:4" ht="18.75">
      <c r="A6" s="3462" t="s">
        <v>2620</v>
      </c>
      <c r="B6" s="3462"/>
      <c r="C6" s="3462"/>
      <c r="D6" s="3462"/>
    </row>
    <row r="7" spans="1:4" ht="18.75">
      <c r="A7" s="2608" t="s">
        <v>2119</v>
      </c>
      <c r="B7" s="2609" t="s">
        <v>2124</v>
      </c>
      <c r="C7" s="2608" t="s">
        <v>2121</v>
      </c>
      <c r="D7" s="2608" t="s">
        <v>2122</v>
      </c>
    </row>
    <row r="8" spans="1:4" ht="56.25" customHeight="1">
      <c r="A8" s="2611" t="s">
        <v>2125</v>
      </c>
      <c r="B8" s="2611" t="s">
        <v>23</v>
      </c>
      <c r="C8" s="2612"/>
      <c r="D8" s="2610" t="s">
        <v>2123</v>
      </c>
    </row>
    <row r="9" spans="1:4">
      <c r="A9" s="1493"/>
      <c r="B9" s="1493"/>
      <c r="C9" s="1493"/>
      <c r="D9" s="1493"/>
    </row>
    <row r="10" spans="1:4" ht="18.75">
      <c r="A10" s="2090" t="s">
        <v>2126</v>
      </c>
      <c r="B10" s="1493"/>
      <c r="C10" s="1493"/>
      <c r="D10" s="1493"/>
    </row>
    <row r="11" spans="1:4" ht="30" customHeight="1">
      <c r="A11" s="3463" t="s">
        <v>2711</v>
      </c>
      <c r="B11" s="3464"/>
      <c r="C11" s="3464"/>
      <c r="D11" s="3464"/>
    </row>
    <row r="12" spans="1:4" ht="14.25">
      <c r="A12" s="346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5"/>
      <c r="C12" s="3465"/>
      <c r="D12" s="3465"/>
    </row>
    <row r="13" spans="1:4" ht="30" customHeight="1">
      <c r="A13" s="346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5"/>
      <c r="C13" s="3465"/>
      <c r="D13" s="3465"/>
    </row>
    <row r="14" spans="1:4" ht="15.75" customHeight="1">
      <c r="A14" s="3464" t="str">
        <f>IF(项目基本情况!B8="抵押","4.本次评估估价师所知悉的法定优先受偿款情况说明如下：","——")</f>
        <v>4.本次评估估价师所知悉的法定优先受偿款情况说明如下：</v>
      </c>
      <c r="B14" s="3465"/>
      <c r="C14" s="3465"/>
      <c r="D14" s="3465"/>
    </row>
    <row r="15" spans="1:4" ht="42" customHeight="1">
      <c r="A15" s="3464" t="str">
        <f>IF(项目基本情况!B8="抵押","（1）"&amp;CONCATENATE(项目基本情况!L20,项目基本情况!L21,项目基本情况!L22),"——")</f>
        <v>（1）根据估价对象《房屋所有权证》——、《国有土地使用权》复印件，截至价值时点，估价对象抵押权未见登记。</v>
      </c>
      <c r="B15" s="3464"/>
      <c r="C15" s="3464"/>
      <c r="D15" s="3464"/>
    </row>
    <row r="16" spans="1:4" ht="30" customHeight="1">
      <c r="A16" s="3467" t="s">
        <v>2130</v>
      </c>
      <c r="B16" s="3467"/>
      <c r="C16" s="3467"/>
      <c r="D16" s="3467"/>
    </row>
    <row r="17" spans="1:4" ht="144" customHeight="1">
      <c r="A17" s="3467" t="s">
        <v>2131</v>
      </c>
      <c r="B17" s="3467"/>
      <c r="C17" s="3467"/>
      <c r="D17" s="3467"/>
    </row>
    <row r="18" spans="1:4" ht="15.75" customHeight="1">
      <c r="A18" s="3464" t="str">
        <f>IF(项目基本情况!B8="抵押",结果表!K120,"——")</f>
        <v>故，本次评估不存在估价师知悉的法定优先受偿款</v>
      </c>
      <c r="B18" s="3464"/>
      <c r="C18" s="3464"/>
      <c r="D18" s="3464"/>
    </row>
    <row r="19" spans="1:4" ht="46.5" customHeight="1">
      <c r="A19" s="346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4"/>
      <c r="C19" s="3464"/>
      <c r="D19" s="3464"/>
    </row>
    <row r="20" spans="1:4" ht="57.75" customHeight="1">
      <c r="A20" s="346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64"/>
      <c r="C20" s="3464"/>
      <c r="D20" s="3464"/>
    </row>
    <row r="21" spans="1:4" ht="57.75" customHeight="1">
      <c r="A21" s="346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68"/>
      <c r="C21" s="3468"/>
      <c r="D21" s="3468"/>
    </row>
    <row r="22" spans="1:4" ht="18.75" customHeight="1">
      <c r="A22" s="3469" t="s">
        <v>2877</v>
      </c>
      <c r="B22" s="3469"/>
      <c r="C22" s="3469"/>
      <c r="D22" s="3469"/>
    </row>
    <row r="23" spans="1:4">
      <c r="A23" s="1980"/>
      <c r="B23" s="1989"/>
      <c r="C23" s="1989"/>
      <c r="D23" s="1989"/>
    </row>
    <row r="24" spans="1:4">
      <c r="A24" s="1980"/>
      <c r="B24" s="1989"/>
      <c r="C24" s="1989"/>
      <c r="D24" s="1989"/>
    </row>
    <row r="25" spans="1:4" ht="18.75">
      <c r="A25" s="1978" t="s">
        <v>2127</v>
      </c>
    </row>
    <row r="26" spans="1:4" ht="18.75">
      <c r="A26" s="1950"/>
    </row>
    <row r="27" spans="1:4" ht="18.75">
      <c r="A27" s="1950" t="s">
        <v>2128</v>
      </c>
    </row>
    <row r="30" spans="1:4" ht="18.75">
      <c r="D30" s="1978" t="s">
        <v>2129</v>
      </c>
    </row>
    <row r="31" spans="1:4" ht="13.5" customHeight="1">
      <c r="C31" s="3466">
        <v>42551</v>
      </c>
      <c r="D31" s="3466"/>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topLeftCell="A10" workbookViewId="0">
      <selection activeCell="E19" sqref="E19"/>
    </sheetView>
  </sheetViews>
  <sheetFormatPr defaultRowHeight="13.5"/>
  <cols>
    <col min="1" max="2" width="13.125" style="1989" customWidth="1"/>
    <col min="3" max="10" width="12.5" style="1989" customWidth="1"/>
    <col min="11" max="16384" width="9" style="1989"/>
  </cols>
  <sheetData>
    <row r="1" spans="1:10" ht="18.75">
      <c r="A1" s="2867" t="s">
        <v>2134</v>
      </c>
      <c r="B1" s="2879"/>
      <c r="C1" s="2879"/>
      <c r="D1" s="2879"/>
      <c r="E1" s="2879"/>
      <c r="F1" s="2879"/>
      <c r="G1" s="2879"/>
      <c r="H1" s="2879"/>
      <c r="I1" s="2879"/>
      <c r="J1" s="2879"/>
    </row>
    <row r="2" spans="1:10" ht="18.75">
      <c r="A2" s="2880"/>
      <c r="B2" s="2879"/>
      <c r="C2" s="2879"/>
      <c r="D2" s="2879"/>
      <c r="E2" s="2879"/>
      <c r="F2" s="2879"/>
      <c r="G2" s="2879"/>
      <c r="H2" s="2879"/>
      <c r="I2" s="2879"/>
      <c r="J2" s="2879"/>
    </row>
    <row r="3" spans="1:10">
      <c r="A3" s="2879"/>
      <c r="B3" s="2879"/>
      <c r="C3" s="2879"/>
      <c r="D3" s="2879"/>
      <c r="E3" s="2879"/>
      <c r="F3" s="2879"/>
      <c r="G3" s="2879"/>
      <c r="H3" s="2879"/>
      <c r="I3" s="2879"/>
      <c r="J3" s="2879"/>
    </row>
    <row r="4" spans="1:10">
      <c r="A4" s="2879"/>
      <c r="B4" s="2879"/>
      <c r="C4" s="2879"/>
      <c r="D4" s="2879"/>
      <c r="E4" s="2879"/>
      <c r="F4" s="2879"/>
      <c r="G4" s="2879"/>
      <c r="H4" s="2879"/>
      <c r="I4" s="2879"/>
      <c r="J4" s="2879"/>
    </row>
    <row r="5" spans="1:10">
      <c r="A5" s="2879"/>
      <c r="B5" s="2879"/>
      <c r="C5" s="2879"/>
      <c r="D5" s="2879"/>
      <c r="E5" s="2879"/>
      <c r="F5" s="2879"/>
      <c r="G5" s="2879"/>
      <c r="H5" s="2879"/>
      <c r="I5" s="2879"/>
      <c r="J5" s="2879"/>
    </row>
    <row r="6" spans="1:10">
      <c r="A6" s="2879"/>
      <c r="B6" s="2879"/>
      <c r="C6" s="2879"/>
      <c r="D6" s="2879"/>
      <c r="E6" s="2879"/>
      <c r="F6" s="2879"/>
      <c r="G6" s="2879"/>
      <c r="H6" s="2879"/>
      <c r="I6" s="2879"/>
      <c r="J6" s="2879"/>
    </row>
    <row r="7" spans="1:10">
      <c r="A7" s="2879"/>
      <c r="B7" s="2879"/>
      <c r="C7" s="2879"/>
      <c r="D7" s="2879"/>
      <c r="E7" s="2879"/>
      <c r="F7" s="2879"/>
      <c r="G7" s="2879"/>
      <c r="H7" s="2879"/>
      <c r="I7" s="2879"/>
      <c r="J7" s="2879"/>
    </row>
    <row r="8" spans="1:10">
      <c r="A8" s="2879"/>
      <c r="B8" s="2879"/>
      <c r="C8" s="2879"/>
      <c r="D8" s="2879"/>
      <c r="E8" s="2879"/>
      <c r="F8" s="2879"/>
      <c r="G8" s="2879"/>
      <c r="H8" s="2879"/>
      <c r="I8" s="2879"/>
      <c r="J8" s="2879"/>
    </row>
    <row r="9" spans="1:10">
      <c r="A9" s="2879"/>
      <c r="B9" s="2879"/>
      <c r="C9" s="2879"/>
      <c r="D9" s="2879"/>
      <c r="E9" s="2879"/>
      <c r="F9" s="2879"/>
      <c r="G9" s="2879"/>
      <c r="H9" s="2879"/>
      <c r="I9" s="2879"/>
      <c r="J9" s="2879"/>
    </row>
    <row r="10" spans="1:10">
      <c r="A10" s="2879"/>
      <c r="B10" s="2879"/>
      <c r="C10" s="2879"/>
      <c r="D10" s="2879"/>
      <c r="E10" s="2879"/>
      <c r="F10" s="2879"/>
      <c r="G10" s="2879"/>
      <c r="H10" s="2879"/>
      <c r="I10" s="2879"/>
      <c r="J10" s="2879"/>
    </row>
    <row r="11" spans="1:10">
      <c r="A11" s="2879"/>
      <c r="B11" s="2879"/>
      <c r="C11" s="2879"/>
      <c r="D11" s="2879"/>
      <c r="E11" s="2879"/>
      <c r="F11" s="2879"/>
      <c r="G11" s="2879"/>
      <c r="H11" s="2879"/>
      <c r="I11" s="2879"/>
      <c r="J11" s="2879"/>
    </row>
    <row r="12" spans="1:10">
      <c r="A12" s="2879"/>
      <c r="B12" s="2879"/>
      <c r="C12" s="2879"/>
      <c r="D12" s="2879"/>
      <c r="E12" s="2879"/>
      <c r="F12" s="2879"/>
      <c r="G12" s="2879"/>
      <c r="H12" s="2879"/>
      <c r="I12" s="2879"/>
      <c r="J12" s="2879"/>
    </row>
    <row r="13" spans="1:10">
      <c r="A13" s="2879"/>
      <c r="B13" s="2879"/>
      <c r="C13" s="2879"/>
      <c r="D13" s="2879"/>
      <c r="E13" s="2879"/>
      <c r="F13" s="2879"/>
      <c r="G13" s="2879"/>
      <c r="H13" s="2879"/>
      <c r="I13" s="2879"/>
      <c r="J13" s="2879"/>
    </row>
    <row r="14" spans="1:10">
      <c r="A14" s="2879"/>
      <c r="B14" s="2879"/>
      <c r="C14" s="2879"/>
      <c r="D14" s="2879"/>
      <c r="E14" s="2879"/>
      <c r="F14" s="2879"/>
      <c r="G14" s="2879"/>
      <c r="H14" s="2879"/>
      <c r="I14" s="2879"/>
      <c r="J14" s="2879"/>
    </row>
    <row r="15" spans="1:10">
      <c r="A15" s="2879"/>
      <c r="B15" s="2879"/>
      <c r="C15" s="2879"/>
      <c r="D15" s="2879"/>
      <c r="E15" s="2879"/>
      <c r="F15" s="2879"/>
      <c r="G15" s="2879"/>
      <c r="H15" s="2879"/>
      <c r="I15" s="2879"/>
      <c r="J15" s="2879"/>
    </row>
    <row r="16" spans="1:10">
      <c r="A16" s="2879"/>
      <c r="B16" s="2879"/>
      <c r="C16" s="2879"/>
      <c r="D16" s="2879"/>
      <c r="E16" s="2879"/>
      <c r="F16" s="2879"/>
      <c r="G16" s="2879"/>
      <c r="H16" s="2879"/>
      <c r="I16" s="2879"/>
      <c r="J16" s="2879"/>
    </row>
    <row r="17" spans="1:10">
      <c r="A17" s="2879"/>
      <c r="B17" s="2879"/>
      <c r="C17" s="2879"/>
      <c r="D17" s="2879"/>
      <c r="E17" s="2879"/>
      <c r="F17" s="2879"/>
      <c r="G17" s="2879"/>
      <c r="H17" s="2879"/>
      <c r="I17" s="2879"/>
      <c r="J17" s="2879"/>
    </row>
    <row r="18" spans="1:10">
      <c r="A18" s="2879"/>
      <c r="B18" s="2879"/>
      <c r="C18" s="2879"/>
      <c r="D18" s="2879"/>
      <c r="E18" s="2879"/>
      <c r="F18" s="2879"/>
      <c r="G18" s="2879"/>
      <c r="H18" s="2879"/>
      <c r="I18" s="2879"/>
      <c r="J18" s="2879"/>
    </row>
    <row r="19" spans="1:10">
      <c r="A19" s="2879"/>
      <c r="B19" s="2879"/>
      <c r="C19" s="2879"/>
      <c r="D19" s="2879"/>
      <c r="E19" s="2879"/>
      <c r="F19" s="2879"/>
      <c r="G19" s="2879"/>
      <c r="H19" s="2879"/>
      <c r="I19" s="2879"/>
      <c r="J19" s="2879"/>
    </row>
    <row r="20" spans="1:10">
      <c r="A20" s="2879"/>
      <c r="B20" s="2879"/>
      <c r="C20" s="2879"/>
      <c r="D20" s="2879"/>
      <c r="E20" s="2879"/>
      <c r="F20" s="2879"/>
      <c r="G20" s="2879"/>
      <c r="H20" s="2879"/>
      <c r="I20" s="2879"/>
      <c r="J20" s="2879"/>
    </row>
    <row r="21" spans="1:10">
      <c r="A21" s="2879"/>
      <c r="B21" s="2879"/>
      <c r="C21" s="2879"/>
      <c r="D21" s="2879"/>
      <c r="E21" s="2879"/>
      <c r="F21" s="2879"/>
      <c r="G21" s="2879"/>
      <c r="H21" s="2879"/>
      <c r="I21" s="2879"/>
      <c r="J21" s="2879"/>
    </row>
    <row r="22" spans="1:10">
      <c r="A22" s="2879"/>
      <c r="B22" s="2879"/>
      <c r="C22" s="2879"/>
      <c r="D22" s="2879"/>
      <c r="E22" s="2879"/>
      <c r="F22" s="2879"/>
      <c r="G22" s="2879"/>
      <c r="H22" s="2879"/>
      <c r="I22" s="2879"/>
      <c r="J22" s="2879"/>
    </row>
    <row r="23" spans="1:10">
      <c r="A23" s="2879"/>
      <c r="B23" s="2879"/>
      <c r="C23" s="2879"/>
      <c r="D23" s="2879"/>
      <c r="E23" s="2879"/>
      <c r="F23" s="2879"/>
      <c r="G23" s="2879"/>
      <c r="H23" s="2879"/>
      <c r="I23" s="2879"/>
      <c r="J23" s="2879"/>
    </row>
    <row r="24" spans="1:10">
      <c r="A24" s="2879"/>
      <c r="B24" s="2879"/>
      <c r="C24" s="2879"/>
      <c r="D24" s="2879"/>
      <c r="E24" s="2879"/>
      <c r="F24" s="2879"/>
      <c r="G24" s="2879"/>
      <c r="H24" s="2879"/>
      <c r="I24" s="2879"/>
      <c r="J24" s="2879"/>
    </row>
    <row r="25" spans="1:10">
      <c r="A25" s="2879"/>
      <c r="B25" s="2879"/>
      <c r="C25" s="2879"/>
      <c r="D25" s="2879"/>
      <c r="E25" s="2879"/>
      <c r="F25" s="2879"/>
      <c r="G25" s="2879"/>
      <c r="H25" s="2879"/>
      <c r="I25" s="2879"/>
      <c r="J25" s="2879"/>
    </row>
    <row r="26" spans="1:10">
      <c r="A26" s="2879"/>
      <c r="B26" s="2879"/>
      <c r="C26" s="2879"/>
      <c r="D26" s="2879"/>
      <c r="E26" s="2879"/>
      <c r="F26" s="2879"/>
      <c r="G26" s="2879"/>
      <c r="H26" s="2879"/>
      <c r="I26" s="2879"/>
      <c r="J26" s="2879"/>
    </row>
    <row r="27" spans="1:10">
      <c r="A27" s="2879"/>
      <c r="B27" s="2879"/>
      <c r="C27" s="2879"/>
      <c r="D27" s="2879"/>
      <c r="E27" s="2879"/>
      <c r="F27" s="2879"/>
      <c r="G27" s="2879"/>
      <c r="H27" s="2879"/>
      <c r="I27" s="2879"/>
      <c r="J27" s="2879"/>
    </row>
    <row r="28" spans="1:10">
      <c r="A28" s="2879"/>
      <c r="B28" s="2879"/>
      <c r="C28" s="2879"/>
      <c r="D28" s="2879"/>
      <c r="E28" s="2879"/>
      <c r="F28" s="2879"/>
      <c r="G28" s="2879"/>
      <c r="H28" s="2879"/>
      <c r="I28" s="2879"/>
      <c r="J28" s="2879"/>
    </row>
    <row r="29" spans="1:10">
      <c r="A29" s="2879"/>
      <c r="B29" s="2879"/>
      <c r="C29" s="2879"/>
      <c r="D29" s="2879"/>
      <c r="E29" s="2879"/>
      <c r="F29" s="2879"/>
      <c r="G29" s="2879"/>
      <c r="H29" s="2879"/>
      <c r="I29" s="2879"/>
      <c r="J29" s="2879"/>
    </row>
    <row r="30" spans="1:10">
      <c r="A30" s="2879"/>
      <c r="B30" s="2879"/>
      <c r="C30" s="2879"/>
      <c r="D30" s="2879"/>
      <c r="E30" s="2879"/>
      <c r="F30" s="2879"/>
      <c r="G30" s="2879"/>
      <c r="H30" s="2879"/>
      <c r="I30" s="2879"/>
      <c r="J30" s="2879"/>
    </row>
    <row r="31" spans="1:10">
      <c r="A31" s="2879"/>
      <c r="B31" s="2879"/>
      <c r="C31" s="2879"/>
      <c r="D31" s="2879"/>
      <c r="E31" s="2879"/>
      <c r="F31" s="2879"/>
      <c r="G31" s="2879"/>
      <c r="H31" s="2879"/>
      <c r="I31" s="2879"/>
      <c r="J31" s="2879"/>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2" customWidth="1"/>
    <col min="2" max="16384" width="14.5" style="1140"/>
  </cols>
  <sheetData>
    <row r="1" spans="1:7" s="1138" customFormat="1" ht="18.75">
      <c r="A1" s="1137" t="s">
        <v>577</v>
      </c>
    </row>
    <row r="3" spans="1:7">
      <c r="A3" s="1139" t="s">
        <v>550</v>
      </c>
      <c r="B3" s="1140" t="s">
        <v>551</v>
      </c>
      <c r="G3" s="1141"/>
    </row>
    <row r="4" spans="1:7">
      <c r="G4" s="1141"/>
    </row>
    <row r="5" spans="1:7">
      <c r="A5" s="1143" t="s">
        <v>541</v>
      </c>
      <c r="B5" s="1140" t="s">
        <v>552</v>
      </c>
      <c r="G5" s="1141"/>
    </row>
    <row r="6" spans="1:7">
      <c r="G6" s="1141"/>
    </row>
    <row r="7" spans="1:7">
      <c r="A7" s="1144" t="s">
        <v>1139</v>
      </c>
      <c r="B7" s="1140" t="s">
        <v>553</v>
      </c>
      <c r="G7" s="1141"/>
    </row>
    <row r="8" spans="1:7">
      <c r="G8" s="1141"/>
    </row>
    <row r="9" spans="1:7">
      <c r="A9" s="1145" t="s">
        <v>542</v>
      </c>
      <c r="B9" s="1140" t="s">
        <v>554</v>
      </c>
    </row>
    <row r="11" spans="1:7">
      <c r="A11" s="1146" t="s">
        <v>543</v>
      </c>
      <c r="B11" s="1147" t="s">
        <v>540</v>
      </c>
    </row>
    <row r="13" spans="1:7">
      <c r="A13" s="1148" t="s">
        <v>555</v>
      </c>
    </row>
    <row r="15" spans="1:7" ht="13.5">
      <c r="A15" s="3475" t="s">
        <v>556</v>
      </c>
      <c r="B15" s="3470" t="s">
        <v>1140</v>
      </c>
      <c r="C15" s="3471"/>
    </row>
    <row r="16" spans="1:7" ht="13.5">
      <c r="A16" s="3476"/>
      <c r="B16" s="3470" t="s">
        <v>529</v>
      </c>
      <c r="C16" s="3471"/>
    </row>
    <row r="17" spans="1:3" ht="13.5">
      <c r="A17" s="3476"/>
      <c r="B17" s="3473" t="s">
        <v>557</v>
      </c>
      <c r="C17" s="1149" t="s">
        <v>556</v>
      </c>
    </row>
    <row r="18" spans="1:3" ht="13.5">
      <c r="A18" s="3476"/>
      <c r="B18" s="3473"/>
      <c r="C18" s="1149" t="s">
        <v>558</v>
      </c>
    </row>
    <row r="19" spans="1:3" ht="13.5">
      <c r="A19" s="3476"/>
      <c r="B19" s="3473"/>
      <c r="C19" s="1149" t="s">
        <v>559</v>
      </c>
    </row>
    <row r="20" spans="1:3" ht="13.5">
      <c r="A20" s="3477"/>
      <c r="B20" s="3472" t="s">
        <v>560</v>
      </c>
      <c r="C20" s="3471"/>
    </row>
    <row r="21" spans="1:3" ht="13.5">
      <c r="A21" s="1150" t="s">
        <v>561</v>
      </c>
      <c r="B21" s="1151"/>
      <c r="C21" s="1152"/>
    </row>
    <row r="22" spans="1:3" ht="13.5">
      <c r="A22" s="3474" t="s">
        <v>562</v>
      </c>
      <c r="B22" s="3472" t="s">
        <v>563</v>
      </c>
      <c r="C22" s="3471"/>
    </row>
    <row r="23" spans="1:3" ht="13.5">
      <c r="A23" s="3474"/>
      <c r="B23" s="3472" t="s">
        <v>564</v>
      </c>
      <c r="C23" s="3471"/>
    </row>
    <row r="24" spans="1:3" ht="13.5">
      <c r="A24" s="3474"/>
      <c r="B24" s="3472" t="s">
        <v>565</v>
      </c>
      <c r="C24" s="3471"/>
    </row>
    <row r="25" spans="1:3" ht="13.5">
      <c r="A25" s="3474"/>
      <c r="B25" s="3473" t="s">
        <v>566</v>
      </c>
      <c r="C25" s="1149" t="s">
        <v>567</v>
      </c>
    </row>
    <row r="26" spans="1:3" ht="13.5">
      <c r="A26" s="3474"/>
      <c r="B26" s="3473"/>
      <c r="C26" s="1149" t="s">
        <v>568</v>
      </c>
    </row>
    <row r="27" spans="1:3" ht="13.5">
      <c r="A27" s="3474"/>
      <c r="B27" s="3473"/>
      <c r="C27" s="1149" t="s">
        <v>569</v>
      </c>
    </row>
    <row r="28" spans="1:3" ht="13.5">
      <c r="A28" s="3474"/>
      <c r="B28" s="3473"/>
      <c r="C28" s="1149" t="s">
        <v>570</v>
      </c>
    </row>
    <row r="29" spans="1:3" ht="13.5">
      <c r="A29" s="3474"/>
      <c r="B29" s="3473"/>
      <c r="C29" s="1149" t="s">
        <v>571</v>
      </c>
    </row>
    <row r="30" spans="1:3" ht="13.5">
      <c r="A30" s="3474"/>
      <c r="B30" s="3473"/>
      <c r="C30" s="1149" t="s">
        <v>572</v>
      </c>
    </row>
    <row r="31" spans="1:3" ht="13.5">
      <c r="A31" s="3474"/>
      <c r="B31" s="3473"/>
      <c r="C31" s="1149" t="s">
        <v>573</v>
      </c>
    </row>
    <row r="32" spans="1:3" ht="13.5">
      <c r="A32" s="3474"/>
      <c r="B32" s="3473"/>
      <c r="C32" s="1149" t="s">
        <v>574</v>
      </c>
    </row>
    <row r="33" spans="1:3" ht="13.5">
      <c r="A33" s="3474"/>
      <c r="B33" s="3473"/>
      <c r="C33" s="1149" t="s">
        <v>575</v>
      </c>
    </row>
    <row r="34" spans="1:3">
      <c r="A34" s="1153" t="s">
        <v>544</v>
      </c>
    </row>
    <row r="37" spans="1:3">
      <c r="A37" s="1153" t="s">
        <v>576</v>
      </c>
    </row>
    <row r="38" spans="1:3" ht="13.5">
      <c r="A38" s="1154" t="s">
        <v>545</v>
      </c>
    </row>
    <row r="39" spans="1:3" ht="13.5">
      <c r="A39" s="1154" t="s">
        <v>546</v>
      </c>
    </row>
    <row r="40" spans="1:3" ht="13.5">
      <c r="A40" s="1154" t="s">
        <v>547</v>
      </c>
    </row>
    <row r="41" spans="1:3" ht="13.5">
      <c r="A41" s="1155" t="s">
        <v>548</v>
      </c>
    </row>
    <row r="42" spans="1:3" ht="13.5">
      <c r="A42" s="1154" t="s">
        <v>549</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topLeftCell="A10" zoomScale="93" zoomScaleSheetLayoutView="93" workbookViewId="0">
      <selection activeCell="E31" sqref="E31"/>
    </sheetView>
  </sheetViews>
  <sheetFormatPr defaultColWidth="22.625" defaultRowHeight="24" customHeight="1"/>
  <cols>
    <col min="1" max="2" width="22.625" style="1885"/>
    <col min="3" max="3" width="23.625" style="1885" bestFit="1" customWidth="1"/>
    <col min="4" max="5" width="22.625" style="1885"/>
    <col min="6" max="6" width="25.625" style="1885" customWidth="1"/>
    <col min="7" max="16384" width="22.625" style="1885"/>
  </cols>
  <sheetData>
    <row r="2" spans="1:6" ht="24" customHeight="1">
      <c r="A2" s="1887" t="s">
        <v>1974</v>
      </c>
      <c r="B2" s="1888">
        <f ca="1">TODAY()</f>
        <v>42977</v>
      </c>
      <c r="C2" s="1889" t="s">
        <v>1975</v>
      </c>
      <c r="D2" s="1889"/>
    </row>
    <row r="3" spans="1:6" ht="24" customHeight="1">
      <c r="A3" s="1890" t="s">
        <v>1976</v>
      </c>
      <c r="B3" s="1891" t="s">
        <v>1977</v>
      </c>
      <c r="C3" s="1891" t="s">
        <v>1978</v>
      </c>
      <c r="D3" s="1892" t="s">
        <v>1979</v>
      </c>
      <c r="E3" s="1893" t="s">
        <v>1980</v>
      </c>
      <c r="F3" s="1891" t="s">
        <v>1978</v>
      </c>
    </row>
    <row r="4" spans="1:6" ht="24" customHeight="1">
      <c r="A4" s="3201" t="s">
        <v>1981</v>
      </c>
      <c r="B4" s="1893">
        <f ca="1">IF(C4&lt;B2,"已过期",1119970066)</f>
        <v>1119970066</v>
      </c>
      <c r="C4" s="3202">
        <v>43849</v>
      </c>
      <c r="D4" s="3201" t="s">
        <v>1981</v>
      </c>
      <c r="E4" s="1893">
        <f ca="1">IF(F4&lt;B2,"已过期",96010014)</f>
        <v>96010014</v>
      </c>
      <c r="F4" s="1902">
        <v>47118</v>
      </c>
    </row>
    <row r="5" spans="1:6" ht="24" customHeight="1">
      <c r="A5" s="3201" t="s">
        <v>1982</v>
      </c>
      <c r="B5" s="1893">
        <f ca="1">IF(C5&lt;B2,"已过期",1119970074)</f>
        <v>1119970074</v>
      </c>
      <c r="C5" s="3202">
        <v>43849</v>
      </c>
      <c r="D5" s="3201" t="s">
        <v>1982</v>
      </c>
      <c r="E5" s="1893">
        <f ca="1">IF(F5&lt;B2,"已过期",2002110027)</f>
        <v>2002110027</v>
      </c>
      <c r="F5" s="1902">
        <v>46752</v>
      </c>
    </row>
    <row r="6" spans="1:6" ht="24" customHeight="1">
      <c r="A6" s="3201" t="s">
        <v>1983</v>
      </c>
      <c r="B6" s="1893">
        <f ca="1">IF(C6&lt;B2,"已过期",1119970111)</f>
        <v>1119970111</v>
      </c>
      <c r="C6" s="3202">
        <v>43849</v>
      </c>
      <c r="D6" s="3201" t="s">
        <v>1983</v>
      </c>
      <c r="E6" s="1893">
        <f ca="1">IF(F6&lt;B2,"已过期",94010078)</f>
        <v>94010078</v>
      </c>
      <c r="F6" s="1902">
        <v>46387</v>
      </c>
    </row>
    <row r="7" spans="1:6" ht="24" customHeight="1">
      <c r="A7" s="3201" t="s">
        <v>1984</v>
      </c>
      <c r="B7" s="1893">
        <f ca="1">IF(C7&lt;B2,"已过期",1120050019)</f>
        <v>1120050019</v>
      </c>
      <c r="C7" s="3202">
        <v>43359</v>
      </c>
      <c r="D7" s="3201" t="s">
        <v>1984</v>
      </c>
      <c r="E7" s="1893">
        <f ca="1">IF(F7&lt;B2,"已过期",2002110030)</f>
        <v>2002110030</v>
      </c>
      <c r="F7" s="1902">
        <v>46387</v>
      </c>
    </row>
    <row r="8" spans="1:6" ht="24" customHeight="1">
      <c r="A8" s="3201" t="s">
        <v>1985</v>
      </c>
      <c r="B8" s="1893">
        <f ca="1">IF(C8&lt;B2,"已过期",1120000080)</f>
        <v>1120000080</v>
      </c>
      <c r="C8" s="3202">
        <v>43849</v>
      </c>
      <c r="D8" s="3201" t="s">
        <v>1985</v>
      </c>
      <c r="E8" s="1893">
        <f ca="1">IF(F8&lt;B2,"已过期",2000110082)</f>
        <v>2000110082</v>
      </c>
      <c r="F8" s="1902">
        <v>46387</v>
      </c>
    </row>
    <row r="9" spans="1:6" ht="24" customHeight="1">
      <c r="A9" s="3201" t="s">
        <v>1986</v>
      </c>
      <c r="B9" s="1893">
        <f ca="1">IF(C9&lt;B2,"已过期",1419970001)</f>
        <v>1419970001</v>
      </c>
      <c r="C9" s="3202">
        <v>43867</v>
      </c>
      <c r="D9" s="3201" t="s">
        <v>1986</v>
      </c>
      <c r="E9" s="1893">
        <f ca="1">IF(F9&lt;B2,"已过期",2002110125)</f>
        <v>2002110125</v>
      </c>
      <c r="F9" s="1902">
        <v>47118</v>
      </c>
    </row>
    <row r="10" spans="1:6" ht="24" customHeight="1">
      <c r="A10" s="3201" t="s">
        <v>1987</v>
      </c>
      <c r="B10" s="1893">
        <f ca="1">IF(C10&lt;B2,"已过期",1120060040)</f>
        <v>1120060040</v>
      </c>
      <c r="C10" s="3202">
        <v>43483</v>
      </c>
      <c r="D10" s="3201" t="s">
        <v>1987</v>
      </c>
      <c r="E10" s="1893">
        <f ca="1">IF(F10&lt;B2,"已过期",2004110096)</f>
        <v>2004110096</v>
      </c>
      <c r="F10" s="1902">
        <v>47118</v>
      </c>
    </row>
    <row r="11" spans="1:6" ht="24" customHeight="1">
      <c r="A11" s="3201" t="s">
        <v>1988</v>
      </c>
      <c r="B11" s="1893">
        <f ca="1">IF(C11&lt;B2,"已过期",1120100036)</f>
        <v>1120100036</v>
      </c>
      <c r="C11" s="3202">
        <v>43622</v>
      </c>
      <c r="D11" s="3201" t="s">
        <v>1988</v>
      </c>
      <c r="E11" s="1893">
        <f ca="1">IF(F11&lt;B2,"已过期",2010110070)</f>
        <v>2010110070</v>
      </c>
      <c r="F11" s="1902">
        <v>47907</v>
      </c>
    </row>
    <row r="12" spans="1:6" ht="24" customHeight="1">
      <c r="A12" s="3201"/>
      <c r="B12" s="1893"/>
      <c r="C12" s="3202"/>
      <c r="D12" s="3201"/>
      <c r="E12" s="1893"/>
      <c r="F12" s="1893"/>
    </row>
    <row r="13" spans="1:6" ht="24" customHeight="1">
      <c r="A13" s="3201" t="s">
        <v>1989</v>
      </c>
      <c r="B13" s="1893">
        <f ca="1">IF(C13&lt;B2,"已过期",1120070131)</f>
        <v>1120070131</v>
      </c>
      <c r="C13" s="3202">
        <v>43814</v>
      </c>
      <c r="D13" s="3201" t="s">
        <v>1989</v>
      </c>
      <c r="E13" s="1893">
        <v>2014110011</v>
      </c>
      <c r="F13" s="1902">
        <v>49302</v>
      </c>
    </row>
    <row r="14" spans="1:6" ht="24" customHeight="1">
      <c r="A14" s="3201" t="s">
        <v>1990</v>
      </c>
      <c r="B14" s="1893">
        <f ca="1">IF(C14&lt;B2,"已过期",1120130020)</f>
        <v>1120130020</v>
      </c>
      <c r="C14" s="3202">
        <v>43622</v>
      </c>
      <c r="D14" s="3201"/>
      <c r="E14" s="1893"/>
      <c r="F14" s="1893"/>
    </row>
    <row r="15" spans="1:6" ht="24" customHeight="1">
      <c r="A15" s="3203" t="s">
        <v>2709</v>
      </c>
      <c r="B15" s="1893">
        <v>1120070085</v>
      </c>
      <c r="C15" s="3202">
        <v>43814</v>
      </c>
      <c r="D15" s="3203" t="s">
        <v>2709</v>
      </c>
      <c r="E15" s="1893">
        <v>2004110128</v>
      </c>
      <c r="F15" s="1894">
        <v>47118</v>
      </c>
    </row>
    <row r="16" spans="1:6" ht="24" customHeight="1">
      <c r="A16" s="3201" t="s">
        <v>1991</v>
      </c>
      <c r="B16" s="1893">
        <f ca="1">IF(C16&lt;B2,"已过期",1120140022)</f>
        <v>1120140022</v>
      </c>
      <c r="C16" s="3202">
        <v>42987</v>
      </c>
      <c r="D16" s="3201" t="s">
        <v>1991</v>
      </c>
      <c r="E16" s="1893">
        <f ca="1">IF(F16&lt;B2,"已过期",2008110059)</f>
        <v>2008110059</v>
      </c>
      <c r="F16" s="1902">
        <v>47177</v>
      </c>
    </row>
    <row r="17" spans="1:7" ht="24" customHeight="1">
      <c r="A17" s="3201" t="s">
        <v>1992</v>
      </c>
      <c r="B17" s="1893">
        <f ca="1">IF(C17&lt;B2,"已过期",1120140020)</f>
        <v>1120140020</v>
      </c>
      <c r="C17" s="3202">
        <v>42987</v>
      </c>
      <c r="D17" s="3201"/>
      <c r="E17" s="1893"/>
      <c r="F17" s="1902"/>
    </row>
    <row r="18" spans="1:7" ht="24" customHeight="1">
      <c r="A18" s="3201" t="s">
        <v>1993</v>
      </c>
      <c r="B18" s="1893">
        <f ca="1">IF(C18&lt;B2,"已过期",1120140024)</f>
        <v>1120140024</v>
      </c>
      <c r="C18" s="3202">
        <v>42987</v>
      </c>
      <c r="D18" s="3201" t="s">
        <v>1993</v>
      </c>
      <c r="E18" s="1893">
        <f ca="1">IF(F18&lt;B2,"已过期",2011110048)</f>
        <v>2011110048</v>
      </c>
      <c r="F18" s="1902">
        <v>48302</v>
      </c>
    </row>
    <row r="19" spans="1:7" ht="24" customHeight="1">
      <c r="A19" s="3201" t="s">
        <v>1994</v>
      </c>
      <c r="B19" s="1893">
        <f ca="1">IF(C19&lt;B2,"已过期",1120140019)</f>
        <v>1120140019</v>
      </c>
      <c r="C19" s="3202">
        <v>42987</v>
      </c>
      <c r="D19" s="3201"/>
      <c r="E19" s="1893"/>
      <c r="F19" s="1893"/>
    </row>
    <row r="20" spans="1:7" ht="24" customHeight="1">
      <c r="A20" s="3201" t="s">
        <v>1995</v>
      </c>
      <c r="B20" s="1893">
        <f ca="1">IF(C20&lt;B2,"已过期",1120140023)</f>
        <v>1120140023</v>
      </c>
      <c r="C20" s="3202">
        <v>42987</v>
      </c>
      <c r="D20" s="3201"/>
      <c r="E20" s="1893"/>
      <c r="F20" s="1893"/>
    </row>
    <row r="21" spans="1:7" ht="24" customHeight="1">
      <c r="A21" s="3201"/>
      <c r="B21" s="1893"/>
      <c r="C21" s="3202"/>
      <c r="D21" s="3201" t="s">
        <v>1996</v>
      </c>
      <c r="E21" s="1893">
        <f ca="1">IF(F21&lt;B2,"已过期",2011110090)</f>
        <v>2011110090</v>
      </c>
      <c r="F21" s="1902">
        <v>48302</v>
      </c>
    </row>
    <row r="22" spans="1:7" ht="24" customHeight="1">
      <c r="A22" s="3201" t="s">
        <v>1997</v>
      </c>
      <c r="B22" s="1893">
        <f ca="1">IF(C22&lt;B2,"已过期",1120020033)</f>
        <v>1120020033</v>
      </c>
      <c r="C22" s="3202">
        <v>43304</v>
      </c>
      <c r="D22" s="3201" t="s">
        <v>1997</v>
      </c>
      <c r="E22" s="1893">
        <f ca="1">IF(F22&lt;B2,"已过期",2000110137)</f>
        <v>2000110137</v>
      </c>
      <c r="F22" s="1902">
        <v>46387</v>
      </c>
    </row>
    <row r="23" spans="1:7" ht="24" customHeight="1">
      <c r="A23" s="3201" t="s">
        <v>1998</v>
      </c>
      <c r="B23" s="1893">
        <f ca="1">IF(C23&lt;B2,"已过期",1120130048)</f>
        <v>1120130048</v>
      </c>
      <c r="C23" s="3202">
        <v>43686</v>
      </c>
      <c r="D23" s="3201"/>
      <c r="E23" s="1893"/>
      <c r="F23" s="1893"/>
    </row>
    <row r="24" spans="1:7" s="1895" customFormat="1" ht="24" customHeight="1">
      <c r="A24" s="3203" t="s">
        <v>2943</v>
      </c>
      <c r="B24" s="3203" t="s">
        <v>2943</v>
      </c>
      <c r="C24" s="3203" t="s">
        <v>2943</v>
      </c>
      <c r="D24" s="3203" t="s">
        <v>2943</v>
      </c>
      <c r="E24" s="3203" t="s">
        <v>2943</v>
      </c>
      <c r="F24" s="3203" t="s">
        <v>2943</v>
      </c>
    </row>
    <row r="25" spans="1:7" ht="24" customHeight="1">
      <c r="A25" s="3478" t="s">
        <v>1999</v>
      </c>
      <c r="B25" s="3478"/>
      <c r="C25" s="3478"/>
      <c r="D25" s="3478"/>
      <c r="E25" s="3478"/>
      <c r="F25" s="3478"/>
      <c r="G25" s="3478"/>
    </row>
    <row r="26" spans="1:7" s="1897" customFormat="1" ht="24" customHeight="1">
      <c r="A26" s="3479" t="s">
        <v>2000</v>
      </c>
      <c r="B26" s="3479"/>
      <c r="C26" s="3479"/>
      <c r="D26" s="1896"/>
      <c r="E26" s="3479" t="s">
        <v>2001</v>
      </c>
      <c r="F26" s="3479"/>
      <c r="G26" s="3479"/>
    </row>
    <row r="27" spans="1:7" s="1899" customFormat="1" ht="24" customHeight="1">
      <c r="A27" s="1898" t="s">
        <v>2002</v>
      </c>
      <c r="B27" s="1891" t="s">
        <v>2003</v>
      </c>
      <c r="C27" s="1891" t="s">
        <v>2004</v>
      </c>
      <c r="D27" s="1891"/>
      <c r="E27" s="1893" t="s">
        <v>2002</v>
      </c>
      <c r="F27" s="1891" t="s">
        <v>2003</v>
      </c>
      <c r="G27" s="1891" t="s">
        <v>2004</v>
      </c>
    </row>
    <row r="28" spans="1:7" s="1899" customFormat="1" ht="24" customHeight="1">
      <c r="A28" s="1900" t="s">
        <v>2005</v>
      </c>
      <c r="B28" s="1901" t="s">
        <v>2006</v>
      </c>
      <c r="C28" s="1902">
        <v>43725</v>
      </c>
      <c r="D28" s="1902"/>
      <c r="E28" s="1900" t="s">
        <v>2007</v>
      </c>
      <c r="F28" s="1900" t="s">
        <v>2008</v>
      </c>
      <c r="G28" s="2109">
        <v>44377</v>
      </c>
    </row>
    <row r="29" spans="1:7" s="1899" customFormat="1" ht="24" customHeight="1">
      <c r="A29" s="1900"/>
      <c r="B29" s="1900"/>
      <c r="C29" s="1903"/>
      <c r="D29" s="1903"/>
      <c r="E29" s="1900" t="s">
        <v>2009</v>
      </c>
      <c r="F29" s="2435" t="s">
        <v>3049</v>
      </c>
      <c r="G29" s="2436">
        <v>43281</v>
      </c>
    </row>
    <row r="30" spans="1:7" ht="24" customHeight="1">
      <c r="C30" s="1904"/>
      <c r="D30" s="1904"/>
    </row>
  </sheetData>
  <sheetProtection password="C66D" sheet="1" objects="1" scenarios="1"/>
  <mergeCells count="3">
    <mergeCell ref="A25:G25"/>
    <mergeCell ref="A26:C26"/>
    <mergeCell ref="E26:G26"/>
  </mergeCells>
  <phoneticPr fontId="116" type="noConversion"/>
  <conditionalFormatting sqref="C28:D28">
    <cfRule type="expression" dxfId="228" priority="55">
      <formula>AND($C28-TODAY()&lt;30,TODAY()&lt;$C28)</formula>
    </cfRule>
  </conditionalFormatting>
  <conditionalFormatting sqref="C28:D28 F4">
    <cfRule type="cellIs" dxfId="227" priority="57" stopIfTrue="1" operator="lessThan">
      <formula>$B$2</formula>
    </cfRule>
  </conditionalFormatting>
  <conditionalFormatting sqref="C5">
    <cfRule type="expression" dxfId="226" priority="52">
      <formula>AND($C5-TODAY()&lt;30,TODAY()&lt;$C5)</formula>
    </cfRule>
  </conditionalFormatting>
  <conditionalFormatting sqref="C5 F5">
    <cfRule type="cellIs" dxfId="225" priority="53" stopIfTrue="1" operator="lessThan">
      <formula>$B$2</formula>
    </cfRule>
  </conditionalFormatting>
  <conditionalFormatting sqref="F6 F8 F10">
    <cfRule type="cellIs" dxfId="224" priority="51" stopIfTrue="1" operator="lessThan">
      <formula>$B$2</formula>
    </cfRule>
  </conditionalFormatting>
  <conditionalFormatting sqref="C4:C23">
    <cfRule type="expression" dxfId="223" priority="49">
      <formula>AND($C4-TODAY()&lt;30,TODAY()&lt;$C4)</formula>
    </cfRule>
  </conditionalFormatting>
  <conditionalFormatting sqref="F7 F9 F11 C4:C23">
    <cfRule type="cellIs" dxfId="222" priority="50" stopIfTrue="1" operator="lessThan">
      <formula>$B$2</formula>
    </cfRule>
  </conditionalFormatting>
  <conditionalFormatting sqref="C12">
    <cfRule type="expression" dxfId="221" priority="47">
      <formula>AND($C12-TODAY()&lt;30,TODAY()&lt;$C12)</formula>
    </cfRule>
  </conditionalFormatting>
  <conditionalFormatting sqref="C12">
    <cfRule type="cellIs" dxfId="220" priority="48" stopIfTrue="1" operator="lessThan">
      <formula>$B$2</formula>
    </cfRule>
  </conditionalFormatting>
  <conditionalFormatting sqref="C14">
    <cfRule type="expression" dxfId="219" priority="43">
      <formula>AND($C14-TODAY()&lt;30,TODAY()&lt;$C14)</formula>
    </cfRule>
  </conditionalFormatting>
  <conditionalFormatting sqref="C14">
    <cfRule type="cellIs" dxfId="218" priority="44" stopIfTrue="1" operator="lessThan">
      <formula>$B$2</formula>
    </cfRule>
  </conditionalFormatting>
  <conditionalFormatting sqref="C16">
    <cfRule type="expression" dxfId="217" priority="41">
      <formula>AND($C16-TODAY()&lt;30,TODAY()&lt;$C16)</formula>
    </cfRule>
  </conditionalFormatting>
  <conditionalFormatting sqref="C16">
    <cfRule type="cellIs" dxfId="216" priority="42" stopIfTrue="1" operator="lessThan">
      <formula>$B$2</formula>
    </cfRule>
  </conditionalFormatting>
  <conditionalFormatting sqref="C18">
    <cfRule type="expression" dxfId="215" priority="39">
      <formula>AND($C18-TODAY()&lt;30,TODAY()&lt;$C18)</formula>
    </cfRule>
  </conditionalFormatting>
  <conditionalFormatting sqref="C18">
    <cfRule type="cellIs" dxfId="214" priority="40" stopIfTrue="1" operator="lessThan">
      <formula>$B$2</formula>
    </cfRule>
  </conditionalFormatting>
  <conditionalFormatting sqref="C20">
    <cfRule type="expression" dxfId="213" priority="37">
      <formula>AND($C20-TODAY()&lt;30,TODAY()&lt;$C20)</formula>
    </cfRule>
  </conditionalFormatting>
  <conditionalFormatting sqref="C20">
    <cfRule type="cellIs" dxfId="212" priority="38" stopIfTrue="1" operator="lessThan">
      <formula>$B$2</formula>
    </cfRule>
  </conditionalFormatting>
  <conditionalFormatting sqref="C22">
    <cfRule type="expression" dxfId="211" priority="35">
      <formula>AND($C22-TODAY()&lt;30,TODAY()&lt;$C22)</formula>
    </cfRule>
  </conditionalFormatting>
  <conditionalFormatting sqref="C22">
    <cfRule type="cellIs" dxfId="210" priority="36" stopIfTrue="1" operator="lessThan">
      <formula>$B$2</formula>
    </cfRule>
  </conditionalFormatting>
  <conditionalFormatting sqref="C15">
    <cfRule type="expression" dxfId="209" priority="33">
      <formula>AND($C15-TODAY()&lt;30,TODAY()&lt;$C15)</formula>
    </cfRule>
  </conditionalFormatting>
  <conditionalFormatting sqref="C15">
    <cfRule type="cellIs" dxfId="208" priority="34" stopIfTrue="1" operator="lessThan">
      <formula>$B$2</formula>
    </cfRule>
  </conditionalFormatting>
  <conditionalFormatting sqref="C17">
    <cfRule type="expression" dxfId="207" priority="31">
      <formula>AND($C17-TODAY()&lt;30,TODAY()&lt;$C17)</formula>
    </cfRule>
  </conditionalFormatting>
  <conditionalFormatting sqref="C17">
    <cfRule type="cellIs" dxfId="206" priority="32" stopIfTrue="1" operator="lessThan">
      <formula>$B$2</formula>
    </cfRule>
  </conditionalFormatting>
  <conditionalFormatting sqref="C19">
    <cfRule type="expression" dxfId="205" priority="29">
      <formula>AND($C19-TODAY()&lt;30,TODAY()&lt;$C19)</formula>
    </cfRule>
  </conditionalFormatting>
  <conditionalFormatting sqref="C19">
    <cfRule type="cellIs" dxfId="204" priority="30" stopIfTrue="1" operator="lessThan">
      <formula>$B$2</formula>
    </cfRule>
  </conditionalFormatting>
  <conditionalFormatting sqref="C21">
    <cfRule type="expression" dxfId="203" priority="27">
      <formula>AND($C21-TODAY()&lt;30,TODAY()&lt;$C21)</formula>
    </cfRule>
  </conditionalFormatting>
  <conditionalFormatting sqref="C21">
    <cfRule type="cellIs" dxfId="202" priority="28" stopIfTrue="1" operator="lessThan">
      <formula>$B$2</formula>
    </cfRule>
  </conditionalFormatting>
  <conditionalFormatting sqref="C23">
    <cfRule type="expression" dxfId="201" priority="25">
      <formula>AND($C23-TODAY()&lt;30,TODAY()&lt;$C23)</formula>
    </cfRule>
  </conditionalFormatting>
  <conditionalFormatting sqref="C23">
    <cfRule type="cellIs" dxfId="200" priority="26" stopIfTrue="1" operator="lessThan">
      <formula>$B$2</formula>
    </cfRule>
  </conditionalFormatting>
  <conditionalFormatting sqref="F16">
    <cfRule type="cellIs" dxfId="199" priority="23" stopIfTrue="1" operator="lessThan">
      <formula>$B$2</formula>
    </cfRule>
  </conditionalFormatting>
  <conditionalFormatting sqref="F18">
    <cfRule type="cellIs" dxfId="198" priority="22" stopIfTrue="1" operator="lessThan">
      <formula>$B$2</formula>
    </cfRule>
  </conditionalFormatting>
  <conditionalFormatting sqref="F22">
    <cfRule type="cellIs" dxfId="197" priority="21" stopIfTrue="1" operator="lessThan">
      <formula>$B$2</formula>
    </cfRule>
  </conditionalFormatting>
  <conditionalFormatting sqref="F21">
    <cfRule type="cellIs" dxfId="196" priority="20" stopIfTrue="1" operator="lessThan">
      <formula>$B$2</formula>
    </cfRule>
  </conditionalFormatting>
  <conditionalFormatting sqref="F17">
    <cfRule type="cellIs" dxfId="195" priority="19" stopIfTrue="1" operator="lessThan">
      <formula>$B$2</formula>
    </cfRule>
  </conditionalFormatting>
  <conditionalFormatting sqref="B4:B14 E4:E14 B16:B23 E16:E23">
    <cfRule type="cellIs" dxfId="194" priority="18" stopIfTrue="1" operator="equal">
      <formula>"已过期"</formula>
    </cfRule>
  </conditionalFormatting>
  <conditionalFormatting sqref="A24:F24">
    <cfRule type="cellIs" dxfId="193" priority="14" stopIfTrue="1" operator="equal">
      <formula>"已过期"</formula>
    </cfRule>
  </conditionalFormatting>
  <conditionalFormatting sqref="G28">
    <cfRule type="expression" dxfId="192" priority="12">
      <formula>AND($F28-TODAY()&lt;30,TODAY()&lt;$F28)</formula>
    </cfRule>
  </conditionalFormatting>
  <conditionalFormatting sqref="G28">
    <cfRule type="cellIs" dxfId="191" priority="13" stopIfTrue="1" operator="lessThan">
      <formula>$B$2</formula>
    </cfRule>
  </conditionalFormatting>
  <conditionalFormatting sqref="G29">
    <cfRule type="expression" dxfId="190" priority="8" stopIfTrue="1">
      <formula>AND($F29-TODAY()&lt;30,TODAY()&lt;$F29)</formula>
    </cfRule>
  </conditionalFormatting>
  <conditionalFormatting sqref="G29">
    <cfRule type="cellIs" dxfId="189" priority="9" stopIfTrue="1" operator="lessThan">
      <formula>$B$2</formula>
    </cfRule>
  </conditionalFormatting>
  <conditionalFormatting sqref="B15">
    <cfRule type="cellIs" dxfId="188" priority="6" stopIfTrue="1" operator="equal">
      <formula>"已过期"</formula>
    </cfRule>
  </conditionalFormatting>
  <conditionalFormatting sqref="A15">
    <cfRule type="cellIs" dxfId="187" priority="5" stopIfTrue="1" operator="equal">
      <formula>"已过期"</formula>
    </cfRule>
  </conditionalFormatting>
  <conditionalFormatting sqref="C15">
    <cfRule type="expression" dxfId="186" priority="4">
      <formula>AND($C15-TODAY()&lt;30,TODAY()&lt;$C15)</formula>
    </cfRule>
  </conditionalFormatting>
  <conditionalFormatting sqref="E15">
    <cfRule type="cellIs" dxfId="185" priority="3" stopIfTrue="1" operator="equal">
      <formula>"已过期"</formula>
    </cfRule>
  </conditionalFormatting>
  <conditionalFormatting sqref="D15">
    <cfRule type="cellIs" dxfId="184" priority="2" stopIfTrue="1" operator="equal">
      <formula>"已过期"</formula>
    </cfRule>
  </conditionalFormatting>
  <conditionalFormatting sqref="F13">
    <cfRule type="cellIs" dxfId="183"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134</vt:i4>
      </vt:variant>
    </vt:vector>
  </HeadingPairs>
  <TitlesOfParts>
    <vt:vector size="18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比较法-住宅</vt:lpstr>
      <vt:lpstr>收益法-住宅</vt:lpstr>
      <vt:lpstr>收益法（汇总）</vt:lpstr>
      <vt:lpstr>酒店收入计算</vt:lpstr>
      <vt:lpstr>比较法-商业</vt:lpstr>
      <vt:lpstr>比较法-办公</vt:lpstr>
      <vt:lpstr>比较法-工业</vt:lpstr>
      <vt:lpstr>典型户型修正</vt:lpstr>
      <vt:lpstr>典型户型修正-住宅</vt:lpstr>
      <vt:lpstr>结果表-车位</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收益法-车位1</vt:lpstr>
      <vt:lpstr>收益法-车位</vt:lpstr>
      <vt:lpstr>典型户型修正-车位</vt:lpstr>
      <vt:lpstr>分摊土地面积</vt:lpstr>
      <vt:lpstr>面积及价值汇总</vt:lpstr>
      <vt:lpstr>Sheet1</vt:lpstr>
      <vt:lpstr>收益法!Print_Area</vt:lpstr>
      <vt:lpstr>'收益法-车位1'!Print_Area</vt:lpstr>
      <vt:lpstr>'收益法-住宅'!Print_Area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2017-08-30T09:28:10Z</dcterms:modified>
</cp:coreProperties>
</file>