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F:\2024-1-0515亚林溪苑咨询函\"/>
    </mc:Choice>
  </mc:AlternateContent>
  <xr:revisionPtr revIDLastSave="0" documentId="13_ncr:1_{DB31D2F9-49A8-44C2-A333-E7FB359414FD}" xr6:coauthVersionLast="47" xr6:coauthVersionMax="47" xr10:uidLastSave="{00000000-0000-0000-0000-000000000000}"/>
  <bookViews>
    <workbookView xWindow="0" yWindow="0" windowWidth="10800" windowHeight="12900" tabRatio="747" activeTab="1" xr2:uid="{00000000-000D-0000-FFFF-FFFF00000000}"/>
  </bookViews>
  <sheets>
    <sheet name="系统读取表" sheetId="11" r:id="rId1"/>
    <sheet name="测算表" sheetId="6" r:id="rId2"/>
    <sheet name="案例" sheetId="33" r:id="rId3"/>
    <sheet name="驹子房成本分析 " sheetId="16" state="hidden" r:id="rId4"/>
    <sheet name="东湾家园成本分析 " sheetId="17" state="hidden" r:id="rId5"/>
    <sheet name="首开畅颐园成本分析 " sheetId="18" state="hidden" r:id="rId6"/>
    <sheet name="恒大江湾成本分析  " sheetId="19" state="hidden" r:id="rId7"/>
    <sheet name="首城东郡汇成本分析" sheetId="20" state="hidden" r:id="rId8"/>
    <sheet name="福润四季成本分析" sheetId="21" state="hidden" r:id="rId9"/>
    <sheet name="悦和园成本分析 " sheetId="22" state="hidden" r:id="rId10"/>
    <sheet name="景和园成本分析 " sheetId="23" state="hidden" r:id="rId11"/>
    <sheet name="朝新嘉园成本分析" sheetId="24" state="hidden" r:id="rId12"/>
    <sheet name="成本分析" sheetId="14" state="hidden" r:id="rId13"/>
  </sheets>
  <externalReferences>
    <externalReference r:id="rId14"/>
  </externalReferences>
  <definedNames>
    <definedName name="备注">#REF!</definedName>
    <definedName name="产权证登记日期">#REF!</definedName>
    <definedName name="产权证号">#REF!</definedName>
    <definedName name="成本分析" localSheetId="11">#REF!</definedName>
    <definedName name="成本分析" localSheetId="8">#REF!</definedName>
    <definedName name="成本分析" localSheetId="6">#REF!</definedName>
    <definedName name="成本分析" localSheetId="10">#REF!</definedName>
    <definedName name="成本分析" localSheetId="7">#REF!</definedName>
    <definedName name="成本分析" localSheetId="5">#REF!</definedName>
    <definedName name="成本分析" localSheetId="9">#REF!</definedName>
    <definedName name="成本分析">#REF!</definedName>
    <definedName name="成本分析1" localSheetId="11">#REF!</definedName>
    <definedName name="成本分析1" localSheetId="8">#REF!</definedName>
    <definedName name="成本分析1" localSheetId="6">#REF!</definedName>
    <definedName name="成本分析1" localSheetId="10">#REF!</definedName>
    <definedName name="成本分析1" localSheetId="7">#REF!</definedName>
    <definedName name="成本分析1" localSheetId="5">#REF!</definedName>
    <definedName name="成本分析1" localSheetId="9">#REF!</definedName>
    <definedName name="成本分析1">#REF!</definedName>
    <definedName name="厨">#REF!</definedName>
    <definedName name="单元" localSheetId="11">#REF!</definedName>
    <definedName name="单元" localSheetId="4">#REF!</definedName>
    <definedName name="单元" localSheetId="8">#REF!</definedName>
    <definedName name="单元" localSheetId="6">#REF!</definedName>
    <definedName name="单元" localSheetId="10">#REF!</definedName>
    <definedName name="单元" localSheetId="3">#REF!</definedName>
    <definedName name="单元" localSheetId="7">#REF!</definedName>
    <definedName name="单元" localSheetId="5">#REF!</definedName>
    <definedName name="单元" localSheetId="9">#REF!</definedName>
    <definedName name="单元">#REF!</definedName>
    <definedName name="调配对象">#REF!</definedName>
    <definedName name="调配依据">#REF!</definedName>
    <definedName name="房号" localSheetId="11">#REF!</definedName>
    <definedName name="房号" localSheetId="4">#REF!</definedName>
    <definedName name="房号" localSheetId="8">#REF!</definedName>
    <definedName name="房号" localSheetId="6">#REF!</definedName>
    <definedName name="房号" localSheetId="10">#REF!</definedName>
    <definedName name="房号" localSheetId="3">#REF!</definedName>
    <definedName name="房号" localSheetId="7">#REF!</definedName>
    <definedName name="房号" localSheetId="5">#REF!</definedName>
    <definedName name="房号" localSheetId="9">#REF!</definedName>
    <definedName name="房号">#REF!</definedName>
    <definedName name="房间" localSheetId="11">#REF!</definedName>
    <definedName name="房间" localSheetId="4">#REF!</definedName>
    <definedName name="房间" localSheetId="8">#REF!</definedName>
    <definedName name="房间" localSheetId="6">#REF!</definedName>
    <definedName name="房间" localSheetId="10">#REF!</definedName>
    <definedName name="房间" localSheetId="3">#REF!</definedName>
    <definedName name="房间" localSheetId="7">#REF!</definedName>
    <definedName name="房间" localSheetId="5">#REF!</definedName>
    <definedName name="房间" localSheetId="9">#REF!</definedName>
    <definedName name="房间">#REF!</definedName>
    <definedName name="房间号" localSheetId="11">#REF!</definedName>
    <definedName name="房间号" localSheetId="4">#REF!</definedName>
    <definedName name="房间号" localSheetId="8">#REF!</definedName>
    <definedName name="房间号" localSheetId="6">#REF!</definedName>
    <definedName name="房间号" localSheetId="10">#REF!</definedName>
    <definedName name="房间号" localSheetId="3">#REF!</definedName>
    <definedName name="房间号" localSheetId="7">#REF!</definedName>
    <definedName name="房间号" localSheetId="5">#REF!</definedName>
    <definedName name="房间号" localSheetId="9">#REF!</definedName>
    <definedName name="房间号">#REF!</definedName>
    <definedName name="房屋产权性质">[1]楼层测算!$N$2:$N$9</definedName>
    <definedName name="房屋朝向">[1]楼层测算!$A$117:$A$126</definedName>
    <definedName name="房屋交付日期">#REF!</definedName>
    <definedName name="房屋情况">#REF!</definedName>
    <definedName name="房屋使用情况">#REF!</definedName>
    <definedName name="房屋性质">#REF!</definedName>
    <definedName name="房屋装修">[1]楼层测算!$K$2:$K$5</definedName>
    <definedName name="房屋坐落">#REF!</definedName>
    <definedName name="管理单位">#REF!</definedName>
    <definedName name="户型结构">#REF!</definedName>
    <definedName name="建筑面积">#REF!</definedName>
    <definedName name="教委" localSheetId="11">#REF!</definedName>
    <definedName name="教委" localSheetId="4">#REF!</definedName>
    <definedName name="教委" localSheetId="8">#REF!</definedName>
    <definedName name="教委" localSheetId="6">#REF!</definedName>
    <definedName name="教委" localSheetId="10">#REF!</definedName>
    <definedName name="教委" localSheetId="3">#REF!</definedName>
    <definedName name="教委" localSheetId="7">#REF!</definedName>
    <definedName name="教委" localSheetId="5">#REF!</definedName>
    <definedName name="教委" localSheetId="9">#REF!</definedName>
    <definedName name="教委">#REF!</definedName>
    <definedName name="居室">#REF!</definedName>
    <definedName name="扣缴日期" localSheetId="11">#REF!</definedName>
    <definedName name="扣缴日期" localSheetId="4">#REF!</definedName>
    <definedName name="扣缴日期" localSheetId="8">#REF!</definedName>
    <definedName name="扣缴日期" localSheetId="6">#REF!</definedName>
    <definedName name="扣缴日期" localSheetId="10">#REF!</definedName>
    <definedName name="扣缴日期" localSheetId="3">#REF!</definedName>
    <definedName name="扣缴日期" localSheetId="7">#REF!</definedName>
    <definedName name="扣缴日期" localSheetId="5">#REF!</definedName>
    <definedName name="扣缴日期" localSheetId="9">#REF!</definedName>
    <definedName name="扣缴日期">#REF!</definedName>
    <definedName name="楼栋" localSheetId="11">#REF!</definedName>
    <definedName name="楼栋" localSheetId="4">#REF!</definedName>
    <definedName name="楼栋" localSheetId="8">#REF!</definedName>
    <definedName name="楼栋" localSheetId="6">#REF!</definedName>
    <definedName name="楼栋" localSheetId="10">#REF!</definedName>
    <definedName name="楼栋" localSheetId="3">#REF!</definedName>
    <definedName name="楼栋" localSheetId="7">#REF!</definedName>
    <definedName name="楼栋" localSheetId="5">#REF!</definedName>
    <definedName name="楼栋" localSheetId="9">#REF!</definedName>
    <definedName name="楼栋">#REF!</definedName>
    <definedName name="楼号" localSheetId="11">#REF!</definedName>
    <definedName name="楼号" localSheetId="4">#REF!</definedName>
    <definedName name="楼号" localSheetId="8">#REF!</definedName>
    <definedName name="楼号" localSheetId="6">#REF!</definedName>
    <definedName name="楼号" localSheetId="10">#REF!</definedName>
    <definedName name="楼号" localSheetId="3">#REF!</definedName>
    <definedName name="楼号" localSheetId="7">#REF!</definedName>
    <definedName name="楼号" localSheetId="5">#REF!</definedName>
    <definedName name="楼号" localSheetId="9">#REF!</definedName>
    <definedName name="楼号">#REF!</definedName>
    <definedName name="区域成熟度" localSheetId="11">#REF!</definedName>
    <definedName name="区域成熟度" localSheetId="4">#REF!</definedName>
    <definedName name="区域成熟度" localSheetId="8">#REF!</definedName>
    <definedName name="区域成熟度" localSheetId="6">#REF!</definedName>
    <definedName name="区域成熟度" localSheetId="10">#REF!</definedName>
    <definedName name="区域成熟度" localSheetId="3">#REF!</definedName>
    <definedName name="区域成熟度" localSheetId="7">#REF!</definedName>
    <definedName name="区域成熟度" localSheetId="5">#REF!</definedName>
    <definedName name="区域成熟度" localSheetId="9">#REF!</definedName>
    <definedName name="区域成熟度">#REF!</definedName>
    <definedName name="取得方式">#REF!</definedName>
    <definedName name="取得依据">#REF!</definedName>
    <definedName name="权利人">#REF!</definedName>
    <definedName name="身份证号码" localSheetId="11">#REF!</definedName>
    <definedName name="身份证号码" localSheetId="4">#REF!</definedName>
    <definedName name="身份证号码" localSheetId="8">#REF!</definedName>
    <definedName name="身份证号码" localSheetId="6">#REF!</definedName>
    <definedName name="身份证号码" localSheetId="10">#REF!</definedName>
    <definedName name="身份证号码" localSheetId="3">#REF!</definedName>
    <definedName name="身份证号码" localSheetId="7">#REF!</definedName>
    <definedName name="身份证号码" localSheetId="5">#REF!</definedName>
    <definedName name="身份证号码" localSheetId="9">#REF!</definedName>
    <definedName name="身份证号码">#REF!</definedName>
    <definedName name="收购_回购价格">#REF!</definedName>
    <definedName name="所在楼层">[1]楼层测算!$L$2:$L$6</definedName>
    <definedName name="所在区">#REF!</definedName>
    <definedName name="厅">#REF!</definedName>
    <definedName name="卫">#REF!</definedName>
    <definedName name="项目名称">#REF!</definedName>
    <definedName name="序号">#REF!</definedName>
    <definedName name="租户名称" localSheetId="11">#REF!</definedName>
    <definedName name="租户名称" localSheetId="4">#REF!</definedName>
    <definedName name="租户名称" localSheetId="8">#REF!</definedName>
    <definedName name="租户名称" localSheetId="6">#REF!</definedName>
    <definedName name="租户名称" localSheetId="10">#REF!</definedName>
    <definedName name="租户名称" localSheetId="3">#REF!</definedName>
    <definedName name="租户名称" localSheetId="7">#REF!</definedName>
    <definedName name="租户名称" localSheetId="5">#REF!</definedName>
    <definedName name="租户名称" localSheetId="9">#REF!</definedName>
    <definedName name="租户名称">#REF!</definedName>
    <definedName name="租户银行账户" localSheetId="11">#REF!</definedName>
    <definedName name="租户银行账户" localSheetId="4">#REF!</definedName>
    <definedName name="租户银行账户" localSheetId="8">#REF!</definedName>
    <definedName name="租户银行账户" localSheetId="6">#REF!</definedName>
    <definedName name="租户银行账户" localSheetId="10">#REF!</definedName>
    <definedName name="租户银行账户" localSheetId="3">#REF!</definedName>
    <definedName name="租户银行账户" localSheetId="7">#REF!</definedName>
    <definedName name="租户银行账户" localSheetId="5">#REF!</definedName>
    <definedName name="租户银行账户" localSheetId="9">#REF!</definedName>
    <definedName name="租户银行账户">#REF!</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H7" i="6" l="1"/>
  <c r="J7" i="6"/>
  <c r="I14" i="6"/>
  <c r="G14" i="6"/>
  <c r="E14" i="6"/>
  <c r="I19" i="6"/>
  <c r="G19" i="6"/>
  <c r="E19" i="6"/>
  <c r="G24" i="6"/>
  <c r="I24" i="6"/>
  <c r="E25" i="6"/>
  <c r="I5" i="6"/>
  <c r="G5" i="6"/>
  <c r="E5" i="6"/>
  <c r="I6" i="6"/>
  <c r="G6" i="6"/>
  <c r="E6" i="6"/>
  <c r="I31" i="6" l="1"/>
  <c r="D38" i="6"/>
  <c r="E38" i="6" s="1"/>
  <c r="F38" i="6" s="1"/>
  <c r="G38" i="6" s="1"/>
  <c r="H38" i="6" s="1"/>
  <c r="I38" i="6" s="1"/>
  <c r="J38" i="6" s="1"/>
  <c r="K38" i="6" s="1"/>
  <c r="B38" i="6"/>
  <c r="E24" i="6" l="1"/>
  <c r="E4" i="24" l="1"/>
  <c r="E8" i="24" s="1"/>
  <c r="E2" i="24"/>
  <c r="E9" i="24" s="1"/>
  <c r="F9" i="24"/>
  <c r="F4" i="24"/>
  <c r="C4" i="24" s="1"/>
  <c r="E4" i="23"/>
  <c r="E8" i="23" s="1"/>
  <c r="C8" i="23" s="1"/>
  <c r="E2" i="23"/>
  <c r="F9" i="23"/>
  <c r="E9" i="23"/>
  <c r="E4" i="22"/>
  <c r="E8" i="22" s="1"/>
  <c r="C8" i="22" s="1"/>
  <c r="F9" i="22"/>
  <c r="C6" i="21"/>
  <c r="E4" i="21"/>
  <c r="E8" i="21" s="1"/>
  <c r="F9" i="21"/>
  <c r="E4" i="20"/>
  <c r="E8" i="20" s="1"/>
  <c r="F9" i="20"/>
  <c r="F4" i="20"/>
  <c r="C4" i="20" s="1"/>
  <c r="E4" i="19"/>
  <c r="E8" i="19" s="1"/>
  <c r="E2" i="19"/>
  <c r="F9" i="19"/>
  <c r="F4" i="19"/>
  <c r="C4" i="19" s="1"/>
  <c r="E9" i="19"/>
  <c r="C6" i="18"/>
  <c r="E4" i="18"/>
  <c r="E8" i="18" s="1"/>
  <c r="C8" i="18" s="1"/>
  <c r="E2" i="18"/>
  <c r="E9" i="18" s="1"/>
  <c r="F9" i="18"/>
  <c r="C6" i="17"/>
  <c r="E4" i="17"/>
  <c r="E8" i="17" s="1"/>
  <c r="C8" i="17" s="1"/>
  <c r="E2" i="17"/>
  <c r="E9" i="17" s="1"/>
  <c r="F9" i="17"/>
  <c r="F4" i="17"/>
  <c r="C4" i="17" s="1"/>
  <c r="E2" i="16"/>
  <c r="G5" i="20"/>
  <c r="E5" i="20" s="1"/>
  <c r="C5" i="20" s="1"/>
  <c r="G5" i="24"/>
  <c r="E5" i="24" s="1"/>
  <c r="C5" i="24" s="1"/>
  <c r="G5" i="18"/>
  <c r="E5" i="18" s="1"/>
  <c r="G5" i="19"/>
  <c r="E5" i="19" s="1"/>
  <c r="C5" i="19" s="1"/>
  <c r="G5" i="21"/>
  <c r="G5" i="22"/>
  <c r="E5" i="22" s="1"/>
  <c r="C5" i="22" s="1"/>
  <c r="G5" i="23"/>
  <c r="E5" i="23" s="1"/>
  <c r="C5" i="23" s="1"/>
  <c r="E4" i="16"/>
  <c r="E8" i="16" s="1"/>
  <c r="C8" i="16" s="1"/>
  <c r="C6" i="24"/>
  <c r="C6" i="19"/>
  <c r="C6" i="20"/>
  <c r="C6" i="22"/>
  <c r="C6" i="23"/>
  <c r="C6" i="16"/>
  <c r="E2" i="22"/>
  <c r="E9" i="22" s="1"/>
  <c r="E2" i="21"/>
  <c r="E9" i="21" s="1"/>
  <c r="E2" i="20"/>
  <c r="E9" i="20" s="1"/>
  <c r="F9" i="16"/>
  <c r="E5" i="21" l="1"/>
  <c r="C5" i="21" s="1"/>
  <c r="F4" i="16"/>
  <c r="C4" i="16" s="1"/>
  <c r="F4" i="22"/>
  <c r="C4" i="22" s="1"/>
  <c r="F4" i="23"/>
  <c r="C4" i="23" s="1"/>
  <c r="C3" i="23" s="1"/>
  <c r="E5" i="17"/>
  <c r="C5" i="17" s="1"/>
  <c r="C3" i="17" s="1"/>
  <c r="F4" i="21"/>
  <c r="C4" i="21" s="1"/>
  <c r="E5" i="16"/>
  <c r="C5" i="16" s="1"/>
  <c r="C3" i="24"/>
  <c r="C8" i="24"/>
  <c r="C3" i="22"/>
  <c r="C8" i="21"/>
  <c r="C3" i="20"/>
  <c r="C8" i="20"/>
  <c r="C3" i="19"/>
  <c r="C8" i="19"/>
  <c r="F4" i="18"/>
  <c r="C4" i="18" s="1"/>
  <c r="C3" i="18" s="1"/>
  <c r="C5" i="18"/>
  <c r="E5" i="14"/>
  <c r="C3" i="21" l="1"/>
  <c r="E8" i="14"/>
  <c r="C8" i="14" s="1"/>
  <c r="F9" i="14"/>
  <c r="C5" i="14"/>
  <c r="F4" i="14"/>
  <c r="C4" i="14" s="1"/>
  <c r="F2" i="23"/>
  <c r="C2" i="23" s="1"/>
  <c r="C10" i="23" s="1"/>
  <c r="C7" i="23" s="1"/>
  <c r="C11" i="23" s="1"/>
  <c r="C12" i="23" s="1"/>
  <c r="F2" i="16"/>
  <c r="C6" i="14" l="1"/>
  <c r="C3" i="14" s="1"/>
  <c r="C3" i="16"/>
  <c r="F2" i="24" l="1"/>
  <c r="C2" i="24" s="1"/>
  <c r="F2" i="22"/>
  <c r="C2" i="22" s="1"/>
  <c r="C10" i="22" s="1"/>
  <c r="C7" i="22" s="1"/>
  <c r="C11" i="22" s="1"/>
  <c r="C12" i="22" s="1"/>
  <c r="F2" i="21"/>
  <c r="C2" i="21" s="1"/>
  <c r="F2" i="20"/>
  <c r="C2" i="20" s="1"/>
  <c r="C10" i="20" s="1"/>
  <c r="C7" i="20" s="1"/>
  <c r="C11" i="20" s="1"/>
  <c r="C12" i="20" s="1"/>
  <c r="F2" i="19"/>
  <c r="C2" i="19" s="1"/>
  <c r="C10" i="19" s="1"/>
  <c r="C7" i="19" s="1"/>
  <c r="C11" i="19" s="1"/>
  <c r="C12" i="19" s="1"/>
  <c r="F2" i="18"/>
  <c r="C2" i="18" s="1"/>
  <c r="F2" i="17"/>
  <c r="C2" i="17" s="1"/>
  <c r="C10" i="17" l="1"/>
  <c r="C7" i="17" s="1"/>
  <c r="C11" i="17" s="1"/>
  <c r="C12" i="17" s="1"/>
  <c r="C10" i="21"/>
  <c r="C7" i="21" s="1"/>
  <c r="C11" i="21"/>
  <c r="C12" i="21" s="1"/>
  <c r="C10" i="18"/>
  <c r="C7" i="18" s="1"/>
  <c r="C11" i="18" s="1"/>
  <c r="C12" i="18" s="1"/>
  <c r="C10" i="24"/>
  <c r="C7" i="24" s="1"/>
  <c r="C11" i="24" s="1"/>
  <c r="C12" i="24" s="1"/>
  <c r="H19" i="6"/>
  <c r="J19" i="6" l="1"/>
  <c r="C2" i="16"/>
  <c r="F2" i="14"/>
  <c r="C2" i="14" s="1"/>
  <c r="C10" i="14" s="1"/>
  <c r="C7" i="14" s="1"/>
  <c r="C11" i="14" s="1"/>
  <c r="C12" i="14" s="1"/>
  <c r="E2" i="14"/>
  <c r="E9" i="14" s="1"/>
  <c r="E9" i="16"/>
  <c r="C10" i="16" l="1"/>
  <c r="C7" i="16" s="1"/>
  <c r="C11" i="16" l="1"/>
  <c r="C12" i="16" s="1"/>
  <c r="F23" i="11" l="1"/>
  <c r="E23" i="11"/>
  <c r="F22" i="11"/>
  <c r="E22" i="11"/>
  <c r="F21" i="11"/>
  <c r="E21" i="11"/>
  <c r="F20" i="11"/>
  <c r="E20" i="11"/>
  <c r="F19" i="11"/>
  <c r="E19" i="11"/>
  <c r="F18" i="11"/>
  <c r="E18" i="11"/>
  <c r="F17" i="11"/>
  <c r="E17" i="11"/>
  <c r="F16" i="11"/>
  <c r="E16" i="11"/>
  <c r="F15" i="11"/>
  <c r="E15" i="11"/>
  <c r="D8" i="11"/>
  <c r="C8" i="11"/>
  <c r="D7" i="11"/>
  <c r="C7" i="11"/>
  <c r="D6" i="11"/>
  <c r="B2" i="11"/>
  <c r="E29" i="6" l="1"/>
  <c r="H16" i="6" l="1"/>
  <c r="J16" i="6" s="1"/>
  <c r="G25" i="6" l="1"/>
  <c r="G23" i="6"/>
  <c r="I23" i="6" s="1"/>
  <c r="I29" i="6" l="1"/>
  <c r="I25" i="6"/>
  <c r="C28" i="6" s="1"/>
  <c r="E14" i="11" s="1"/>
  <c r="G29" i="6"/>
  <c r="A26" i="6" l="1"/>
  <c r="A28" i="6"/>
  <c r="A29" i="6"/>
  <c r="G28" i="6"/>
  <c r="E28" i="6"/>
  <c r="I28" i="6" l="1"/>
  <c r="D14" i="11" l="1"/>
  <c r="F14" i="11" s="1"/>
  <c r="B6" i="11" l="1"/>
  <c r="C6" i="11" s="1"/>
  <c r="B5" i="11"/>
  <c r="B10" i="11" s="1"/>
  <c r="C5" i="11" l="1"/>
  <c r="B7" i="11"/>
  <c r="B9" i="11"/>
  <c r="B11" i="11"/>
  <c r="D5" i="11"/>
  <c r="B8" i="11"/>
</calcChain>
</file>

<file path=xl/sharedStrings.xml><?xml version="1.0" encoding="utf-8"?>
<sst xmlns="http://schemas.openxmlformats.org/spreadsheetml/2006/main" count="429" uniqueCount="184">
  <si>
    <t>序号</t>
  </si>
  <si>
    <t>_____</t>
  </si>
  <si>
    <r>
      <rPr>
        <sz val="10"/>
        <rFont val="仿宋_GB2312"/>
        <family val="3"/>
        <charset val="134"/>
      </rPr>
      <t>比较价值（元</t>
    </r>
    <r>
      <rPr>
        <sz val="10"/>
        <rFont val="Arial"/>
        <family val="2"/>
      </rPr>
      <t>/</t>
    </r>
    <r>
      <rPr>
        <sz val="10"/>
        <rFont val="仿宋_GB2312"/>
        <family val="3"/>
        <charset val="134"/>
      </rPr>
      <t>平米）</t>
    </r>
  </si>
  <si>
    <r>
      <rPr>
        <sz val="10"/>
        <rFont val="仿宋_GB2312"/>
        <family val="3"/>
        <charset val="134"/>
      </rPr>
      <t>成交单价（元</t>
    </r>
    <r>
      <rPr>
        <sz val="10"/>
        <rFont val="Arial"/>
        <family val="2"/>
      </rPr>
      <t>/</t>
    </r>
    <r>
      <rPr>
        <sz val="10"/>
        <rFont val="仿宋_GB2312"/>
        <family val="3"/>
        <charset val="134"/>
      </rPr>
      <t>平米）</t>
    </r>
  </si>
  <si>
    <t>设备</t>
  </si>
  <si>
    <t>装修</t>
  </si>
  <si>
    <t>户型</t>
  </si>
  <si>
    <t>朝向</t>
    <phoneticPr fontId="8" type="noConversion"/>
  </si>
  <si>
    <r>
      <rPr>
        <sz val="10"/>
        <rFont val="仿宋_GB2312"/>
        <family val="3"/>
        <charset val="134"/>
      </rPr>
      <t>有专业物业公司，物业服务保障好</t>
    </r>
  </si>
  <si>
    <t>物业服务</t>
  </si>
  <si>
    <r>
      <rPr>
        <sz val="11"/>
        <color indexed="8"/>
        <rFont val="仿宋_GB2312"/>
        <family val="3"/>
        <charset val="134"/>
      </rPr>
      <t>实物状况</t>
    </r>
  </si>
  <si>
    <t>公共配套</t>
  </si>
  <si>
    <t>自然环境</t>
  </si>
  <si>
    <t>商业设施</t>
  </si>
  <si>
    <t>交通条件</t>
  </si>
  <si>
    <t>居住区成熟度</t>
  </si>
  <si>
    <r>
      <rPr>
        <sz val="11"/>
        <color indexed="8"/>
        <rFont val="仿宋_GB2312"/>
        <family val="3"/>
        <charset val="134"/>
      </rPr>
      <t>区域状况</t>
    </r>
  </si>
  <si>
    <r>
      <rPr>
        <sz val="10"/>
        <rFont val="仿宋_GB2312"/>
        <family val="3"/>
        <charset val="134"/>
      </rPr>
      <t>正常</t>
    </r>
  </si>
  <si>
    <r>
      <rPr>
        <sz val="10"/>
        <rFont val="仿宋_GB2312"/>
        <family val="3"/>
        <charset val="134"/>
      </rPr>
      <t>交易情况</t>
    </r>
  </si>
  <si>
    <r>
      <rPr>
        <sz val="10"/>
        <rFont val="仿宋_GB2312"/>
        <family val="3"/>
        <charset val="134"/>
      </rPr>
      <t>交易时间</t>
    </r>
  </si>
  <si>
    <r>
      <rPr>
        <sz val="10"/>
        <rFont val="仿宋_GB2312"/>
        <family val="3"/>
        <charset val="134"/>
      </rPr>
      <t>待估</t>
    </r>
  </si>
  <si>
    <r>
      <rPr>
        <sz val="10"/>
        <rFont val="仿宋_GB2312"/>
        <family val="3"/>
        <charset val="134"/>
      </rPr>
      <t>平均租金（元</t>
    </r>
    <r>
      <rPr>
        <sz val="10"/>
        <rFont val="Arial"/>
        <family val="2"/>
      </rPr>
      <t>/</t>
    </r>
    <r>
      <rPr>
        <sz val="10"/>
        <rFont val="仿宋_GB2312"/>
        <family val="3"/>
        <charset val="134"/>
      </rPr>
      <t>平方米</t>
    </r>
    <r>
      <rPr>
        <sz val="10"/>
        <rFont val="Arial"/>
        <family val="2"/>
      </rPr>
      <t>·</t>
    </r>
    <r>
      <rPr>
        <sz val="10"/>
        <rFont val="仿宋_GB2312"/>
        <family val="3"/>
        <charset val="134"/>
      </rPr>
      <t>月）</t>
    </r>
  </si>
  <si>
    <r>
      <rPr>
        <sz val="10"/>
        <rFont val="仿宋_GB2312"/>
        <family val="3"/>
        <charset val="134"/>
      </rPr>
      <t>小区名称</t>
    </r>
  </si>
  <si>
    <r>
      <rPr>
        <sz val="10"/>
        <rFont val="仿宋_GB2312"/>
        <family val="3"/>
        <charset val="134"/>
      </rPr>
      <t>可比实例</t>
    </r>
    <r>
      <rPr>
        <sz val="10"/>
        <rFont val="Arial"/>
        <family val="2"/>
      </rPr>
      <t>3</t>
    </r>
  </si>
  <si>
    <r>
      <rPr>
        <sz val="10"/>
        <rFont val="仿宋_GB2312"/>
        <family val="3"/>
        <charset val="134"/>
      </rPr>
      <t>可比实例</t>
    </r>
    <r>
      <rPr>
        <sz val="10"/>
        <rFont val="Arial"/>
        <family val="2"/>
      </rPr>
      <t>2</t>
    </r>
  </si>
  <si>
    <r>
      <rPr>
        <sz val="10"/>
        <rFont val="仿宋_GB2312"/>
        <family val="3"/>
        <charset val="134"/>
      </rPr>
      <t>可比实例</t>
    </r>
    <r>
      <rPr>
        <sz val="10"/>
        <rFont val="Arial"/>
        <family val="2"/>
      </rPr>
      <t>1</t>
    </r>
  </si>
  <si>
    <r>
      <rPr>
        <sz val="10"/>
        <rFont val="仿宋_GB2312"/>
        <family val="3"/>
        <charset val="134"/>
      </rPr>
      <t>估价对象</t>
    </r>
  </si>
  <si>
    <r>
      <rPr>
        <sz val="10"/>
        <rFont val="仿宋_GB2312"/>
        <family val="3"/>
        <charset val="134"/>
      </rPr>
      <t>项目</t>
    </r>
  </si>
  <si>
    <t>估价对象</t>
  </si>
  <si>
    <t>建筑类型</t>
    <phoneticPr fontId="2" type="noConversion"/>
  </si>
  <si>
    <t>高层板楼</t>
    <phoneticPr fontId="2" type="noConversion"/>
  </si>
  <si>
    <t>（规划）建筑面积（m2）</t>
  </si>
  <si>
    <t>（分摊）土地面积（m2）</t>
  </si>
  <si>
    <t>价值时点/估价期日</t>
  </si>
  <si>
    <t>价值类型</t>
  </si>
  <si>
    <t>总价（万元）</t>
  </si>
  <si>
    <t>楼面单价（元/平方米）</t>
  </si>
  <si>
    <t>地面单价（元/平方米）</t>
  </si>
  <si>
    <t>抵押价值</t>
  </si>
  <si>
    <t>抵押价值-已注销</t>
  </si>
  <si>
    <t>抵押净值</t>
  </si>
  <si>
    <t>总投</t>
  </si>
  <si>
    <t>租金</t>
  </si>
  <si>
    <t>重置成新价</t>
  </si>
  <si>
    <t>项目名称</t>
  </si>
  <si>
    <t>市场价值（万元）</t>
  </si>
  <si>
    <t>抵押价值（万元）</t>
  </si>
  <si>
    <t>抵押价值-已注销（万元）</t>
  </si>
  <si>
    <t>抵押净值（万元）</t>
  </si>
  <si>
    <t>估价对象1（结果表）</t>
  </si>
  <si>
    <t>估价对象2</t>
  </si>
  <si>
    <t>估价对象3</t>
  </si>
  <si>
    <t>估价对象4</t>
  </si>
  <si>
    <t>估价对象5</t>
  </si>
  <si>
    <t>估价对象6</t>
  </si>
  <si>
    <t>估价对象7</t>
  </si>
  <si>
    <t>估价对象8</t>
  </si>
  <si>
    <t>估价对象9</t>
  </si>
  <si>
    <t>估价对象10</t>
  </si>
  <si>
    <t>2022/6至2023/5</t>
    <phoneticPr fontId="2" type="noConversion"/>
  </si>
  <si>
    <t>市场价值</t>
    <phoneticPr fontId="2" type="noConversion"/>
  </si>
  <si>
    <t>有专业物业公司，物业服务保障好</t>
    <phoneticPr fontId="2" type="noConversion"/>
  </si>
  <si>
    <t>使用品牌家具、家电；虽然使用较长时间，但功能正常，一般</t>
    <phoneticPr fontId="2" type="noConversion"/>
  </si>
  <si>
    <t>建筑面积</t>
    <phoneticPr fontId="2" type="noConversion"/>
  </si>
  <si>
    <t>项目</t>
  </si>
  <si>
    <t>测算值</t>
  </si>
  <si>
    <t>说明</t>
  </si>
  <si>
    <t>2=2.1+2.2+2.3</t>
  </si>
  <si>
    <t>3=3.1+3.2+3.3</t>
  </si>
  <si>
    <t>4=1+2+3</t>
  </si>
  <si>
    <r>
      <t>月成本收益</t>
    </r>
    <r>
      <rPr>
        <sz val="10"/>
        <color rgb="FF000000"/>
        <rFont val="Arial"/>
        <family val="2"/>
      </rPr>
      <t>(</t>
    </r>
    <r>
      <rPr>
        <sz val="10"/>
        <color rgb="FF000000"/>
        <rFont val="宋体"/>
        <family val="3"/>
        <charset val="134"/>
      </rPr>
      <t>元</t>
    </r>
    <r>
      <rPr>
        <sz val="10"/>
        <color rgb="FF000000"/>
        <rFont val="Arial"/>
        <family val="2"/>
      </rPr>
      <t>/</t>
    </r>
    <r>
      <rPr>
        <sz val="10"/>
        <color rgb="FF000000"/>
        <rFont val="宋体"/>
        <family val="3"/>
        <charset val="134"/>
      </rPr>
      <t>平方米</t>
    </r>
    <r>
      <rPr>
        <sz val="10"/>
        <color rgb="FF000000"/>
        <rFont val="Arial"/>
        <family val="2"/>
      </rPr>
      <t>·</t>
    </r>
    <r>
      <rPr>
        <sz val="10"/>
        <color rgb="FF000000"/>
        <rFont val="宋体"/>
        <family val="3"/>
        <charset val="134"/>
      </rPr>
      <t>月</t>
    </r>
    <r>
      <rPr>
        <sz val="10"/>
        <color rgb="FF000000"/>
        <rFont val="Arial"/>
        <family val="2"/>
      </rPr>
      <t>)</t>
    </r>
  </si>
  <si>
    <r>
      <t>5=4÷</t>
    </r>
    <r>
      <rPr>
        <sz val="10"/>
        <color rgb="FF000000"/>
        <rFont val="宋体"/>
        <family val="3"/>
        <charset val="134"/>
      </rPr>
      <t>公租房建筑面积</t>
    </r>
    <r>
      <rPr>
        <sz val="10"/>
        <color rgb="FF000000"/>
        <rFont val="Arial"/>
        <family val="2"/>
      </rPr>
      <t>÷12</t>
    </r>
    <r>
      <rPr>
        <sz val="10"/>
        <color rgb="FF000000"/>
        <rFont val="宋体"/>
        <family val="3"/>
        <charset val="134"/>
      </rPr>
      <t>个月</t>
    </r>
  </si>
  <si>
    <t>折旧及摊销成本（万元）</t>
    <phoneticPr fontId="2" type="noConversion"/>
  </si>
  <si>
    <t>运营费用（万元）</t>
    <phoneticPr fontId="2" type="noConversion"/>
  </si>
  <si>
    <t>维修费（万元）</t>
    <phoneticPr fontId="2" type="noConversion"/>
  </si>
  <si>
    <t>保险费（万元）</t>
    <phoneticPr fontId="2" type="noConversion"/>
  </si>
  <si>
    <t>物业费（万元）</t>
    <phoneticPr fontId="2" type="noConversion"/>
  </si>
  <si>
    <t>管理成本（万元）</t>
    <phoneticPr fontId="2" type="noConversion"/>
  </si>
  <si>
    <t>管理费（万元）</t>
    <phoneticPr fontId="2" type="noConversion"/>
  </si>
  <si>
    <t>利息（万元）</t>
    <phoneticPr fontId="2" type="noConversion"/>
  </si>
  <si>
    <t>利润（万元）</t>
    <phoneticPr fontId="2" type="noConversion"/>
  </si>
  <si>
    <t>年成本收益（万元）</t>
    <phoneticPr fontId="2" type="noConversion"/>
  </si>
  <si>
    <t>该项目为公租房，根据北京市朝阳区保障性住房发展有限公司的《项目信息表》，计算得出年物业费水平为124.62万元。</t>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</si>
  <si>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1.5×12×42194.79÷10000=75.95</t>
    </r>
    <r>
      <rPr>
        <sz val="10"/>
        <rFont val="宋体"/>
        <family val="3"/>
        <charset val="134"/>
      </rPr>
      <t>万元。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</si>
  <si>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57.36×12×42194.79</t>
    </r>
    <r>
      <rPr>
        <sz val="10"/>
        <rFont val="宋体"/>
        <family val="3"/>
        <charset val="134"/>
      </rPr>
      <t>×</t>
    </r>
    <r>
      <rPr>
        <sz val="10"/>
        <rFont val="Arial"/>
        <family val="2"/>
      </rPr>
      <t>2%÷10000=2904.35</t>
    </r>
    <r>
      <rPr>
        <sz val="10"/>
        <rFont val="宋体"/>
        <family val="3"/>
        <charset val="134"/>
      </rPr>
      <t>万元。</t>
    </r>
    <phoneticPr fontId="12" type="noConversion"/>
  </si>
  <si>
    <t>项目信息表</t>
    <phoneticPr fontId="2" type="noConversion"/>
  </si>
  <si>
    <t>基数为折旧摊销成本、没有其他费用和利息</t>
    <phoneticPr fontId="2" type="noConversion"/>
  </si>
  <si>
    <t>确认实际是否存在贷款，无贷不计息</t>
    <phoneticPr fontId="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</si>
  <si>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407.75×3%=12.23</t>
    </r>
    <r>
      <rPr>
        <sz val="10"/>
        <rFont val="宋体"/>
        <family val="3"/>
        <charset val="134"/>
      </rPr>
      <t>万元。</t>
    </r>
    <phoneticPr fontId="12" type="noConversion"/>
  </si>
  <si>
    <r>
      <rPr>
        <sz val="10"/>
        <rFont val="宋体"/>
        <family val="3"/>
        <charset val="134"/>
      </rPr>
      <t>指房屋产权人为使自己的房产避免意外损失而向保险公司支付的费用，根据北京市朝阳区保障性住房发展有限公司提供的《房屋收购协议（驹子房一期、二期项目）》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组团廉租房收购协议》复印件及介绍，按保险费率</t>
    </r>
    <r>
      <rPr>
        <sz val="10"/>
        <rFont val="Arial"/>
        <family val="2"/>
      </rPr>
      <t>0.01%</t>
    </r>
    <r>
      <rPr>
        <sz val="10"/>
        <rFont val="宋体"/>
        <family val="3"/>
        <charset val="134"/>
      </rPr>
      <t>计算，则保险费用为</t>
    </r>
    <r>
      <rPr>
        <sz val="10"/>
        <rFont val="Arial"/>
        <family val="2"/>
      </rPr>
      <t>24013.73</t>
    </r>
    <r>
      <rPr>
        <sz val="10"/>
        <rFont val="宋体"/>
        <family val="3"/>
        <charset val="134"/>
      </rPr>
      <t>×</t>
    </r>
    <r>
      <rPr>
        <sz val="10"/>
        <rFont val="Arial"/>
        <family val="2"/>
      </rPr>
      <t>0.01%=2.40</t>
    </r>
    <r>
      <rPr>
        <sz val="10"/>
        <rFont val="宋体"/>
        <family val="3"/>
        <charset val="134"/>
      </rPr>
      <t>万元。</t>
    </r>
    <phoneticPr fontId="12" type="noConversion"/>
  </si>
  <si>
    <t>根据北京市朝阳区保障性住房发展有限公司工作人员介绍，项目未融资，本次利息不计取。</t>
    <phoneticPr fontId="12" type="noConversion"/>
  </si>
  <si>
    <t>折旧及摊销成本（元）</t>
    <phoneticPr fontId="2" type="noConversion"/>
  </si>
  <si>
    <t>运营费用（元）</t>
    <phoneticPr fontId="2" type="noConversion"/>
  </si>
  <si>
    <t>维修费（元）</t>
    <phoneticPr fontId="2" type="noConversion"/>
  </si>
  <si>
    <t>保险费（元）</t>
    <phoneticPr fontId="2" type="noConversion"/>
  </si>
  <si>
    <t>物业费（元）</t>
    <phoneticPr fontId="2" type="noConversion"/>
  </si>
  <si>
    <t>管理成本（元）</t>
    <phoneticPr fontId="2" type="noConversion"/>
  </si>
  <si>
    <t>管理费（元）</t>
    <phoneticPr fontId="2" type="noConversion"/>
  </si>
  <si>
    <t>利息（元）</t>
    <phoneticPr fontId="2" type="noConversion"/>
  </si>
  <si>
    <t>利润（元）</t>
    <phoneticPr fontId="2" type="noConversion"/>
  </si>
  <si>
    <t>年成本收益（元）</t>
    <phoneticPr fontId="2" type="noConversion"/>
  </si>
  <si>
    <t>成新度</t>
    <phoneticPr fontId="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</si>
  <si>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复印件、《项目信息表》及介绍，该项目收购价格约为</t>
    </r>
    <r>
      <rPr>
        <sz val="10"/>
        <rFont val="Arial"/>
        <family val="2"/>
      </rPr>
      <t>46021680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2013</t>
    </r>
    <r>
      <rPr>
        <sz val="10"/>
        <rFont val="宋体"/>
        <family val="3"/>
        <charset val="134"/>
      </rPr>
      <t>年，剩余经济耐用年限为</t>
    </r>
    <r>
      <rPr>
        <sz val="10"/>
        <rFont val="Arial"/>
        <family val="2"/>
      </rPr>
      <t>58</t>
    </r>
    <r>
      <rPr>
        <sz val="10"/>
        <rFont val="宋体"/>
        <family val="3"/>
        <charset val="134"/>
      </rPr>
      <t>年，将购置成本按直线法折算至每年，则</t>
    </r>
    <r>
      <rPr>
        <sz val="10"/>
        <rFont val="Arial"/>
        <family val="2"/>
      </rPr>
      <t>46021680÷58=793477.24</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</si>
  <si>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1.5×12×10004.04=180072.72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</si>
  <si>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4×12×10004.04=480193.92</t>
    </r>
    <r>
      <rPr>
        <sz val="10"/>
        <rFont val="宋体"/>
        <family val="3"/>
        <charset val="134"/>
      </rPr>
      <t>元。</t>
    </r>
    <phoneticPr fontId="12" type="noConversion"/>
  </si>
  <si>
    <r>
      <t>根据北京市朝阳区保障性住房发展有限公司提供的《房源表》、《房屋收购协议（驹子房一期、二期项目）》</t>
    </r>
    <r>
      <rPr>
        <sz val="10"/>
        <rFont val="Arial"/>
        <family val="2"/>
      </rPr>
      <t>[No.2013-003]</t>
    </r>
    <r>
      <rPr>
        <sz val="10"/>
        <rFont val="宋体"/>
        <family val="3"/>
        <charset val="134"/>
      </rPr>
      <t>复印件、《北京市商品房预售合同（限价商品住房）》（东湾家园（和悦园）项目）复印件、《北京市商品房现房买卖合同（限价商品住房）》（首开畅颐园项目、福润四季家园项目）复印件、《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复印件、《北京市商品房现房销售合同（限价商品住房）》（首城东郡汇（东郡家园）项目）复印件、《房屋收购协议》（悦和园项目、景和园项目）复印件、《朝阳新城</t>
    </r>
    <r>
      <rPr>
        <sz val="10"/>
        <rFont val="Arial"/>
        <family val="2"/>
      </rPr>
      <t>F</t>
    </r>
    <r>
      <rPr>
        <sz val="10"/>
        <rFont val="宋体"/>
        <family val="3"/>
        <charset val="134"/>
      </rPr>
      <t>组团廉租房收购协议》复印件、《项目信息表》及介绍，该项目总收购价格约为</t>
    </r>
    <r>
      <rPr>
        <sz val="10"/>
        <rFont val="Arial"/>
        <family val="2"/>
      </rPr>
      <t>24013.73</t>
    </r>
    <r>
      <rPr>
        <sz val="10"/>
        <rFont val="宋体"/>
        <family val="3"/>
        <charset val="134"/>
      </rPr>
      <t>万元。该项目为钢混结构，非生产用房经济耐用年限为</t>
    </r>
    <r>
      <rPr>
        <sz val="10"/>
        <rFont val="Arial"/>
        <family val="2"/>
      </rPr>
      <t xml:space="preserve"> 60 </t>
    </r>
    <r>
      <rPr>
        <sz val="10"/>
        <rFont val="宋体"/>
        <family val="3"/>
        <charset val="134"/>
      </rPr>
      <t>年，根据各项目剩余经济耐用年限，将购置成本按直线法折算至每年。</t>
    </r>
    <phoneticPr fontId="12" type="noConversion"/>
  </si>
  <si>
    <r>
      <t>根据北京市朝阳区保障性住房发展有限公司提供的《房源表》、《北京市商品房预售合同（限价商品住房）》（东湾家园（和悦园）项目）复印件、《项目信息表》及介绍，该项目收购价格约为</t>
    </r>
    <r>
      <rPr>
        <sz val="10"/>
        <rFont val="Arial"/>
        <family val="2"/>
      </rPr>
      <t>60856500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60856500÷60=1014275</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</si>
  <si>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1.5×12×4075.23=73354.14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</si>
  <si>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4500×95%×1‰×4075.23=17421.61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</si>
  <si>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3.2×12×4075.23=156488.83</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</si>
  <si>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1014275×3%=30428.25</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</si>
  <si>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4500×87%×1‰×3175.94=12433.81</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</si>
  <si>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3.7×12×3175.94=141011.74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</si>
  <si>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835773.68×3%=25073.21</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</si>
  <si>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1.5×12×54.95=989.1</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</si>
  <si>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4500×92%×1‰×54=227.49</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</si>
  <si>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t>
    </r>
    <r>
      <rPr>
        <sz val="10"/>
        <rFont val="Arial"/>
        <family val="2"/>
      </rPr>
      <t>3×12×54.95=1978.2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</si>
  <si>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9066.75×3%=272</t>
    </r>
    <r>
      <rPr>
        <sz val="10"/>
        <rFont val="宋体"/>
        <family val="3"/>
        <charset val="134"/>
      </rPr>
      <t>元。</t>
    </r>
    <phoneticPr fontId="12" type="noConversion"/>
  </si>
  <si>
    <r>
      <t>根据北京市朝阳区保障性住房发展有限公司提供的《房源表》、《北京市商品房现房买卖合同（限价商品住房）》（首开畅颐园项目）复印件、《项目信息表》及介绍，该项目收购价格约为</t>
    </r>
    <r>
      <rPr>
        <sz val="10"/>
        <rFont val="Arial"/>
        <family val="2"/>
      </rPr>
      <t>47639100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57</t>
    </r>
    <r>
      <rPr>
        <sz val="10"/>
        <rFont val="宋体"/>
        <family val="3"/>
        <charset val="134"/>
      </rPr>
      <t>年，将购置成本按直线法折算至每年，则</t>
    </r>
    <r>
      <rPr>
        <sz val="10"/>
        <rFont val="Arial"/>
        <family val="2"/>
      </rPr>
      <t>47639100÷57=835773.68</t>
    </r>
    <r>
      <rPr>
        <sz val="10"/>
        <rFont val="宋体"/>
        <family val="3"/>
        <charset val="134"/>
      </rPr>
      <t>元。</t>
    </r>
    <phoneticPr fontId="12" type="noConversion"/>
  </si>
  <si>
    <r>
      <t>根据北京市朝阳区保障性住房发展有限公司提供的《房源表》、《北京市朝阳区住房保障事务中心限价房回购协议（恒大江湾项目）》</t>
    </r>
    <r>
      <rPr>
        <sz val="10"/>
        <rFont val="Arial"/>
        <family val="2"/>
      </rPr>
      <t>[</t>
    </r>
    <r>
      <rPr>
        <sz val="10"/>
        <rFont val="宋体"/>
        <family val="3"/>
        <charset val="134"/>
      </rPr>
      <t>恒京北购合字</t>
    </r>
    <r>
      <rPr>
        <sz val="10"/>
        <rFont val="Arial"/>
        <family val="2"/>
      </rPr>
      <t>18</t>
    </r>
    <r>
      <rPr>
        <sz val="10"/>
        <rFont val="宋体"/>
        <family val="3"/>
        <charset val="134"/>
      </rPr>
      <t>【</t>
    </r>
    <r>
      <rPr>
        <sz val="10"/>
        <rFont val="Arial"/>
        <family val="2"/>
      </rPr>
      <t>0.63-4</t>
    </r>
    <r>
      <rPr>
        <sz val="10"/>
        <rFont val="宋体"/>
        <family val="3"/>
        <charset val="134"/>
      </rPr>
      <t>】</t>
    </r>
    <r>
      <rPr>
        <sz val="10"/>
        <rFont val="Arial"/>
        <family val="2"/>
      </rPr>
      <t>014]</t>
    </r>
    <r>
      <rPr>
        <sz val="10"/>
        <rFont val="宋体"/>
        <family val="3"/>
        <charset val="134"/>
      </rPr>
      <t>复印件、《项目信息表》及介绍，该项目收购价格约为</t>
    </r>
    <r>
      <rPr>
        <sz val="10"/>
        <rFont val="Arial"/>
        <family val="2"/>
      </rPr>
      <t>544005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544005÷60=9066.75</t>
    </r>
    <r>
      <rPr>
        <sz val="10"/>
        <rFont val="宋体"/>
        <family val="3"/>
        <charset val="134"/>
      </rPr>
      <t>元。</t>
    </r>
    <phoneticPr fontId="12" type="noConversion"/>
  </si>
  <si>
    <r>
      <t>根据北京市朝阳区保障性住房发展有限公司提供的《房源表》、《北京市商品房现房销售合同（限价商品住房）》（首城东郡汇（东郡家园）项目）复印件、《项目信息表》及介绍，该项目收购价格约为</t>
    </r>
    <r>
      <rPr>
        <sz val="10"/>
        <rFont val="Arial"/>
        <family val="2"/>
      </rPr>
      <t>755865</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59</t>
    </r>
    <r>
      <rPr>
        <sz val="10"/>
        <rFont val="宋体"/>
        <family val="3"/>
        <charset val="134"/>
      </rPr>
      <t>年，将购置成本按直线法折算至每年，则</t>
    </r>
    <r>
      <rPr>
        <sz val="10"/>
        <rFont val="Arial"/>
        <family val="2"/>
      </rPr>
      <t>755865÷59=
12811.27</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</si>
  <si>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1.5×12×76.35=1374.3</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</si>
  <si>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4500×90%×1‰×76.35=309.22</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</si>
  <si>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12811.27×3%=384.34</t>
    </r>
    <r>
      <rPr>
        <sz val="10"/>
        <rFont val="宋体"/>
        <family val="3"/>
        <charset val="134"/>
      </rPr>
      <t>元。</t>
    </r>
    <phoneticPr fontId="12" type="noConversion"/>
  </si>
  <si>
    <r>
      <t>根据北京市朝阳区保障性住房发展有限公司提供的《房源表》、《北京市商品房现房买卖合同（限价商品住房）》（福润四季家园项目）复印件、《项目信息表》及介绍，该项目收购价格约为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56</t>
    </r>
    <r>
      <rPr>
        <sz val="10"/>
        <rFont val="宋体"/>
        <family val="3"/>
        <charset val="134"/>
      </rPr>
      <t>年，将购置成本按直线法折算至每年，则</t>
    </r>
    <r>
      <rPr>
        <sz val="10"/>
        <rFont val="Arial"/>
        <family val="2"/>
      </rPr>
      <t>667530÷56=
11920.18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</si>
  <si>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1.5×12×74.17=1335.06</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</si>
  <si>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4500×85%×1‰×74.17=283.7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</si>
  <si>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11920.18×3%=357.61</t>
    </r>
    <r>
      <rPr>
        <sz val="10"/>
        <rFont val="宋体"/>
        <family val="3"/>
        <charset val="134"/>
      </rPr>
      <t>元。</t>
    </r>
    <phoneticPr fontId="12" type="noConversion"/>
  </si>
  <si>
    <r>
      <t>根据北京市朝阳区保障性住房发展有限公司提供的《房源表》、《房屋收购协议》（悦和园项目）复印件、《项目信息表》及介绍，该项目收购价格约为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55</t>
    </r>
    <r>
      <rPr>
        <sz val="10"/>
        <rFont val="宋体"/>
        <family val="3"/>
        <charset val="134"/>
      </rPr>
      <t>年，将购置成本按直线法折算至每年，则</t>
    </r>
    <r>
      <rPr>
        <sz val="10"/>
        <rFont val="Arial"/>
        <family val="2"/>
      </rPr>
      <t>1258487÷55=22881.58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</si>
  <si>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1.5×12×144.98=2609.64</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</si>
  <si>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4500×83%×1‰×144.98=541.5</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</si>
  <si>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×12×144.98=3444.72</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</si>
  <si>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该项目为公租房，根据北京市朝阳区保障性住房发展有限公司的《项目信息表》，计算得出年物业费水平为1.98</t>
    </r>
    <r>
      <rPr>
        <sz val="10"/>
        <rFont val="Arial"/>
        <family val="2"/>
      </rPr>
      <t>×12×74.17=1762.28</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</si>
  <si>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该项目为公租房，根据北京市朝阳区保障性住房发展有限公司的《项目信息表》，计算得出年物业费水平为2.9</t>
    </r>
    <r>
      <rPr>
        <sz val="10"/>
        <rFont val="Arial"/>
        <family val="2"/>
      </rPr>
      <t>×12×76.35=2656.98</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</si>
  <si>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22881.58×3%=686.45</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</si>
  <si>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667530</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2018</t>
    </r>
    <r>
      <rPr>
        <sz val="10"/>
        <rFont val="宋体"/>
        <family val="3"/>
        <charset val="134"/>
      </rPr>
      <t>年，剩余经济耐用年限为</t>
    </r>
    <r>
      <rPr>
        <sz val="10"/>
        <rFont val="Arial"/>
        <family val="2"/>
      </rPr>
      <t>53</t>
    </r>
    <r>
      <rPr>
        <sz val="10"/>
        <rFont val="宋体"/>
        <family val="3"/>
        <charset val="134"/>
      </rPr>
      <t>年，将购置成本按直线法折算至每年，则</t>
    </r>
    <r>
      <rPr>
        <sz val="10"/>
        <rFont val="Arial"/>
        <family val="2"/>
      </rPr>
      <t>1805184.7÷53=34060.09</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</si>
  <si>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1.5×12×242.04=4356.72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</si>
  <si>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4500×80%×1‰×242.04=871.34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</si>
  <si>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该项目为公租房，根据北京市朝阳区保障性住房发展有限公司的《项目信息表》，计算得出年物业费水平为1.95</t>
    </r>
    <r>
      <rPr>
        <sz val="10"/>
        <rFont val="Arial"/>
        <family val="2"/>
      </rPr>
      <t>×12×242.04=5663.74</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</si>
  <si>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34060.09×3%=1021.8</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</si>
  <si>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4500×80%×1‰×10004.04=32012.93</t>
    </r>
    <r>
      <rPr>
        <sz val="10"/>
        <rFont val="宋体"/>
        <family val="3"/>
        <charset val="134"/>
      </rPr>
      <t>元。</t>
    </r>
    <phoneticPr fontId="12" type="noConversion"/>
  </si>
  <si>
    <r>
      <t>根据北京市朝阳区保障性住房发展有限公司提供的《房源表》、《房屋收购协议》（景和园项目）复印件、《项目信息表》及介绍，该项目收购价格约为</t>
    </r>
    <r>
      <rPr>
        <sz val="10"/>
        <rFont val="Arial"/>
        <family val="2"/>
      </rPr>
      <t>80588867.9</t>
    </r>
    <r>
      <rPr>
        <sz val="10"/>
        <rFont val="宋体"/>
        <family val="3"/>
        <charset val="134"/>
      </rPr>
      <t>元。该项目为钢混结构，非生产用房经济耐用年限为</t>
    </r>
    <r>
      <rPr>
        <sz val="10"/>
        <rFont val="Arial"/>
        <family val="2"/>
      </rPr>
      <t xml:space="preserve"> 60 </t>
    </r>
    <r>
      <rPr>
        <sz val="10"/>
        <rFont val="宋体"/>
        <family val="3"/>
        <charset val="134"/>
      </rPr>
      <t>年，项目收购时间为</t>
    </r>
    <r>
      <rPr>
        <sz val="10"/>
        <rFont val="Arial"/>
        <family val="2"/>
      </rPr>
      <t>2009</t>
    </r>
    <r>
      <rPr>
        <sz val="10"/>
        <rFont val="宋体"/>
        <family val="3"/>
        <charset val="134"/>
      </rPr>
      <t>年，剩余经济耐用年限为</t>
    </r>
    <r>
      <rPr>
        <sz val="10"/>
        <rFont val="Arial"/>
        <family val="2"/>
      </rPr>
      <t>60</t>
    </r>
    <r>
      <rPr>
        <sz val="10"/>
        <rFont val="宋体"/>
        <family val="3"/>
        <charset val="134"/>
      </rPr>
      <t>年，将购置成本按直线法折算至每年，则</t>
    </r>
    <r>
      <rPr>
        <sz val="10"/>
        <rFont val="Arial"/>
        <family val="2"/>
      </rPr>
      <t>80588867.9÷60=1343147.8</t>
    </r>
    <r>
      <rPr>
        <sz val="10"/>
        <rFont val="宋体"/>
        <family val="3"/>
        <charset val="134"/>
      </rPr>
      <t>元。</t>
    </r>
    <phoneticPr fontId="12" type="noConversion"/>
  </si>
  <si>
    <r>
      <rPr>
        <sz val="10"/>
        <rFont val="宋体"/>
        <family val="3"/>
        <charset val="134"/>
      </rPr>
      <t>主要包括室内部分及附属设施设备、公用部位</t>
    </r>
    <r>
      <rPr>
        <sz val="10"/>
        <rFont val="Arial"/>
        <family val="2"/>
      </rPr>
      <t xml:space="preserve"> </t>
    </r>
    <r>
      <rPr>
        <sz val="10"/>
        <rFont val="宋体"/>
        <family val="3"/>
        <charset val="134"/>
      </rPr>
      <t>和共用设施设备及相关场地的维修运行费用，</t>
    </r>
    <r>
      <rPr>
        <sz val="10"/>
        <rFont val="Arial"/>
        <family val="2"/>
      </rPr>
      <t xml:space="preserve"> </t>
    </r>
    <r>
      <rPr>
        <sz val="10"/>
        <rFont val="宋体"/>
        <family val="3"/>
        <charset val="134"/>
      </rPr>
      <t>参考同类项目测算，一般取值为</t>
    </r>
    <r>
      <rPr>
        <sz val="10"/>
        <rFont val="Arial"/>
        <family val="2"/>
      </rPr>
      <t>1-2</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月，本次取值为</t>
    </r>
    <r>
      <rPr>
        <sz val="10"/>
        <rFont val="Arial"/>
        <family val="2"/>
      </rPr>
      <t>1.5</t>
    </r>
    <r>
      <rPr>
        <sz val="10"/>
        <rFont val="宋体"/>
        <family val="3"/>
        <charset val="134"/>
      </rPr>
      <t>元</t>
    </r>
    <r>
      <rPr>
        <sz val="10"/>
        <rFont val="Arial"/>
        <family val="2"/>
      </rPr>
      <t>/</t>
    </r>
    <r>
      <rPr>
        <sz val="10"/>
        <rFont val="宋体"/>
        <family val="3"/>
        <charset val="134"/>
      </rPr>
      <t>平方米</t>
    </r>
    <r>
      <rPr>
        <sz val="10"/>
        <rFont val="Arial"/>
        <family val="2"/>
      </rPr>
      <t>·</t>
    </r>
    <r>
      <rPr>
        <sz val="10"/>
        <rFont val="宋体"/>
        <family val="3"/>
        <charset val="134"/>
      </rPr>
      <t>月，则</t>
    </r>
    <r>
      <rPr>
        <sz val="10"/>
        <rFont val="Arial"/>
        <family val="2"/>
      </rPr>
      <t>1.5×12×24347.09=438247.62</t>
    </r>
    <r>
      <rPr>
        <sz val="10"/>
        <rFont val="宋体"/>
        <family val="3"/>
        <charset val="134"/>
      </rPr>
      <t>元。</t>
    </r>
    <phoneticPr fontId="12" type="noConversion"/>
  </si>
  <si>
    <r>
      <rPr>
        <sz val="10"/>
        <rFont val="宋体"/>
        <family val="3"/>
        <charset val="134"/>
      </rPr>
      <t>指房屋产权人为使自己的房产避免意外损失而向保险公司支付的费用，以房屋建筑物重置成新价格的</t>
    </r>
    <r>
      <rPr>
        <sz val="10"/>
        <rFont val="Arial"/>
        <family val="2"/>
      </rPr>
      <t>1‰</t>
    </r>
    <r>
      <rPr>
        <sz val="10"/>
        <rFont val="宋体"/>
        <family val="3"/>
        <charset val="134"/>
      </rPr>
      <t>测算</t>
    </r>
    <r>
      <rPr>
        <sz val="10"/>
        <rFont val="Arial"/>
        <family val="2"/>
      </rPr>
      <t>,</t>
    </r>
    <r>
      <rPr>
        <sz val="10"/>
        <rFont val="宋体"/>
        <family val="3"/>
        <charset val="134"/>
      </rPr>
      <t>即</t>
    </r>
    <r>
      <rPr>
        <sz val="10"/>
        <rFont val="Arial"/>
        <family val="2"/>
      </rPr>
      <t>4000×77%×1‰×24347.09=74989.04</t>
    </r>
    <r>
      <rPr>
        <sz val="10"/>
        <rFont val="宋体"/>
        <family val="3"/>
        <charset val="134"/>
      </rPr>
      <t>元。</t>
    </r>
    <phoneticPr fontId="12" type="noConversion"/>
  </si>
  <si>
    <r>
      <rPr>
        <sz val="10"/>
        <rFont val="宋体"/>
        <family val="3"/>
        <charset val="134"/>
      </rPr>
      <t>该项目为公租房，根据北京市朝阳区保障性住房发展有限公司的《项目信息表》，计算得出年物业费水平为1.55</t>
    </r>
    <r>
      <rPr>
        <sz val="10"/>
        <rFont val="Arial"/>
        <family val="2"/>
      </rPr>
      <t>×12×24347.09=452855.87</t>
    </r>
    <r>
      <rPr>
        <sz val="10"/>
        <rFont val="宋体"/>
        <family val="3"/>
        <charset val="134"/>
      </rPr>
      <t>元。</t>
    </r>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</si>
  <si>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1343147.8×3%=40294.43</t>
    </r>
    <r>
      <rPr>
        <sz val="10"/>
        <rFont val="宋体"/>
        <family val="3"/>
        <charset val="134"/>
      </rPr>
      <t>元。</t>
    </r>
    <phoneticPr fontId="12" type="noConversion"/>
  </si>
  <si>
    <t>根据北京市朝阳区保障性住房发展有限公司工作人员介绍，项目未融资，本次利息不计取。</t>
    <phoneticPr fontId="12" type="noConversion"/>
  </si>
  <si>
    <r>
      <t>公共租赁住房项目属于保障性住房，不以获取利润为主要目的，参照保本微利原则记取利润率，以折旧及摊销成本为基数的</t>
    </r>
    <r>
      <rPr>
        <sz val="10"/>
        <rFont val="Arial"/>
        <family val="2"/>
      </rPr>
      <t>3%</t>
    </r>
    <r>
      <rPr>
        <sz val="10"/>
        <rFont val="宋体"/>
        <family val="3"/>
        <charset val="134"/>
      </rPr>
      <t>测算开发利润</t>
    </r>
    <r>
      <rPr>
        <sz val="10"/>
        <rFont val="Arial"/>
        <family val="2"/>
      </rPr>
      <t>,</t>
    </r>
    <r>
      <rPr>
        <sz val="10"/>
        <rFont val="宋体"/>
        <family val="3"/>
        <charset val="134"/>
      </rPr>
      <t>即</t>
    </r>
    <r>
      <rPr>
        <sz val="10"/>
        <rFont val="Arial"/>
        <family val="2"/>
      </rPr>
      <t>793477.24×3%=23804.32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</si>
  <si>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60.16×12×10004.04</t>
    </r>
    <r>
      <rPr>
        <sz val="10"/>
        <rFont val="宋体"/>
        <family val="3"/>
        <charset val="134"/>
      </rPr>
      <t>×</t>
    </r>
    <r>
      <rPr>
        <sz val="10"/>
        <rFont val="Arial"/>
        <family val="2"/>
      </rPr>
      <t>2%=144442.33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</si>
  <si>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61.61×12×4075.23</t>
    </r>
    <r>
      <rPr>
        <sz val="10"/>
        <rFont val="宋体"/>
        <family val="3"/>
        <charset val="134"/>
      </rPr>
      <t>×</t>
    </r>
    <r>
      <rPr>
        <sz val="10"/>
        <rFont val="Arial"/>
        <family val="2"/>
      </rPr>
      <t>2%=56101.25</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</si>
  <si>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62.11×12×3175.94</t>
    </r>
    <r>
      <rPr>
        <sz val="10"/>
        <rFont val="宋体"/>
        <family val="3"/>
        <charset val="134"/>
      </rPr>
      <t>×</t>
    </r>
    <r>
      <rPr>
        <sz val="10"/>
        <rFont val="Arial"/>
        <family val="2"/>
      </rPr>
      <t>2%=47341.83</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</si>
  <si>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63.72×12×54.95</t>
    </r>
    <r>
      <rPr>
        <sz val="10"/>
        <rFont val="宋体"/>
        <family val="3"/>
        <charset val="134"/>
      </rPr>
      <t>×</t>
    </r>
    <r>
      <rPr>
        <sz val="10"/>
        <rFont val="Arial"/>
        <family val="2"/>
      </rPr>
      <t>2%=840.34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</si>
  <si>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63.95×12×76.35</t>
    </r>
    <r>
      <rPr>
        <sz val="10"/>
        <rFont val="宋体"/>
        <family val="3"/>
        <charset val="134"/>
      </rPr>
      <t>×</t>
    </r>
    <r>
      <rPr>
        <sz val="10"/>
        <rFont val="Arial"/>
        <family val="2"/>
      </rPr>
      <t>2%=1171.82</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</si>
  <si>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61.84×12×74.17</t>
    </r>
    <r>
      <rPr>
        <sz val="10"/>
        <rFont val="宋体"/>
        <family val="3"/>
        <charset val="134"/>
      </rPr>
      <t>×</t>
    </r>
    <r>
      <rPr>
        <sz val="10"/>
        <rFont val="Arial"/>
        <family val="2"/>
      </rPr>
      <t>2%=1100.8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</si>
  <si>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59.83×12×144.98</t>
    </r>
    <r>
      <rPr>
        <sz val="10"/>
        <rFont val="宋体"/>
        <family val="3"/>
        <charset val="134"/>
      </rPr>
      <t>×</t>
    </r>
    <r>
      <rPr>
        <sz val="10"/>
        <rFont val="Arial"/>
        <family val="2"/>
      </rPr>
      <t>2%=2081.8</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</si>
  <si>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62.69×12×242.04</t>
    </r>
    <r>
      <rPr>
        <sz val="10"/>
        <rFont val="宋体"/>
        <family val="3"/>
        <charset val="134"/>
      </rPr>
      <t>×</t>
    </r>
    <r>
      <rPr>
        <sz val="10"/>
        <rFont val="Arial"/>
        <family val="2"/>
      </rPr>
      <t>2%=3641.64</t>
    </r>
    <r>
      <rPr>
        <sz val="10"/>
        <rFont val="宋体"/>
        <family val="3"/>
        <charset val="134"/>
      </rPr>
      <t>元。</t>
    </r>
    <phoneticPr fontId="12" type="noConversion"/>
  </si>
  <si>
    <r>
      <t>指运营管理机构人员、办公等的正常开支费用，参考同类项目测算，按年租金成本收益的</t>
    </r>
    <r>
      <rPr>
        <sz val="10"/>
        <rFont val="Arial"/>
        <family val="2"/>
      </rPr>
      <t xml:space="preserve"> 2%</t>
    </r>
    <r>
      <rPr>
        <sz val="10"/>
        <rFont val="宋体"/>
        <family val="3"/>
        <charset val="134"/>
      </rPr>
      <t>测算，即</t>
    </r>
    <r>
      <rPr>
        <sz val="10"/>
        <rFont val="Arial"/>
        <family val="2"/>
      </rPr>
      <t>54.76×12×24347.09</t>
    </r>
    <r>
      <rPr>
        <sz val="10"/>
        <rFont val="宋体"/>
        <family val="3"/>
        <charset val="134"/>
      </rPr>
      <t>×</t>
    </r>
    <r>
      <rPr>
        <sz val="10"/>
        <rFont val="Arial"/>
        <family val="2"/>
      </rPr>
      <t>2%=319979.2</t>
    </r>
    <r>
      <rPr>
        <sz val="10"/>
        <rFont val="宋体"/>
        <family val="3"/>
        <charset val="134"/>
      </rPr>
      <t>元。</t>
    </r>
    <phoneticPr fontId="12" type="noConversion"/>
  </si>
  <si>
    <t>中楼层</t>
    <phoneticPr fontId="2" type="noConversion"/>
  </si>
  <si>
    <t>楼层</t>
    <phoneticPr fontId="2" type="noConversion"/>
  </si>
  <si>
    <t>南北</t>
    <phoneticPr fontId="12" type="noConversion"/>
  </si>
  <si>
    <t>南</t>
    <phoneticPr fontId="12" type="noConversion"/>
  </si>
  <si>
    <t>东南</t>
    <phoneticPr fontId="12" type="noConversion"/>
  </si>
  <si>
    <t>西南</t>
    <phoneticPr fontId="12" type="noConversion"/>
  </si>
  <si>
    <t>东西</t>
    <phoneticPr fontId="12" type="noConversion"/>
  </si>
  <si>
    <t>东</t>
    <phoneticPr fontId="12" type="noConversion"/>
  </si>
  <si>
    <t>西</t>
    <phoneticPr fontId="12" type="noConversion"/>
  </si>
  <si>
    <t>东北</t>
    <phoneticPr fontId="12" type="noConversion"/>
  </si>
  <si>
    <t>西北</t>
    <phoneticPr fontId="12" type="noConversion"/>
  </si>
  <si>
    <t>北</t>
    <phoneticPr fontId="12" type="noConversion"/>
  </si>
  <si>
    <t>简单装修</t>
    <phoneticPr fontId="2" type="noConversion"/>
  </si>
  <si>
    <t>两梯四户</t>
    <phoneticPr fontId="2" type="noConversion"/>
  </si>
  <si>
    <t>室内装饰装修维护情况</t>
    <phoneticPr fontId="2" type="noConversion"/>
  </si>
  <si>
    <t>较好</t>
    <phoneticPr fontId="2" type="noConversion"/>
  </si>
  <si>
    <t>电梯配备情况</t>
    <phoneticPr fontId="2" type="noConversion"/>
  </si>
  <si>
    <t>较好</t>
    <phoneticPr fontId="8" type="noConversion"/>
  </si>
  <si>
    <t>一居室</t>
    <phoneticPr fontId="8" type="noConversion"/>
  </si>
  <si>
    <t>亚林溪苑</t>
    <phoneticPr fontId="2" type="noConversion"/>
  </si>
  <si>
    <t>昆仑域</t>
    <phoneticPr fontId="2" type="noConversion"/>
  </si>
  <si>
    <t>低楼层</t>
    <phoneticPr fontId="2" type="noConversion"/>
  </si>
  <si>
    <t>高楼层</t>
    <phoneticPr fontId="2" type="noConversion"/>
  </si>
  <si>
    <t>毛坯</t>
    <phoneticPr fontId="2" type="noConversion"/>
  </si>
  <si>
    <t>南北</t>
    <phoneticPr fontId="2" type="noConversion"/>
  </si>
  <si>
    <t>精装修</t>
    <phoneticPr fontId="2" type="noConversion"/>
  </si>
  <si>
    <t>正常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</si>
</sst>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00_ "/>
    <numFmt numFmtId="178" formatCode="0.0"/>
    <numFmt numFmtId="179" formatCode="0_ "/>
    <numFmt numFmtId="180" formatCode="0.0000_);[Red]\(0.0000\)"/>
  </numFmts>
  <fonts count="21" x14ac:knownFonts="1">
    <font>
      <sz val="11"/>
      <color rgb="FF000000"/>
      <name val="等线"/>
      <charset val="134"/>
    </font>
    <font>
      <sz val="12"/>
      <name val="宋体"/>
      <family val="3"/>
      <charset val="134"/>
    </font>
    <font>
      <sz val="9"/>
      <name val="等线"/>
      <family val="3"/>
      <charset val="134"/>
    </font>
    <font>
      <sz val="11"/>
      <color theme="1"/>
      <name val="等线"/>
      <family val="3"/>
      <charset val="134"/>
      <scheme val="minor"/>
    </font>
    <font>
      <sz val="11"/>
      <color theme="1"/>
      <name val="Arial"/>
      <family val="2"/>
    </font>
    <font>
      <sz val="10"/>
      <name val="Arial"/>
      <family val="2"/>
    </font>
    <font>
      <sz val="10"/>
      <name val="仿宋_GB2312"/>
      <family val="3"/>
      <charset val="134"/>
    </font>
    <font>
      <sz val="10"/>
      <color rgb="FFFF0000"/>
      <name val="Arial"/>
      <family val="2"/>
    </font>
    <font>
      <sz val="9"/>
      <name val="宋体"/>
      <family val="3"/>
      <charset val="134"/>
    </font>
    <font>
      <sz val="11"/>
      <color indexed="8"/>
      <name val="仿宋_GB2312"/>
      <family val="3"/>
      <charset val="134"/>
    </font>
    <font>
      <b/>
      <sz val="10.5"/>
      <name val="宋体"/>
      <family val="3"/>
      <charset val="134"/>
    </font>
    <font>
      <sz val="10"/>
      <name val="宋体"/>
      <family val="3"/>
      <charset val="134"/>
    </font>
    <font>
      <sz val="9"/>
      <name val="等线"/>
      <family val="3"/>
      <charset val="134"/>
      <scheme val="minor"/>
    </font>
    <font>
      <sz val="11"/>
      <color rgb="FF666666"/>
      <name val="微软雅黑"/>
      <family val="2"/>
      <charset val="134"/>
    </font>
    <font>
      <sz val="10.5"/>
      <color theme="1"/>
      <name val="Arial"/>
      <family val="2"/>
    </font>
    <font>
      <sz val="11"/>
      <color rgb="FFFF0000"/>
      <name val="等线"/>
      <family val="3"/>
      <charset val="134"/>
      <scheme val="minor"/>
    </font>
    <font>
      <sz val="10"/>
      <color rgb="FF000000"/>
      <name val="宋体"/>
      <family val="3"/>
      <charset val="134"/>
    </font>
    <font>
      <sz val="10"/>
      <color rgb="FF000000"/>
      <name val="Arial"/>
      <family val="2"/>
    </font>
    <font>
      <sz val="10"/>
      <name val="Arial"/>
      <family val="3"/>
      <charset val="134"/>
    </font>
    <font>
      <sz val="12"/>
      <color theme="1"/>
      <name val="等线"/>
      <family val="2"/>
      <scheme val="minor"/>
    </font>
    <font>
      <sz val="11"/>
      <color rgb="FF000000"/>
      <name val="等线"/>
      <family val="3"/>
      <charset val="134"/>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0" fontId="3" fillId="0" borderId="0">
      <alignment vertical="center"/>
    </xf>
    <xf numFmtId="0" fontId="3" fillId="0" borderId="0">
      <alignment vertical="center"/>
    </xf>
    <xf numFmtId="0" fontId="3" fillId="0" borderId="0"/>
    <xf numFmtId="0" fontId="3" fillId="0" borderId="0">
      <alignment vertical="center"/>
    </xf>
    <xf numFmtId="0" fontId="19" fillId="0" borderId="0"/>
    <xf numFmtId="0" fontId="1" fillId="0" borderId="0">
      <alignment vertical="center"/>
    </xf>
  </cellStyleXfs>
  <cellXfs count="66">
    <xf numFmtId="0" fontId="0" fillId="0" borderId="0" xfId="0"/>
    <xf numFmtId="0" fontId="3" fillId="0" borderId="0" xfId="1">
      <alignment vertical="center"/>
    </xf>
    <xf numFmtId="4" fontId="3" fillId="2" borderId="0" xfId="1" applyNumberFormat="1" applyFill="1">
      <alignment vertical="center"/>
    </xf>
    <xf numFmtId="0" fontId="3" fillId="2" borderId="0" xfId="1" applyFill="1">
      <alignment vertical="center"/>
    </xf>
    <xf numFmtId="0" fontId="4" fillId="0" borderId="0" xfId="1" applyFont="1">
      <alignment vertical="center"/>
    </xf>
    <xf numFmtId="0" fontId="6" fillId="0" borderId="6" xfId="2" applyFont="1" applyBorder="1" applyAlignment="1">
      <alignment horizontal="center" vertical="center" wrapText="1"/>
    </xf>
    <xf numFmtId="0" fontId="7" fillId="0" borderId="1" xfId="2" applyFont="1" applyBorder="1" applyAlignment="1">
      <alignment horizontal="center"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3" fillId="0" borderId="0" xfId="1" applyAlignment="1">
      <alignment horizontal="center" vertical="center"/>
    </xf>
    <xf numFmtId="0" fontId="6" fillId="0" borderId="3" xfId="2" applyFont="1" applyBorder="1" applyAlignment="1">
      <alignment horizontal="center" vertical="center" wrapText="1"/>
    </xf>
    <xf numFmtId="0" fontId="5" fillId="0" borderId="1" xfId="2" applyFont="1" applyBorder="1" applyAlignment="1">
      <alignment horizontal="center" vertical="center"/>
    </xf>
    <xf numFmtId="176" fontId="5" fillId="0" borderId="1" xfId="2" applyNumberFormat="1" applyFont="1" applyBorder="1" applyAlignment="1">
      <alignment horizontal="center" vertical="center" wrapText="1"/>
    </xf>
    <xf numFmtId="0" fontId="10" fillId="0" borderId="0" xfId="1" applyFont="1" applyAlignment="1">
      <alignment horizontal="center"/>
    </xf>
    <xf numFmtId="177" fontId="3" fillId="0" borderId="0" xfId="1" applyNumberFormat="1">
      <alignment vertical="center"/>
    </xf>
    <xf numFmtId="0" fontId="13" fillId="3" borderId="1" xfId="3" applyFont="1" applyFill="1" applyBorder="1" applyAlignment="1">
      <alignment horizontal="center" vertical="center" wrapText="1"/>
    </xf>
    <xf numFmtId="0" fontId="14" fillId="0" borderId="0" xfId="1" applyFont="1">
      <alignment vertical="center"/>
    </xf>
    <xf numFmtId="0" fontId="13" fillId="0" borderId="0" xfId="3" applyFont="1" applyAlignment="1">
      <alignment horizontal="left" vertical="center" wrapText="1"/>
    </xf>
    <xf numFmtId="0" fontId="3" fillId="0" borderId="0" xfId="3"/>
    <xf numFmtId="14" fontId="13" fillId="3" borderId="1" xfId="3" applyNumberFormat="1" applyFont="1" applyFill="1" applyBorder="1" applyAlignment="1">
      <alignment horizontal="center" vertical="center" wrapText="1"/>
    </xf>
    <xf numFmtId="0" fontId="13" fillId="4" borderId="1" xfId="3" applyFont="1" applyFill="1" applyBorder="1" applyAlignment="1" applyProtection="1">
      <alignment horizontal="center" vertical="center" wrapText="1"/>
      <protection locked="0"/>
    </xf>
    <xf numFmtId="0" fontId="3" fillId="3" borderId="1" xfId="3" applyFill="1" applyBorder="1" applyAlignment="1">
      <alignment vertical="center"/>
    </xf>
    <xf numFmtId="0" fontId="13" fillId="3" borderId="2" xfId="3" applyFont="1" applyFill="1" applyBorder="1" applyAlignment="1">
      <alignment horizontal="center" vertical="center" wrapText="1"/>
    </xf>
    <xf numFmtId="0" fontId="3" fillId="2" borderId="1" xfId="3" applyFill="1" applyBorder="1" applyProtection="1">
      <protection locked="0"/>
    </xf>
    <xf numFmtId="0" fontId="3" fillId="3" borderId="1" xfId="3" applyFill="1" applyBorder="1"/>
    <xf numFmtId="0" fontId="3" fillId="0" borderId="1" xfId="3" applyBorder="1" applyProtection="1">
      <protection locked="0"/>
    </xf>
    <xf numFmtId="0" fontId="13" fillId="0" borderId="1" xfId="3" applyFont="1" applyBorder="1" applyAlignment="1" applyProtection="1">
      <alignment horizontal="left" vertical="center" wrapText="1"/>
      <protection locked="0"/>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1" applyFont="1" applyBorder="1" applyAlignment="1">
      <alignment vertical="center" wrapText="1"/>
    </xf>
    <xf numFmtId="0" fontId="3" fillId="5" borderId="0" xfId="1" applyFill="1">
      <alignment vertical="center"/>
    </xf>
    <xf numFmtId="2" fontId="3" fillId="0" borderId="0" xfId="1" applyNumberFormat="1">
      <alignment vertical="center"/>
    </xf>
    <xf numFmtId="2" fontId="17" fillId="0" borderId="1" xfId="1" applyNumberFormat="1" applyFont="1" applyBorder="1" applyAlignment="1">
      <alignment horizontal="center" vertical="center" wrapText="1"/>
    </xf>
    <xf numFmtId="0" fontId="15" fillId="0" borderId="0" xfId="1" applyFont="1">
      <alignment vertical="center"/>
    </xf>
    <xf numFmtId="177" fontId="17" fillId="0" borderId="1" xfId="1" applyNumberFormat="1" applyFont="1" applyBorder="1" applyAlignment="1">
      <alignment horizontal="center" vertical="center" wrapText="1"/>
    </xf>
    <xf numFmtId="0" fontId="11" fillId="0" borderId="1" xfId="1" applyFont="1" applyBorder="1" applyAlignment="1">
      <alignment vertical="center" wrapText="1"/>
    </xf>
    <xf numFmtId="0" fontId="5" fillId="0" borderId="1" xfId="1" applyFont="1" applyBorder="1" applyAlignment="1">
      <alignment vertical="center" wrapText="1"/>
    </xf>
    <xf numFmtId="0" fontId="18" fillId="0" borderId="1" xfId="1" applyFont="1" applyBorder="1" applyAlignment="1">
      <alignment vertical="center" wrapText="1"/>
    </xf>
    <xf numFmtId="10" fontId="15" fillId="2" borderId="0" xfId="1" applyNumberFormat="1" applyFont="1" applyFill="1">
      <alignment vertical="center"/>
    </xf>
    <xf numFmtId="0" fontId="15" fillId="2" borderId="0" xfId="1" applyFont="1" applyFill="1" applyAlignment="1">
      <alignment vertical="center" wrapText="1"/>
    </xf>
    <xf numFmtId="179" fontId="17" fillId="0" borderId="1" xfId="1" applyNumberFormat="1" applyFont="1" applyBorder="1" applyAlignment="1">
      <alignment horizontal="center" vertical="center" wrapText="1"/>
    </xf>
    <xf numFmtId="10" fontId="3" fillId="0" borderId="0" xfId="1" applyNumberFormat="1">
      <alignment vertical="center"/>
    </xf>
    <xf numFmtId="1" fontId="3" fillId="0" borderId="0" xfId="1" applyNumberFormat="1">
      <alignment vertical="center"/>
    </xf>
    <xf numFmtId="178" fontId="3" fillId="0" borderId="0" xfId="1" applyNumberFormat="1">
      <alignment vertical="center"/>
    </xf>
    <xf numFmtId="0" fontId="6" fillId="0" borderId="0" xfId="2" applyFont="1" applyAlignment="1">
      <alignment horizontal="center" vertical="center" wrapText="1"/>
    </xf>
    <xf numFmtId="180" fontId="3" fillId="0" borderId="0" xfId="1" applyNumberFormat="1">
      <alignment vertical="center"/>
    </xf>
    <xf numFmtId="10" fontId="6" fillId="0" borderId="1" xfId="2" applyNumberFormat="1" applyFont="1" applyBorder="1" applyAlignment="1">
      <alignment horizontal="center" vertical="center" wrapText="1"/>
    </xf>
    <xf numFmtId="0" fontId="20" fillId="0" borderId="0" xfId="0" applyFont="1"/>
    <xf numFmtId="14" fontId="0" fillId="0" borderId="0" xfId="0" applyNumberFormat="1"/>
    <xf numFmtId="0" fontId="7" fillId="0" borderId="1" xfId="2" applyFont="1" applyBorder="1" applyAlignment="1">
      <alignment horizontal="center" vertical="center"/>
    </xf>
    <xf numFmtId="0" fontId="5" fillId="0" borderId="1" xfId="2" applyFont="1" applyBorder="1" applyAlignment="1">
      <alignment horizontal="center" vertical="center" wrapText="1"/>
    </xf>
    <xf numFmtId="0" fontId="10" fillId="0" borderId="0" xfId="1" applyFont="1" applyAlignment="1">
      <alignment horizontal="center"/>
    </xf>
    <xf numFmtId="0" fontId="5" fillId="0" borderId="5" xfId="2" applyFont="1" applyBorder="1" applyAlignment="1">
      <alignment horizontal="center" vertical="center" wrapText="1"/>
    </xf>
    <xf numFmtId="0" fontId="5" fillId="0" borderId="9" xfId="2" applyFont="1" applyBorder="1" applyAlignment="1">
      <alignment horizontal="center" vertical="center" wrapText="1"/>
    </xf>
    <xf numFmtId="0" fontId="11" fillId="0" borderId="5" xfId="2" applyFont="1" applyBorder="1" applyAlignment="1">
      <alignment horizontal="center" vertical="center" wrapText="1"/>
    </xf>
    <xf numFmtId="179" fontId="5" fillId="0" borderId="5" xfId="2" applyNumberFormat="1" applyFont="1" applyBorder="1" applyAlignment="1">
      <alignment horizontal="center" vertical="center" wrapText="1"/>
    </xf>
    <xf numFmtId="179" fontId="5" fillId="0" borderId="9" xfId="2" applyNumberFormat="1" applyFont="1" applyBorder="1" applyAlignment="1">
      <alignment horizontal="center" vertical="center" wrapText="1"/>
    </xf>
    <xf numFmtId="0" fontId="6" fillId="0" borderId="5" xfId="2" applyFont="1" applyBorder="1" applyAlignment="1">
      <alignment horizontal="center" vertical="center" wrapText="1"/>
    </xf>
    <xf numFmtId="0" fontId="5" fillId="0" borderId="1" xfId="2" applyFont="1" applyBorder="1" applyAlignment="1">
      <alignment vertical="center" wrapText="1"/>
    </xf>
    <xf numFmtId="179" fontId="5" fillId="0" borderId="1" xfId="2" applyNumberFormat="1" applyFont="1" applyBorder="1" applyAlignment="1">
      <alignment horizontal="center" vertical="center" wrapText="1"/>
    </xf>
    <xf numFmtId="0" fontId="5" fillId="0" borderId="0" xfId="2" applyFont="1" applyAlignment="1">
      <alignment horizontal="left"/>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cellXfs>
  <cellStyles count="7">
    <cellStyle name="常规" xfId="0" builtinId="0"/>
    <cellStyle name="常规 2" xfId="1" xr:uid="{00000000-0005-0000-0000-000002000000}"/>
    <cellStyle name="常规 3" xfId="2" xr:uid="{00000000-0005-0000-0000-000003000000}"/>
    <cellStyle name="常规 4" xfId="5" xr:uid="{43076F58-6D11-47F8-9169-F912D483D3A4}"/>
    <cellStyle name="常规 5" xfId="6" xr:uid="{5A773A94-26BF-4C60-9EFD-D61101FEEA7D}"/>
    <cellStyle name="常规 63" xfId="4" xr:uid="{00000000-0005-0000-0000-000004000000}"/>
    <cellStyle name="常规 9" xfId="3" xr:uid="{00000000-0005-0000-0000-00000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293686</xdr:colOff>
      <xdr:row>16</xdr:row>
      <xdr:rowOff>9162</xdr:rowOff>
    </xdr:to>
    <xdr:pic>
      <xdr:nvPicPr>
        <xdr:cNvPr id="2" name="图片 1">
          <a:extLst>
            <a:ext uri="{FF2B5EF4-FFF2-40B4-BE49-F238E27FC236}">
              <a16:creationId xmlns:a16="http://schemas.microsoft.com/office/drawing/2014/main" id="{2FECF10A-EE08-4707-1622-CD6AECC5641F}"/>
            </a:ext>
          </a:extLst>
        </xdr:cNvPr>
        <xdr:cNvPicPr>
          <a:picLocks noChangeAspect="1"/>
        </xdr:cNvPicPr>
      </xdr:nvPicPr>
      <xdr:blipFill>
        <a:blip xmlns:r="http://schemas.openxmlformats.org/officeDocument/2006/relationships" r:embed="rId1"/>
        <a:stretch>
          <a:fillRect/>
        </a:stretch>
      </xdr:blipFill>
      <xdr:spPr>
        <a:xfrm>
          <a:off x="0" y="0"/>
          <a:ext cx="12714286" cy="29047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ll%20Users\Documents\&#30005;&#23376;&#29256;&#27979;&#31639;&#34920;\&#24050;&#23457;\&#26032;&#21271;&#20140;&#24066;&#38376;&#22836;&#27807;&#21306;&#27704;&#23450;&#38215;&#26361;&#21508;&#24196;&#26725;&#20849;&#26377;&#20135;&#26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楼层测算"/>
      <sheetName val="项目基本情况"/>
      <sheetName val="案例整理"/>
      <sheetName val="比较法 (住宅) 估价对象"/>
      <sheetName val="可比案例1比较法"/>
      <sheetName val="可比案例2比较法"/>
      <sheetName val="可比案例3比较法"/>
      <sheetName val="可比案例4"/>
      <sheetName val="Sheet1"/>
    </sheetNames>
    <sheetDataSet>
      <sheetData sheetId="0"/>
      <sheetData sheetId="1"/>
      <sheetData sheetId="2" refreshError="1"/>
      <sheetData sheetId="3" refreshError="1"/>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3"/>
  <sheetViews>
    <sheetView zoomScaleSheetLayoutView="100" workbookViewId="0">
      <selection activeCell="D14" sqref="D14"/>
    </sheetView>
  </sheetViews>
  <sheetFormatPr defaultColWidth="14.625" defaultRowHeight="14.25" x14ac:dyDescent="0.2"/>
  <cols>
    <col min="1" max="1" width="24.375" style="1" customWidth="1"/>
    <col min="2" max="16384" width="14.625" style="1"/>
  </cols>
  <sheetData>
    <row r="1" spans="1:9" ht="16.5" x14ac:dyDescent="0.2">
      <c r="A1" s="15" t="s">
        <v>31</v>
      </c>
      <c r="B1" s="16">
        <v>42194.79</v>
      </c>
      <c r="C1" s="17"/>
      <c r="D1" s="17"/>
      <c r="E1" s="17"/>
      <c r="F1" s="17"/>
      <c r="G1" s="18"/>
    </row>
    <row r="2" spans="1:9" ht="16.5" x14ac:dyDescent="0.2">
      <c r="A2" s="15" t="s">
        <v>32</v>
      </c>
      <c r="B2" s="15">
        <f>SUM(C14:C23)</f>
        <v>0</v>
      </c>
      <c r="C2" s="17"/>
      <c r="D2" s="17"/>
      <c r="E2" s="17"/>
      <c r="F2" s="17"/>
      <c r="G2" s="18"/>
    </row>
    <row r="3" spans="1:9" ht="33" x14ac:dyDescent="0.2">
      <c r="A3" s="15" t="s">
        <v>33</v>
      </c>
      <c r="B3" s="19" t="s">
        <v>59</v>
      </c>
      <c r="C3" s="17"/>
      <c r="D3" s="17"/>
      <c r="E3" s="17"/>
      <c r="F3" s="17"/>
      <c r="G3" s="18"/>
    </row>
    <row r="4" spans="1:9" ht="33" x14ac:dyDescent="0.2">
      <c r="A4" s="15" t="s">
        <v>34</v>
      </c>
      <c r="B4" s="15" t="s">
        <v>35</v>
      </c>
      <c r="C4" s="15" t="s">
        <v>36</v>
      </c>
      <c r="D4" s="15" t="s">
        <v>37</v>
      </c>
      <c r="E4" s="17"/>
      <c r="F4" s="18"/>
      <c r="G4" s="18"/>
    </row>
    <row r="5" spans="1:9" ht="16.5" x14ac:dyDescent="0.2">
      <c r="A5" s="15" t="s">
        <v>60</v>
      </c>
      <c r="B5" s="15">
        <f>SUM(D14:D23)</f>
        <v>2424.3407999999999</v>
      </c>
      <c r="C5" s="15">
        <f>ROUND(B5*10000/$B$1,0)</f>
        <v>575</v>
      </c>
      <c r="D5" s="15" t="e">
        <f>ROUND(B5*10000/$B$2,0)</f>
        <v>#DIV/0!</v>
      </c>
      <c r="E5" s="17"/>
      <c r="F5" s="18"/>
      <c r="G5" s="18"/>
    </row>
    <row r="6" spans="1:9" ht="16.5" x14ac:dyDescent="0.2">
      <c r="A6" s="15" t="s">
        <v>38</v>
      </c>
      <c r="B6" s="15">
        <f>SUM(D14:D23)</f>
        <v>2424.3407999999999</v>
      </c>
      <c r="C6" s="15">
        <f>ROUND(B6*10000/$B$1,0)</f>
        <v>575</v>
      </c>
      <c r="D6" s="15" t="e">
        <f>#N/A</f>
        <v>#N/A</v>
      </c>
      <c r="E6" s="17"/>
      <c r="F6" s="18"/>
      <c r="G6" s="18"/>
    </row>
    <row r="7" spans="1:9" ht="16.5" x14ac:dyDescent="0.2">
      <c r="A7" s="15" t="s">
        <v>39</v>
      </c>
      <c r="B7" s="15">
        <f>B5</f>
        <v>2424.3407999999999</v>
      </c>
      <c r="C7" s="15" t="e">
        <f>#N/A</f>
        <v>#N/A</v>
      </c>
      <c r="D7" s="15" t="e">
        <f>#N/A</f>
        <v>#N/A</v>
      </c>
      <c r="E7" s="17"/>
      <c r="F7" s="18"/>
      <c r="G7" s="18"/>
    </row>
    <row r="8" spans="1:9" ht="16.5" x14ac:dyDescent="0.2">
      <c r="A8" s="15" t="s">
        <v>40</v>
      </c>
      <c r="B8" s="15">
        <f>B5</f>
        <v>2424.3407999999999</v>
      </c>
      <c r="C8" s="15" t="e">
        <f>#N/A</f>
        <v>#N/A</v>
      </c>
      <c r="D8" s="15" t="e">
        <f>#N/A</f>
        <v>#N/A</v>
      </c>
      <c r="E8" s="17"/>
      <c r="F8" s="18"/>
      <c r="G8" s="18"/>
    </row>
    <row r="9" spans="1:9" ht="16.5" x14ac:dyDescent="0.2">
      <c r="A9" s="15" t="s">
        <v>41</v>
      </c>
      <c r="B9" s="20">
        <f>B5</f>
        <v>2424.3407999999999</v>
      </c>
      <c r="C9" s="17"/>
      <c r="D9" s="17"/>
      <c r="E9" s="17"/>
      <c r="F9" s="18"/>
      <c r="G9" s="18"/>
    </row>
    <row r="10" spans="1:9" ht="16.5" x14ac:dyDescent="0.2">
      <c r="A10" s="15" t="s">
        <v>42</v>
      </c>
      <c r="B10" s="20">
        <f>B5</f>
        <v>2424.3407999999999</v>
      </c>
      <c r="C10" s="17"/>
      <c r="D10" s="17"/>
      <c r="E10" s="17"/>
      <c r="F10" s="18"/>
      <c r="G10" s="18"/>
    </row>
    <row r="11" spans="1:9" ht="16.5" x14ac:dyDescent="0.2">
      <c r="A11" s="15" t="s">
        <v>43</v>
      </c>
      <c r="B11" s="20">
        <f>B5</f>
        <v>2424.3407999999999</v>
      </c>
      <c r="C11" s="17"/>
      <c r="D11" s="17"/>
      <c r="E11" s="17"/>
      <c r="F11" s="18"/>
      <c r="G11" s="18"/>
    </row>
    <row r="12" spans="1:9" ht="16.5" x14ac:dyDescent="0.2">
      <c r="A12" s="17"/>
      <c r="B12" s="17"/>
      <c r="C12" s="17"/>
      <c r="D12" s="17"/>
      <c r="E12" s="17"/>
      <c r="F12" s="18"/>
      <c r="G12" s="18"/>
    </row>
    <row r="13" spans="1:9" ht="33" x14ac:dyDescent="0.2">
      <c r="A13" s="21" t="s">
        <v>44</v>
      </c>
      <c r="B13" s="22" t="s">
        <v>31</v>
      </c>
      <c r="C13" s="22" t="s">
        <v>32</v>
      </c>
      <c r="D13" s="22" t="s">
        <v>45</v>
      </c>
      <c r="E13" s="15" t="s">
        <v>36</v>
      </c>
      <c r="F13" s="15" t="s">
        <v>37</v>
      </c>
      <c r="G13" s="22" t="s">
        <v>46</v>
      </c>
      <c r="H13" s="22" t="s">
        <v>47</v>
      </c>
      <c r="I13" s="22" t="s">
        <v>48</v>
      </c>
    </row>
    <row r="14" spans="1:9" ht="16.5" x14ac:dyDescent="0.2">
      <c r="A14" s="23" t="s">
        <v>49</v>
      </c>
      <c r="B14" s="22">
        <v>189</v>
      </c>
      <c r="C14" s="22">
        <v>0</v>
      </c>
      <c r="D14" s="22">
        <f>B14*E14/10000</f>
        <v>2424.3407999999999</v>
      </c>
      <c r="E14" s="22">
        <f>测算表!C28</f>
        <v>128272</v>
      </c>
      <c r="F14" s="22" t="e">
        <f>ROUND(D14*10000/C14,0)</f>
        <v>#DIV/0!</v>
      </c>
      <c r="G14" s="22">
        <v>0</v>
      </c>
      <c r="H14" s="22">
        <v>0</v>
      </c>
      <c r="I14" s="22">
        <v>0</v>
      </c>
    </row>
    <row r="15" spans="1:9" ht="16.5" x14ac:dyDescent="0.2">
      <c r="A15" s="24" t="s">
        <v>50</v>
      </c>
      <c r="B15" s="25"/>
      <c r="C15" s="25"/>
      <c r="D15" s="25"/>
      <c r="E15" s="22" t="e">
        <f t="shared" ref="E15:E23" si="0">ROUND(D15*10000/B15,0)</f>
        <v>#DIV/0!</v>
      </c>
      <c r="F15" s="22" t="e">
        <f t="shared" ref="F15:F23" si="1">ROUND(D15*10000/C15,0)</f>
        <v>#DIV/0!</v>
      </c>
      <c r="G15" s="26"/>
      <c r="H15" s="26"/>
      <c r="I15" s="25"/>
    </row>
    <row r="16" spans="1:9" ht="16.5" x14ac:dyDescent="0.2">
      <c r="A16" s="24" t="s">
        <v>51</v>
      </c>
      <c r="B16" s="25"/>
      <c r="C16" s="25"/>
      <c r="D16" s="25"/>
      <c r="E16" s="22" t="e">
        <f t="shared" si="0"/>
        <v>#DIV/0!</v>
      </c>
      <c r="F16" s="22" t="e">
        <f t="shared" si="1"/>
        <v>#DIV/0!</v>
      </c>
      <c r="G16" s="26"/>
      <c r="H16" s="26"/>
      <c r="I16" s="25"/>
    </row>
    <row r="17" spans="1:9" ht="16.5" x14ac:dyDescent="0.2">
      <c r="A17" s="24" t="s">
        <v>52</v>
      </c>
      <c r="B17" s="25"/>
      <c r="C17" s="25"/>
      <c r="D17" s="25"/>
      <c r="E17" s="22" t="e">
        <f t="shared" si="0"/>
        <v>#DIV/0!</v>
      </c>
      <c r="F17" s="22" t="e">
        <f t="shared" si="1"/>
        <v>#DIV/0!</v>
      </c>
      <c r="G17" s="26"/>
      <c r="H17" s="26"/>
      <c r="I17" s="25"/>
    </row>
    <row r="18" spans="1:9" ht="16.5" x14ac:dyDescent="0.2">
      <c r="A18" s="24" t="s">
        <v>53</v>
      </c>
      <c r="B18" s="25"/>
      <c r="C18" s="25"/>
      <c r="D18" s="25"/>
      <c r="E18" s="22" t="e">
        <f t="shared" si="0"/>
        <v>#DIV/0!</v>
      </c>
      <c r="F18" s="22" t="e">
        <f t="shared" si="1"/>
        <v>#DIV/0!</v>
      </c>
      <c r="G18" s="25"/>
      <c r="H18" s="25"/>
      <c r="I18" s="25"/>
    </row>
    <row r="19" spans="1:9" ht="16.5" x14ac:dyDescent="0.2">
      <c r="A19" s="24" t="s">
        <v>54</v>
      </c>
      <c r="B19" s="25"/>
      <c r="C19" s="25"/>
      <c r="D19" s="25"/>
      <c r="E19" s="22" t="e">
        <f t="shared" si="0"/>
        <v>#DIV/0!</v>
      </c>
      <c r="F19" s="22" t="e">
        <f t="shared" si="1"/>
        <v>#DIV/0!</v>
      </c>
      <c r="G19" s="25"/>
      <c r="H19" s="25"/>
      <c r="I19" s="25"/>
    </row>
    <row r="20" spans="1:9" ht="16.5" x14ac:dyDescent="0.2">
      <c r="A20" s="24" t="s">
        <v>55</v>
      </c>
      <c r="B20" s="25"/>
      <c r="C20" s="25"/>
      <c r="D20" s="25"/>
      <c r="E20" s="22" t="e">
        <f t="shared" si="0"/>
        <v>#DIV/0!</v>
      </c>
      <c r="F20" s="22" t="e">
        <f t="shared" si="1"/>
        <v>#DIV/0!</v>
      </c>
      <c r="G20" s="25"/>
      <c r="H20" s="25"/>
      <c r="I20" s="25"/>
    </row>
    <row r="21" spans="1:9" ht="16.5" x14ac:dyDescent="0.2">
      <c r="A21" s="24" t="s">
        <v>56</v>
      </c>
      <c r="B21" s="25"/>
      <c r="C21" s="25"/>
      <c r="D21" s="25"/>
      <c r="E21" s="22" t="e">
        <f t="shared" si="0"/>
        <v>#DIV/0!</v>
      </c>
      <c r="F21" s="22" t="e">
        <f t="shared" si="1"/>
        <v>#DIV/0!</v>
      </c>
      <c r="G21" s="25"/>
      <c r="H21" s="25"/>
      <c r="I21" s="25"/>
    </row>
    <row r="22" spans="1:9" ht="16.5" x14ac:dyDescent="0.2">
      <c r="A22" s="24" t="s">
        <v>57</v>
      </c>
      <c r="B22" s="25"/>
      <c r="C22" s="25"/>
      <c r="D22" s="25"/>
      <c r="E22" s="22" t="e">
        <f t="shared" si="0"/>
        <v>#DIV/0!</v>
      </c>
      <c r="F22" s="22" t="e">
        <f t="shared" si="1"/>
        <v>#DIV/0!</v>
      </c>
      <c r="G22" s="25"/>
      <c r="H22" s="25"/>
      <c r="I22" s="25"/>
    </row>
    <row r="23" spans="1:9" ht="16.5" x14ac:dyDescent="0.2">
      <c r="A23" s="24" t="s">
        <v>58</v>
      </c>
      <c r="B23" s="25"/>
      <c r="C23" s="25"/>
      <c r="D23" s="25"/>
      <c r="E23" s="15" t="e">
        <f t="shared" si="0"/>
        <v>#DIV/0!</v>
      </c>
      <c r="F23" s="15" t="e">
        <f t="shared" si="1"/>
        <v>#DIV/0!</v>
      </c>
      <c r="G23" s="25"/>
      <c r="H23" s="25"/>
      <c r="I23" s="25"/>
    </row>
  </sheetData>
  <phoneticPr fontId="2" type="noConversion"/>
  <dataValidations count="1">
    <dataValidation type="list" imeMode="on" allowBlank="1" showInputMessage="1" showErrorMessage="1" sqref="A14" xr:uid="{00000000-0002-0000-0000-000000000000}">
      <formula1>"估价对象1（结果表）,估价对象1（结果表1修多）"</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topLeftCell="A10"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128</v>
      </c>
      <c r="E2" s="42"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129</v>
      </c>
      <c r="E4" s="30" t="e">
        <f>#REF!</f>
        <v>#REF!</v>
      </c>
      <c r="F4" s="1" t="e">
        <f>ROUND(E4*1.5*12,2)</f>
        <v>#REF!</v>
      </c>
    </row>
    <row r="5" spans="1:8" ht="24.75" x14ac:dyDescent="0.2">
      <c r="A5" s="28">
        <v>2.2000000000000002</v>
      </c>
      <c r="B5" s="27" t="s">
        <v>94</v>
      </c>
      <c r="C5" s="32" t="e">
        <f>ROUND(E5,2)</f>
        <v>#REF!</v>
      </c>
      <c r="D5" s="36" t="s">
        <v>130</v>
      </c>
      <c r="E5" s="31" t="e">
        <f>ROUND(4500*G5*0.1%*E4,2)</f>
        <v>#REF!</v>
      </c>
      <c r="F5" s="38">
        <v>1E-3</v>
      </c>
      <c r="G5" s="41" t="e">
        <f>#REF!</f>
        <v>#REF!</v>
      </c>
    </row>
    <row r="6" spans="1:8" ht="24.75" x14ac:dyDescent="0.2">
      <c r="A6" s="28">
        <v>2.2999999999999998</v>
      </c>
      <c r="B6" s="27" t="s">
        <v>95</v>
      </c>
      <c r="C6" s="28" t="e">
        <f>#REF!</f>
        <v>#REF!</v>
      </c>
      <c r="D6" s="36" t="s">
        <v>131</v>
      </c>
      <c r="E6" s="1" t="s">
        <v>85</v>
      </c>
      <c r="H6" s="33"/>
    </row>
    <row r="7" spans="1:8" x14ac:dyDescent="0.2">
      <c r="A7" s="28">
        <v>3</v>
      </c>
      <c r="B7" s="27" t="s">
        <v>96</v>
      </c>
      <c r="C7" s="28" t="e">
        <f>C8+C9+C10</f>
        <v>#REF!</v>
      </c>
      <c r="D7" s="36" t="s">
        <v>68</v>
      </c>
    </row>
    <row r="8" spans="1:8" ht="24.75" x14ac:dyDescent="0.2">
      <c r="A8" s="28">
        <v>3.1</v>
      </c>
      <c r="B8" s="27" t="s">
        <v>97</v>
      </c>
      <c r="C8" s="28" t="e">
        <f>E8</f>
        <v>#REF!</v>
      </c>
      <c r="D8" s="35" t="s">
        <v>154</v>
      </c>
      <c r="E8" s="1" t="e">
        <f>ROUND(59.83*12*E4*2%,2)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134</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topLeftCell="A7" workbookViewId="0">
      <selection activeCell="D9" sqref="D9"/>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135</v>
      </c>
      <c r="E2" s="43"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136</v>
      </c>
      <c r="E4" s="30" t="e">
        <f>#REF!</f>
        <v>#REF!</v>
      </c>
      <c r="F4" s="1" t="e">
        <f>ROUND(E4*1.5*12,2)</f>
        <v>#REF!</v>
      </c>
    </row>
    <row r="5" spans="1:8" ht="24.75" x14ac:dyDescent="0.2">
      <c r="A5" s="28">
        <v>2.2000000000000002</v>
      </c>
      <c r="B5" s="27" t="s">
        <v>94</v>
      </c>
      <c r="C5" s="32" t="e">
        <f>ROUND(E5,2)</f>
        <v>#REF!</v>
      </c>
      <c r="D5" s="36" t="s">
        <v>137</v>
      </c>
      <c r="E5" s="31" t="e">
        <f>ROUND(4500*G5*0.1%*E4,2)</f>
        <v>#REF!</v>
      </c>
      <c r="F5" s="38">
        <v>1E-3</v>
      </c>
      <c r="G5" s="41" t="e">
        <f>#REF!</f>
        <v>#REF!</v>
      </c>
    </row>
    <row r="6" spans="1:8" ht="24.75" x14ac:dyDescent="0.2">
      <c r="A6" s="28">
        <v>2.2999999999999998</v>
      </c>
      <c r="B6" s="27" t="s">
        <v>95</v>
      </c>
      <c r="C6" s="28" t="e">
        <f>#REF!</f>
        <v>#REF!</v>
      </c>
      <c r="D6" s="36" t="s">
        <v>138</v>
      </c>
      <c r="E6" s="1" t="s">
        <v>85</v>
      </c>
      <c r="H6" s="33"/>
    </row>
    <row r="7" spans="1:8" x14ac:dyDescent="0.2">
      <c r="A7" s="28">
        <v>3</v>
      </c>
      <c r="B7" s="27" t="s">
        <v>96</v>
      </c>
      <c r="C7" s="28" t="e">
        <f>C8+C9+C10</f>
        <v>#REF!</v>
      </c>
      <c r="D7" s="36" t="s">
        <v>68</v>
      </c>
    </row>
    <row r="8" spans="1:8" ht="24.75" x14ac:dyDescent="0.2">
      <c r="A8" s="28">
        <v>3.1</v>
      </c>
      <c r="B8" s="27" t="s">
        <v>97</v>
      </c>
      <c r="C8" s="28" t="e">
        <f>E8</f>
        <v>#REF!</v>
      </c>
      <c r="D8" s="35" t="s">
        <v>155</v>
      </c>
      <c r="E8" s="1" t="e">
        <f>ROUND(62.69*12*E4*2%,2)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139</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3.1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2.25" x14ac:dyDescent="0.2">
      <c r="A2" s="28">
        <v>1</v>
      </c>
      <c r="B2" s="27" t="s">
        <v>91</v>
      </c>
      <c r="C2" s="34" t="e">
        <f>F2</f>
        <v>#REF!</v>
      </c>
      <c r="D2" s="35" t="s">
        <v>141</v>
      </c>
      <c r="E2" s="43"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142</v>
      </c>
      <c r="E4" s="30" t="e">
        <f>#REF!</f>
        <v>#REF!</v>
      </c>
      <c r="F4" s="1" t="e">
        <f>ROUND(E4*1.5*12,2)</f>
        <v>#REF!</v>
      </c>
    </row>
    <row r="5" spans="1:8" ht="36.75" x14ac:dyDescent="0.2">
      <c r="A5" s="28">
        <v>2.2000000000000002</v>
      </c>
      <c r="B5" s="27" t="s">
        <v>94</v>
      </c>
      <c r="C5" s="32" t="e">
        <f>ROUND(E5,2)</f>
        <v>#REF!</v>
      </c>
      <c r="D5" s="36" t="s">
        <v>143</v>
      </c>
      <c r="E5" s="31" t="e">
        <f>ROUND(4000*G5*0.1%*E4,2)</f>
        <v>#REF!</v>
      </c>
      <c r="F5" s="38">
        <v>1E-3</v>
      </c>
      <c r="G5" s="41" t="e">
        <f>#REF!</f>
        <v>#REF!</v>
      </c>
    </row>
    <row r="6" spans="1:8" ht="24.75" x14ac:dyDescent="0.2">
      <c r="A6" s="28">
        <v>2.2999999999999998</v>
      </c>
      <c r="B6" s="27" t="s">
        <v>95</v>
      </c>
      <c r="C6" s="28" t="e">
        <f>#REF!</f>
        <v>#REF!</v>
      </c>
      <c r="D6" s="36" t="s">
        <v>144</v>
      </c>
      <c r="E6" s="1" t="s">
        <v>85</v>
      </c>
      <c r="H6" s="33"/>
    </row>
    <row r="7" spans="1:8" x14ac:dyDescent="0.2">
      <c r="A7" s="28">
        <v>3</v>
      </c>
      <c r="B7" s="27" t="s">
        <v>96</v>
      </c>
      <c r="C7" s="28" t="e">
        <f>C8+C9+C10</f>
        <v>#REF!</v>
      </c>
      <c r="D7" s="36" t="s">
        <v>68</v>
      </c>
    </row>
    <row r="8" spans="1:8" ht="24.75" x14ac:dyDescent="0.2">
      <c r="A8" s="28">
        <v>3.1</v>
      </c>
      <c r="B8" s="27" t="s">
        <v>97</v>
      </c>
      <c r="C8" s="28" t="e">
        <f>E8</f>
        <v>#REF!</v>
      </c>
      <c r="D8" s="35" t="s">
        <v>156</v>
      </c>
      <c r="E8" s="1" t="e">
        <f>ROUND(54.76*12*E4*2%,2)</f>
        <v>#REF!</v>
      </c>
    </row>
    <row r="9" spans="1:8" ht="38.25" customHeight="1" x14ac:dyDescent="0.2">
      <c r="A9" s="28">
        <v>3.2</v>
      </c>
      <c r="B9" s="27" t="s">
        <v>98</v>
      </c>
      <c r="C9" s="28">
        <v>0</v>
      </c>
      <c r="D9" s="35" t="s">
        <v>146</v>
      </c>
      <c r="E9" s="1" t="e">
        <f>ROUND(E2*0.7*4.2%*0.9,2)</f>
        <v>#REF!</v>
      </c>
      <c r="F9" s="1">
        <f>4.2%*0.9</f>
        <v>3.78E-2</v>
      </c>
      <c r="G9" s="39" t="s">
        <v>87</v>
      </c>
    </row>
    <row r="10" spans="1:8" ht="57" x14ac:dyDescent="0.2">
      <c r="A10" s="28">
        <v>3.3</v>
      </c>
      <c r="B10" s="27" t="s">
        <v>99</v>
      </c>
      <c r="C10" s="28" t="e">
        <f>ROUND((C2)*3%,2)</f>
        <v>#REF!</v>
      </c>
      <c r="D10" s="35" t="s">
        <v>145</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D2" sqref="D2"/>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6" width="10.25" style="1" customWidth="1"/>
    <col min="7" max="8" width="11" style="1" customWidth="1"/>
    <col min="9" max="16384" width="22.875" style="1"/>
  </cols>
  <sheetData>
    <row r="1" spans="1:8" x14ac:dyDescent="0.2">
      <c r="A1" s="27" t="s">
        <v>0</v>
      </c>
      <c r="B1" s="27" t="s">
        <v>64</v>
      </c>
      <c r="C1" s="27" t="s">
        <v>65</v>
      </c>
      <c r="D1" s="27" t="s">
        <v>66</v>
      </c>
    </row>
    <row r="2" spans="1:8" ht="135" x14ac:dyDescent="0.2">
      <c r="A2" s="28">
        <v>1</v>
      </c>
      <c r="B2" s="27" t="s">
        <v>72</v>
      </c>
      <c r="C2" s="34" t="e">
        <f>F2</f>
        <v>#REF!</v>
      </c>
      <c r="D2" s="35" t="s">
        <v>105</v>
      </c>
      <c r="E2" s="1" t="e">
        <f>#REF!</f>
        <v>#REF!</v>
      </c>
      <c r="F2" s="14" t="e">
        <f>#REF!</f>
        <v>#REF!</v>
      </c>
    </row>
    <row r="3" spans="1:8" x14ac:dyDescent="0.2">
      <c r="A3" s="28">
        <v>2</v>
      </c>
      <c r="B3" s="27" t="s">
        <v>73</v>
      </c>
      <c r="C3" s="28" t="e">
        <f>C4+C5+C6</f>
        <v>#REF!</v>
      </c>
      <c r="D3" s="36" t="s">
        <v>67</v>
      </c>
    </row>
    <row r="4" spans="1:8" ht="38.25" x14ac:dyDescent="0.2">
      <c r="A4" s="28">
        <v>2.1</v>
      </c>
      <c r="B4" s="27" t="s">
        <v>74</v>
      </c>
      <c r="C4" s="34">
        <f>F4</f>
        <v>75.95</v>
      </c>
      <c r="D4" s="36" t="s">
        <v>83</v>
      </c>
      <c r="E4" s="30">
        <v>42194.79</v>
      </c>
      <c r="F4" s="1">
        <f>ROUND(E4*1.5*12/10000,2)</f>
        <v>75.95</v>
      </c>
    </row>
    <row r="5" spans="1:8" ht="135.75" x14ac:dyDescent="0.2">
      <c r="A5" s="28">
        <v>2.2000000000000002</v>
      </c>
      <c r="B5" s="27" t="s">
        <v>75</v>
      </c>
      <c r="C5" s="32">
        <f>ROUND(E5,2)</f>
        <v>2.4</v>
      </c>
      <c r="D5" s="37" t="s">
        <v>89</v>
      </c>
      <c r="E5" s="31">
        <f>ROUND(24013.73*0.01%,2)</f>
        <v>2.4</v>
      </c>
      <c r="F5" s="38">
        <v>1E-3</v>
      </c>
    </row>
    <row r="6" spans="1:8" ht="24" x14ac:dyDescent="0.2">
      <c r="A6" s="28">
        <v>2.2999999999999998</v>
      </c>
      <c r="B6" s="27" t="s">
        <v>76</v>
      </c>
      <c r="C6" s="28" t="e">
        <f>#REF!</f>
        <v>#REF!</v>
      </c>
      <c r="D6" s="35" t="s">
        <v>82</v>
      </c>
      <c r="E6" s="1" t="s">
        <v>85</v>
      </c>
      <c r="H6" s="33"/>
    </row>
    <row r="7" spans="1:8" x14ac:dyDescent="0.2">
      <c r="A7" s="28">
        <v>3</v>
      </c>
      <c r="B7" s="27" t="s">
        <v>77</v>
      </c>
      <c r="C7" s="28" t="e">
        <f>C8+C9+C10</f>
        <v>#REF!</v>
      </c>
      <c r="D7" s="36" t="s">
        <v>68</v>
      </c>
    </row>
    <row r="8" spans="1:8" ht="24.75" x14ac:dyDescent="0.2">
      <c r="A8" s="28">
        <v>3.1</v>
      </c>
      <c r="B8" s="27" t="s">
        <v>78</v>
      </c>
      <c r="C8" s="28">
        <f>E8</f>
        <v>58.09</v>
      </c>
      <c r="D8" s="35" t="s">
        <v>84</v>
      </c>
      <c r="E8" s="1">
        <f>ROUND(57.36*12*E4*2%/10000,2)</f>
        <v>58.09</v>
      </c>
    </row>
    <row r="9" spans="1:8" ht="57" x14ac:dyDescent="0.2">
      <c r="A9" s="28">
        <v>3.2</v>
      </c>
      <c r="B9" s="27" t="s">
        <v>79</v>
      </c>
      <c r="C9" s="28">
        <v>0</v>
      </c>
      <c r="D9" s="35" t="s">
        <v>90</v>
      </c>
      <c r="E9" s="1" t="e">
        <f>ROUND(E2*0.7*4.2%*0.9,2)</f>
        <v>#REF!</v>
      </c>
      <c r="F9" s="1">
        <f>4.2%*0.9</f>
        <v>3.78E-2</v>
      </c>
      <c r="G9" s="39" t="s">
        <v>87</v>
      </c>
    </row>
    <row r="10" spans="1:8" ht="57" x14ac:dyDescent="0.2">
      <c r="A10" s="28">
        <v>3.3</v>
      </c>
      <c r="B10" s="27" t="s">
        <v>80</v>
      </c>
      <c r="C10" s="28" t="e">
        <f>ROUND((C2)*3%,2)</f>
        <v>#REF!</v>
      </c>
      <c r="D10" s="35" t="s">
        <v>88</v>
      </c>
      <c r="E10" s="39" t="s">
        <v>86</v>
      </c>
    </row>
    <row r="11" spans="1:8" ht="20.25" customHeight="1" x14ac:dyDescent="0.2">
      <c r="A11" s="28">
        <v>4</v>
      </c>
      <c r="B11" s="27" t="s">
        <v>81</v>
      </c>
      <c r="C11" s="34" t="e">
        <f>C2+C3+C7</f>
        <v>#REF!</v>
      </c>
      <c r="D11" s="29" t="s">
        <v>69</v>
      </c>
    </row>
    <row r="12" spans="1:8" ht="25.5" x14ac:dyDescent="0.2">
      <c r="A12" s="28">
        <v>5</v>
      </c>
      <c r="B12" s="27" t="s">
        <v>70</v>
      </c>
      <c r="C12" s="28" t="e">
        <f>ROUND(C11*10000/E4/12,2)</f>
        <v>#REF!</v>
      </c>
      <c r="D12" s="29" t="s">
        <v>71</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K38"/>
  <sheetViews>
    <sheetView tabSelected="1" topLeftCell="A7" zoomScaleSheetLayoutView="100" workbookViewId="0">
      <selection activeCell="G21" sqref="G21:H21"/>
    </sheetView>
  </sheetViews>
  <sheetFormatPr defaultColWidth="9" defaultRowHeight="14.25" x14ac:dyDescent="0.2"/>
  <cols>
    <col min="1" max="2" width="9" style="1"/>
    <col min="3" max="3" width="22.25" style="1" customWidth="1"/>
    <col min="4" max="4" width="4.875" style="1" customWidth="1"/>
    <col min="5" max="5" width="21.125" style="1" customWidth="1"/>
    <col min="6" max="6" width="5.5" style="1" customWidth="1"/>
    <col min="7" max="7" width="20.5" style="1" customWidth="1"/>
    <col min="8" max="8" width="7.125" style="1" customWidth="1"/>
    <col min="9" max="9" width="21.5" style="1" customWidth="1"/>
    <col min="10" max="10" width="7.125" style="1" customWidth="1"/>
    <col min="11" max="16384" width="9" style="1"/>
  </cols>
  <sheetData>
    <row r="1" spans="1:11" x14ac:dyDescent="0.15">
      <c r="A1" s="51" t="s">
        <v>28</v>
      </c>
      <c r="B1" s="51"/>
      <c r="C1" s="51"/>
      <c r="D1" s="51"/>
      <c r="E1" s="51"/>
      <c r="F1" s="51"/>
      <c r="G1" s="51"/>
      <c r="H1" s="51"/>
    </row>
    <row r="2" spans="1:11" x14ac:dyDescent="0.15">
      <c r="A2" s="13"/>
      <c r="B2" s="13"/>
      <c r="C2" s="13"/>
      <c r="D2" s="13"/>
      <c r="E2" s="13"/>
      <c r="F2" s="13"/>
      <c r="G2" s="13"/>
      <c r="H2" s="13"/>
      <c r="I2" s="13"/>
      <c r="J2" s="13"/>
    </row>
    <row r="3" spans="1:11" x14ac:dyDescent="0.2">
      <c r="A3" s="52" t="s">
        <v>27</v>
      </c>
      <c r="B3" s="53"/>
      <c r="C3" s="50" t="s">
        <v>26</v>
      </c>
      <c r="D3" s="50"/>
      <c r="E3" s="50" t="s">
        <v>25</v>
      </c>
      <c r="F3" s="50"/>
      <c r="G3" s="50" t="s">
        <v>24</v>
      </c>
      <c r="H3" s="50"/>
      <c r="I3" s="50" t="s">
        <v>23</v>
      </c>
      <c r="J3" s="50"/>
    </row>
    <row r="4" spans="1:11" x14ac:dyDescent="0.2">
      <c r="A4" s="50" t="s">
        <v>22</v>
      </c>
      <c r="B4" s="50"/>
      <c r="C4" s="57" t="s">
        <v>176</v>
      </c>
      <c r="D4" s="53"/>
      <c r="E4" s="54" t="s">
        <v>177</v>
      </c>
      <c r="F4" s="53"/>
      <c r="G4" s="54" t="s">
        <v>177</v>
      </c>
      <c r="H4" s="53"/>
      <c r="I4" s="54" t="s">
        <v>177</v>
      </c>
      <c r="J4" s="53"/>
    </row>
    <row r="5" spans="1:11" ht="30" customHeight="1" x14ac:dyDescent="0.2">
      <c r="A5" s="50" t="s">
        <v>21</v>
      </c>
      <c r="B5" s="50"/>
      <c r="C5" s="52" t="s">
        <v>20</v>
      </c>
      <c r="D5" s="53"/>
      <c r="E5" s="55">
        <f>案例!G20</f>
        <v>137380</v>
      </c>
      <c r="F5" s="56"/>
      <c r="G5" s="55">
        <f>案例!G21</f>
        <v>122594</v>
      </c>
      <c r="H5" s="56"/>
      <c r="I5" s="55">
        <f>案例!G22</f>
        <v>124127</v>
      </c>
      <c r="J5" s="56"/>
    </row>
    <row r="6" spans="1:11" x14ac:dyDescent="0.2">
      <c r="A6" s="50" t="s">
        <v>19</v>
      </c>
      <c r="B6" s="50"/>
      <c r="C6" s="12">
        <v>45384</v>
      </c>
      <c r="D6" s="11">
        <v>100</v>
      </c>
      <c r="E6" s="12">
        <f>案例!H20</f>
        <v>45103</v>
      </c>
      <c r="F6" s="49">
        <v>101</v>
      </c>
      <c r="G6" s="12">
        <f>案例!H21</f>
        <v>45013</v>
      </c>
      <c r="H6" s="49">
        <v>100.5</v>
      </c>
      <c r="I6" s="12">
        <f>案例!H22</f>
        <v>44936</v>
      </c>
      <c r="J6" s="49">
        <v>100.5</v>
      </c>
    </row>
    <row r="7" spans="1:11" x14ac:dyDescent="0.2">
      <c r="A7" s="50" t="s">
        <v>18</v>
      </c>
      <c r="B7" s="50"/>
      <c r="C7" s="8" t="s">
        <v>17</v>
      </c>
      <c r="D7" s="8">
        <v>100</v>
      </c>
      <c r="E7" s="8" t="s">
        <v>17</v>
      </c>
      <c r="F7" s="8">
        <v>100</v>
      </c>
      <c r="G7" s="7" t="s">
        <v>183</v>
      </c>
      <c r="H7" s="8">
        <f>IF(G7=C7,100,"请调整")</f>
        <v>100</v>
      </c>
      <c r="I7" s="8" t="s">
        <v>17</v>
      </c>
      <c r="J7" s="8">
        <f>IF(I7=G7,100,"请调整")</f>
        <v>100</v>
      </c>
    </row>
    <row r="8" spans="1:11" ht="24" x14ac:dyDescent="0.2">
      <c r="A8" s="61" t="s">
        <v>16</v>
      </c>
      <c r="B8" s="7" t="s">
        <v>15</v>
      </c>
      <c r="C8" s="7" t="s">
        <v>172</v>
      </c>
      <c r="D8" s="8">
        <v>100</v>
      </c>
      <c r="E8" s="7" t="s">
        <v>172</v>
      </c>
      <c r="F8" s="8">
        <v>100</v>
      </c>
      <c r="G8" s="7" t="s">
        <v>172</v>
      </c>
      <c r="H8" s="8">
        <v>100</v>
      </c>
      <c r="I8" s="7" t="s">
        <v>172</v>
      </c>
      <c r="J8" s="8">
        <v>100</v>
      </c>
      <c r="K8" s="10">
        <v>5</v>
      </c>
    </row>
    <row r="9" spans="1:11" x14ac:dyDescent="0.2">
      <c r="A9" s="62"/>
      <c r="B9" s="7" t="s">
        <v>14</v>
      </c>
      <c r="C9" s="7" t="s">
        <v>174</v>
      </c>
      <c r="D9" s="8">
        <v>100</v>
      </c>
      <c r="E9" s="7" t="s">
        <v>174</v>
      </c>
      <c r="F9" s="8">
        <v>100</v>
      </c>
      <c r="G9" s="7" t="s">
        <v>174</v>
      </c>
      <c r="H9" s="8">
        <v>100</v>
      </c>
      <c r="I9" s="7" t="s">
        <v>174</v>
      </c>
      <c r="J9" s="8">
        <v>100</v>
      </c>
      <c r="K9" s="10">
        <v>1</v>
      </c>
    </row>
    <row r="10" spans="1:11" x14ac:dyDescent="0.2">
      <c r="A10" s="62"/>
      <c r="B10" s="7" t="s">
        <v>13</v>
      </c>
      <c r="C10" s="7" t="s">
        <v>174</v>
      </c>
      <c r="D10" s="8">
        <v>100</v>
      </c>
      <c r="E10" s="7" t="s">
        <v>174</v>
      </c>
      <c r="F10" s="8">
        <v>100</v>
      </c>
      <c r="G10" s="7" t="s">
        <v>174</v>
      </c>
      <c r="H10" s="8">
        <v>100</v>
      </c>
      <c r="I10" s="7" t="s">
        <v>174</v>
      </c>
      <c r="J10" s="8">
        <v>100</v>
      </c>
      <c r="K10" s="9">
        <v>2</v>
      </c>
    </row>
    <row r="11" spans="1:11" x14ac:dyDescent="0.2">
      <c r="A11" s="62"/>
      <c r="B11" s="7" t="s">
        <v>12</v>
      </c>
      <c r="C11" s="7" t="s">
        <v>174</v>
      </c>
      <c r="D11" s="8">
        <v>100</v>
      </c>
      <c r="E11" s="7" t="s">
        <v>174</v>
      </c>
      <c r="F11" s="8">
        <v>100</v>
      </c>
      <c r="G11" s="7" t="s">
        <v>174</v>
      </c>
      <c r="H11" s="8">
        <v>100</v>
      </c>
      <c r="I11" s="7" t="s">
        <v>174</v>
      </c>
      <c r="J11" s="8">
        <v>100</v>
      </c>
      <c r="K11" s="10">
        <v>2</v>
      </c>
    </row>
    <row r="12" spans="1:11" x14ac:dyDescent="0.2">
      <c r="A12" s="63"/>
      <c r="B12" s="7" t="s">
        <v>11</v>
      </c>
      <c r="C12" s="7" t="s">
        <v>174</v>
      </c>
      <c r="D12" s="8">
        <v>100</v>
      </c>
      <c r="E12" s="7" t="s">
        <v>174</v>
      </c>
      <c r="F12" s="8">
        <v>100</v>
      </c>
      <c r="G12" s="7" t="s">
        <v>174</v>
      </c>
      <c r="H12" s="8">
        <v>100</v>
      </c>
      <c r="I12" s="7" t="s">
        <v>174</v>
      </c>
      <c r="J12" s="8">
        <v>100</v>
      </c>
      <c r="K12" s="5">
        <v>2</v>
      </c>
    </row>
    <row r="13" spans="1:11" ht="24" x14ac:dyDescent="0.2">
      <c r="A13" s="64" t="s">
        <v>10</v>
      </c>
      <c r="B13" s="7" t="s">
        <v>9</v>
      </c>
      <c r="C13" s="7" t="s">
        <v>61</v>
      </c>
      <c r="D13" s="8">
        <v>100</v>
      </c>
      <c r="E13" s="8" t="s">
        <v>8</v>
      </c>
      <c r="F13" s="8">
        <v>100</v>
      </c>
      <c r="G13" s="8" t="s">
        <v>8</v>
      </c>
      <c r="H13" s="8">
        <v>100</v>
      </c>
      <c r="I13" s="8" t="s">
        <v>8</v>
      </c>
      <c r="J13" s="8">
        <v>100</v>
      </c>
      <c r="K13" s="5">
        <v>2</v>
      </c>
    </row>
    <row r="14" spans="1:11" x14ac:dyDescent="0.2">
      <c r="A14" s="65"/>
      <c r="B14" s="7" t="s">
        <v>158</v>
      </c>
      <c r="C14" s="7" t="s">
        <v>157</v>
      </c>
      <c r="D14" s="8">
        <v>100</v>
      </c>
      <c r="E14" s="7" t="str">
        <f>案例!F20</f>
        <v>低楼层</v>
      </c>
      <c r="F14" s="6">
        <v>98</v>
      </c>
      <c r="G14" s="7" t="str">
        <f>案例!F21</f>
        <v>中楼层</v>
      </c>
      <c r="H14" s="8">
        <v>100</v>
      </c>
      <c r="I14" s="7" t="str">
        <f>案例!F22</f>
        <v>高楼层</v>
      </c>
      <c r="J14" s="6">
        <v>102</v>
      </c>
      <c r="K14" s="5">
        <v>1</v>
      </c>
    </row>
    <row r="15" spans="1:11" x14ac:dyDescent="0.2">
      <c r="A15" s="65"/>
      <c r="B15" s="7" t="s">
        <v>7</v>
      </c>
      <c r="C15" s="7" t="s">
        <v>181</v>
      </c>
      <c r="D15" s="8">
        <v>100</v>
      </c>
      <c r="E15" s="7" t="s">
        <v>181</v>
      </c>
      <c r="F15" s="8">
        <v>100</v>
      </c>
      <c r="G15" s="7" t="s">
        <v>181</v>
      </c>
      <c r="H15" s="8">
        <v>100</v>
      </c>
      <c r="I15" s="7" t="s">
        <v>181</v>
      </c>
      <c r="J15" s="8">
        <v>100</v>
      </c>
      <c r="K15" s="44">
        <v>1</v>
      </c>
    </row>
    <row r="16" spans="1:11" x14ac:dyDescent="0.2">
      <c r="A16" s="65"/>
      <c r="B16" s="7" t="s">
        <v>29</v>
      </c>
      <c r="C16" s="7" t="s">
        <v>30</v>
      </c>
      <c r="D16" s="8">
        <v>100</v>
      </c>
      <c r="E16" s="7" t="s">
        <v>30</v>
      </c>
      <c r="F16" s="8">
        <v>100</v>
      </c>
      <c r="G16" s="7" t="s">
        <v>30</v>
      </c>
      <c r="H16" s="8">
        <f t="shared" ref="H16" si="0">F16</f>
        <v>100</v>
      </c>
      <c r="I16" s="7" t="s">
        <v>30</v>
      </c>
      <c r="J16" s="8">
        <f t="shared" ref="J16" si="1">H16</f>
        <v>100</v>
      </c>
      <c r="K16" s="44">
        <v>3</v>
      </c>
    </row>
    <row r="17" spans="1:11" ht="24" x14ac:dyDescent="0.2">
      <c r="A17" s="65"/>
      <c r="B17" s="7" t="s">
        <v>173</v>
      </c>
      <c r="C17" s="7" t="s">
        <v>170</v>
      </c>
      <c r="D17" s="8">
        <v>100</v>
      </c>
      <c r="E17" s="7" t="s">
        <v>170</v>
      </c>
      <c r="F17" s="8">
        <v>100</v>
      </c>
      <c r="G17" s="7" t="s">
        <v>170</v>
      </c>
      <c r="H17" s="8">
        <v>100</v>
      </c>
      <c r="I17" s="7" t="s">
        <v>170</v>
      </c>
      <c r="J17" s="8">
        <v>100</v>
      </c>
      <c r="K17" s="44">
        <v>1</v>
      </c>
    </row>
    <row r="18" spans="1:11" x14ac:dyDescent="0.2">
      <c r="A18" s="65"/>
      <c r="B18" s="7" t="s">
        <v>6</v>
      </c>
      <c r="C18" s="7" t="s">
        <v>175</v>
      </c>
      <c r="D18" s="8">
        <v>100</v>
      </c>
      <c r="E18" s="7" t="s">
        <v>175</v>
      </c>
      <c r="F18" s="8">
        <v>100</v>
      </c>
      <c r="G18" s="7" t="s">
        <v>175</v>
      </c>
      <c r="H18" s="8">
        <v>100</v>
      </c>
      <c r="I18" s="7" t="s">
        <v>175</v>
      </c>
      <c r="J18" s="8">
        <v>100</v>
      </c>
      <c r="K18" s="5">
        <v>1</v>
      </c>
    </row>
    <row r="19" spans="1:11" x14ac:dyDescent="0.2">
      <c r="A19" s="65"/>
      <c r="B19" s="7" t="s">
        <v>63</v>
      </c>
      <c r="C19" s="7">
        <v>50</v>
      </c>
      <c r="D19" s="8">
        <v>100</v>
      </c>
      <c r="E19" s="7">
        <f>案例!E20</f>
        <v>146.31</v>
      </c>
      <c r="F19" s="8">
        <v>100</v>
      </c>
      <c r="G19" s="7">
        <f>案例!E21</f>
        <v>146.38</v>
      </c>
      <c r="H19" s="8">
        <f>F19</f>
        <v>100</v>
      </c>
      <c r="I19" s="7">
        <f>案例!E22</f>
        <v>186.77</v>
      </c>
      <c r="J19" s="8">
        <f>F19</f>
        <v>100</v>
      </c>
      <c r="K19" s="5">
        <v>0.5</v>
      </c>
    </row>
    <row r="20" spans="1:11" x14ac:dyDescent="0.2">
      <c r="A20" s="65"/>
      <c r="B20" s="7" t="s">
        <v>101</v>
      </c>
      <c r="C20" s="46">
        <v>0.8</v>
      </c>
      <c r="D20" s="8">
        <v>100</v>
      </c>
      <c r="E20" s="46">
        <v>0.85</v>
      </c>
      <c r="F20" s="8">
        <v>100</v>
      </c>
      <c r="G20" s="46">
        <v>0.9</v>
      </c>
      <c r="H20" s="8">
        <v>100</v>
      </c>
      <c r="I20" s="46">
        <v>0.88</v>
      </c>
      <c r="J20" s="8">
        <v>100</v>
      </c>
      <c r="K20" s="5"/>
    </row>
    <row r="21" spans="1:11" x14ac:dyDescent="0.2">
      <c r="A21" s="65"/>
      <c r="B21" s="7" t="s">
        <v>5</v>
      </c>
      <c r="C21" s="7" t="s">
        <v>169</v>
      </c>
      <c r="D21" s="8">
        <v>100</v>
      </c>
      <c r="E21" s="7" t="s">
        <v>180</v>
      </c>
      <c r="F21" s="6">
        <v>98</v>
      </c>
      <c r="G21" s="7" t="s">
        <v>180</v>
      </c>
      <c r="H21" s="6">
        <v>98</v>
      </c>
      <c r="I21" s="7" t="s">
        <v>182</v>
      </c>
      <c r="J21" s="6">
        <v>102</v>
      </c>
      <c r="K21" s="5">
        <v>2</v>
      </c>
    </row>
    <row r="22" spans="1:11" ht="36" x14ac:dyDescent="0.2">
      <c r="A22" s="65"/>
      <c r="B22" s="7" t="s">
        <v>171</v>
      </c>
      <c r="C22" s="7" t="s">
        <v>172</v>
      </c>
      <c r="D22" s="8">
        <v>100</v>
      </c>
      <c r="E22" s="7" t="s">
        <v>172</v>
      </c>
      <c r="F22" s="8">
        <v>100</v>
      </c>
      <c r="G22" s="7" t="s">
        <v>172</v>
      </c>
      <c r="H22" s="8">
        <v>100</v>
      </c>
      <c r="I22" s="7" t="s">
        <v>172</v>
      </c>
      <c r="J22" s="8">
        <v>100</v>
      </c>
      <c r="K22" s="5">
        <v>0.2</v>
      </c>
    </row>
    <row r="23" spans="1:11" ht="36" hidden="1" x14ac:dyDescent="0.2">
      <c r="A23" s="65"/>
      <c r="B23" s="7" t="s">
        <v>4</v>
      </c>
      <c r="C23" s="7" t="s">
        <v>62</v>
      </c>
      <c r="D23" s="8">
        <v>100</v>
      </c>
      <c r="E23" s="7" t="s">
        <v>62</v>
      </c>
      <c r="F23" s="8">
        <v>100</v>
      </c>
      <c r="G23" s="7" t="str">
        <f>E23</f>
        <v>使用品牌家具、家电；虽然使用较长时间，但功能正常，一般</v>
      </c>
      <c r="H23" s="8">
        <v>100</v>
      </c>
      <c r="I23" s="7" t="str">
        <f>G23</f>
        <v>使用品牌家具、家电；虽然使用较长时间，但功能正常，一般</v>
      </c>
      <c r="J23" s="8">
        <v>100</v>
      </c>
      <c r="K23" s="5">
        <v>2.5</v>
      </c>
    </row>
    <row r="24" spans="1:11" x14ac:dyDescent="0.2">
      <c r="A24" s="58" t="s">
        <v>3</v>
      </c>
      <c r="B24" s="58"/>
      <c r="C24" s="50" t="s">
        <v>1</v>
      </c>
      <c r="D24" s="50"/>
      <c r="E24" s="59">
        <f>E5</f>
        <v>137380</v>
      </c>
      <c r="F24" s="59"/>
      <c r="G24" s="59">
        <f t="shared" ref="G24" si="2">G5</f>
        <v>122594</v>
      </c>
      <c r="H24" s="59"/>
      <c r="I24" s="59">
        <f t="shared" ref="I24" si="3">I5</f>
        <v>124127</v>
      </c>
      <c r="J24" s="59"/>
    </row>
    <row r="25" spans="1:11" x14ac:dyDescent="0.2">
      <c r="A25" s="58" t="s">
        <v>2</v>
      </c>
      <c r="B25" s="58"/>
      <c r="C25" s="50" t="s">
        <v>1</v>
      </c>
      <c r="D25" s="50"/>
      <c r="E25" s="59">
        <f>ROUND(E24*POWER(100,COUNT(F6:F23))/PRODUCT(F6:F23),0)</f>
        <v>141628</v>
      </c>
      <c r="F25" s="59"/>
      <c r="G25" s="59">
        <f t="shared" ref="G25" si="4">ROUND(G24*POWER(100,COUNT(H6:H23))/PRODUCT(H6:H23),0)</f>
        <v>124474</v>
      </c>
      <c r="H25" s="59"/>
      <c r="I25" s="59">
        <f t="shared" ref="I25" si="5">ROUND(I24*POWER(100,COUNT(J6:J23))/PRODUCT(J6:J23),0)</f>
        <v>118713</v>
      </c>
      <c r="J25" s="59"/>
    </row>
    <row r="26" spans="1:11" x14ac:dyDescent="0.2">
      <c r="A26" s="60" t="str">
        <f>CONCATENATE("估价对象比较价值=(",TEXT(E25,"G/通用格式"),"+",TEXT(G25,"G/通用格式"),"+",TEXT(I25,"G/通用格式"),")","/",3,"=",ROUND((E25+G25+I25)/3,0))</f>
        <v>估价对象比较价值=(141628+124474+118713)/3=128272</v>
      </c>
      <c r="B26" s="60"/>
      <c r="C26" s="60"/>
      <c r="D26" s="60"/>
      <c r="E26" s="60"/>
      <c r="F26" s="60"/>
      <c r="G26" s="60"/>
      <c r="H26" s="60"/>
      <c r="I26" s="4"/>
      <c r="J26" s="4"/>
    </row>
    <row r="28" spans="1:11" x14ac:dyDescent="0.2">
      <c r="A28" s="1">
        <f>ROUND($C$28*B28,0)</f>
        <v>121858</v>
      </c>
      <c r="B28" s="1">
        <v>0.95</v>
      </c>
      <c r="C28" s="1">
        <f>ROUND((E25+G25+I25)/3,0)</f>
        <v>128272</v>
      </c>
      <c r="E28" s="1">
        <f>ROUND(E25/E24,4)</f>
        <v>1.0308999999999999</v>
      </c>
      <c r="G28" s="1">
        <f>ROUND(G25/G24,4)</f>
        <v>1.0153000000000001</v>
      </c>
      <c r="I28" s="1">
        <f>ROUND(I25/I24,4)</f>
        <v>0.95640000000000003</v>
      </c>
    </row>
    <row r="29" spans="1:11" x14ac:dyDescent="0.2">
      <c r="A29" s="1">
        <f>ROUND($C$28*B29,0)</f>
        <v>134686</v>
      </c>
      <c r="B29" s="1">
        <v>1.05</v>
      </c>
      <c r="E29" s="45">
        <f>ROUND(PRODUCT($D$6:$D$23)/PRODUCT(F6:F23),4)</f>
        <v>1.0308999999999999</v>
      </c>
      <c r="G29" s="45">
        <f>ROUND(PRODUCT($D$6:$D$23)/PRODUCT(H6:H23),4)</f>
        <v>1.0153000000000001</v>
      </c>
      <c r="I29" s="45">
        <f>ROUND(PRODUCT($D$6:$D$23)/PRODUCT(J6:J23),4)</f>
        <v>0.95640000000000003</v>
      </c>
    </row>
    <row r="30" spans="1:11" x14ac:dyDescent="0.2">
      <c r="C30" s="1">
        <v>2015</v>
      </c>
      <c r="E30" s="1">
        <v>2015</v>
      </c>
      <c r="G30" s="1">
        <v>2018</v>
      </c>
      <c r="I30" s="1">
        <v>2017</v>
      </c>
    </row>
    <row r="31" spans="1:11" x14ac:dyDescent="0.2">
      <c r="C31" s="3"/>
      <c r="I31" s="1">
        <f>1-(2024-I30)/60</f>
        <v>0.8833333333333333</v>
      </c>
    </row>
    <row r="32" spans="1:11" x14ac:dyDescent="0.2">
      <c r="C32" s="2"/>
      <c r="G32" s="31"/>
    </row>
    <row r="37" spans="2:11" x14ac:dyDescent="0.2">
      <c r="B37" t="s">
        <v>159</v>
      </c>
      <c r="C37" t="s">
        <v>160</v>
      </c>
      <c r="D37" t="s">
        <v>161</v>
      </c>
      <c r="E37" t="s">
        <v>162</v>
      </c>
      <c r="F37" t="s">
        <v>163</v>
      </c>
      <c r="G37" t="s">
        <v>164</v>
      </c>
      <c r="H37" t="s">
        <v>165</v>
      </c>
      <c r="I37" t="s">
        <v>166</v>
      </c>
      <c r="J37" t="s">
        <v>167</v>
      </c>
      <c r="K37" t="s">
        <v>168</v>
      </c>
    </row>
    <row r="38" spans="2:11" x14ac:dyDescent="0.2">
      <c r="B38">
        <f>C38+0.5</f>
        <v>100.5</v>
      </c>
      <c r="C38">
        <v>100</v>
      </c>
      <c r="D38">
        <f>C38-0.5</f>
        <v>99.5</v>
      </c>
      <c r="E38">
        <f t="shared" ref="E38:K38" si="6">D38-0.5</f>
        <v>99</v>
      </c>
      <c r="F38">
        <f t="shared" si="6"/>
        <v>98.5</v>
      </c>
      <c r="G38">
        <f t="shared" si="6"/>
        <v>98</v>
      </c>
      <c r="H38">
        <f t="shared" si="6"/>
        <v>97.5</v>
      </c>
      <c r="I38">
        <f t="shared" si="6"/>
        <v>97</v>
      </c>
      <c r="J38">
        <f t="shared" si="6"/>
        <v>96.5</v>
      </c>
      <c r="K38">
        <f t="shared" si="6"/>
        <v>96</v>
      </c>
    </row>
  </sheetData>
  <mergeCells count="31">
    <mergeCell ref="A26:H26"/>
    <mergeCell ref="A8:A12"/>
    <mergeCell ref="A13:A23"/>
    <mergeCell ref="I24:J24"/>
    <mergeCell ref="A25:B25"/>
    <mergeCell ref="C25:D25"/>
    <mergeCell ref="E25:F25"/>
    <mergeCell ref="G25:H25"/>
    <mergeCell ref="I25:J25"/>
    <mergeCell ref="G24:H24"/>
    <mergeCell ref="A6:B6"/>
    <mergeCell ref="A7:B7"/>
    <mergeCell ref="A24:B24"/>
    <mergeCell ref="C24:D24"/>
    <mergeCell ref="E24:F24"/>
    <mergeCell ref="G4:H4"/>
    <mergeCell ref="I4:J4"/>
    <mergeCell ref="A5:B5"/>
    <mergeCell ref="C5:D5"/>
    <mergeCell ref="E5:F5"/>
    <mergeCell ref="G5:H5"/>
    <mergeCell ref="I5:J5"/>
    <mergeCell ref="A4:B4"/>
    <mergeCell ref="C4:D4"/>
    <mergeCell ref="E4:F4"/>
    <mergeCell ref="I3:J3"/>
    <mergeCell ref="A1:H1"/>
    <mergeCell ref="A3:B3"/>
    <mergeCell ref="C3:D3"/>
    <mergeCell ref="E3:F3"/>
    <mergeCell ref="G3:H3"/>
  </mergeCells>
  <phoneticPr fontId="2"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BCCEF-C141-4474-B871-02492ECAFB69}">
  <dimension ref="E20:H22"/>
  <sheetViews>
    <sheetView workbookViewId="0">
      <selection activeCell="J24" sqref="J24"/>
    </sheetView>
  </sheetViews>
  <sheetFormatPr defaultRowHeight="14.25" x14ac:dyDescent="0.2"/>
  <cols>
    <col min="8" max="8" width="10" bestFit="1" customWidth="1"/>
  </cols>
  <sheetData>
    <row r="20" spans="5:8" x14ac:dyDescent="0.2">
      <c r="E20">
        <v>146.31</v>
      </c>
      <c r="F20" s="47" t="s">
        <v>178</v>
      </c>
      <c r="G20">
        <v>137380</v>
      </c>
      <c r="H20" s="48">
        <v>45103</v>
      </c>
    </row>
    <row r="21" spans="5:8" x14ac:dyDescent="0.2">
      <c r="E21">
        <v>146.38</v>
      </c>
      <c r="F21" s="47" t="s">
        <v>157</v>
      </c>
      <c r="G21">
        <v>122594</v>
      </c>
      <c r="H21" s="48">
        <v>45013</v>
      </c>
    </row>
    <row r="22" spans="5:8" x14ac:dyDescent="0.2">
      <c r="E22">
        <v>186.77</v>
      </c>
      <c r="F22" s="47" t="s">
        <v>179</v>
      </c>
      <c r="G22">
        <v>124127</v>
      </c>
      <c r="H22" s="48">
        <v>44936</v>
      </c>
    </row>
  </sheetData>
  <phoneticPr fontId="2"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
  <sheetViews>
    <sheetView topLeftCell="A7" workbookViewId="0">
      <selection activeCell="D10" sqref="D10"/>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63" x14ac:dyDescent="0.2">
      <c r="A2" s="28">
        <v>1</v>
      </c>
      <c r="B2" s="27" t="s">
        <v>91</v>
      </c>
      <c r="C2" s="34" t="e">
        <f>F2</f>
        <v>#REF!</v>
      </c>
      <c r="D2" s="35" t="s">
        <v>102</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103</v>
      </c>
      <c r="E4" s="30" t="e">
        <f>#REF!</f>
        <v>#REF!</v>
      </c>
      <c r="F4" s="1" t="e">
        <f>ROUND(E4*1.5*12,2)</f>
        <v>#REF!</v>
      </c>
    </row>
    <row r="5" spans="1:8" ht="36.75" x14ac:dyDescent="0.2">
      <c r="A5" s="28">
        <v>2.2000000000000002</v>
      </c>
      <c r="B5" s="27" t="s">
        <v>94</v>
      </c>
      <c r="C5" s="32" t="e">
        <f>ROUND(E5,2)</f>
        <v>#REF!</v>
      </c>
      <c r="D5" s="36" t="s">
        <v>140</v>
      </c>
      <c r="E5" s="31" t="e">
        <f>ROUND(4500*0.8*0.1%*E4,2)</f>
        <v>#REF!</v>
      </c>
      <c r="F5" s="38">
        <v>1E-3</v>
      </c>
    </row>
    <row r="6" spans="1:8" ht="24.75" x14ac:dyDescent="0.2">
      <c r="A6" s="28">
        <v>2.2999999999999998</v>
      </c>
      <c r="B6" s="27" t="s">
        <v>95</v>
      </c>
      <c r="C6" s="28" t="e">
        <f>#REF!</f>
        <v>#REF!</v>
      </c>
      <c r="D6" s="36" t="s">
        <v>104</v>
      </c>
      <c r="E6" s="1" t="s">
        <v>85</v>
      </c>
      <c r="H6" s="33"/>
    </row>
    <row r="7" spans="1:8" x14ac:dyDescent="0.2">
      <c r="A7" s="28">
        <v>3</v>
      </c>
      <c r="B7" s="27" t="s">
        <v>96</v>
      </c>
      <c r="C7" s="28" t="e">
        <f>C8+C9+C10</f>
        <v>#REF!</v>
      </c>
      <c r="D7" s="36" t="s">
        <v>68</v>
      </c>
    </row>
    <row r="8" spans="1:8" ht="24.75" x14ac:dyDescent="0.2">
      <c r="A8" s="28">
        <v>3.1</v>
      </c>
      <c r="B8" s="27" t="s">
        <v>97</v>
      </c>
      <c r="C8" s="28" t="e">
        <f>E8</f>
        <v>#REF!</v>
      </c>
      <c r="D8" s="35" t="s">
        <v>148</v>
      </c>
      <c r="E8" s="1" t="e">
        <f>ROUND(60.16*12*E4*2%,2)</f>
        <v>#REF!</v>
      </c>
    </row>
    <row r="9" spans="1:8" ht="57"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147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
  <sheetViews>
    <sheetView topLeftCell="A10" workbookViewId="0">
      <selection activeCell="H7" sqref="H7"/>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40" t="e">
        <f>F2</f>
        <v>#REF!</v>
      </c>
      <c r="D2" s="35" t="s">
        <v>106</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107</v>
      </c>
      <c r="E4" s="30" t="e">
        <f>#REF!</f>
        <v>#REF!</v>
      </c>
      <c r="F4" s="1" t="e">
        <f>ROUND(E4*1.5*12,2)</f>
        <v>#REF!</v>
      </c>
    </row>
    <row r="5" spans="1:8" ht="36.75" x14ac:dyDescent="0.2">
      <c r="A5" s="28">
        <v>2.2000000000000002</v>
      </c>
      <c r="B5" s="27" t="s">
        <v>94</v>
      </c>
      <c r="C5" s="32" t="e">
        <f>ROUND(E5,2)</f>
        <v>#REF!</v>
      </c>
      <c r="D5" s="36" t="s">
        <v>108</v>
      </c>
      <c r="E5" s="31" t="e">
        <f>ROUND(4500*0.95*0.1%*E4,2)</f>
        <v>#REF!</v>
      </c>
      <c r="F5" s="38">
        <v>1E-3</v>
      </c>
    </row>
    <row r="6" spans="1:8" ht="24.75" x14ac:dyDescent="0.2">
      <c r="A6" s="28">
        <v>2.2999999999999998</v>
      </c>
      <c r="B6" s="27" t="s">
        <v>95</v>
      </c>
      <c r="C6" s="28" t="e">
        <f>#REF!</f>
        <v>#REF!</v>
      </c>
      <c r="D6" s="36" t="s">
        <v>109</v>
      </c>
      <c r="E6" s="1" t="s">
        <v>85</v>
      </c>
      <c r="H6" s="33"/>
    </row>
    <row r="7" spans="1:8" x14ac:dyDescent="0.2">
      <c r="A7" s="28">
        <v>3</v>
      </c>
      <c r="B7" s="27" t="s">
        <v>96</v>
      </c>
      <c r="C7" s="28" t="e">
        <f>C8+C9+C10</f>
        <v>#REF!</v>
      </c>
      <c r="D7" s="36" t="s">
        <v>68</v>
      </c>
    </row>
    <row r="8" spans="1:8" ht="24.75" x14ac:dyDescent="0.2">
      <c r="A8" s="28">
        <v>3.1</v>
      </c>
      <c r="B8" s="27" t="s">
        <v>97</v>
      </c>
      <c r="C8" s="28" t="e">
        <f>E8</f>
        <v>#REF!</v>
      </c>
      <c r="D8" s="35" t="s">
        <v>149</v>
      </c>
      <c r="E8" s="1" t="e">
        <f>ROUND(61.61*12*E4*2%,2)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110</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
  <sheetViews>
    <sheetView topLeftCell="A7" workbookViewId="0">
      <selection activeCell="E8" sqref="E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4.25" x14ac:dyDescent="0.2">
      <c r="A2" s="28">
        <v>1</v>
      </c>
      <c r="B2" s="27" t="s">
        <v>91</v>
      </c>
      <c r="C2" s="34" t="e">
        <f>F2</f>
        <v>#REF!</v>
      </c>
      <c r="D2" s="35" t="s">
        <v>118</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107</v>
      </c>
      <c r="E4" s="30" t="e">
        <f>#REF!</f>
        <v>#REF!</v>
      </c>
      <c r="F4" s="1" t="e">
        <f>ROUND(E4*1.5*12,2)</f>
        <v>#REF!</v>
      </c>
    </row>
    <row r="5" spans="1:8" ht="36.75" x14ac:dyDescent="0.2">
      <c r="A5" s="28">
        <v>2.2000000000000002</v>
      </c>
      <c r="B5" s="27" t="s">
        <v>94</v>
      </c>
      <c r="C5" s="32" t="e">
        <f>ROUND(E5,2)</f>
        <v>#REF!</v>
      </c>
      <c r="D5" s="36" t="s">
        <v>111</v>
      </c>
      <c r="E5" s="31" t="e">
        <f>ROUND(4500*G5*0.1%*E4,2)</f>
        <v>#REF!</v>
      </c>
      <c r="F5" s="38">
        <v>1E-3</v>
      </c>
      <c r="G5" s="41" t="e">
        <f>#REF!</f>
        <v>#REF!</v>
      </c>
    </row>
    <row r="6" spans="1:8" ht="24.75" x14ac:dyDescent="0.2">
      <c r="A6" s="28">
        <v>2.2999999999999998</v>
      </c>
      <c r="B6" s="27" t="s">
        <v>95</v>
      </c>
      <c r="C6" s="28" t="e">
        <f>#REF!</f>
        <v>#REF!</v>
      </c>
      <c r="D6" s="36" t="s">
        <v>112</v>
      </c>
      <c r="E6" s="1" t="s">
        <v>85</v>
      </c>
      <c r="H6" s="33"/>
    </row>
    <row r="7" spans="1:8" x14ac:dyDescent="0.2">
      <c r="A7" s="28">
        <v>3</v>
      </c>
      <c r="B7" s="27" t="s">
        <v>96</v>
      </c>
      <c r="C7" s="28" t="e">
        <f>C8+C9+C10</f>
        <v>#REF!</v>
      </c>
      <c r="D7" s="36" t="s">
        <v>68</v>
      </c>
    </row>
    <row r="8" spans="1:8" ht="24.75" x14ac:dyDescent="0.2">
      <c r="A8" s="28">
        <v>3.1</v>
      </c>
      <c r="B8" s="27" t="s">
        <v>97</v>
      </c>
      <c r="C8" s="28" t="e">
        <f>E8</f>
        <v>#REF!</v>
      </c>
      <c r="D8" s="35" t="s">
        <v>150</v>
      </c>
      <c r="E8" s="1" t="e">
        <f>ROUND(62.11*12*E4*2%,2)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113</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75" x14ac:dyDescent="0.2">
      <c r="A2" s="28">
        <v>1</v>
      </c>
      <c r="B2" s="27" t="s">
        <v>91</v>
      </c>
      <c r="C2" s="34" t="e">
        <f>F2</f>
        <v>#REF!</v>
      </c>
      <c r="D2" s="35" t="s">
        <v>119</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114</v>
      </c>
      <c r="E4" s="30" t="e">
        <f>#REF!</f>
        <v>#REF!</v>
      </c>
      <c r="F4" s="1" t="e">
        <f>ROUND(E4*1.5*12,2)</f>
        <v>#REF!</v>
      </c>
    </row>
    <row r="5" spans="1:8" ht="24.75" x14ac:dyDescent="0.2">
      <c r="A5" s="28">
        <v>2.2000000000000002</v>
      </c>
      <c r="B5" s="27" t="s">
        <v>94</v>
      </c>
      <c r="C5" s="32" t="e">
        <f>ROUND(E5,2)</f>
        <v>#REF!</v>
      </c>
      <c r="D5" s="36" t="s">
        <v>115</v>
      </c>
      <c r="E5" s="31" t="e">
        <f>ROUND(4500*G5*0.1%*E4,2)</f>
        <v>#REF!</v>
      </c>
      <c r="F5" s="38">
        <v>1E-3</v>
      </c>
      <c r="G5" s="41" t="e">
        <f>#REF!</f>
        <v>#REF!</v>
      </c>
    </row>
    <row r="6" spans="1:8" ht="24.75" x14ac:dyDescent="0.2">
      <c r="A6" s="28">
        <v>2.2999999999999998</v>
      </c>
      <c r="B6" s="27" t="s">
        <v>95</v>
      </c>
      <c r="C6" s="28" t="e">
        <f>#REF!</f>
        <v>#REF!</v>
      </c>
      <c r="D6" s="36" t="s">
        <v>116</v>
      </c>
      <c r="E6" s="1" t="s">
        <v>85</v>
      </c>
      <c r="H6" s="33"/>
    </row>
    <row r="7" spans="1:8" x14ac:dyDescent="0.2">
      <c r="A7" s="28">
        <v>3</v>
      </c>
      <c r="B7" s="27" t="s">
        <v>96</v>
      </c>
      <c r="C7" s="28" t="e">
        <f>C8+C9+C10</f>
        <v>#REF!</v>
      </c>
      <c r="D7" s="36" t="s">
        <v>68</v>
      </c>
    </row>
    <row r="8" spans="1:8" ht="24.75" x14ac:dyDescent="0.2">
      <c r="A8" s="28">
        <v>3.1</v>
      </c>
      <c r="B8" s="27" t="s">
        <v>97</v>
      </c>
      <c r="C8" s="28" t="e">
        <f>E8</f>
        <v>#REF!</v>
      </c>
      <c r="D8" s="35" t="s">
        <v>151</v>
      </c>
      <c r="E8" s="1" t="e">
        <f>ROUND(63.72*12*E4*2%,2)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117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34" t="e">
        <f>F2</f>
        <v>#REF!</v>
      </c>
      <c r="D2" s="35" t="s">
        <v>120</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121</v>
      </c>
      <c r="E4" s="30" t="e">
        <f>#REF!</f>
        <v>#REF!</v>
      </c>
      <c r="F4" s="1" t="e">
        <f>ROUND(E4*1.5*12,2)</f>
        <v>#REF!</v>
      </c>
    </row>
    <row r="5" spans="1:8" ht="24.75" x14ac:dyDescent="0.2">
      <c r="A5" s="28">
        <v>2.2000000000000002</v>
      </c>
      <c r="B5" s="27" t="s">
        <v>94</v>
      </c>
      <c r="C5" s="32" t="e">
        <f>ROUND(E5,2)</f>
        <v>#REF!</v>
      </c>
      <c r="D5" s="36" t="s">
        <v>122</v>
      </c>
      <c r="E5" s="31" t="e">
        <f>ROUND(4500*G5*0.1%*E4,2)</f>
        <v>#REF!</v>
      </c>
      <c r="F5" s="38">
        <v>1E-3</v>
      </c>
      <c r="G5" s="41" t="e">
        <f>#REF!</f>
        <v>#REF!</v>
      </c>
    </row>
    <row r="6" spans="1:8" ht="24.75" x14ac:dyDescent="0.2">
      <c r="A6" s="28">
        <v>2.2999999999999998</v>
      </c>
      <c r="B6" s="27" t="s">
        <v>95</v>
      </c>
      <c r="C6" s="28" t="e">
        <f>#REF!</f>
        <v>#REF!</v>
      </c>
      <c r="D6" s="36" t="s">
        <v>133</v>
      </c>
      <c r="E6" s="1" t="s">
        <v>85</v>
      </c>
      <c r="H6" s="33"/>
    </row>
    <row r="7" spans="1:8" x14ac:dyDescent="0.2">
      <c r="A7" s="28">
        <v>3</v>
      </c>
      <c r="B7" s="27" t="s">
        <v>96</v>
      </c>
      <c r="C7" s="28" t="e">
        <f>C8+C9+C10</f>
        <v>#REF!</v>
      </c>
      <c r="D7" s="36" t="s">
        <v>68</v>
      </c>
    </row>
    <row r="8" spans="1:8" ht="24.75" x14ac:dyDescent="0.2">
      <c r="A8" s="28">
        <v>3.1</v>
      </c>
      <c r="B8" s="27" t="s">
        <v>97</v>
      </c>
      <c r="C8" s="28" t="e">
        <f>E8</f>
        <v>#REF!</v>
      </c>
      <c r="D8" s="35" t="s">
        <v>152</v>
      </c>
      <c r="E8" s="1" t="e">
        <f>ROUND(63.95*12*E4*2%,2)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123</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topLeftCell="A7" workbookViewId="0">
      <selection activeCell="D8" sqref="D8"/>
    </sheetView>
  </sheetViews>
  <sheetFormatPr defaultColWidth="22.875" defaultRowHeight="14.25" x14ac:dyDescent="0.2"/>
  <cols>
    <col min="1" max="1" width="8" style="1" customWidth="1"/>
    <col min="2" max="2" width="18.5" style="1" customWidth="1"/>
    <col min="3" max="3" width="15.5" style="1" customWidth="1"/>
    <col min="4" max="4" width="55" style="1" customWidth="1"/>
    <col min="5" max="5" width="10.25" style="1" customWidth="1"/>
    <col min="6" max="6" width="14.625" style="1" customWidth="1"/>
    <col min="7" max="8" width="11" style="1" customWidth="1"/>
    <col min="9" max="16384" width="22.875" style="1"/>
  </cols>
  <sheetData>
    <row r="1" spans="1:8" x14ac:dyDescent="0.2">
      <c r="A1" s="27" t="s">
        <v>0</v>
      </c>
      <c r="B1" s="27" t="s">
        <v>64</v>
      </c>
      <c r="C1" s="27" t="s">
        <v>65</v>
      </c>
      <c r="D1" s="27" t="s">
        <v>66</v>
      </c>
    </row>
    <row r="2" spans="1:8" ht="75" x14ac:dyDescent="0.2">
      <c r="A2" s="28">
        <v>1</v>
      </c>
      <c r="B2" s="27" t="s">
        <v>91</v>
      </c>
      <c r="C2" s="34" t="e">
        <f>F2</f>
        <v>#REF!</v>
      </c>
      <c r="D2" s="35" t="s">
        <v>124</v>
      </c>
      <c r="E2" s="1" t="e">
        <f>#REF!</f>
        <v>#REF!</v>
      </c>
      <c r="F2" s="14" t="e">
        <f>#REF!</f>
        <v>#REF!</v>
      </c>
    </row>
    <row r="3" spans="1:8" x14ac:dyDescent="0.2">
      <c r="A3" s="28">
        <v>2</v>
      </c>
      <c r="B3" s="27" t="s">
        <v>92</v>
      </c>
      <c r="C3" s="28" t="e">
        <f>C4+C5+C6</f>
        <v>#REF!</v>
      </c>
      <c r="D3" s="36" t="s">
        <v>67</v>
      </c>
    </row>
    <row r="4" spans="1:8" ht="38.25" x14ac:dyDescent="0.2">
      <c r="A4" s="28">
        <v>2.1</v>
      </c>
      <c r="B4" s="27" t="s">
        <v>93</v>
      </c>
      <c r="C4" s="34" t="e">
        <f>F4</f>
        <v>#REF!</v>
      </c>
      <c r="D4" s="36" t="s">
        <v>125</v>
      </c>
      <c r="E4" s="30" t="e">
        <f>#REF!</f>
        <v>#REF!</v>
      </c>
      <c r="F4" s="1" t="e">
        <f>ROUND(E4*1.5*12,2)</f>
        <v>#REF!</v>
      </c>
    </row>
    <row r="5" spans="1:8" ht="24.75" x14ac:dyDescent="0.2">
      <c r="A5" s="28">
        <v>2.2000000000000002</v>
      </c>
      <c r="B5" s="27" t="s">
        <v>94</v>
      </c>
      <c r="C5" s="32" t="e">
        <f>ROUND(E5,2)</f>
        <v>#REF!</v>
      </c>
      <c r="D5" s="36" t="s">
        <v>126</v>
      </c>
      <c r="E5" s="31" t="e">
        <f>ROUND(4500*G5*0.1%*E4,2)</f>
        <v>#REF!</v>
      </c>
      <c r="F5" s="38">
        <v>1E-3</v>
      </c>
      <c r="G5" s="41" t="e">
        <f>#REF!</f>
        <v>#REF!</v>
      </c>
    </row>
    <row r="6" spans="1:8" ht="24.75" x14ac:dyDescent="0.2">
      <c r="A6" s="28">
        <v>2.2999999999999998</v>
      </c>
      <c r="B6" s="27" t="s">
        <v>95</v>
      </c>
      <c r="C6" s="28" t="e">
        <f>#REF!</f>
        <v>#REF!</v>
      </c>
      <c r="D6" s="36" t="s">
        <v>132</v>
      </c>
      <c r="E6" s="1" t="s">
        <v>85</v>
      </c>
      <c r="H6" s="33"/>
    </row>
    <row r="7" spans="1:8" x14ac:dyDescent="0.2">
      <c r="A7" s="28">
        <v>3</v>
      </c>
      <c r="B7" s="27" t="s">
        <v>96</v>
      </c>
      <c r="C7" s="28" t="e">
        <f>C8+C9+C10</f>
        <v>#REF!</v>
      </c>
      <c r="D7" s="36" t="s">
        <v>68</v>
      </c>
    </row>
    <row r="8" spans="1:8" ht="24.75" x14ac:dyDescent="0.2">
      <c r="A8" s="28">
        <v>3.1</v>
      </c>
      <c r="B8" s="27" t="s">
        <v>97</v>
      </c>
      <c r="C8" s="28" t="e">
        <f>E8</f>
        <v>#REF!</v>
      </c>
      <c r="D8" s="35" t="s">
        <v>153</v>
      </c>
      <c r="E8" s="1" t="e">
        <f>ROUND(61.84*12*E4*2%,2)</f>
        <v>#REF!</v>
      </c>
    </row>
    <row r="9" spans="1:8" ht="38.25" customHeight="1" x14ac:dyDescent="0.2">
      <c r="A9" s="28">
        <v>3.2</v>
      </c>
      <c r="B9" s="27" t="s">
        <v>98</v>
      </c>
      <c r="C9" s="28">
        <v>0</v>
      </c>
      <c r="D9" s="35" t="s">
        <v>90</v>
      </c>
      <c r="E9" s="1" t="e">
        <f>ROUND(E2*0.7*4.2%*0.9,2)</f>
        <v>#REF!</v>
      </c>
      <c r="F9" s="1">
        <f>4.2%*0.9</f>
        <v>3.78E-2</v>
      </c>
      <c r="G9" s="39" t="s">
        <v>87</v>
      </c>
    </row>
    <row r="10" spans="1:8" ht="57" x14ac:dyDescent="0.2">
      <c r="A10" s="28">
        <v>3.3</v>
      </c>
      <c r="B10" s="27" t="s">
        <v>99</v>
      </c>
      <c r="C10" s="28" t="e">
        <f>ROUND((C2)*3%,2)</f>
        <v>#REF!</v>
      </c>
      <c r="D10" s="35" t="s">
        <v>127</v>
      </c>
      <c r="E10" s="39" t="s">
        <v>86</v>
      </c>
    </row>
    <row r="11" spans="1:8" ht="20.25" customHeight="1" x14ac:dyDescent="0.2">
      <c r="A11" s="28">
        <v>4</v>
      </c>
      <c r="B11" s="27" t="s">
        <v>100</v>
      </c>
      <c r="C11" s="34" t="e">
        <f>C2+C3+C7</f>
        <v>#REF!</v>
      </c>
      <c r="D11" s="29" t="s">
        <v>69</v>
      </c>
    </row>
    <row r="12" spans="1:8" ht="25.5" x14ac:dyDescent="0.2">
      <c r="A12" s="28">
        <v>5</v>
      </c>
      <c r="B12" s="27" t="s">
        <v>70</v>
      </c>
      <c r="C12" s="28" t="e">
        <f>ROUND(C11/E4/12,2)</f>
        <v>#REF!</v>
      </c>
      <c r="D12" s="29" t="s">
        <v>71</v>
      </c>
    </row>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emplate/>
  <TotalTime>404</TotalTime>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系统读取表</vt:lpstr>
      <vt:lpstr>测算表</vt:lpstr>
      <vt:lpstr>案例</vt:lpstr>
      <vt:lpstr>驹子房成本分析 </vt:lpstr>
      <vt:lpstr>东湾家园成本分析 </vt:lpstr>
      <vt:lpstr>首开畅颐园成本分析 </vt:lpstr>
      <vt:lpstr>恒大江湾成本分析  </vt:lpstr>
      <vt:lpstr>首城东郡汇成本分析</vt:lpstr>
      <vt:lpstr>福润四季成本分析</vt:lpstr>
      <vt:lpstr>悦和园成本分析 </vt:lpstr>
      <vt:lpstr>景和园成本分析 </vt:lpstr>
      <vt:lpstr>朝新嘉园成本分析</vt:lpstr>
      <vt:lpstr>成本分析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7</cp:revision>
  <cp:lastPrinted>2024-05-24T02:09:28Z</cp:lastPrinted>
  <dcterms:created xsi:type="dcterms:W3CDTF">2015-06-05T18:19:00Z</dcterms:created>
  <dcterms:modified xsi:type="dcterms:W3CDTF">2024-06-26T01:51:49Z</dcterms:modified>
  <dc:language>zh-CN</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KSOProductBuildVer">
    <vt:lpwstr>2052-11.1.0.9740</vt:lpwstr>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