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结果表商业" sheetId="79" r:id="rId25"/>
    <sheet name="比较法-商业" sheetId="33" r:id="rId26"/>
    <sheet name="收益法 (未出租)" sheetId="85" r:id="rId27"/>
    <sheet name="比较法-商业 (租金)" sheetId="82" r:id="rId28"/>
    <sheet name="典型户型修正" sheetId="31" r:id="rId29"/>
    <sheet name="收益法已出租" sheetId="15" state="hidden"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已出租明细表" sheetId="84" r:id="rId52"/>
    <sheet name="年期修正系数" sheetId="83" r:id="rId53"/>
  </sheets>
  <externalReferences>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27"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(未出租)'!$A$1:$AK$69</definedName>
    <definedName name="_xlnm.Print_Area" localSheetId="30">'收益法 (元)'!$A$1:$AK$69</definedName>
    <definedName name="_xlnm.Print_Area" localSheetId="29">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7">'比较法-商业 (租金)'!$B$116:$M$116</definedName>
    <definedName name="商业层高" localSheetId="21">'[1]比较法-商业'!$B$116:$M$116</definedName>
    <definedName name="商业层高">'比较法-商业'!$B$116:$M$116</definedName>
    <definedName name="商业成新度" localSheetId="27">'比较法-商业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7">'比较法-商业 (租金)'!$B$107:$M$107</definedName>
    <definedName name="商业公共部分装修" localSheetId="21">'[1]比较法-商业'!$B$107:$M$107</definedName>
    <definedName name="商业公共部分装修">'比较法-商业'!$B$107:$M$107</definedName>
    <definedName name="商业基础设施水平" localSheetId="27">'比较法-商业 (租金)'!$B$112:$M$112</definedName>
    <definedName name="商业基础设施水平" localSheetId="21">'[1]比较法-商业'!$B$112:$M$112</definedName>
    <definedName name="商业基础设施水平">'比较法-商业'!$B$112:$M$112</definedName>
    <definedName name="商业建筑结构" localSheetId="27">'比较法-商业 (租金)'!$B$105:$M$105</definedName>
    <definedName name="商业建筑结构" localSheetId="21">'[1]比较法-商业'!$B$105:$M$105</definedName>
    <definedName name="商业建筑结构">'比较法-商业'!$B$105:$M$105</definedName>
    <definedName name="商业交易情况" localSheetId="27">'比较法-商业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7">'比较法-商业 (租金)'!$B$120:$M$120</definedName>
    <definedName name="商业进深比" localSheetId="21">'[1]比较法-商业'!$B$120:$M$120</definedName>
    <definedName name="商业进深比">'比较法-商业'!$B$120:$M$120</definedName>
    <definedName name="商业类型" localSheetId="27">'比较法-商业 (租金)'!$B$100:$M$100</definedName>
    <definedName name="商业类型" localSheetId="21">'[1]比较法-商业'!$B$100:$M$100</definedName>
    <definedName name="商业类型">'比较法-商业'!$B$100:$M$100</definedName>
    <definedName name="商业临街状况" localSheetId="27">'比较法-商业 (租金)'!$B$86:$M$86</definedName>
    <definedName name="商业临街状况" localSheetId="21">'[1]比较法-商业'!$B$86:$M$86</definedName>
    <definedName name="商业临街状况">'比较法-商业'!$B$86:$M$86</definedName>
    <definedName name="商业楼层" localSheetId="27">'比较法-商业 (租金)'!$B$92:$M$92</definedName>
    <definedName name="商业楼层" localSheetId="21">'[1]比较法-商业'!$B$92:$M$92</definedName>
    <definedName name="商业楼层">'比较法-商业'!$B$92:$M$92</definedName>
    <definedName name="商业内部装修" localSheetId="27">'比较法-商业 (租金)'!$B$122:$M$122</definedName>
    <definedName name="商业内部装修" localSheetId="21">'[1]比较法-商业'!$B$122:$M$122</definedName>
    <definedName name="商业内部装修">'比较法-商业'!$B$122:$M$122</definedName>
    <definedName name="商业人流量" localSheetId="27">'比较法-商业 (租金)'!$B$90:$M$90</definedName>
    <definedName name="商业人流量" localSheetId="21">'[1]比较法-商业'!$B$90:$M$90</definedName>
    <definedName name="商业人流量">'比较法-商业'!$B$90:$M$90</definedName>
    <definedName name="商业业态" localSheetId="27">'比较法-商业 (租金)'!$B$114:$M$114</definedName>
    <definedName name="商业业态" localSheetId="21">'[1]比较法-商业'!$B$114:$M$114</definedName>
    <definedName name="商业业态">'比较法-商业'!$B$114:$M$114</definedName>
    <definedName name="商业用途" localSheetId="27">'比较法-商业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5" i="81" l="1"/>
  <c r="B4" i="81"/>
  <c r="B15" i="74"/>
  <c r="C33" i="82"/>
  <c r="E6" i="81"/>
  <c r="E5" i="81"/>
  <c r="E4" i="81"/>
  <c r="E3" i="81"/>
  <c r="B39" i="31"/>
  <c r="B38" i="31"/>
  <c r="B37" i="31"/>
  <c r="B36" i="31"/>
  <c r="B35" i="31"/>
  <c r="B34" i="31"/>
  <c r="B33" i="31"/>
  <c r="B32" i="31"/>
  <c r="B31" i="31"/>
  <c r="B30" i="31"/>
  <c r="B29" i="31"/>
  <c r="B28" i="31"/>
  <c r="B27" i="31"/>
  <c r="B26" i="31"/>
  <c r="T38" i="81"/>
  <c r="T37" i="81"/>
  <c r="T36" i="81"/>
  <c r="T35" i="81"/>
  <c r="T16" i="81"/>
  <c r="T15" i="81"/>
  <c r="T14" i="81"/>
  <c r="T13" i="81"/>
  <c r="T27" i="81"/>
  <c r="T26" i="81"/>
  <c r="T25" i="81"/>
  <c r="T24" i="81"/>
  <c r="T5" i="81"/>
  <c r="T4" i="81"/>
  <c r="T3" i="81"/>
  <c r="T2" i="81"/>
  <c r="F20" i="6"/>
  <c r="C33" i="33"/>
  <c r="I31" i="81" l="1"/>
  <c r="D33" i="81"/>
  <c r="I32" i="81"/>
  <c r="I29" i="81"/>
  <c r="J29" i="81" l="1"/>
  <c r="D6" i="81" l="1"/>
  <c r="D5" i="81"/>
  <c r="D4" i="81"/>
  <c r="D3" i="81"/>
  <c r="G6" i="84"/>
  <c r="G4" i="84"/>
  <c r="G5" i="84"/>
  <c r="F4" i="84" l="1"/>
  <c r="B1" i="83"/>
  <c r="B3" i="83"/>
  <c r="J57" i="84"/>
  <c r="K5" i="84"/>
  <c r="K4" i="84"/>
  <c r="K3" i="84"/>
  <c r="T7" i="31" l="1"/>
  <c r="T5" i="31"/>
  <c r="C6" i="81" l="1"/>
  <c r="C5" i="81"/>
  <c r="C4" i="81"/>
  <c r="C3" i="81"/>
  <c r="X19" i="81"/>
  <c r="W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W20" i="81"/>
  <c r="D24" i="85" l="1"/>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2" i="82"/>
  <c r="F36" i="82" l="1"/>
  <c r="AA36" i="82" s="1"/>
  <c r="H36" i="82"/>
  <c r="AB36" i="82" s="1"/>
  <c r="F49" i="15"/>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12" i="81" s="1"/>
  <c r="X2" i="81"/>
  <c r="P45" i="81"/>
  <c r="P34" i="81"/>
  <c r="P23" i="81"/>
  <c r="P12" i="81"/>
  <c r="U36" i="82" l="1"/>
  <c r="X6" i="81"/>
  <c r="Z6" i="81"/>
  <c r="X13" i="81" s="1"/>
  <c r="E58" i="82"/>
  <c r="F58" i="82" s="1"/>
  <c r="G58" i="82" s="1"/>
  <c r="H58" i="82" s="1"/>
  <c r="I58" i="82" s="1"/>
  <c r="J58" i="82" s="1"/>
  <c r="K58" i="82" s="1"/>
  <c r="L58" i="82" s="1"/>
  <c r="M58" i="82" s="1"/>
  <c r="N58" i="82" s="1"/>
  <c r="O58" i="82" s="1"/>
  <c r="P46" i="81"/>
  <c r="X14" i="81" l="1"/>
  <c r="X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C17" i="79"/>
  <c r="D14" i="79"/>
  <c r="D17" i="79" s="1"/>
  <c r="L4" i="79"/>
  <c r="K4" i="79"/>
  <c r="A2" i="79"/>
  <c r="H1" i="79"/>
  <c r="E2" i="80"/>
  <c r="D34" i="79"/>
  <c r="D35" i="79"/>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29" i="43"/>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F19" i="6"/>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I3" i="81" l="1"/>
  <c r="J4" i="81" s="1"/>
  <c r="U7" i="1"/>
  <c r="J5" i="81"/>
  <c r="J3" i="81"/>
  <c r="AJ13" i="77"/>
  <c r="AB13" i="77"/>
  <c r="B3"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J6" i="81" l="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8" i="76"/>
  <c r="E7" i="76"/>
  <c r="E11" i="76"/>
  <c r="E10" i="76"/>
  <c r="B10" i="76"/>
  <c r="B12" i="76"/>
  <c r="E13" i="76"/>
  <c r="B9" i="76"/>
  <c r="B13" i="76"/>
  <c r="B8" i="76"/>
  <c r="E9" i="76"/>
  <c r="E12" i="76"/>
  <c r="B7" i="76"/>
  <c r="B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D3" i="73"/>
  <c r="F6" i="73"/>
  <c r="D5" i="73"/>
  <c r="F5" i="73"/>
  <c r="F4" i="73"/>
  <c r="F3" i="73"/>
  <c r="D6" i="73"/>
  <c r="I1" i="73" l="1"/>
  <c r="B39" i="1" s="1"/>
  <c r="D7" i="73"/>
  <c r="D4"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S5" i="3" s="1"/>
  <c r="BR32" i="3"/>
  <c r="BQ32" i="3"/>
  <c r="BP32" i="3"/>
  <c r="BO32" i="3"/>
  <c r="BO5" i="3" s="1"/>
  <c r="BN32" i="3"/>
  <c r="BM32" i="3"/>
  <c r="BK32" i="3"/>
  <c r="BJ32" i="3"/>
  <c r="BJ5" i="3" s="1"/>
  <c r="BI32" i="3"/>
  <c r="BH32" i="3"/>
  <c r="BG32" i="3"/>
  <c r="BF32" i="3"/>
  <c r="BF5" i="3" s="1"/>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2" i="3"/>
  <c r="AZ356" i="3"/>
  <c r="AZ360" i="3"/>
  <c r="AZ364" i="3"/>
  <c r="BA15" i="3"/>
  <c r="BB5" i="3"/>
  <c r="E8" i="6" s="1"/>
  <c r="F27" i="6" s="1"/>
  <c r="BR5" i="3"/>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3" i="82" l="1"/>
  <c r="B2" i="82" s="1"/>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85"/>
  <c r="F36" i="85"/>
  <c r="F7" i="15"/>
  <c r="F40" i="15"/>
  <c r="M29" i="15"/>
  <c r="J15" i="67"/>
  <c r="F37" i="67"/>
  <c r="M6" i="85"/>
  <c r="F26" i="85"/>
  <c r="L48" i="85"/>
  <c r="L47" i="15"/>
  <c r="L48" i="67"/>
  <c r="J15" i="15"/>
  <c r="F16" i="67"/>
  <c r="F13" i="67"/>
  <c r="M23" i="67"/>
  <c r="M26" i="67"/>
  <c r="F36" i="67"/>
  <c r="M22" i="85"/>
  <c r="F8" i="85"/>
  <c r="M28" i="85"/>
  <c r="F6" i="85"/>
  <c r="F43" i="85"/>
  <c r="C76" i="85"/>
  <c r="M26" i="85"/>
  <c r="M6" i="67"/>
  <c r="F26" i="67"/>
  <c r="M22" i="15"/>
  <c r="M28" i="67"/>
  <c r="C36" i="80"/>
  <c r="F26" i="15"/>
  <c r="F42" i="67"/>
  <c r="L48" i="15"/>
  <c r="F13" i="15"/>
  <c r="M22" i="67"/>
  <c r="F37" i="15"/>
  <c r="M24" i="67"/>
  <c r="F43" i="15"/>
  <c r="M9" i="67"/>
  <c r="F16" i="85"/>
  <c r="J15" i="85"/>
  <c r="F38" i="85"/>
  <c r="M24" i="85"/>
  <c r="F13" i="85"/>
  <c r="F42" i="85"/>
  <c r="M8" i="67"/>
  <c r="F38" i="67"/>
  <c r="M26" i="15"/>
  <c r="F9" i="67"/>
  <c r="F38" i="15"/>
  <c r="L47" i="67"/>
  <c r="F43" i="67"/>
  <c r="F36" i="15"/>
  <c r="D9" i="80"/>
  <c r="M23" i="15"/>
  <c r="M24" i="15"/>
  <c r="M8" i="15"/>
  <c r="F40" i="67"/>
  <c r="F9" i="15"/>
  <c r="F40" i="85"/>
  <c r="L47" i="85"/>
  <c r="M23" i="85"/>
  <c r="M8" i="85"/>
  <c r="M9" i="85"/>
  <c r="F6" i="67"/>
  <c r="G1" i="73"/>
  <c r="F42" i="15"/>
  <c r="F6" i="15"/>
  <c r="M9" i="15"/>
  <c r="M6" i="15"/>
  <c r="F7" i="67"/>
  <c r="F8" i="15"/>
  <c r="F8" i="67"/>
  <c r="F37" i="85"/>
  <c r="F9" i="85"/>
  <c r="F7" i="85"/>
  <c r="M29" i="67"/>
  <c r="M28" i="15"/>
  <c r="C76" i="15"/>
  <c r="F16" i="15"/>
  <c r="F27" i="80"/>
  <c r="C76" i="67"/>
  <c r="L57" i="85" l="1"/>
  <c r="J59" i="85"/>
  <c r="L56" i="85"/>
  <c r="J60" i="85"/>
  <c r="Q48" i="85" s="1"/>
  <c r="I54" i="85"/>
  <c r="J53" i="85"/>
  <c r="Q52" i="85" s="1"/>
  <c r="L60" i="85"/>
  <c r="Q66" i="85" s="1"/>
  <c r="J57" i="85"/>
  <c r="J55" i="85" s="1"/>
  <c r="J58" i="85" s="1"/>
  <c r="Q50" i="85" s="1"/>
  <c r="F64" i="85"/>
  <c r="F50" i="85"/>
  <c r="M7" i="85"/>
  <c r="J6" i="85" s="1"/>
  <c r="Q71" i="85"/>
  <c r="C27" i="85"/>
  <c r="F71" i="85"/>
  <c r="C10" i="85"/>
  <c r="C6" i="85"/>
  <c r="F66" i="85"/>
  <c r="M59" i="85"/>
  <c r="L58" i="85"/>
  <c r="Q73" i="85" s="1"/>
  <c r="L59" i="85"/>
  <c r="Q61" i="85" s="1"/>
  <c r="N59" i="85"/>
  <c r="F65" i="85"/>
  <c r="F68" i="85"/>
  <c r="F51" i="85"/>
  <c r="C49" i="85" s="1"/>
  <c r="C48" i="85" s="1"/>
  <c r="AZ64" i="3"/>
  <c r="AZ54" i="3"/>
  <c r="AZ47" i="3"/>
  <c r="F70" i="15"/>
  <c r="F52" i="15"/>
  <c r="G102" i="43"/>
  <c r="J105" i="43"/>
  <c r="F1" i="85"/>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C16" i="85"/>
  <c r="C16" i="15"/>
  <c r="C16" i="67"/>
  <c r="D9" i="68"/>
  <c r="Q60" i="85" l="1"/>
  <c r="Q57" i="85"/>
  <c r="J10" i="85"/>
  <c r="J5" i="85" s="1"/>
  <c r="J24" i="85" s="1"/>
  <c r="C5" i="85"/>
  <c r="C32" i="85" s="1"/>
  <c r="L46" i="85"/>
  <c r="Q74" i="85"/>
  <c r="K16" i="1"/>
  <c r="M22" i="6"/>
  <c r="I22" i="6" s="1"/>
  <c r="S22" i="6" s="1"/>
  <c r="S9" i="1"/>
  <c r="C38" i="85"/>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D10" i="80"/>
  <c r="C17" i="85"/>
  <c r="C17" i="15"/>
  <c r="F27" i="68"/>
  <c r="J18" i="85" l="1"/>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36" i="68"/>
  <c r="D10" i="68"/>
  <c r="C34" i="80"/>
  <c r="C14" i="85"/>
  <c r="M19" i="79" l="1"/>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F35" i="85"/>
  <c r="E6" i="76"/>
  <c r="M21" i="85"/>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67"/>
  <c r="M27" i="67"/>
  <c r="M27" i="15"/>
  <c r="F41" i="15"/>
  <c r="L51" i="15"/>
  <c r="F41" i="85"/>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34"/>
  <c r="D2" i="36"/>
  <c r="D2" i="35"/>
  <c r="F20" i="31"/>
  <c r="D2" i="21"/>
  <c r="E2" i="68"/>
  <c r="D2" i="37"/>
  <c r="D2" i="33"/>
  <c r="B2" i="36" l="1"/>
  <c r="B3" i="36" s="1"/>
  <c r="B2" i="35"/>
  <c r="B3" i="35" s="1"/>
  <c r="B2" i="37"/>
  <c r="B3" i="37" s="1"/>
  <c r="B2" i="34"/>
  <c r="B3" i="34" s="1"/>
  <c r="B2" i="21"/>
  <c r="B2" i="70"/>
  <c r="B3" i="68"/>
  <c r="C19" i="9"/>
  <c r="D19" i="79"/>
  <c r="D19" i="9"/>
  <c r="D21" i="79" l="1"/>
  <c r="D102" i="79"/>
  <c r="B3" i="70"/>
  <c r="C21" i="9"/>
  <c r="C102" i="9"/>
  <c r="B3" i="21"/>
  <c r="G19" i="9"/>
  <c r="D102" i="9"/>
  <c r="D22" i="9"/>
  <c r="D21" i="9"/>
  <c r="D20" i="79"/>
  <c r="D20" i="9"/>
  <c r="C20" i="9"/>
  <c r="D103" i="9" l="1"/>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D15" i="74" s="1"/>
  <c r="R48" i="39"/>
  <c r="E47" i="39"/>
  <c r="R22" i="31" l="1"/>
  <c r="B21" i="31" s="1"/>
  <c r="B20" i="31"/>
  <c r="C48" i="39"/>
  <c r="C47" i="39"/>
  <c r="E51" i="39"/>
  <c r="F51" i="39" s="1"/>
  <c r="E52" i="39"/>
  <c r="F52" i="39" s="1"/>
  <c r="I52" i="39"/>
  <c r="J52" i="39" s="1"/>
  <c r="C20" i="79"/>
  <c r="C19"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G21" i="79" l="1"/>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104" i="9" s="1"/>
  <c r="C79" i="79" l="1"/>
  <c r="L66" i="79"/>
  <c r="M66" i="79" s="1"/>
  <c r="L67" i="79"/>
  <c r="M67" i="79" s="1"/>
  <c r="L63" i="79"/>
  <c r="M63" i="79" s="1"/>
  <c r="L68" i="79"/>
  <c r="M68" i="79" s="1"/>
  <c r="L64" i="79"/>
  <c r="M64" i="79" s="1"/>
  <c r="L65" i="79"/>
  <c r="M65" i="79" s="1"/>
  <c r="C95" i="79"/>
  <c r="D8" i="74"/>
  <c r="C8" i="74"/>
  <c r="H101" i="9"/>
  <c r="M48" i="9" s="1"/>
  <c r="I118" i="9"/>
  <c r="C105" i="9" s="1"/>
  <c r="H119" i="9"/>
  <c r="H5" i="52" s="1"/>
  <c r="F4" i="52"/>
  <c r="B51" i="72" s="1"/>
  <c r="F119" i="9"/>
  <c r="F5" i="52" s="1"/>
  <c r="B53" i="72" s="1"/>
  <c r="D14" i="74"/>
  <c r="H4" i="52"/>
  <c r="D4" i="52"/>
  <c r="B47" i="72" s="1"/>
  <c r="H107" i="9"/>
  <c r="M49" i="9" s="1"/>
  <c r="C80" i="79" l="1"/>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<sst xmlns="http://schemas.openxmlformats.org/spreadsheetml/2006/main" count="9771" uniqueCount="3409">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</sst>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北京市房地产抵押价值预评估</v>
      </c>
    </row>
    <row r="3" spans="1:2" s="1589" customFormat="1">
      <c r="A3" s="1587" t="s">
        <v>1220</v>
      </c>
      <c r="B3" s="1588">
        <f>'预评函-封皮'!B40</f>
        <v>0</v>
      </c>
    </row>
    <row r="4" spans="1:2" s="1589" customFormat="1">
      <c r="A4" s="1587" t="s">
        <v>1221</v>
      </c>
      <c r="B4" s="1588" t="str">
        <f ca="1">'预评函-封皮'!B46</f>
        <v>刘梅（注册号：1120140022)、吴薇（注册号：1419970001)</v>
      </c>
    </row>
    <row r="5" spans="1:2" s="1583" customFormat="1" ht="15" thickBot="1">
      <c r="A5" s="1590" t="s">
        <v>1222</v>
      </c>
      <c r="B5" s="1591" t="str">
        <f>'预评函-封皮'!B49</f>
        <v>康正预评字号</v>
      </c>
    </row>
    <row r="6" spans="1:2" s="1586" customFormat="1" ht="15" thickTop="1">
      <c r="A6" s="1584" t="s">
        <v>1223</v>
      </c>
      <c r="B6" s="1585" t="str">
        <f>'预评函-1'!A4</f>
        <v>受贵公司委托，我公司对北京市房地产抵押价值进行了预评估。</v>
      </c>
    </row>
    <row r="7" spans="1:2" s="1589" customFormat="1">
      <c r="A7" s="1587" t="s">
        <v>1263</v>
      </c>
      <c r="B7" s="1588" t="str">
        <f>'预评函-1'!A7</f>
        <v>估价对象为北京市房地产，为所有。根据《国有土地使用证》[]，估价对象（分摊）出让国有建设用地使用权面积为0平方米，建筑面积为5963.72平方米。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估价对象为北京市房地产,属开发建设的综合项目（居住、综合），该项目尚在开发建设中。根据《国有土地使用证》[]，估价对象（分摊）出让国有建设用地使用权面积为0平方米，规划建筑面积为5963.72平方米。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2018年2月24日（评估专业人员实地查勘之日）</v>
      </c>
    </row>
    <row r="13" spans="1:2" s="1589" customFormat="1">
      <c r="A13" s="1587" t="s">
        <v>1226</v>
      </c>
      <c r="B13" s="1588"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
      </c>
    </row>
    <row r="18" spans="1:2" s="1583" customFormat="1" ht="15" thickBot="1">
      <c r="A18" s="1590" t="s">
        <v>1231</v>
      </c>
      <c r="B18" s="1591" t="str">
        <f>'预评函-1'!A24</f>
        <v>本次评估采用的主估价方法为比较法和成本法。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34360</v>
      </c>
    </row>
    <row r="21" spans="1:2" s="1589" customFormat="1">
      <c r="A21" s="1587" t="s">
        <v>1234</v>
      </c>
      <c r="B21" s="1588">
        <f ca="1">'预评函-2'!D7</f>
        <v>64739</v>
      </c>
    </row>
    <row r="22" spans="1:2" s="1589" customFormat="1">
      <c r="A22" s="1587" t="s">
        <v>1235</v>
      </c>
      <c r="B22" s="1588" t="str">
        <f ca="1">'预评函-2'!D6</f>
        <v>叁亿肆仟叁佰陆拾万元整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34360</v>
      </c>
    </row>
    <row r="31" spans="1:2" s="1589" customFormat="1">
      <c r="A31" s="1587" t="s">
        <v>1273</v>
      </c>
      <c r="B31" s="1588">
        <f ca="1">'预评函-2'!D15</f>
        <v>57615</v>
      </c>
    </row>
    <row r="32" spans="1:2" s="1589" customFormat="1">
      <c r="A32" s="1587" t="s">
        <v>1240</v>
      </c>
      <c r="B32" s="1588" t="str">
        <f ca="1">'预评函-2'!D14</f>
        <v>叁亿肆仟叁佰陆拾万元整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北京市房地产</v>
      </c>
    </row>
    <row r="42" spans="1:2" s="1589" customFormat="1">
      <c r="A42" s="1587" t="s">
        <v>1287</v>
      </c>
      <c r="B42" s="1588" t="str">
        <f>'预评函-3'!B2</f>
        <v>建筑面积</v>
      </c>
    </row>
    <row r="43" spans="1:2" s="1589" customFormat="1">
      <c r="A43" s="1587" t="s">
        <v>1288</v>
      </c>
      <c r="B43" s="1588">
        <f>'预评函-3'!B4</f>
        <v>5963.72</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刘梅</v>
      </c>
    </row>
    <row r="71" spans="1:2">
      <c r="A71" s="1587" t="s">
        <v>1260</v>
      </c>
      <c r="B71" s="1588">
        <f ca="1">'预评函-4'!B4</f>
        <v>1120140022</v>
      </c>
    </row>
    <row r="72" spans="1:2">
      <c r="A72" s="1587" t="s">
        <v>1261</v>
      </c>
      <c r="B72" s="1596" t="str">
        <f>'预评函-4'!A5</f>
        <v>吴薇</v>
      </c>
    </row>
    <row r="73" spans="1:2" s="1583" customFormat="1" ht="15" thickBot="1">
      <c r="A73" s="1590" t="s">
        <v>1262</v>
      </c>
      <c r="B73" s="1591">
        <f ca="1">'预评函-4'!B5</f>
        <v>1419970001</v>
      </c>
    </row>
    <row r="74" spans="1:2" ht="1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3" t="s">
        <v>3366</v>
      </c>
      <c r="C5" s="2011" t="s">
        <v>762</v>
      </c>
      <c r="F5" s="2012" t="s">
        <v>1731</v>
      </c>
      <c r="H5" s="2012" t="s">
        <v>1732</v>
      </c>
      <c r="I5" s="2012" t="s">
        <v>1733</v>
      </c>
      <c r="K5" s="2012" t="s">
        <v>1734</v>
      </c>
      <c r="L5" s="2012" t="s">
        <v>1734</v>
      </c>
      <c r="M5" s="2012" t="s">
        <v>1734</v>
      </c>
      <c r="N5" s="2012" t="s">
        <v>1734</v>
      </c>
      <c r="O5" s="2012" t="s">
        <v>1734</v>
      </c>
      <c r="P5" s="2012" t="s">
        <v>1734</v>
      </c>
      <c r="Q5" s="2012" t="s">
        <v>1734</v>
      </c>
      <c r="R5" s="2012" t="s">
        <v>1141</v>
      </c>
      <c r="S5" s="2012" t="s">
        <v>1734</v>
      </c>
      <c r="T5" s="2012" t="s">
        <v>1735</v>
      </c>
      <c r="U5" s="2012" t="s">
        <v>1734</v>
      </c>
      <c r="W5" s="2012" t="s">
        <v>1734</v>
      </c>
    </row>
    <row r="6" spans="1:23">
      <c r="A6" s="2010" t="s">
        <v>1736</v>
      </c>
      <c r="B6" s="2013" t="s">
        <v>1145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1142</v>
      </c>
      <c r="S6" s="2012" t="s">
        <v>1739</v>
      </c>
      <c r="T6" s="2012"/>
      <c r="U6" s="2012" t="s">
        <v>1739</v>
      </c>
      <c r="W6" s="2012" t="s">
        <v>1739</v>
      </c>
    </row>
    <row r="7" spans="1:23">
      <c r="A7" s="2010" t="s">
        <v>1740</v>
      </c>
      <c r="B7" s="2013" t="s">
        <v>1146</v>
      </c>
      <c r="C7" s="2011" t="s">
        <v>31</v>
      </c>
      <c r="F7" s="2012" t="s">
        <v>1741</v>
      </c>
      <c r="H7" s="2012" t="s">
        <v>1742</v>
      </c>
      <c r="I7" s="2012" t="s">
        <v>1743</v>
      </c>
    </row>
    <row r="8" spans="1:23">
      <c r="A8" s="2010" t="s">
        <v>1744</v>
      </c>
      <c r="B8" s="2010" t="s">
        <v>1745</v>
      </c>
      <c r="C8" s="2011" t="s">
        <v>763</v>
      </c>
      <c r="F8" s="2012" t="s">
        <v>1746</v>
      </c>
      <c r="H8" s="2012"/>
      <c r="I8" s="2012" t="s">
        <v>1747</v>
      </c>
    </row>
    <row r="9" spans="1:23">
      <c r="A9" s="2010" t="s">
        <v>1748</v>
      </c>
      <c r="B9" s="2010" t="s">
        <v>1749</v>
      </c>
      <c r="C9" s="2011" t="s">
        <v>764</v>
      </c>
      <c r="F9" s="2012" t="s">
        <v>1750</v>
      </c>
      <c r="H9" s="2012"/>
    </row>
    <row r="10" spans="1:23">
      <c r="A10" s="2010" t="s">
        <v>1751</v>
      </c>
      <c r="B10" s="2010" t="s">
        <v>1752</v>
      </c>
      <c r="C10" s="2011" t="s">
        <v>765</v>
      </c>
      <c r="F10" s="2012" t="s">
        <v>16</v>
      </c>
    </row>
    <row r="11" spans="1:23">
      <c r="A11" s="2010" t="s">
        <v>1753</v>
      </c>
      <c r="B11" s="2010" t="s">
        <v>1754</v>
      </c>
      <c r="C11" s="2011" t="s">
        <v>766</v>
      </c>
    </row>
    <row r="12" spans="1:23">
      <c r="A12" s="2010" t="s">
        <v>1755</v>
      </c>
      <c r="B12" s="2010" t="s">
        <v>1756</v>
      </c>
      <c r="C12" s="2011" t="s">
        <v>767</v>
      </c>
    </row>
    <row r="13" spans="1:23">
      <c r="A13" s="2010" t="s">
        <v>1757</v>
      </c>
      <c r="B13" s="2010" t="s">
        <v>1758</v>
      </c>
      <c r="C13" s="2011" t="s">
        <v>768</v>
      </c>
    </row>
    <row r="14" spans="1:23">
      <c r="A14" s="2010" t="s">
        <v>1759</v>
      </c>
      <c r="B14" s="2010" t="s">
        <v>1760</v>
      </c>
      <c r="C14" s="2012" t="s">
        <v>16</v>
      </c>
    </row>
    <row r="15" spans="1:23">
      <c r="A15" s="2010" t="s">
        <v>1761</v>
      </c>
      <c r="B15" s="2010" t="s">
        <v>1762</v>
      </c>
      <c r="C15" s="2011"/>
    </row>
    <row r="16" spans="1:23">
      <c r="A16" s="2010" t="s">
        <v>1763</v>
      </c>
      <c r="B16" s="2010" t="s">
        <v>3208</v>
      </c>
      <c r="C16" s="2011"/>
    </row>
    <row r="17" spans="1:3">
      <c r="A17" s="2010" t="s">
        <v>1764</v>
      </c>
      <c r="B17" s="2010" t="s">
        <v>3206</v>
      </c>
      <c r="C17" s="2011"/>
    </row>
    <row r="18" spans="1:3">
      <c r="A18" s="2010" t="s">
        <v>1765</v>
      </c>
      <c r="B18" s="2010" t="s">
        <v>3209</v>
      </c>
      <c r="C18" s="2011"/>
    </row>
    <row r="19" spans="1:3">
      <c r="A19" s="2010" t="s">
        <v>1766</v>
      </c>
      <c r="B19" s="2010" t="s">
        <v>3210</v>
      </c>
      <c r="C19" s="2011"/>
    </row>
    <row r="20" spans="1:3">
      <c r="A20" s="2010" t="s">
        <v>1767</v>
      </c>
      <c r="B20" s="2010" t="s">
        <v>3211</v>
      </c>
      <c r="C20" s="2011"/>
    </row>
    <row r="21" spans="1:3">
      <c r="A21" s="2010" t="s">
        <v>1768</v>
      </c>
      <c r="B21" s="2010" t="s">
        <v>3266</v>
      </c>
      <c r="C21" s="2011"/>
    </row>
    <row r="22" spans="1:3">
      <c r="A22" s="2010" t="s">
        <v>1769</v>
      </c>
      <c r="B22" s="2010" t="s">
        <v>3365</v>
      </c>
      <c r="C22" s="2011"/>
    </row>
    <row r="23" spans="1:3">
      <c r="A23" s="2010" t="s">
        <v>1770</v>
      </c>
      <c r="B23" s="2010" t="s">
        <v>3378</v>
      </c>
      <c r="C23" s="2011"/>
    </row>
    <row r="24" spans="1:3">
      <c r="A24" s="2010" t="s">
        <v>1771</v>
      </c>
      <c r="B24" s="2010" t="s">
        <v>756</v>
      </c>
      <c r="C24" s="2011"/>
    </row>
    <row r="25" spans="1:3">
      <c r="A25" s="2010" t="s">
        <v>1772</v>
      </c>
      <c r="B25" s="2010" t="s">
        <v>756</v>
      </c>
      <c r="C25" s="2011"/>
    </row>
    <row r="26" spans="1:3">
      <c r="A26" s="2010" t="s">
        <v>1773</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502"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2018" t="s">
        <v>863</v>
      </c>
      <c r="C54" s="2015" t="s">
        <v>1280</v>
      </c>
    </row>
    <row r="55" spans="1:4">
      <c r="A55" s="3502"/>
      <c r="B55" s="2018" t="s">
        <v>864</v>
      </c>
      <c r="C55" s="2015" t="s">
        <v>1281</v>
      </c>
    </row>
    <row r="56" spans="1:4">
      <c r="A56" s="3502"/>
      <c r="B56" s="2018" t="s">
        <v>865</v>
      </c>
      <c r="C56" s="2015" t="s">
        <v>1285</v>
      </c>
    </row>
    <row r="57" spans="1:4">
      <c r="A57" s="3502"/>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1774</v>
      </c>
      <c r="B1" s="3503" t="str">
        <f>IF(B10="北京市","北京市",C10)&amp;F10&amp;IF(结果表住宅!G1="在建","出让国有建设用地使用权及在建建筑物",IF(结果表住宅!G1="土地","出让国有建设用地使用权",))&amp;B9&amp;"预评估"</f>
        <v>北京市房地产抵押价值预评估</v>
      </c>
      <c r="C1" s="3504"/>
      <c r="D1" s="3504"/>
      <c r="E1" s="3504"/>
      <c r="F1" s="3504"/>
      <c r="G1" s="3504"/>
      <c r="H1" s="3504"/>
      <c r="I1" s="3505"/>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北京市房地产</v>
      </c>
    </row>
    <row r="3" spans="1:19" ht="18" customHeight="1">
      <c r="A3" s="2031" t="s">
        <v>1776</v>
      </c>
      <c r="B3" s="2032">
        <v>43155</v>
      </c>
      <c r="C3" s="2033" t="s">
        <v>1777</v>
      </c>
      <c r="D3" s="2032">
        <v>43155</v>
      </c>
      <c r="E3" s="2022"/>
      <c r="F3" s="2022"/>
      <c r="G3" s="2022"/>
      <c r="H3" s="2022"/>
      <c r="I3" s="2022"/>
      <c r="J3" s="2022"/>
      <c r="K3" s="2023"/>
      <c r="L3" s="2024"/>
      <c r="M3" s="2024"/>
      <c r="N3" s="2025"/>
      <c r="O3" s="2026"/>
      <c r="P3" s="2025"/>
      <c r="Q3" s="2025"/>
      <c r="R3" s="2025"/>
      <c r="S3" s="2027"/>
    </row>
    <row r="4" spans="1:19" ht="18" customHeight="1" thickBot="1">
      <c r="A4" s="2034" t="s">
        <v>1778</v>
      </c>
      <c r="B4" s="2035" t="s">
        <v>3042</v>
      </c>
      <c r="C4" s="1033">
        <f ca="1">SUMIF(注册房地产估价师,B4,估价师及机构信息!B3:B24)</f>
        <v>1120140022</v>
      </c>
      <c r="D4" s="2035" t="s">
        <v>3043</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1779</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1780</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1781</v>
      </c>
      <c r="B7" s="2049"/>
      <c r="C7" s="2046"/>
      <c r="D7" s="2047"/>
      <c r="E7" s="2030"/>
      <c r="F7" s="2038"/>
      <c r="G7" s="2038"/>
      <c r="H7" s="2038"/>
      <c r="I7" s="2038"/>
      <c r="J7" s="2038"/>
      <c r="K7" s="2050"/>
      <c r="L7" s="2024"/>
      <c r="M7" s="2024"/>
      <c r="N7" s="2025"/>
      <c r="O7" s="2026"/>
      <c r="P7" s="2025"/>
      <c r="Q7" s="2025"/>
      <c r="R7" s="2025"/>
    </row>
    <row r="8" spans="1:19" ht="18" customHeight="1">
      <c r="A8" s="2044" t="s">
        <v>1782</v>
      </c>
      <c r="B8" s="2051" t="s">
        <v>3044</v>
      </c>
      <c r="C8" s="2052"/>
      <c r="D8" s="3506" t="s">
        <v>1783</v>
      </c>
      <c r="E8" s="2053" t="s">
        <v>3045</v>
      </c>
      <c r="F8" s="2054"/>
      <c r="G8" s="2022"/>
      <c r="H8" s="2022"/>
      <c r="I8" s="2022"/>
      <c r="J8" s="2038"/>
      <c r="K8" s="2039"/>
      <c r="L8" s="2024"/>
      <c r="M8" s="2024"/>
      <c r="N8" s="2025"/>
      <c r="O8" s="2026"/>
      <c r="P8" s="2025"/>
      <c r="Q8" s="2025"/>
      <c r="R8" s="2025"/>
    </row>
    <row r="9" spans="1:19" ht="18" customHeight="1" thickBot="1">
      <c r="A9" s="2036" t="s">
        <v>1784</v>
      </c>
      <c r="B9" s="2055" t="s">
        <v>3045</v>
      </c>
      <c r="C9" s="2056"/>
      <c r="D9" s="3507"/>
      <c r="E9" s="2055" t="s">
        <v>70</v>
      </c>
      <c r="F9" s="2057"/>
      <c r="G9" s="2058"/>
      <c r="H9" s="2058"/>
      <c r="I9" s="2058"/>
      <c r="J9" s="2038"/>
      <c r="K9" s="2050"/>
      <c r="L9" s="2024"/>
      <c r="M9" s="2024"/>
      <c r="N9" s="2025"/>
      <c r="O9" s="2026"/>
      <c r="P9" s="2025"/>
      <c r="Q9" s="2025"/>
      <c r="R9" s="2025"/>
    </row>
    <row r="10" spans="1:19" ht="18" customHeight="1" thickTop="1">
      <c r="A10" s="2059" t="s">
        <v>1785</v>
      </c>
      <c r="B10" s="2060" t="s">
        <v>3046</v>
      </c>
      <c r="C10" s="2061"/>
      <c r="D10" s="2043"/>
      <c r="E10" s="2062" t="s">
        <v>1786</v>
      </c>
      <c r="F10" s="2063"/>
      <c r="G10" s="2064"/>
      <c r="H10" s="2065"/>
      <c r="I10" s="2043"/>
      <c r="J10" s="2038"/>
      <c r="K10" s="2050"/>
      <c r="L10" s="2024"/>
      <c r="M10" s="2024"/>
      <c r="N10" s="2025"/>
      <c r="O10" s="2026"/>
      <c r="P10" s="2025"/>
      <c r="Q10" s="2025"/>
      <c r="R10" s="2025"/>
    </row>
    <row r="11" spans="1:19" ht="18" customHeight="1">
      <c r="A11" s="2066" t="s">
        <v>1787</v>
      </c>
      <c r="B11" s="2067" t="s">
        <v>3047</v>
      </c>
      <c r="C11" s="2068"/>
      <c r="D11" s="2069"/>
      <c r="E11" s="2038"/>
      <c r="F11" s="2038"/>
      <c r="G11" s="2038"/>
      <c r="H11" s="2038"/>
      <c r="I11" s="2038"/>
      <c r="J11" s="2038"/>
      <c r="K11" s="2050"/>
      <c r="L11" s="2024"/>
      <c r="M11" s="2024"/>
      <c r="N11" s="2025"/>
      <c r="O11" s="2026"/>
      <c r="P11" s="2025"/>
      <c r="Q11" s="2025"/>
      <c r="R11" s="2025"/>
    </row>
    <row r="12" spans="1:19" ht="18" customHeight="1">
      <c r="A12" s="2070" t="s">
        <v>1788</v>
      </c>
      <c r="B12" s="2067" t="s">
        <v>3048</v>
      </c>
      <c r="C12" s="2071" t="s">
        <v>1789</v>
      </c>
      <c r="D12" s="2072" t="s">
        <v>1790</v>
      </c>
      <c r="E12" s="2072" t="s">
        <v>1791</v>
      </c>
      <c r="F12" s="2072" t="s">
        <v>1792</v>
      </c>
      <c r="G12" s="2072" t="s">
        <v>1793</v>
      </c>
      <c r="H12" s="2072" t="s">
        <v>1794</v>
      </c>
      <c r="I12" s="2072" t="s">
        <v>1795</v>
      </c>
      <c r="J12" s="2038"/>
      <c r="K12" s="2050"/>
      <c r="L12" s="2024"/>
      <c r="M12" s="2024"/>
      <c r="N12" s="2025"/>
      <c r="O12" s="2026"/>
      <c r="P12" s="2025"/>
      <c r="Q12" s="2025"/>
      <c r="R12" s="2025"/>
    </row>
    <row r="13" spans="1:19" ht="18" customHeight="1">
      <c r="A13" s="2073"/>
      <c r="B13" s="2074"/>
      <c r="C13" s="2075" t="s">
        <v>1796</v>
      </c>
      <c r="D13" s="2076">
        <v>65552</v>
      </c>
      <c r="E13" s="2076">
        <v>54595</v>
      </c>
      <c r="F13" s="2076"/>
      <c r="G13" s="2076"/>
      <c r="H13" s="2076"/>
      <c r="I13" s="1043"/>
      <c r="J13" s="2038"/>
      <c r="K13" s="2050"/>
      <c r="L13" s="2024"/>
      <c r="M13" s="2024"/>
      <c r="N13" s="2025"/>
      <c r="O13" s="2026"/>
      <c r="P13" s="2025"/>
      <c r="Q13" s="2025"/>
      <c r="R13" s="2025"/>
    </row>
    <row r="14" spans="1:19" ht="18" customHeight="1">
      <c r="A14" s="2073"/>
      <c r="B14" s="2074"/>
      <c r="C14" s="2075" t="s">
        <v>1797</v>
      </c>
      <c r="D14" s="1046">
        <v>70</v>
      </c>
      <c r="E14" s="1046">
        <v>40</v>
      </c>
      <c r="F14" s="1046"/>
      <c r="G14" s="1046"/>
      <c r="H14" s="1046"/>
      <c r="I14" s="1046"/>
      <c r="J14" s="2038"/>
      <c r="K14" s="2077"/>
      <c r="L14" s="2024"/>
      <c r="M14" s="2024"/>
      <c r="N14" s="2025"/>
      <c r="O14" s="2026"/>
      <c r="P14" s="2025"/>
      <c r="Q14" s="2025"/>
      <c r="R14" s="2025"/>
    </row>
    <row r="15" spans="1:19" ht="18" customHeight="1">
      <c r="A15" s="2059"/>
      <c r="B15" s="2078"/>
      <c r="C15" s="2075" t="s">
        <v>1798</v>
      </c>
      <c r="D15" s="1045">
        <f>IF(B12="出让",IF(D13="","",ROUNDDOWN(MIN((D13-$D$3)/365,D14),2)),D14)</f>
        <v>61.36</v>
      </c>
      <c r="E15" s="1045">
        <f>IF(B12="出让",IF(E13="","",ROUNDDOWN(MIN((E13-$D$3)/365,E14),2)),E14)</f>
        <v>31.34</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1799</v>
      </c>
      <c r="B16" s="3513"/>
      <c r="C16" s="3514"/>
      <c r="D16" s="3515"/>
      <c r="E16" s="2082" t="s">
        <v>1800</v>
      </c>
      <c r="F16" s="3516"/>
      <c r="G16" s="3517"/>
      <c r="H16" s="3517"/>
      <c r="I16" s="3518"/>
      <c r="J16" s="2025"/>
      <c r="K16" s="2079"/>
      <c r="L16" s="2080"/>
      <c r="M16" s="2080"/>
      <c r="N16" s="2081"/>
      <c r="O16" s="2080"/>
      <c r="P16" s="2081"/>
      <c r="Q16" s="2025"/>
      <c r="R16" s="2025"/>
    </row>
    <row r="17" spans="1:22" ht="18" customHeight="1">
      <c r="A17" s="2083" t="s">
        <v>1801</v>
      </c>
      <c r="B17" s="2031" t="s">
        <v>1802</v>
      </c>
      <c r="C17" s="1050">
        <f>'数据-汇总表'!E3</f>
        <v>5963.72</v>
      </c>
      <c r="D17" s="2084" t="s">
        <v>1803</v>
      </c>
      <c r="E17" s="3519" t="s">
        <v>1804</v>
      </c>
      <c r="F17" s="3520"/>
      <c r="G17" s="3520"/>
      <c r="H17" s="3520"/>
      <c r="I17" s="3521"/>
      <c r="J17" s="2025"/>
      <c r="K17" s="2085"/>
      <c r="L17" s="2080"/>
      <c r="M17" s="2080"/>
      <c r="N17" s="2081"/>
      <c r="O17" s="2080"/>
      <c r="P17" s="2081"/>
      <c r="Q17" s="2025"/>
      <c r="R17" s="2025"/>
      <c r="S17" s="2025"/>
      <c r="T17" s="2025"/>
      <c r="U17" s="2025"/>
      <c r="V17" s="2025"/>
    </row>
    <row r="18" spans="1:22" ht="36" customHeight="1" thickBot="1">
      <c r="A18" s="2086" t="s">
        <v>1805</v>
      </c>
      <c r="B18" s="2034" t="s">
        <v>1806</v>
      </c>
      <c r="C18" s="1440">
        <f>'数据-汇总表'!D3</f>
        <v>0</v>
      </c>
      <c r="D18" s="2087" t="s">
        <v>1803</v>
      </c>
      <c r="E18" s="3522" t="s">
        <v>1807</v>
      </c>
      <c r="F18" s="3523"/>
      <c r="G18" s="3523"/>
      <c r="H18" s="3523"/>
      <c r="I18" s="3524"/>
      <c r="J18" s="2025"/>
      <c r="K18" s="2085"/>
      <c r="L18" s="2080"/>
      <c r="M18" s="2080"/>
      <c r="N18" s="2081"/>
      <c r="O18" s="2080"/>
      <c r="P18" s="2081"/>
      <c r="Q18" s="2025"/>
      <c r="R18" s="2025"/>
      <c r="S18" s="2025"/>
      <c r="T18" s="2025"/>
      <c r="U18" s="2025"/>
      <c r="V18" s="2025"/>
    </row>
    <row r="19" spans="1:22" ht="37.5" customHeight="1" thickTop="1" thickBot="1">
      <c r="A19" s="372" t="s">
        <v>1808</v>
      </c>
      <c r="B19" s="351" t="s">
        <v>1809</v>
      </c>
      <c r="C19" s="2088"/>
      <c r="D19" s="2089" t="s">
        <v>1810</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1811</v>
      </c>
      <c r="B20" s="3509" t="s">
        <v>1812</v>
      </c>
      <c r="C20" s="3510"/>
      <c r="D20" s="3511" t="s">
        <v>1813</v>
      </c>
      <c r="E20" s="3512"/>
      <c r="F20" s="2094" t="s">
        <v>1814</v>
      </c>
      <c r="G20" s="2038"/>
      <c r="H20" s="2038"/>
      <c r="I20" s="2038"/>
      <c r="J20" s="2038"/>
      <c r="K20" s="3508"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1816</v>
      </c>
      <c r="C21" s="2096" t="s">
        <v>1817</v>
      </c>
      <c r="D21" s="2097" t="s">
        <v>1818</v>
      </c>
      <c r="E21" s="2098" t="s">
        <v>1817</v>
      </c>
      <c r="F21" s="2099"/>
      <c r="G21" s="2038"/>
      <c r="H21" s="2038"/>
      <c r="I21" s="2038"/>
      <c r="J21" s="2038"/>
      <c r="K21" s="350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1819</v>
      </c>
      <c r="C22" s="2096" t="s">
        <v>1820</v>
      </c>
      <c r="D22" s="2022"/>
      <c r="E22" s="2022"/>
      <c r="F22" s="2101"/>
      <c r="G22" s="2038"/>
      <c r="H22" s="2038"/>
      <c r="I22" s="2038"/>
      <c r="J22" s="2038"/>
      <c r="K22" s="3508"/>
      <c r="L22" s="74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1821</v>
      </c>
      <c r="B23" s="182" t="s">
        <v>1822</v>
      </c>
      <c r="C23" s="2103"/>
      <c r="D23" s="2104" t="s">
        <v>1822</v>
      </c>
      <c r="E23" s="2105"/>
      <c r="F23" s="2101"/>
      <c r="G23" s="2038"/>
      <c r="H23" s="2038"/>
      <c r="I23" s="2038"/>
      <c r="J23" s="2038"/>
      <c r="K23" s="2106"/>
      <c r="L23" s="744"/>
      <c r="M23" s="2024"/>
      <c r="N23" s="2081"/>
      <c r="O23" s="2080"/>
      <c r="P23" s="2081"/>
      <c r="Q23" s="2025"/>
      <c r="R23" s="2025"/>
      <c r="S23" s="2025"/>
      <c r="T23" s="2025"/>
      <c r="U23" s="2025"/>
      <c r="V23" s="2025"/>
    </row>
    <row r="24" spans="1:22" ht="18" customHeight="1">
      <c r="A24" s="2107"/>
      <c r="B24" s="182" t="s">
        <v>1823</v>
      </c>
      <c r="C24" s="2108"/>
      <c r="D24" s="2102" t="s">
        <v>1823</v>
      </c>
      <c r="E24" s="2109"/>
      <c r="F24" s="2101"/>
      <c r="G24" s="2038"/>
      <c r="H24" s="2038"/>
      <c r="I24" s="2038"/>
      <c r="J24" s="2038"/>
      <c r="K24" s="2106"/>
      <c r="L24" s="744"/>
      <c r="M24" s="2024"/>
      <c r="N24" s="2081"/>
      <c r="O24" s="2080"/>
      <c r="P24" s="2081"/>
      <c r="Q24" s="2025"/>
      <c r="R24" s="2025"/>
      <c r="S24" s="2025"/>
      <c r="T24" s="2025"/>
      <c r="U24" s="2025"/>
      <c r="V24" s="2025"/>
    </row>
    <row r="25" spans="1:22" ht="18" customHeight="1">
      <c r="A25" s="2107"/>
      <c r="B25" s="182" t="s">
        <v>1824</v>
      </c>
      <c r="C25" s="2108"/>
      <c r="D25" s="2102" t="s">
        <v>1824</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1825</v>
      </c>
      <c r="C26" s="2112"/>
      <c r="D26" s="2113" t="s">
        <v>1826</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526" t="s">
        <v>1827</v>
      </c>
      <c r="B27" s="2059" t="s">
        <v>1828</v>
      </c>
      <c r="C27" s="2116" t="s">
        <v>3049</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526"/>
      <c r="B28" s="2031" t="s">
        <v>1829</v>
      </c>
      <c r="C28" s="2118" t="s">
        <v>3050</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526"/>
      <c r="B29" s="2031" t="s">
        <v>1830</v>
      </c>
      <c r="C29" s="2121" t="s">
        <v>3051</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527"/>
      <c r="B30" s="2031" t="s">
        <v>1831</v>
      </c>
      <c r="C30" s="3528"/>
      <c r="D30" s="3529"/>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530" t="s">
        <v>1832</v>
      </c>
      <c r="B31" s="2123" t="s">
        <v>3052</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531"/>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531"/>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1833</v>
      </c>
      <c r="B34" s="2130" t="s">
        <v>3053</v>
      </c>
      <c r="C34" s="2130" t="s">
        <v>3054</v>
      </c>
      <c r="D34" s="2130" t="s">
        <v>3056</v>
      </c>
      <c r="E34" s="2130" t="s">
        <v>3055</v>
      </c>
      <c r="F34" s="2130" t="s">
        <v>3057</v>
      </c>
      <c r="G34" s="2130" t="s">
        <v>3058</v>
      </c>
      <c r="H34" s="2130" t="s">
        <v>3059</v>
      </c>
      <c r="I34" s="2038"/>
      <c r="J34" s="2038"/>
      <c r="K34" s="1791">
        <f>COUNTIF(B34:H34,"——")</f>
        <v>0</v>
      </c>
      <c r="L34" s="2071" t="s">
        <v>1834</v>
      </c>
      <c r="M34" s="2071" t="s">
        <v>1835</v>
      </c>
      <c r="N34" s="2071" t="s">
        <v>1836</v>
      </c>
      <c r="O34" s="2071" t="s">
        <v>1837</v>
      </c>
      <c r="P34" s="2071" t="s">
        <v>1838</v>
      </c>
      <c r="Q34" s="2071" t="s">
        <v>1839</v>
      </c>
      <c r="R34" s="2071" t="s">
        <v>1840</v>
      </c>
      <c r="S34" s="3525" t="s">
        <v>1841</v>
      </c>
      <c r="T34" s="2131" t="str">
        <f>NUMBERSTRING(7-K34,1)&amp;"通"</f>
        <v>七通</v>
      </c>
      <c r="U34" s="2025"/>
      <c r="V34" s="2025"/>
    </row>
    <row r="35" spans="1:22" ht="18" customHeight="1">
      <c r="A35" s="2132"/>
      <c r="B35" s="3532" t="s">
        <v>1842</v>
      </c>
      <c r="C35" s="3532"/>
      <c r="D35" s="3532"/>
      <c r="E35" s="3532"/>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25"/>
      <c r="T35" s="48" t="str">
        <f>IF(T34="一通",L35,IF(T34="二通",M35,IF(T34="三通",N35,IF(T34="四通",O35,IF(T34="五通",P35,IF(T34="六通",Q35,R35))))))</f>
        <v>通路、通电、通讯、通上水、通下水、通热、燃气</v>
      </c>
      <c r="U35" s="2025"/>
      <c r="V35" s="2025"/>
    </row>
    <row r="36" spans="1:22" ht="18" customHeight="1">
      <c r="A36" s="2134"/>
      <c r="B36" s="2133" t="s">
        <v>1843</v>
      </c>
      <c r="C36" s="2133" t="s">
        <v>1844</v>
      </c>
      <c r="D36" s="2133" t="s">
        <v>1845</v>
      </c>
      <c r="E36" s="2133" t="s">
        <v>1846</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1847</v>
      </c>
      <c r="B37" s="2137" t="s">
        <v>56</v>
      </c>
      <c r="C37" s="2137"/>
      <c r="D37" s="2137" t="s">
        <v>56</v>
      </c>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1848</v>
      </c>
      <c r="B38" s="2139" t="s">
        <v>3060</v>
      </c>
      <c r="C38" s="2139"/>
      <c r="D38" s="2139" t="s">
        <v>3060</v>
      </c>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1850</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1851</v>
      </c>
      <c r="B42" s="1791" t="s">
        <v>1852</v>
      </c>
      <c r="C42" s="1791" t="s">
        <v>1853</v>
      </c>
      <c r="D42" s="1791" t="s">
        <v>1854</v>
      </c>
      <c r="E42" s="1791" t="s">
        <v>1855</v>
      </c>
      <c r="F42" s="1791" t="s">
        <v>1856</v>
      </c>
      <c r="G42" s="1791" t="s">
        <v>1857</v>
      </c>
      <c r="H42" s="1791" t="s">
        <v>1858</v>
      </c>
      <c r="I42" s="1791" t="s">
        <v>1859</v>
      </c>
      <c r="J42" s="2149" t="s">
        <v>1860</v>
      </c>
      <c r="K42" s="2072" t="s">
        <v>1861</v>
      </c>
      <c r="L42" s="2072" t="s">
        <v>1862</v>
      </c>
      <c r="M42" s="2072" t="s">
        <v>1863</v>
      </c>
      <c r="N42" s="1791" t="s">
        <v>1864</v>
      </c>
      <c r="O42" s="1791" t="s">
        <v>1865</v>
      </c>
      <c r="P42" s="1791" t="s">
        <v>1866</v>
      </c>
      <c r="Q42" s="2071" t="s">
        <v>1867</v>
      </c>
      <c r="R42" s="2071" t="s">
        <v>1868</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D7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1874</v>
      </c>
      <c r="AZ2" s="1266"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14709.010000000002</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799"/>
      <c r="C5" s="1799"/>
      <c r="D5" s="1802"/>
      <c r="E5" s="16" t="s">
        <v>1</v>
      </c>
      <c r="F5" s="16">
        <f>SUM(F13:F587)</f>
        <v>0</v>
      </c>
      <c r="G5" s="16">
        <f>SUM(G13:G587)</f>
        <v>14709.010000000002</v>
      </c>
      <c r="H5" s="16">
        <f t="shared" ref="H5:AT5" si="0">SUM(H13:H656)</f>
        <v>14709.010000000002</v>
      </c>
      <c r="I5" s="16">
        <f t="shared" si="0"/>
        <v>5307.46</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5963.72</v>
      </c>
      <c r="BA5" s="18">
        <f t="shared" si="1"/>
        <v>5963.72</v>
      </c>
      <c r="BB5" s="18">
        <f t="shared" si="1"/>
        <v>5307.46</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1887</v>
      </c>
      <c r="AV7" s="23" t="s">
        <v>1888</v>
      </c>
      <c r="AW7" s="2163" t="s">
        <v>1889</v>
      </c>
      <c r="AX7" s="23" t="s">
        <v>1882</v>
      </c>
      <c r="AY7" s="1799"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4"/>
      <c r="K8" s="1814"/>
      <c r="L8" s="1814"/>
      <c r="M8" s="1814"/>
      <c r="N8" s="1814"/>
      <c r="O8" s="1814"/>
      <c r="P8" s="1814"/>
      <c r="Q8" s="1814"/>
      <c r="R8" s="1814"/>
      <c r="S8" s="1814"/>
      <c r="T8" s="1814"/>
      <c r="U8" s="1814"/>
      <c r="V8" s="2183"/>
      <c r="W8" s="1814"/>
      <c r="X8" s="1814"/>
      <c r="Y8" s="1814"/>
      <c r="Z8" s="1814"/>
      <c r="AA8" s="2183"/>
      <c r="AB8" s="2184"/>
      <c r="AC8" s="977" t="s">
        <v>1893</v>
      </c>
      <c r="AD8" s="2185"/>
      <c r="AE8" s="2177"/>
      <c r="AF8" s="1814"/>
      <c r="AG8" s="1814"/>
      <c r="AH8" s="1814"/>
      <c r="AI8" s="1814"/>
      <c r="AJ8" s="1814"/>
      <c r="AK8" s="1814"/>
      <c r="AL8" s="1814"/>
      <c r="AM8" s="1814"/>
      <c r="AN8" s="1814"/>
      <c r="AO8" s="1814"/>
      <c r="AP8" s="1814"/>
      <c r="AQ8" s="1814"/>
      <c r="AR8" s="1814"/>
      <c r="AS8" s="1814"/>
      <c r="AT8" s="1288" t="s">
        <v>1894</v>
      </c>
      <c r="AU8" s="2179" t="s">
        <v>1895</v>
      </c>
      <c r="AV8" s="1288"/>
      <c r="AW8" s="2162"/>
      <c r="AX8" s="1288"/>
      <c r="AY8" s="2163"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1898</v>
      </c>
      <c r="I9" s="2188" t="s">
        <v>3063</v>
      </c>
      <c r="J9" s="977"/>
      <c r="K9" s="2188" t="s">
        <v>3063</v>
      </c>
      <c r="L9" s="977"/>
      <c r="M9" s="2188" t="s">
        <v>3065</v>
      </c>
      <c r="N9" s="977"/>
      <c r="O9" s="2188"/>
      <c r="P9" s="977"/>
      <c r="Q9" s="2188"/>
      <c r="R9" s="977"/>
      <c r="S9" s="2188"/>
      <c r="T9" s="977"/>
      <c r="U9" s="2188"/>
      <c r="V9" s="977"/>
      <c r="W9" s="2188"/>
      <c r="X9" s="2189"/>
      <c r="Y9" s="2188"/>
      <c r="Z9" s="977"/>
      <c r="AA9" s="2188"/>
      <c r="AB9" s="977"/>
      <c r="AC9" s="2180"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90"/>
      <c r="AT9" s="2179"/>
      <c r="AU9" s="2179" t="s">
        <v>1901</v>
      </c>
      <c r="AV9" s="1288"/>
      <c r="AW9" s="2162"/>
      <c r="AX9" s="1288"/>
      <c r="AY9" s="28"/>
      <c r="AZ9" s="28" t="s">
        <v>1891</v>
      </c>
      <c r="BA9" s="2191" t="s">
        <v>1902</v>
      </c>
      <c r="BB9" s="2192"/>
      <c r="BC9" s="1334"/>
      <c r="BD9" s="1334"/>
      <c r="BE9" s="1334"/>
      <c r="BF9" s="1334"/>
      <c r="BG9" s="1334"/>
      <c r="BH9" s="1334"/>
      <c r="BI9" s="1334"/>
      <c r="BJ9" s="1334"/>
      <c r="BK9" s="2193"/>
      <c r="BL9" s="15" t="s">
        <v>1903</v>
      </c>
      <c r="BM9" s="1814"/>
      <c r="BN9" s="2182"/>
      <c r="BO9" s="1814"/>
      <c r="BP9" s="1814"/>
      <c r="BQ9" s="1814"/>
      <c r="BR9" s="1814"/>
      <c r="BS9" s="1814"/>
      <c r="BT9" s="26"/>
    </row>
    <row r="10" spans="1:72" s="2186" customFormat="1" ht="12.75">
      <c r="A10" s="2179"/>
      <c r="B10" s="2179"/>
      <c r="C10" s="2179"/>
      <c r="D10" s="2179"/>
      <c r="E10" s="2179"/>
      <c r="F10" s="2179"/>
      <c r="G10" s="1288"/>
      <c r="H10" s="28"/>
      <c r="I10" s="2188" t="s">
        <v>3064</v>
      </c>
      <c r="J10" s="977"/>
      <c r="K10" s="2194" t="s">
        <v>1376</v>
      </c>
      <c r="L10" s="977"/>
      <c r="M10" s="2194" t="s">
        <v>1376</v>
      </c>
      <c r="N10" s="977"/>
      <c r="O10" s="2194"/>
      <c r="P10" s="977"/>
      <c r="Q10" s="2194"/>
      <c r="R10" s="977"/>
      <c r="S10" s="2194"/>
      <c r="T10" s="977"/>
      <c r="U10" s="2194"/>
      <c r="V10" s="977"/>
      <c r="W10" s="2194"/>
      <c r="X10" s="977"/>
      <c r="Y10" s="2194"/>
      <c r="Z10" s="977"/>
      <c r="AA10" s="2194"/>
      <c r="AB10" s="977"/>
      <c r="AC10" s="1288"/>
      <c r="AD10" s="15" t="s">
        <v>1904</v>
      </c>
      <c r="AE10" s="2195"/>
      <c r="AF10" s="15" t="s">
        <v>1904</v>
      </c>
      <c r="AG10" s="2195"/>
      <c r="AH10" s="15" t="s">
        <v>1905</v>
      </c>
      <c r="AI10" s="2195"/>
      <c r="AJ10" s="15" t="s">
        <v>1905</v>
      </c>
      <c r="AK10" s="2195"/>
      <c r="AL10" s="15" t="s">
        <v>1906</v>
      </c>
      <c r="AM10" s="1294"/>
      <c r="AN10" s="15" t="s">
        <v>1906</v>
      </c>
      <c r="AO10" s="1294"/>
      <c r="AP10" s="15" t="s">
        <v>1907</v>
      </c>
      <c r="AQ10" s="1294"/>
      <c r="AR10" s="15" t="s">
        <v>1907</v>
      </c>
      <c r="AS10" s="1294"/>
      <c r="AT10" s="2179"/>
      <c r="AU10" s="2179"/>
      <c r="AV10" s="1288"/>
      <c r="AW10" s="2162"/>
      <c r="AX10" s="1288"/>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8"/>
      <c r="AD11" s="2201" t="s">
        <v>1908</v>
      </c>
      <c r="AE11" s="1815"/>
      <c r="AF11" s="2201" t="s">
        <v>1908</v>
      </c>
      <c r="AG11" s="1815"/>
      <c r="AH11" s="2201" t="s">
        <v>1909</v>
      </c>
      <c r="AI11" s="2202"/>
      <c r="AJ11" s="2201" t="s">
        <v>1909</v>
      </c>
      <c r="AK11" s="1815"/>
      <c r="AL11" s="1813"/>
      <c r="AM11" s="1815"/>
      <c r="AN11" s="1813"/>
      <c r="AO11" s="1815"/>
      <c r="AP11" s="1813"/>
      <c r="AQ11" s="1815"/>
      <c r="AR11" s="1813"/>
      <c r="AS11" s="1815"/>
      <c r="AT11" s="2162"/>
      <c r="AU11" s="2179"/>
      <c r="AV11" s="1288"/>
      <c r="AW11" s="2162"/>
      <c r="AX11" s="1288"/>
      <c r="AY11" s="28"/>
      <c r="AZ11" s="28"/>
      <c r="BA11" s="28"/>
      <c r="BB11" s="2184" t="str">
        <f>I10</f>
        <v>住宅</v>
      </c>
      <c r="BC11" s="2184" t="str">
        <f>K10</f>
        <v>商业</v>
      </c>
      <c r="BD11" s="2184" t="str">
        <f>M10</f>
        <v>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6"/>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3.5">
      <c r="A13" s="1268"/>
      <c r="B13" s="1268" t="s">
        <v>3070</v>
      </c>
      <c r="C13" s="2962">
        <v>402</v>
      </c>
      <c r="D13" s="2964" t="s">
        <v>3062</v>
      </c>
      <c r="E13" s="16">
        <f>IF($C$3="是",ROUND($A$3*G13/$B$3,2),ROUND($A$3*(G13-AT13)/$B$3,2))</f>
        <v>0</v>
      </c>
      <c r="F13" s="32"/>
      <c r="G13" s="33">
        <f>H13+AC13+AT13</f>
        <v>275.93</v>
      </c>
      <c r="H13" s="20">
        <f>SUMIF(I$12:AB$12,"总值",I13:AB13)</f>
        <v>275.93</v>
      </c>
      <c r="I13" s="2962">
        <v>275.93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3B住宅楼</v>
      </c>
      <c r="AX13" s="11">
        <f t="shared" si="6"/>
        <v>402</v>
      </c>
      <c r="AY13" s="1802">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68"/>
      <c r="B14" s="1268" t="s">
        <v>3070</v>
      </c>
      <c r="C14" s="2962">
        <v>1002</v>
      </c>
      <c r="D14" s="2210" t="s">
        <v>3061</v>
      </c>
      <c r="E14" s="16">
        <f>IF($C$3="是",ROUND($A$3*G14/$B$3,2),ROUND($A$3*(G14-AT14)/$B$3,2))</f>
        <v>0</v>
      </c>
      <c r="F14" s="32"/>
      <c r="G14" s="33">
        <f>H14+AC14+AT14</f>
        <v>275.93</v>
      </c>
      <c r="H14" s="20">
        <f>SUMIF(I$12:AB$12,"总值",I14:AB14)</f>
        <v>275.93</v>
      </c>
      <c r="I14" s="2962">
        <v>275.93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3B住宅楼</v>
      </c>
      <c r="AX14" s="11">
        <f t="shared" si="6"/>
        <v>1002</v>
      </c>
      <c r="AY14" s="1802">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68"/>
      <c r="B15" s="1268" t="s">
        <v>3070</v>
      </c>
      <c r="C15" s="2962">
        <v>1302</v>
      </c>
      <c r="D15" s="2210" t="s">
        <v>3061</v>
      </c>
      <c r="E15" s="16">
        <f>IF($C$3="是",ROUND($A$3*G15/$B$3,2),ROUND($A$3*(G15-AT15)/$B$3,2))</f>
        <v>0</v>
      </c>
      <c r="F15" s="32"/>
      <c r="G15" s="33">
        <f>H15+AC15+AT15</f>
        <v>275.93</v>
      </c>
      <c r="H15" s="20">
        <f>SUMIF(I$12:AB$12,"总值",I15:AB15)</f>
        <v>275.93</v>
      </c>
      <c r="I15" s="2962">
        <v>275.93</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3B住宅楼</v>
      </c>
      <c r="AX15" s="11">
        <f t="shared" si="6"/>
        <v>1302</v>
      </c>
      <c r="AY15" s="1802">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68"/>
      <c r="B16" s="1268" t="s">
        <v>3070</v>
      </c>
      <c r="C16" s="2962">
        <v>1601</v>
      </c>
      <c r="D16" s="2210" t="s">
        <v>3061</v>
      </c>
      <c r="E16" s="16">
        <f>IF($C$3="是",ROUND($A$3*G16/$B$3,2),ROUND($A$3*(G16-AT16)/$B$3,2))</f>
        <v>0</v>
      </c>
      <c r="F16" s="32"/>
      <c r="G16" s="33">
        <f>H16+AC16+AT16</f>
        <v>277.95999999999998</v>
      </c>
      <c r="H16" s="20">
        <f>SUMIF(I$12:AB$12,"总值",I16:AB16)</f>
        <v>277.95999999999998</v>
      </c>
      <c r="I16" s="2962">
        <v>277.95999999999998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3B住宅楼</v>
      </c>
      <c r="AX16" s="11">
        <f t="shared" si="6"/>
        <v>1601</v>
      </c>
      <c r="AY16" s="1802">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68"/>
      <c r="B17" s="1268" t="s">
        <v>3070</v>
      </c>
      <c r="C17" s="2962">
        <v>1801</v>
      </c>
      <c r="D17" s="2210" t="s">
        <v>3061</v>
      </c>
      <c r="E17" s="16">
        <f>IF($C$3="是",ROUND($A$3*G17/$B$3,2),ROUND($A$3*(G17-AT17)/$B$3,2))</f>
        <v>0</v>
      </c>
      <c r="F17" s="32"/>
      <c r="G17" s="33">
        <f>H17+AC17+AT17</f>
        <v>277.95999999999998</v>
      </c>
      <c r="H17" s="20">
        <f>SUMIF(I$12:AB$12,"总值",I17:AB17)</f>
        <v>277.95999999999998</v>
      </c>
      <c r="I17" s="2962">
        <v>277.95999999999998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3B住宅楼</v>
      </c>
      <c r="AX17" s="11">
        <f t="shared" si="6"/>
        <v>1801</v>
      </c>
      <c r="AY17" s="1802">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
        <v>3070</v>
      </c>
      <c r="C18" s="2962">
        <v>2002</v>
      </c>
      <c r="D18" s="2210" t="s">
        <v>3061</v>
      </c>
      <c r="E18" s="35">
        <f t="shared" ref="E18:E112" si="7">IF($C$3="是",ROUND($A$3*G18/$B$3,2),ROUND($A$3*(G18-AT18)/$B$3,2))</f>
        <v>0</v>
      </c>
      <c r="F18" s="36"/>
      <c r="G18" s="37">
        <f t="shared" ref="G18:G109" si="8">H18+AC18+AT18</f>
        <v>275.93</v>
      </c>
      <c r="H18" s="38">
        <f t="shared" ref="H18:H109" si="9">SUMIF(I$12:AB$12,"总值",I18:AB18)</f>
        <v>275.93</v>
      </c>
      <c r="I18" s="2962">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1">
        <f t="shared" ref="AV18:AV112" si="11">A18</f>
        <v>0</v>
      </c>
      <c r="AW18" s="1791" t="str">
        <f t="shared" ref="AW18:AW112" si="12">B18</f>
        <v>3B住宅楼</v>
      </c>
      <c r="AX18" s="1791">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
        <v>3070</v>
      </c>
      <c r="C19" s="2962">
        <v>2101</v>
      </c>
      <c r="D19" s="2210" t="s">
        <v>3061</v>
      </c>
      <c r="E19" s="35">
        <f t="shared" si="7"/>
        <v>0</v>
      </c>
      <c r="F19" s="36"/>
      <c r="G19" s="37">
        <f t="shared" si="8"/>
        <v>277.95999999999998</v>
      </c>
      <c r="H19" s="38">
        <f t="shared" si="9"/>
        <v>277.95999999999998</v>
      </c>
      <c r="I19" s="2962">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1">
        <f t="shared" si="11"/>
        <v>0</v>
      </c>
      <c r="AW19" s="1791" t="str">
        <f t="shared" si="12"/>
        <v>3B住宅楼</v>
      </c>
      <c r="AX19" s="1791">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t="s">
        <v>3070</v>
      </c>
      <c r="C20" s="2962">
        <v>2302</v>
      </c>
      <c r="D20" s="2210" t="s">
        <v>3061</v>
      </c>
      <c r="E20" s="35">
        <f t="shared" si="7"/>
        <v>0</v>
      </c>
      <c r="F20" s="36"/>
      <c r="G20" s="37">
        <f t="shared" si="8"/>
        <v>275.93</v>
      </c>
      <c r="H20" s="38">
        <f t="shared" si="9"/>
        <v>275.93</v>
      </c>
      <c r="I20" s="2962">
        <v>275.93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1">
        <f t="shared" si="11"/>
        <v>0</v>
      </c>
      <c r="AW20" s="1791" t="str">
        <f t="shared" si="12"/>
        <v>3B住宅楼</v>
      </c>
      <c r="AX20" s="1791">
        <f t="shared" si="13"/>
        <v>2302</v>
      </c>
      <c r="AY20" s="42">
        <f t="shared" si="14"/>
        <v>0</v>
      </c>
      <c r="AZ20" s="35">
        <f t="shared" si="15"/>
        <v>275.93</v>
      </c>
      <c r="BA20" s="35">
        <f t="shared" si="16"/>
        <v>275.93</v>
      </c>
      <c r="BB20" s="35">
        <f t="shared" si="17"/>
        <v>275.93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
        <v>3070</v>
      </c>
      <c r="C21" s="2963">
        <v>3101</v>
      </c>
      <c r="D21" s="2210" t="s">
        <v>3061</v>
      </c>
      <c r="E21" s="35">
        <f t="shared" si="7"/>
        <v>0</v>
      </c>
      <c r="F21" s="36"/>
      <c r="G21" s="37">
        <f t="shared" si="8"/>
        <v>296.38</v>
      </c>
      <c r="H21" s="38">
        <f t="shared" si="9"/>
        <v>296.38</v>
      </c>
      <c r="I21" s="2963">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1">
        <f t="shared" si="11"/>
        <v>0</v>
      </c>
      <c r="AW21" s="1791" t="str">
        <f t="shared" si="12"/>
        <v>3B住宅楼</v>
      </c>
      <c r="AX21" s="1791">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8" t="s">
        <v>3070</v>
      </c>
      <c r="C22" s="2963">
        <v>402</v>
      </c>
      <c r="D22" s="2210" t="s">
        <v>3061</v>
      </c>
      <c r="E22" s="35">
        <f t="shared" si="7"/>
        <v>0</v>
      </c>
      <c r="F22" s="36"/>
      <c r="G22" s="37">
        <f t="shared" si="8"/>
        <v>277.95999999999998</v>
      </c>
      <c r="H22" s="38">
        <f t="shared" si="9"/>
        <v>277.95999999999998</v>
      </c>
      <c r="I22" s="2963">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1">
        <f t="shared" si="11"/>
        <v>0</v>
      </c>
      <c r="AW22" s="1791" t="str">
        <f t="shared" si="12"/>
        <v>3B住宅楼</v>
      </c>
      <c r="AX22" s="1791">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8" t="s">
        <v>3070</v>
      </c>
      <c r="C23" s="2963">
        <v>501</v>
      </c>
      <c r="D23" s="2210" t="s">
        <v>3061</v>
      </c>
      <c r="E23" s="35">
        <f t="shared" si="7"/>
        <v>0</v>
      </c>
      <c r="F23" s="36"/>
      <c r="G23" s="37">
        <f t="shared" si="8"/>
        <v>275.93</v>
      </c>
      <c r="H23" s="38">
        <f t="shared" si="9"/>
        <v>275.93</v>
      </c>
      <c r="I23" s="2963">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1">
        <f t="shared" si="11"/>
        <v>0</v>
      </c>
      <c r="AW23" s="1791" t="str">
        <f t="shared" si="12"/>
        <v>3B住宅楼</v>
      </c>
      <c r="AX23" s="1791">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8" t="s">
        <v>3070</v>
      </c>
      <c r="C24" s="2962">
        <v>1501</v>
      </c>
      <c r="D24" s="2210" t="s">
        <v>3061</v>
      </c>
      <c r="E24" s="35">
        <f t="shared" si="7"/>
        <v>0</v>
      </c>
      <c r="F24" s="36"/>
      <c r="G24" s="37">
        <f t="shared" si="8"/>
        <v>275.93</v>
      </c>
      <c r="H24" s="38">
        <f t="shared" si="9"/>
        <v>275.93</v>
      </c>
      <c r="I24" s="2962">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1">
        <f t="shared" si="11"/>
        <v>0</v>
      </c>
      <c r="AW24" s="1791" t="str">
        <f t="shared" si="12"/>
        <v>3B住宅楼</v>
      </c>
      <c r="AX24" s="1791">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8" t="s">
        <v>3070</v>
      </c>
      <c r="C25" s="2962">
        <v>1901</v>
      </c>
      <c r="D25" s="2210" t="s">
        <v>3061</v>
      </c>
      <c r="E25" s="35">
        <f t="shared" si="7"/>
        <v>0</v>
      </c>
      <c r="F25" s="36"/>
      <c r="G25" s="37">
        <f t="shared" si="8"/>
        <v>275.93</v>
      </c>
      <c r="H25" s="38">
        <f t="shared" si="9"/>
        <v>275.93</v>
      </c>
      <c r="I25" s="2962">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1">
        <f t="shared" si="11"/>
        <v>0</v>
      </c>
      <c r="AW25" s="1791" t="str">
        <f t="shared" si="12"/>
        <v>3B住宅楼</v>
      </c>
      <c r="AX25" s="1791">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8" t="s">
        <v>3070</v>
      </c>
      <c r="C26" s="2962">
        <v>2201</v>
      </c>
      <c r="D26" s="2210" t="s">
        <v>3061</v>
      </c>
      <c r="E26" s="35">
        <f t="shared" si="7"/>
        <v>0</v>
      </c>
      <c r="F26" s="36"/>
      <c r="G26" s="37">
        <f t="shared" si="8"/>
        <v>275.93</v>
      </c>
      <c r="H26" s="38">
        <f t="shared" si="9"/>
        <v>275.93</v>
      </c>
      <c r="I26" s="2962">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1">
        <f t="shared" si="11"/>
        <v>0</v>
      </c>
      <c r="AW26" s="1791" t="str">
        <f t="shared" si="12"/>
        <v>3B住宅楼</v>
      </c>
      <c r="AX26" s="1791">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8" t="s">
        <v>3070</v>
      </c>
      <c r="C27" s="2962">
        <v>2401</v>
      </c>
      <c r="D27" s="2210" t="s">
        <v>3061</v>
      </c>
      <c r="E27" s="35">
        <f t="shared" si="7"/>
        <v>0</v>
      </c>
      <c r="F27" s="36"/>
      <c r="G27" s="37">
        <f t="shared" si="8"/>
        <v>275.93</v>
      </c>
      <c r="H27" s="38">
        <f t="shared" si="9"/>
        <v>275.93</v>
      </c>
      <c r="I27" s="2962">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1">
        <f t="shared" si="11"/>
        <v>0</v>
      </c>
      <c r="AW27" s="1791" t="str">
        <f t="shared" si="12"/>
        <v>3B住宅楼</v>
      </c>
      <c r="AX27" s="1791">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8" t="s">
        <v>3070</v>
      </c>
      <c r="C28" s="2962">
        <v>3101</v>
      </c>
      <c r="D28" s="2210" t="s">
        <v>3061</v>
      </c>
      <c r="E28" s="35">
        <f t="shared" si="7"/>
        <v>0</v>
      </c>
      <c r="F28" s="36"/>
      <c r="G28" s="37">
        <f t="shared" si="8"/>
        <v>289.67</v>
      </c>
      <c r="H28" s="38">
        <f t="shared" si="9"/>
        <v>289.67</v>
      </c>
      <c r="I28" s="2962">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1">
        <f t="shared" si="11"/>
        <v>0</v>
      </c>
      <c r="AW28" s="1791" t="str">
        <f t="shared" si="12"/>
        <v>3B住宅楼</v>
      </c>
      <c r="AX28" s="1791">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8" t="s">
        <v>3070</v>
      </c>
      <c r="C29" s="2962">
        <v>1602</v>
      </c>
      <c r="D29" s="2210" t="s">
        <v>3061</v>
      </c>
      <c r="E29" s="35">
        <f t="shared" si="7"/>
        <v>0</v>
      </c>
      <c r="F29" s="36"/>
      <c r="G29" s="37">
        <f t="shared" si="8"/>
        <v>275.93</v>
      </c>
      <c r="H29" s="38">
        <f t="shared" si="9"/>
        <v>275.93</v>
      </c>
      <c r="I29" s="2962">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1">
        <f t="shared" si="11"/>
        <v>0</v>
      </c>
      <c r="AW29" s="1791" t="str">
        <f t="shared" si="12"/>
        <v>3B住宅楼</v>
      </c>
      <c r="AX29" s="1791">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8" t="s">
        <v>3070</v>
      </c>
      <c r="C30" s="2962">
        <v>1102</v>
      </c>
      <c r="D30" s="2210" t="s">
        <v>3061</v>
      </c>
      <c r="E30" s="35">
        <f t="shared" si="7"/>
        <v>0</v>
      </c>
      <c r="F30" s="36"/>
      <c r="G30" s="37">
        <f t="shared" si="8"/>
        <v>277.95999999999998</v>
      </c>
      <c r="H30" s="38">
        <f t="shared" si="9"/>
        <v>277.95999999999998</v>
      </c>
      <c r="I30" s="2962">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1">
        <f t="shared" si="11"/>
        <v>0</v>
      </c>
      <c r="AW30" s="1791" t="str">
        <f t="shared" si="12"/>
        <v>3B住宅楼</v>
      </c>
      <c r="AX30" s="1791">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8" t="s">
        <v>3070</v>
      </c>
      <c r="C31" s="2962">
        <v>3102</v>
      </c>
      <c r="D31" s="2210" t="s">
        <v>3061</v>
      </c>
      <c r="E31" s="35">
        <f t="shared" si="7"/>
        <v>0</v>
      </c>
      <c r="F31" s="36"/>
      <c r="G31" s="37">
        <f t="shared" si="8"/>
        <v>296.38</v>
      </c>
      <c r="H31" s="38">
        <f t="shared" si="9"/>
        <v>296.38</v>
      </c>
      <c r="I31" s="2962">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1">
        <f t="shared" si="11"/>
        <v>0</v>
      </c>
      <c r="AW31" s="1791" t="str">
        <f t="shared" si="12"/>
        <v>3B住宅楼</v>
      </c>
      <c r="AX31" s="1791">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2">
        <v>-103</v>
      </c>
      <c r="D32" s="2964" t="s">
        <v>3051</v>
      </c>
      <c r="E32" s="35">
        <f t="shared" si="7"/>
        <v>0</v>
      </c>
      <c r="F32" s="36"/>
      <c r="G32" s="37">
        <f t="shared" si="8"/>
        <v>70.56</v>
      </c>
      <c r="H32" s="38">
        <f t="shared" si="9"/>
        <v>70.56</v>
      </c>
      <c r="I32" s="39"/>
      <c r="J32" s="39"/>
      <c r="K32" s="39"/>
      <c r="L32" s="39"/>
      <c r="M32" s="2962">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1">
        <f t="shared" si="11"/>
        <v>0</v>
      </c>
      <c r="AW32" s="1791" t="str">
        <f t="shared" si="12"/>
        <v>7号楼</v>
      </c>
      <c r="AX32" s="1791">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2">
        <v>-104</v>
      </c>
      <c r="D33" s="2964" t="s">
        <v>3051</v>
      </c>
      <c r="E33" s="35">
        <f t="shared" si="7"/>
        <v>0</v>
      </c>
      <c r="F33" s="36"/>
      <c r="G33" s="37">
        <f t="shared" si="8"/>
        <v>70.56</v>
      </c>
      <c r="H33" s="38">
        <f t="shared" si="9"/>
        <v>70.56</v>
      </c>
      <c r="I33" s="39"/>
      <c r="J33" s="39"/>
      <c r="K33" s="39"/>
      <c r="L33" s="39"/>
      <c r="M33" s="2962">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1">
        <f t="shared" si="11"/>
        <v>0</v>
      </c>
      <c r="AW33" s="1791" t="str">
        <f t="shared" si="12"/>
        <v>7号楼</v>
      </c>
      <c r="AX33" s="1791">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2">
        <v>101</v>
      </c>
      <c r="D34" s="2964" t="s">
        <v>3051</v>
      </c>
      <c r="E34" s="35">
        <f t="shared" si="7"/>
        <v>0</v>
      </c>
      <c r="F34" s="36"/>
      <c r="G34" s="37">
        <f t="shared" si="8"/>
        <v>356.83</v>
      </c>
      <c r="H34" s="38">
        <f t="shared" si="9"/>
        <v>356.83</v>
      </c>
      <c r="I34" s="2962"/>
      <c r="J34" s="39"/>
      <c r="K34" s="2962">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1">
        <f t="shared" si="11"/>
        <v>0</v>
      </c>
      <c r="AW34" s="1791" t="str">
        <f t="shared" si="12"/>
        <v>7号楼</v>
      </c>
      <c r="AX34" s="1791">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2">
        <v>102</v>
      </c>
      <c r="D35" s="2964" t="s">
        <v>3062</v>
      </c>
      <c r="E35" s="35">
        <f t="shared" si="7"/>
        <v>0</v>
      </c>
      <c r="F35" s="36"/>
      <c r="G35" s="37">
        <f t="shared" si="8"/>
        <v>656.26</v>
      </c>
      <c r="H35" s="38">
        <f t="shared" si="9"/>
        <v>656.26</v>
      </c>
      <c r="I35" s="2962"/>
      <c r="J35" s="39"/>
      <c r="K35" s="2962">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1">
        <f t="shared" si="11"/>
        <v>0</v>
      </c>
      <c r="AW35" s="1791" t="str">
        <f t="shared" si="12"/>
        <v>7号楼</v>
      </c>
      <c r="AX35" s="1791">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2">
        <v>103</v>
      </c>
      <c r="D36" s="2964" t="s">
        <v>3051</v>
      </c>
      <c r="E36" s="35">
        <f t="shared" si="7"/>
        <v>0</v>
      </c>
      <c r="F36" s="36"/>
      <c r="G36" s="37">
        <f t="shared" si="8"/>
        <v>80.42</v>
      </c>
      <c r="H36" s="38">
        <f t="shared" si="9"/>
        <v>80.42</v>
      </c>
      <c r="I36" s="2962"/>
      <c r="J36" s="39"/>
      <c r="K36" s="2962">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1">
        <f t="shared" si="11"/>
        <v>0</v>
      </c>
      <c r="AW36" s="1791" t="str">
        <f t="shared" si="12"/>
        <v>7号楼</v>
      </c>
      <c r="AX36" s="1791">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2">
        <v>104</v>
      </c>
      <c r="D37" s="2964" t="s">
        <v>3051</v>
      </c>
      <c r="E37" s="35">
        <f t="shared" si="7"/>
        <v>0</v>
      </c>
      <c r="F37" s="36"/>
      <c r="G37" s="37">
        <f t="shared" si="8"/>
        <v>80.42</v>
      </c>
      <c r="H37" s="38">
        <f t="shared" si="9"/>
        <v>80.42</v>
      </c>
      <c r="I37" s="2962"/>
      <c r="J37" s="39"/>
      <c r="K37" s="2962">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1">
        <f t="shared" si="11"/>
        <v>0</v>
      </c>
      <c r="AW37" s="1791" t="str">
        <f t="shared" si="12"/>
        <v>7号楼</v>
      </c>
      <c r="AX37" s="1791">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2">
        <v>105</v>
      </c>
      <c r="D38" s="2964" t="s">
        <v>3051</v>
      </c>
      <c r="E38" s="35">
        <f t="shared" si="7"/>
        <v>0</v>
      </c>
      <c r="F38" s="36"/>
      <c r="G38" s="37">
        <f t="shared" si="8"/>
        <v>744.05</v>
      </c>
      <c r="H38" s="38">
        <f t="shared" si="9"/>
        <v>744.05</v>
      </c>
      <c r="I38" s="2962"/>
      <c r="J38" s="39"/>
      <c r="K38" s="2962">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1">
        <f t="shared" si="11"/>
        <v>0</v>
      </c>
      <c r="AW38" s="1791" t="str">
        <f t="shared" si="12"/>
        <v>7号楼</v>
      </c>
      <c r="AX38" s="1791">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2">
        <v>106</v>
      </c>
      <c r="D39" s="2964" t="s">
        <v>3051</v>
      </c>
      <c r="E39" s="35">
        <f t="shared" si="7"/>
        <v>0</v>
      </c>
      <c r="F39" s="36"/>
      <c r="G39" s="37">
        <f t="shared" si="8"/>
        <v>361.96</v>
      </c>
      <c r="H39" s="38">
        <f t="shared" si="9"/>
        <v>361.96</v>
      </c>
      <c r="I39" s="2962"/>
      <c r="J39" s="39"/>
      <c r="K39" s="2962">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1">
        <f t="shared" si="11"/>
        <v>0</v>
      </c>
      <c r="AW39" s="1791" t="str">
        <f t="shared" si="12"/>
        <v>7号楼</v>
      </c>
      <c r="AX39" s="1791">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2">
        <v>203</v>
      </c>
      <c r="D40" s="2964" t="s">
        <v>3051</v>
      </c>
      <c r="E40" s="35">
        <f t="shared" si="7"/>
        <v>0</v>
      </c>
      <c r="F40" s="36"/>
      <c r="G40" s="37">
        <f t="shared" si="8"/>
        <v>80.42</v>
      </c>
      <c r="H40" s="38">
        <f t="shared" si="9"/>
        <v>80.42</v>
      </c>
      <c r="I40" s="2962"/>
      <c r="J40" s="39"/>
      <c r="K40" s="2962">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1">
        <f t="shared" si="11"/>
        <v>0</v>
      </c>
      <c r="AW40" s="1791" t="str">
        <f t="shared" si="12"/>
        <v>7号楼</v>
      </c>
      <c r="AX40" s="1791">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2">
        <v>204</v>
      </c>
      <c r="D41" s="2964" t="s">
        <v>3051</v>
      </c>
      <c r="E41" s="35">
        <f t="shared" si="7"/>
        <v>0</v>
      </c>
      <c r="F41" s="36"/>
      <c r="G41" s="37">
        <f t="shared" si="8"/>
        <v>77.94</v>
      </c>
      <c r="H41" s="38">
        <f t="shared" si="9"/>
        <v>77.94</v>
      </c>
      <c r="I41" s="2962"/>
      <c r="J41" s="39"/>
      <c r="K41" s="2962">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1">
        <f t="shared" si="11"/>
        <v>0</v>
      </c>
      <c r="AW41" s="1791" t="str">
        <f t="shared" si="12"/>
        <v>7号楼</v>
      </c>
      <c r="AX41" s="1791">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2">
        <v>-103</v>
      </c>
      <c r="D42" s="2964" t="s">
        <v>3051</v>
      </c>
      <c r="E42" s="35">
        <f t="shared" si="7"/>
        <v>0</v>
      </c>
      <c r="F42" s="36"/>
      <c r="G42" s="37">
        <f t="shared" si="8"/>
        <v>65.989999999999995</v>
      </c>
      <c r="H42" s="38">
        <f t="shared" si="9"/>
        <v>65.989999999999995</v>
      </c>
      <c r="I42" s="39"/>
      <c r="J42" s="39"/>
      <c r="K42" s="39"/>
      <c r="L42" s="39"/>
      <c r="M42" s="2962">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1">
        <f t="shared" si="11"/>
        <v>0</v>
      </c>
      <c r="AW42" s="1791" t="str">
        <f t="shared" si="12"/>
        <v>8号楼</v>
      </c>
      <c r="AX42" s="1791">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2">
        <v>-104</v>
      </c>
      <c r="D43" s="2964" t="s">
        <v>3051</v>
      </c>
      <c r="E43" s="35">
        <f t="shared" si="7"/>
        <v>0</v>
      </c>
      <c r="F43" s="36"/>
      <c r="G43" s="37">
        <f t="shared" si="8"/>
        <v>65.989999999999995</v>
      </c>
      <c r="H43" s="38">
        <f t="shared" si="9"/>
        <v>65.989999999999995</v>
      </c>
      <c r="I43" s="39"/>
      <c r="J43" s="39"/>
      <c r="K43" s="39"/>
      <c r="L43" s="39"/>
      <c r="M43" s="2962">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1">
        <f t="shared" si="11"/>
        <v>0</v>
      </c>
      <c r="AW43" s="1791" t="str">
        <f t="shared" si="12"/>
        <v>8号楼</v>
      </c>
      <c r="AX43" s="1791">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2">
        <v>101</v>
      </c>
      <c r="D44" s="2964" t="s">
        <v>3051</v>
      </c>
      <c r="E44" s="35">
        <f t="shared" si="7"/>
        <v>0</v>
      </c>
      <c r="F44" s="36"/>
      <c r="G44" s="37">
        <f t="shared" si="8"/>
        <v>306.70999999999998</v>
      </c>
      <c r="H44" s="38">
        <f t="shared" si="9"/>
        <v>306.70999999999998</v>
      </c>
      <c r="I44" s="39"/>
      <c r="J44" s="39"/>
      <c r="K44" s="2962">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1">
        <f t="shared" si="11"/>
        <v>0</v>
      </c>
      <c r="AW44" s="1791" t="str">
        <f t="shared" si="12"/>
        <v>8号楼</v>
      </c>
      <c r="AX44" s="1791">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2">
        <v>102</v>
      </c>
      <c r="D45" s="2964" t="s">
        <v>3051</v>
      </c>
      <c r="E45" s="35">
        <f t="shared" si="7"/>
        <v>0</v>
      </c>
      <c r="F45" s="36"/>
      <c r="G45" s="37">
        <f t="shared" si="8"/>
        <v>538.85</v>
      </c>
      <c r="H45" s="38">
        <f t="shared" si="9"/>
        <v>538.85</v>
      </c>
      <c r="I45" s="39"/>
      <c r="J45" s="39"/>
      <c r="K45" s="2962">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1">
        <f t="shared" si="11"/>
        <v>0</v>
      </c>
      <c r="AW45" s="1791" t="str">
        <f t="shared" si="12"/>
        <v>8号楼</v>
      </c>
      <c r="AX45" s="1791">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2">
        <v>103</v>
      </c>
      <c r="D46" s="2964" t="s">
        <v>3051</v>
      </c>
      <c r="E46" s="35">
        <f t="shared" si="7"/>
        <v>0</v>
      </c>
      <c r="F46" s="36"/>
      <c r="G46" s="37">
        <f t="shared" si="8"/>
        <v>74.86</v>
      </c>
      <c r="H46" s="38">
        <f t="shared" si="9"/>
        <v>74.86</v>
      </c>
      <c r="I46" s="39"/>
      <c r="J46" s="39"/>
      <c r="K46" s="2962">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1">
        <f t="shared" si="11"/>
        <v>0</v>
      </c>
      <c r="AW46" s="1791" t="str">
        <f t="shared" si="12"/>
        <v>8号楼</v>
      </c>
      <c r="AX46" s="1791">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2">
        <v>104</v>
      </c>
      <c r="D47" s="2964" t="s">
        <v>3051</v>
      </c>
      <c r="E47" s="35">
        <f t="shared" si="7"/>
        <v>0</v>
      </c>
      <c r="F47" s="36"/>
      <c r="G47" s="37">
        <f t="shared" si="8"/>
        <v>74.86</v>
      </c>
      <c r="H47" s="38">
        <f t="shared" si="9"/>
        <v>74.86</v>
      </c>
      <c r="I47" s="39"/>
      <c r="J47" s="39"/>
      <c r="K47" s="2962">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1">
        <f t="shared" si="11"/>
        <v>0</v>
      </c>
      <c r="AW47" s="1791" t="str">
        <f t="shared" si="12"/>
        <v>8号楼</v>
      </c>
      <c r="AX47" s="1791">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2">
        <v>105</v>
      </c>
      <c r="D48" s="2964" t="s">
        <v>3051</v>
      </c>
      <c r="E48" s="35">
        <f t="shared" si="7"/>
        <v>0</v>
      </c>
      <c r="F48" s="36"/>
      <c r="G48" s="37">
        <f t="shared" si="8"/>
        <v>538.35</v>
      </c>
      <c r="H48" s="38">
        <f t="shared" si="9"/>
        <v>538.35</v>
      </c>
      <c r="I48" s="39"/>
      <c r="J48" s="39"/>
      <c r="K48" s="2962">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1">
        <f t="shared" si="11"/>
        <v>0</v>
      </c>
      <c r="AW48" s="1791" t="str">
        <f t="shared" si="12"/>
        <v>8号楼</v>
      </c>
      <c r="AX48" s="1791">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2">
        <v>106</v>
      </c>
      <c r="D49" s="2964" t="s">
        <v>3051</v>
      </c>
      <c r="E49" s="35">
        <f t="shared" si="7"/>
        <v>0</v>
      </c>
      <c r="F49" s="36"/>
      <c r="G49" s="37">
        <f t="shared" si="8"/>
        <v>306.70999999999998</v>
      </c>
      <c r="H49" s="38">
        <f t="shared" si="9"/>
        <v>306.70999999999998</v>
      </c>
      <c r="I49" s="39"/>
      <c r="J49" s="39"/>
      <c r="K49" s="2962">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1">
        <f t="shared" si="11"/>
        <v>0</v>
      </c>
      <c r="AW49" s="1791" t="str">
        <f t="shared" si="12"/>
        <v>8号楼</v>
      </c>
      <c r="AX49" s="1791">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2">
        <v>203</v>
      </c>
      <c r="D50" s="2964" t="s">
        <v>3051</v>
      </c>
      <c r="E50" s="35">
        <f t="shared" si="7"/>
        <v>0</v>
      </c>
      <c r="F50" s="36"/>
      <c r="G50" s="37">
        <f t="shared" si="8"/>
        <v>73.33</v>
      </c>
      <c r="H50" s="38">
        <f t="shared" si="9"/>
        <v>73.33</v>
      </c>
      <c r="I50" s="39"/>
      <c r="J50" s="39"/>
      <c r="K50" s="2962">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1">
        <f t="shared" si="11"/>
        <v>0</v>
      </c>
      <c r="AW50" s="1791" t="str">
        <f t="shared" si="12"/>
        <v>8号楼</v>
      </c>
      <c r="AX50" s="1791">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2">
        <v>204</v>
      </c>
      <c r="D51" s="2964" t="s">
        <v>3051</v>
      </c>
      <c r="E51" s="35">
        <f t="shared" si="7"/>
        <v>0</v>
      </c>
      <c r="F51" s="36"/>
      <c r="G51" s="37">
        <f t="shared" si="8"/>
        <v>73.33</v>
      </c>
      <c r="H51" s="38">
        <f t="shared" si="9"/>
        <v>73.33</v>
      </c>
      <c r="I51" s="39"/>
      <c r="J51" s="39"/>
      <c r="K51" s="2962">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1">
        <f t="shared" si="11"/>
        <v>0</v>
      </c>
      <c r="AW51" s="1791" t="str">
        <f t="shared" si="12"/>
        <v>8号楼</v>
      </c>
      <c r="AX51" s="1791">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2">
        <v>-103</v>
      </c>
      <c r="D52" s="2964" t="s">
        <v>3051</v>
      </c>
      <c r="E52" s="35">
        <f t="shared" si="7"/>
        <v>0</v>
      </c>
      <c r="F52" s="36"/>
      <c r="G52" s="37">
        <f t="shared" si="8"/>
        <v>66.39</v>
      </c>
      <c r="H52" s="38">
        <f t="shared" si="9"/>
        <v>66.39</v>
      </c>
      <c r="I52" s="39"/>
      <c r="J52" s="39"/>
      <c r="K52" s="2962"/>
      <c r="L52" s="39"/>
      <c r="M52" s="2962">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1">
        <f t="shared" si="11"/>
        <v>0</v>
      </c>
      <c r="AW52" s="1791" t="str">
        <f t="shared" si="12"/>
        <v>9号楼</v>
      </c>
      <c r="AX52" s="1791">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2">
        <v>-104</v>
      </c>
      <c r="D53" s="2964" t="s">
        <v>3051</v>
      </c>
      <c r="E53" s="35">
        <f t="shared" si="7"/>
        <v>0</v>
      </c>
      <c r="F53" s="36"/>
      <c r="G53" s="37">
        <f t="shared" si="8"/>
        <v>66.39</v>
      </c>
      <c r="H53" s="38">
        <f t="shared" si="9"/>
        <v>66.39</v>
      </c>
      <c r="I53" s="39"/>
      <c r="J53" s="39"/>
      <c r="K53" s="2962"/>
      <c r="L53" s="39"/>
      <c r="M53" s="2962">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1">
        <f t="shared" si="11"/>
        <v>0</v>
      </c>
      <c r="AW53" s="1791" t="str">
        <f t="shared" si="12"/>
        <v>9号楼</v>
      </c>
      <c r="AX53" s="1791">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2">
        <v>101</v>
      </c>
      <c r="D54" s="2964" t="s">
        <v>3051</v>
      </c>
      <c r="E54" s="35">
        <f t="shared" si="7"/>
        <v>0</v>
      </c>
      <c r="F54" s="36"/>
      <c r="G54" s="37">
        <f t="shared" si="8"/>
        <v>306.67</v>
      </c>
      <c r="H54" s="38">
        <f t="shared" si="9"/>
        <v>306.67</v>
      </c>
      <c r="I54" s="39"/>
      <c r="J54" s="39"/>
      <c r="K54" s="2962">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1">
        <f t="shared" si="11"/>
        <v>0</v>
      </c>
      <c r="AW54" s="1791" t="str">
        <f t="shared" si="12"/>
        <v>9号楼</v>
      </c>
      <c r="AX54" s="1791">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2">
        <v>102</v>
      </c>
      <c r="D55" s="2964" t="s">
        <v>3051</v>
      </c>
      <c r="E55" s="35">
        <f t="shared" si="7"/>
        <v>0</v>
      </c>
      <c r="F55" s="36"/>
      <c r="G55" s="37">
        <f t="shared" si="8"/>
        <v>539.1</v>
      </c>
      <c r="H55" s="38">
        <f t="shared" si="9"/>
        <v>539.1</v>
      </c>
      <c r="I55" s="39"/>
      <c r="J55" s="39"/>
      <c r="K55" s="2962">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1">
        <f t="shared" si="11"/>
        <v>0</v>
      </c>
      <c r="AW55" s="1791" t="str">
        <f t="shared" si="12"/>
        <v>9号楼</v>
      </c>
      <c r="AX55" s="1791">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2">
        <v>103</v>
      </c>
      <c r="D56" s="2964" t="s">
        <v>3051</v>
      </c>
      <c r="E56" s="35">
        <f t="shared" si="7"/>
        <v>0</v>
      </c>
      <c r="F56" s="36"/>
      <c r="G56" s="37">
        <f t="shared" si="8"/>
        <v>74.849999999999994</v>
      </c>
      <c r="H56" s="38">
        <f t="shared" si="9"/>
        <v>74.849999999999994</v>
      </c>
      <c r="I56" s="39"/>
      <c r="J56" s="39"/>
      <c r="K56" s="2962">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1">
        <f t="shared" si="11"/>
        <v>0</v>
      </c>
      <c r="AW56" s="1791" t="str">
        <f t="shared" si="12"/>
        <v>9号楼</v>
      </c>
      <c r="AX56" s="1791">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2">
        <v>104</v>
      </c>
      <c r="D57" s="2964" t="s">
        <v>3051</v>
      </c>
      <c r="E57" s="35">
        <f t="shared" si="7"/>
        <v>0</v>
      </c>
      <c r="F57" s="36"/>
      <c r="G57" s="37">
        <f t="shared" si="8"/>
        <v>74.849999999999994</v>
      </c>
      <c r="H57" s="38">
        <f t="shared" si="9"/>
        <v>74.849999999999994</v>
      </c>
      <c r="I57" s="39"/>
      <c r="J57" s="39"/>
      <c r="K57" s="2962">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1">
        <f t="shared" si="11"/>
        <v>0</v>
      </c>
      <c r="AW57" s="1791" t="str">
        <f t="shared" si="12"/>
        <v>9号楼</v>
      </c>
      <c r="AX57" s="1791">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2">
        <v>105</v>
      </c>
      <c r="D58" s="2964" t="s">
        <v>3051</v>
      </c>
      <c r="E58" s="35">
        <f t="shared" si="7"/>
        <v>0</v>
      </c>
      <c r="F58" s="36"/>
      <c r="G58" s="37">
        <f t="shared" si="8"/>
        <v>539.1</v>
      </c>
      <c r="H58" s="38">
        <f t="shared" si="9"/>
        <v>539.1</v>
      </c>
      <c r="I58" s="39"/>
      <c r="J58" s="39"/>
      <c r="K58" s="2962">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1">
        <f t="shared" si="11"/>
        <v>0</v>
      </c>
      <c r="AW58" s="1791" t="str">
        <f t="shared" si="12"/>
        <v>9号楼</v>
      </c>
      <c r="AX58" s="1791">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2">
        <v>106</v>
      </c>
      <c r="D59" s="2964" t="s">
        <v>3051</v>
      </c>
      <c r="E59" s="35">
        <f t="shared" si="7"/>
        <v>0</v>
      </c>
      <c r="F59" s="36"/>
      <c r="G59" s="37">
        <f t="shared" si="8"/>
        <v>306.67</v>
      </c>
      <c r="H59" s="38">
        <f t="shared" si="9"/>
        <v>306.67</v>
      </c>
      <c r="I59" s="39"/>
      <c r="J59" s="39"/>
      <c r="K59" s="2962">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1">
        <f t="shared" si="11"/>
        <v>0</v>
      </c>
      <c r="AW59" s="1791" t="str">
        <f t="shared" si="12"/>
        <v>9号楼</v>
      </c>
      <c r="AX59" s="1791">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2">
        <v>203</v>
      </c>
      <c r="D60" s="2964" t="s">
        <v>3051</v>
      </c>
      <c r="E60" s="35">
        <f t="shared" si="7"/>
        <v>0</v>
      </c>
      <c r="F60" s="36"/>
      <c r="G60" s="37">
        <f t="shared" si="8"/>
        <v>73.319999999999993</v>
      </c>
      <c r="H60" s="38">
        <f t="shared" si="9"/>
        <v>73.319999999999993</v>
      </c>
      <c r="I60" s="39"/>
      <c r="J60" s="39"/>
      <c r="K60" s="2962">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1">
        <f t="shared" si="11"/>
        <v>0</v>
      </c>
      <c r="AW60" s="1791" t="str">
        <f t="shared" si="12"/>
        <v>9号楼</v>
      </c>
      <c r="AX60" s="1791">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2">
        <v>204</v>
      </c>
      <c r="D61" s="2964" t="s">
        <v>3051</v>
      </c>
      <c r="E61" s="35">
        <f t="shared" si="7"/>
        <v>0</v>
      </c>
      <c r="F61" s="36"/>
      <c r="G61" s="37">
        <f t="shared" si="8"/>
        <v>73.319999999999993</v>
      </c>
      <c r="H61" s="38">
        <f t="shared" si="9"/>
        <v>73.319999999999993</v>
      </c>
      <c r="I61" s="39"/>
      <c r="J61" s="39"/>
      <c r="K61" s="2962">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1">
        <f t="shared" si="11"/>
        <v>0</v>
      </c>
      <c r="AW61" s="1791" t="str">
        <f t="shared" si="12"/>
        <v>9号楼</v>
      </c>
      <c r="AX61" s="1791">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2">
        <v>-103</v>
      </c>
      <c r="D62" s="2964" t="s">
        <v>3051</v>
      </c>
      <c r="E62" s="35">
        <f t="shared" si="7"/>
        <v>0</v>
      </c>
      <c r="F62" s="36"/>
      <c r="G62" s="37">
        <f t="shared" si="8"/>
        <v>70.569999999999993</v>
      </c>
      <c r="H62" s="38">
        <f t="shared" si="9"/>
        <v>70.569999999999993</v>
      </c>
      <c r="I62" s="39"/>
      <c r="J62" s="39"/>
      <c r="K62" s="2962"/>
      <c r="L62" s="39"/>
      <c r="M62" s="2962">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1">
        <f t="shared" si="11"/>
        <v>0</v>
      </c>
      <c r="AW62" s="1791" t="str">
        <f t="shared" si="12"/>
        <v>10号楼</v>
      </c>
      <c r="AX62" s="1791">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2">
        <v>-104</v>
      </c>
      <c r="D63" s="2964" t="s">
        <v>3051</v>
      </c>
      <c r="E63" s="35">
        <f t="shared" si="7"/>
        <v>0</v>
      </c>
      <c r="F63" s="36"/>
      <c r="G63" s="37">
        <f t="shared" si="8"/>
        <v>70.569999999999993</v>
      </c>
      <c r="H63" s="38">
        <f t="shared" si="9"/>
        <v>70.569999999999993</v>
      </c>
      <c r="I63" s="39"/>
      <c r="J63" s="39"/>
      <c r="K63" s="2962"/>
      <c r="L63" s="39"/>
      <c r="M63" s="2962">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1">
        <f t="shared" si="11"/>
        <v>0</v>
      </c>
      <c r="AW63" s="1791" t="str">
        <f t="shared" si="12"/>
        <v>10号楼</v>
      </c>
      <c r="AX63" s="1791">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2">
        <v>101</v>
      </c>
      <c r="D64" s="2964" t="s">
        <v>3051</v>
      </c>
      <c r="E64" s="35">
        <f t="shared" si="7"/>
        <v>0</v>
      </c>
      <c r="F64" s="36"/>
      <c r="G64" s="37">
        <f t="shared" si="8"/>
        <v>362.03</v>
      </c>
      <c r="H64" s="38">
        <f t="shared" si="9"/>
        <v>362.03</v>
      </c>
      <c r="I64" s="39"/>
      <c r="J64" s="39"/>
      <c r="K64" s="2962">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1">
        <f t="shared" si="11"/>
        <v>0</v>
      </c>
      <c r="AW64" s="1791" t="str">
        <f t="shared" si="12"/>
        <v>10号楼</v>
      </c>
      <c r="AX64" s="1791">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2">
        <v>102</v>
      </c>
      <c r="D65" s="2964" t="s">
        <v>3051</v>
      </c>
      <c r="E65" s="35">
        <f t="shared" si="7"/>
        <v>0</v>
      </c>
      <c r="F65" s="36"/>
      <c r="G65" s="37">
        <f t="shared" si="8"/>
        <v>744.31</v>
      </c>
      <c r="H65" s="38">
        <f t="shared" si="9"/>
        <v>744.31</v>
      </c>
      <c r="I65" s="39"/>
      <c r="J65" s="39"/>
      <c r="K65" s="2962">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1">
        <f t="shared" si="11"/>
        <v>0</v>
      </c>
      <c r="AW65" s="1791" t="str">
        <f t="shared" si="12"/>
        <v>10号楼</v>
      </c>
      <c r="AX65" s="1791">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2">
        <v>103</v>
      </c>
      <c r="D66" s="2964" t="s">
        <v>3051</v>
      </c>
      <c r="E66" s="35">
        <f t="shared" si="7"/>
        <v>0</v>
      </c>
      <c r="F66" s="36"/>
      <c r="G66" s="37">
        <f t="shared" si="8"/>
        <v>80.430000000000007</v>
      </c>
      <c r="H66" s="38">
        <f t="shared" si="9"/>
        <v>80.430000000000007</v>
      </c>
      <c r="I66" s="39"/>
      <c r="J66" s="39"/>
      <c r="K66" s="2962">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1">
        <f t="shared" si="11"/>
        <v>0</v>
      </c>
      <c r="AW66" s="1791" t="str">
        <f t="shared" si="12"/>
        <v>10号楼</v>
      </c>
      <c r="AX66" s="1791">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2">
        <v>104</v>
      </c>
      <c r="D67" s="2964" t="s">
        <v>3051</v>
      </c>
      <c r="E67" s="35">
        <f t="shared" si="7"/>
        <v>0</v>
      </c>
      <c r="F67" s="36"/>
      <c r="G67" s="37">
        <f t="shared" si="8"/>
        <v>80.430000000000007</v>
      </c>
      <c r="H67" s="38">
        <f t="shared" si="9"/>
        <v>80.430000000000007</v>
      </c>
      <c r="I67" s="39"/>
      <c r="J67" s="39"/>
      <c r="K67" s="2962">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1">
        <f t="shared" si="11"/>
        <v>0</v>
      </c>
      <c r="AW67" s="1791" t="str">
        <f t="shared" si="12"/>
        <v>10号楼</v>
      </c>
      <c r="AX67" s="1791">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2">
        <v>105</v>
      </c>
      <c r="D68" s="2964" t="s">
        <v>3051</v>
      </c>
      <c r="E68" s="35">
        <f t="shared" si="7"/>
        <v>0</v>
      </c>
      <c r="F68" s="36"/>
      <c r="G68" s="37">
        <f t="shared" si="8"/>
        <v>655.83</v>
      </c>
      <c r="H68" s="38">
        <f t="shared" si="9"/>
        <v>655.83</v>
      </c>
      <c r="I68" s="39"/>
      <c r="J68" s="39"/>
      <c r="K68" s="2962">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1">
        <f t="shared" si="11"/>
        <v>0</v>
      </c>
      <c r="AW68" s="1791" t="str">
        <f t="shared" si="12"/>
        <v>10号楼</v>
      </c>
      <c r="AX68" s="1791">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2">
        <v>106</v>
      </c>
      <c r="D69" s="2964" t="s">
        <v>3051</v>
      </c>
      <c r="E69" s="35">
        <f t="shared" si="7"/>
        <v>0</v>
      </c>
      <c r="F69" s="36"/>
      <c r="G69" s="37">
        <f t="shared" si="8"/>
        <v>359.94</v>
      </c>
      <c r="H69" s="38">
        <f t="shared" si="9"/>
        <v>359.94</v>
      </c>
      <c r="I69" s="39"/>
      <c r="J69" s="39"/>
      <c r="K69" s="2962">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1">
        <f t="shared" si="11"/>
        <v>0</v>
      </c>
      <c r="AW69" s="1791" t="str">
        <f t="shared" si="12"/>
        <v>10号楼</v>
      </c>
      <c r="AX69" s="1791">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2">
        <v>203</v>
      </c>
      <c r="D70" s="2964" t="s">
        <v>3051</v>
      </c>
      <c r="E70" s="35">
        <f t="shared" si="7"/>
        <v>0</v>
      </c>
      <c r="F70" s="36"/>
      <c r="G70" s="37">
        <f t="shared" si="8"/>
        <v>77.95</v>
      </c>
      <c r="H70" s="38">
        <f t="shared" si="9"/>
        <v>77.95</v>
      </c>
      <c r="I70" s="39"/>
      <c r="J70" s="39"/>
      <c r="K70" s="2962">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1">
        <f t="shared" si="11"/>
        <v>0</v>
      </c>
      <c r="AW70" s="1791" t="str">
        <f t="shared" si="12"/>
        <v>10号楼</v>
      </c>
      <c r="AX70" s="1791">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2">
        <v>204</v>
      </c>
      <c r="D71" s="2964" t="s">
        <v>3051</v>
      </c>
      <c r="E71" s="35">
        <f t="shared" si="7"/>
        <v>0</v>
      </c>
      <c r="F71" s="36"/>
      <c r="G71" s="37">
        <f t="shared" si="8"/>
        <v>80.430000000000007</v>
      </c>
      <c r="H71" s="38">
        <f t="shared" si="9"/>
        <v>80.430000000000007</v>
      </c>
      <c r="I71" s="39"/>
      <c r="J71" s="39"/>
      <c r="K71" s="2962">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1">
        <f t="shared" si="11"/>
        <v>0</v>
      </c>
      <c r="AW71" s="1791" t="str">
        <f t="shared" si="12"/>
        <v>10号楼</v>
      </c>
      <c r="AX71" s="1791">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3" t="s">
        <v>0</v>
      </c>
      <c r="B1" s="3533" t="s">
        <v>4</v>
      </c>
      <c r="C1" s="3533" t="s">
        <v>5</v>
      </c>
      <c r="D1" s="3534" t="s">
        <v>53</v>
      </c>
      <c r="E1" s="3534" t="s">
        <v>54</v>
      </c>
      <c r="F1" s="3534"/>
      <c r="G1" s="3534"/>
      <c r="H1" s="3534"/>
      <c r="I1" s="3534"/>
      <c r="J1" s="3534"/>
      <c r="K1" s="3534"/>
      <c r="L1" s="3534"/>
      <c r="M1" s="3534"/>
    </row>
    <row r="2" spans="1:13" ht="27" customHeight="1">
      <c r="A2" s="3533"/>
      <c r="B2" s="3533"/>
      <c r="C2" s="3533"/>
      <c r="D2" s="3534"/>
      <c r="E2" s="3534" t="s">
        <v>37</v>
      </c>
      <c r="F2" s="3534" t="s">
        <v>38</v>
      </c>
      <c r="G2" s="3534"/>
      <c r="H2" s="3534"/>
      <c r="I2" s="3534"/>
      <c r="J2" s="3534" t="s">
        <v>39</v>
      </c>
      <c r="K2" s="3534"/>
      <c r="L2" s="3534"/>
      <c r="M2" s="3534"/>
    </row>
    <row r="3" spans="1:13" ht="28.5">
      <c r="A3" s="3533"/>
      <c r="B3" s="3533"/>
      <c r="C3" s="3533"/>
      <c r="D3" s="3534"/>
      <c r="E3" s="35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4" t="s">
        <v>55</v>
      </c>
      <c r="B9" s="3534"/>
      <c r="C9" s="35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88"/>
      <c r="C1" s="1388"/>
      <c r="D1" s="1388"/>
      <c r="E1" s="1388"/>
      <c r="F1" s="1388"/>
      <c r="G1" s="1388"/>
      <c r="H1" s="1388"/>
      <c r="I1" s="1388"/>
      <c r="J1" s="1388"/>
      <c r="K1" s="1388"/>
      <c r="L1" s="1388"/>
      <c r="M1" s="1388"/>
      <c r="N1" s="1388"/>
      <c r="O1" s="1388"/>
      <c r="P1" s="1388"/>
    </row>
    <row r="2" spans="1:16" ht="15">
      <c r="A2" s="3544" t="s">
        <v>1938</v>
      </c>
      <c r="B2" s="3544"/>
      <c r="C2" s="3544"/>
      <c r="D2" s="963" t="s">
        <v>1914</v>
      </c>
      <c r="E2" s="2224" t="s">
        <v>1915</v>
      </c>
      <c r="F2" s="1388"/>
      <c r="G2" s="2225"/>
      <c r="H2" s="2226"/>
      <c r="I2" s="2227" t="s">
        <v>1939</v>
      </c>
      <c r="J2" s="1388"/>
      <c r="K2" s="1388"/>
      <c r="L2" s="1388"/>
      <c r="M2" s="1388"/>
      <c r="N2" s="1423"/>
      <c r="O2" s="1388"/>
      <c r="P2" s="1388"/>
    </row>
    <row r="3" spans="1:16" ht="15.75" thickBot="1">
      <c r="A3" s="3545" t="s">
        <v>1912</v>
      </c>
      <c r="B3" s="3545"/>
      <c r="C3" s="3545"/>
      <c r="D3" s="46">
        <f>'数据-基础表'!AY6</f>
        <v>0</v>
      </c>
      <c r="E3" s="46">
        <f>'数据-基础表'!AZ5</f>
        <v>5963.72</v>
      </c>
      <c r="F3" s="1388"/>
      <c r="G3" s="1395"/>
      <c r="H3" s="1243" t="s">
        <v>1913</v>
      </c>
      <c r="I3" s="55" t="e">
        <f>ROUND('数据-基础表'!B3/'数据-基础表'!A3,2)</f>
        <v>#DIV/0!</v>
      </c>
      <c r="J3" s="1388"/>
      <c r="K3" s="1388"/>
      <c r="L3" s="1388"/>
      <c r="M3" s="1388"/>
      <c r="N3" s="1423"/>
      <c r="O3" s="1388"/>
      <c r="P3" s="1388"/>
    </row>
    <row r="4" spans="1:16" ht="15">
      <c r="A4" s="3546"/>
      <c r="B4" s="3547"/>
      <c r="C4" s="3548"/>
      <c r="D4" s="2228" t="s">
        <v>1914</v>
      </c>
      <c r="E4" s="2229" t="s">
        <v>1915</v>
      </c>
      <c r="F4" s="1388"/>
      <c r="G4" s="2230" t="s">
        <v>1940</v>
      </c>
      <c r="H4" s="1243" t="s">
        <v>1920</v>
      </c>
      <c r="I4" s="55" t="e">
        <f>ROUND(SUMIF('数据-基础表'!I9:AS9,"地上",'数据-基础表'!I5:AS5)/'数据-基础表'!A3,2)</f>
        <v>#DIV/0!</v>
      </c>
      <c r="J4" s="1388"/>
      <c r="K4" s="1388"/>
      <c r="L4" s="1388"/>
      <c r="M4" s="1388"/>
      <c r="N4" s="1423"/>
      <c r="O4" s="1388"/>
      <c r="P4" s="1388"/>
    </row>
    <row r="5" spans="1:16">
      <c r="A5" s="47" t="s">
        <v>1916</v>
      </c>
      <c r="B5" s="3549" t="s">
        <v>1917</v>
      </c>
      <c r="C5" s="3549"/>
      <c r="D5" s="48">
        <f>ROUND($D$3*E5/$E$3,2)</f>
        <v>0</v>
      </c>
      <c r="E5" s="49">
        <f>SUMIF('数据-基础表'!$11:$11,"住宅",'数据-基础表'!$5:$5)</f>
        <v>5307.46</v>
      </c>
      <c r="F5" s="1388"/>
      <c r="G5" s="1395"/>
      <c r="H5" s="1243" t="s">
        <v>1913</v>
      </c>
      <c r="I5" s="55" t="e">
        <f>ROUND(E31/D31,2)</f>
        <v>#DIV/0!</v>
      </c>
      <c r="J5" s="1388"/>
      <c r="K5" s="1388"/>
      <c r="L5" s="1388"/>
      <c r="M5" s="1388"/>
      <c r="N5" s="1388"/>
      <c r="O5" s="1388"/>
      <c r="P5" s="1388"/>
    </row>
    <row r="6" spans="1:16" ht="15" thickBot="1">
      <c r="A6" s="2231"/>
      <c r="B6" s="3549" t="s">
        <v>1918</v>
      </c>
      <c r="C6" s="3549"/>
      <c r="D6" s="48">
        <f>ROUND($D$3*E6/$E$3,2)</f>
        <v>0</v>
      </c>
      <c r="E6" s="49">
        <f>E3-E5</f>
        <v>656.26000000000022</v>
      </c>
      <c r="F6" s="1388"/>
      <c r="G6" s="2232" t="s">
        <v>1919</v>
      </c>
      <c r="H6" s="1395" t="s">
        <v>1920</v>
      </c>
      <c r="I6" s="935" t="e">
        <f>ROUND(F31/D31,2)</f>
        <v>#DIV/0!</v>
      </c>
      <c r="J6" s="1388"/>
      <c r="K6" s="1388"/>
      <c r="L6" s="1388"/>
      <c r="M6" s="1388"/>
      <c r="N6" s="1388"/>
      <c r="O6" s="1388"/>
      <c r="P6" s="1388"/>
    </row>
    <row r="7" spans="1:16" ht="15">
      <c r="A7" s="3541"/>
      <c r="B7" s="3542"/>
      <c r="C7" s="3543"/>
      <c r="D7" s="2228" t="s">
        <v>1914</v>
      </c>
      <c r="E7" s="2233" t="s">
        <v>1921</v>
      </c>
      <c r="F7" s="1388"/>
      <c r="G7" s="2225" t="s">
        <v>1922</v>
      </c>
      <c r="H7" s="64"/>
      <c r="I7" s="419">
        <v>4.5999999999999996</v>
      </c>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5963.72</v>
      </c>
      <c r="F8" s="1388"/>
      <c r="G8" s="2234"/>
      <c r="H8" s="2234"/>
      <c r="I8" s="1388"/>
      <c r="J8" s="1388"/>
      <c r="K8" s="1388"/>
      <c r="L8" s="1388"/>
      <c r="M8" s="1388"/>
      <c r="N8" s="1388"/>
      <c r="O8" s="1388"/>
      <c r="P8" s="1388"/>
    </row>
    <row r="9" spans="1:16">
      <c r="A9" s="2235"/>
      <c r="B9" s="2236"/>
      <c r="C9" s="48" t="s">
        <v>1926</v>
      </c>
      <c r="D9" s="48">
        <f t="shared" si="0"/>
        <v>0</v>
      </c>
      <c r="E9" s="52">
        <v>0</v>
      </c>
      <c r="F9" s="1388"/>
      <c r="G9" s="2234"/>
      <c r="H9" s="2234"/>
      <c r="I9" s="1388"/>
      <c r="J9" s="1388"/>
      <c r="K9" s="1388"/>
      <c r="L9" s="1388"/>
      <c r="M9" s="1388"/>
      <c r="N9" s="1388"/>
      <c r="O9" s="1388"/>
      <c r="P9" s="1388"/>
    </row>
    <row r="10" spans="1:16">
      <c r="A10" s="2235"/>
      <c r="B10" s="2236"/>
      <c r="C10" s="48" t="s">
        <v>1935</v>
      </c>
      <c r="D10" s="48">
        <f t="shared" si="0"/>
        <v>0</v>
      </c>
      <c r="E10" s="51">
        <f>SUMPRODUCT(('数据-基础表'!BB10:BK10="地下")*('数据-基础表'!BB11:BK11="商业")*('数据-基础表'!BB5:BK5))</f>
        <v>0</v>
      </c>
      <c r="F10" s="1388"/>
      <c r="G10" s="2234"/>
      <c r="H10" s="2234"/>
      <c r="I10" s="1388"/>
      <c r="J10" s="1388"/>
      <c r="K10" s="1388"/>
      <c r="L10" s="1388"/>
      <c r="M10" s="1388"/>
      <c r="N10" s="1388"/>
      <c r="O10" s="1388"/>
      <c r="P10" s="1388"/>
    </row>
    <row r="11" spans="1:16">
      <c r="A11" s="2235"/>
      <c r="B11" s="2236"/>
      <c r="C11" s="48" t="s">
        <v>1927</v>
      </c>
      <c r="D11" s="48">
        <f t="shared" si="0"/>
        <v>0</v>
      </c>
      <c r="E11" s="51">
        <f>SUMPRODUCT(('数据-基础表'!BB10:BK10="地下")*('数据-基础表'!BB11:BK11="办公")*('数据-基础表'!BB5:BK5))+'数据-基础表'!BP5</f>
        <v>0</v>
      </c>
      <c r="F11" s="1388"/>
      <c r="G11" s="2234"/>
      <c r="H11" s="2234"/>
      <c r="I11" s="1388"/>
      <c r="J11" s="1388"/>
      <c r="K11" s="1388"/>
      <c r="L11" s="1388"/>
      <c r="M11" s="1388"/>
      <c r="N11" s="1388"/>
      <c r="O11" s="1388"/>
      <c r="P11" s="1388"/>
    </row>
    <row r="12" spans="1:16">
      <c r="A12" s="2235"/>
      <c r="B12" s="2236"/>
      <c r="C12" s="48" t="s">
        <v>1928</v>
      </c>
      <c r="D12" s="48">
        <f t="shared" si="0"/>
        <v>0</v>
      </c>
      <c r="E12" s="51">
        <f>SUMPRODUCT(('数据-基础表'!BB10:BK10="地下")*('数据-基础表'!BB11:BK11="仓储")*('数据-基础表'!BB5:BK5))</f>
        <v>0</v>
      </c>
      <c r="F12" s="1388"/>
      <c r="G12" s="2234"/>
      <c r="H12" s="2234"/>
      <c r="I12" s="1388"/>
      <c r="J12" s="1388"/>
      <c r="K12" s="1388"/>
      <c r="L12" s="1388"/>
      <c r="M12" s="1388"/>
      <c r="N12" s="1388"/>
      <c r="O12" s="1388"/>
      <c r="P12" s="1388"/>
    </row>
    <row r="13" spans="1:16">
      <c r="A13" s="2235"/>
      <c r="B13" s="2236"/>
      <c r="C13" s="48" t="s">
        <v>1929</v>
      </c>
      <c r="D13" s="48">
        <f t="shared" si="0"/>
        <v>0</v>
      </c>
      <c r="E13" s="51">
        <f>SUMPRODUCT(('数据-基础表'!BB10:BK10="地下")*('数据-基础表'!BB11:BK11="车库")*('数据-基础表'!BB5:BK5))</f>
        <v>0</v>
      </c>
      <c r="F13" s="1388"/>
      <c r="G13" s="2234"/>
      <c r="H13" s="2234"/>
      <c r="I13" s="1388"/>
      <c r="J13" s="1388"/>
      <c r="K13" s="1388"/>
      <c r="L13" s="1388"/>
      <c r="M13" s="1388"/>
      <c r="N13" s="1388"/>
      <c r="O13" s="1388"/>
      <c r="P13" s="1388"/>
    </row>
    <row r="14" spans="1:16">
      <c r="A14" s="2235"/>
      <c r="B14" s="2236"/>
      <c r="C14" s="48" t="s">
        <v>1941</v>
      </c>
      <c r="D14" s="48">
        <f t="shared" si="0"/>
        <v>0</v>
      </c>
      <c r="E14" s="51">
        <f>SUMPRODUCT(('数据-基础表'!BB10:BK10="地下")*('数据-基础表'!BB11:BK11="车库—商业")*('数据-基础表'!BB5:BK5))</f>
        <v>0</v>
      </c>
      <c r="F14" s="1388"/>
      <c r="G14" s="2234"/>
      <c r="H14" s="2234"/>
      <c r="I14" s="1388"/>
      <c r="J14" s="1388"/>
      <c r="K14" s="1388"/>
      <c r="L14" s="1388"/>
      <c r="M14" s="1388"/>
      <c r="N14" s="1388"/>
      <c r="O14" s="1388"/>
      <c r="P14" s="1388"/>
    </row>
    <row r="15" spans="1:16" ht="15" thickBot="1">
      <c r="A15" s="2235"/>
      <c r="B15" s="2236"/>
      <c r="C15" s="48" t="s">
        <v>1936</v>
      </c>
      <c r="D15" s="48">
        <f t="shared" si="0"/>
        <v>0</v>
      </c>
      <c r="E15" s="51">
        <f>SUMPRODUCT(('数据-基础表'!BB10:BK10="地下")*('数据-基础表'!BB11:BK11="车库—办公")*('数据-基础表'!BB5:BK5))</f>
        <v>0</v>
      </c>
      <c r="F15" s="1388"/>
      <c r="G15" s="2234"/>
      <c r="H15" s="2234"/>
      <c r="I15" s="1388"/>
      <c r="J15" s="1388"/>
      <c r="K15" s="1388"/>
      <c r="L15" s="1388"/>
      <c r="M15" s="1388"/>
      <c r="N15" s="1388"/>
      <c r="O15" s="1388"/>
      <c r="P15" s="1388"/>
    </row>
    <row r="16" spans="1:16" ht="15.75" thickBot="1">
      <c r="A16" s="2231"/>
      <c r="B16" s="2236"/>
      <c r="C16" s="50" t="s">
        <v>1930</v>
      </c>
      <c r="D16" s="50">
        <f>SUM(D8:D15)</f>
        <v>0</v>
      </c>
      <c r="E16" s="53">
        <f>SUM(E8:E15)</f>
        <v>5963.72</v>
      </c>
      <c r="F16" s="1388"/>
      <c r="G16" s="2234"/>
      <c r="H16" s="2237" t="s">
        <v>1942</v>
      </c>
      <c r="I16" s="2238"/>
      <c r="J16" s="1388"/>
      <c r="K16" s="3538" t="s">
        <v>1942</v>
      </c>
      <c r="L16" s="3539"/>
      <c r="M16" s="3539"/>
      <c r="N16" s="3539"/>
      <c r="O16" s="3539"/>
      <c r="P16" s="3540"/>
    </row>
    <row r="17" spans="1:19" ht="15">
      <c r="A17" s="2239" t="s">
        <v>1943</v>
      </c>
      <c r="B17" s="2240" t="s">
        <v>1944</v>
      </c>
      <c r="C17" s="2241" t="s">
        <v>1945</v>
      </c>
      <c r="D17" s="2242" t="s">
        <v>1933</v>
      </c>
      <c r="E17" s="2243" t="s">
        <v>1934</v>
      </c>
      <c r="F17" s="2244"/>
      <c r="G17" s="2245"/>
      <c r="H17" s="2246" t="s">
        <v>1946</v>
      </c>
      <c r="I17" s="2247" t="s">
        <v>1931</v>
      </c>
      <c r="J17" s="1388"/>
      <c r="K17" s="3535" t="s">
        <v>1947</v>
      </c>
      <c r="L17" s="3536"/>
      <c r="M17" s="3537"/>
      <c r="N17" s="3535" t="s">
        <v>1948</v>
      </c>
      <c r="O17" s="3536"/>
      <c r="P17" s="3537"/>
      <c r="R17" s="2225" t="s">
        <v>1949</v>
      </c>
      <c r="S17" s="64"/>
    </row>
    <row r="18" spans="1:19" ht="15">
      <c r="A18" s="2235"/>
      <c r="B18" s="2248"/>
      <c r="C18" s="2249"/>
      <c r="D18" s="2250"/>
      <c r="E18" s="2251" t="s">
        <v>1950</v>
      </c>
      <c r="F18" s="2252" t="s">
        <v>1951</v>
      </c>
      <c r="G18" s="2253" t="s">
        <v>1952</v>
      </c>
      <c r="H18" s="1258" t="s">
        <v>1953</v>
      </c>
      <c r="I18" s="2254" t="s">
        <v>1954</v>
      </c>
      <c r="J18" s="1388"/>
      <c r="K18" s="1258" t="s">
        <v>1955</v>
      </c>
      <c r="L18" s="2255" t="s">
        <v>1956</v>
      </c>
      <c r="M18" s="1042" t="s">
        <v>1957</v>
      </c>
      <c r="N18" s="1258" t="s">
        <v>1955</v>
      </c>
      <c r="O18" s="2255" t="s">
        <v>1956</v>
      </c>
      <c r="P18" s="1042" t="s">
        <v>1957</v>
      </c>
      <c r="R18" s="1243" t="s">
        <v>1958</v>
      </c>
      <c r="S18" s="1243" t="s">
        <v>1959</v>
      </c>
    </row>
    <row r="19" spans="1:19">
      <c r="A19" s="2256"/>
      <c r="B19" s="50" t="s">
        <v>1932</v>
      </c>
      <c r="C19" s="2965" t="s">
        <v>3071</v>
      </c>
      <c r="D19" s="48">
        <f>ROUND($D$3*E19/$E$3,2)</f>
        <v>0</v>
      </c>
      <c r="E19" s="56">
        <f t="shared" ref="E19:E26" si="1">SUM(F19:G19)</f>
        <v>5307.46</v>
      </c>
      <c r="F19" s="57">
        <f>'数据-基础表'!I5</f>
        <v>5307.46</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5307.46</v>
      </c>
    </row>
    <row r="20" spans="1:19">
      <c r="A20" s="2259"/>
      <c r="B20" s="50" t="s">
        <v>1960</v>
      </c>
      <c r="C20" s="2965" t="s">
        <v>3392</v>
      </c>
      <c r="D20" s="48">
        <f t="shared" ref="D20:D26" si="6">ROUND($D$3*E20/$E$3,2)</f>
        <v>0</v>
      </c>
      <c r="E20" s="56">
        <f t="shared" si="1"/>
        <v>656.26</v>
      </c>
      <c r="F20" s="57">
        <f>'数据-基础表'!K35</f>
        <v>656.26</v>
      </c>
      <c r="G20" s="58"/>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656.26</v>
      </c>
    </row>
    <row r="21" spans="1:19">
      <c r="A21" s="2259"/>
      <c r="B21" s="50" t="s">
        <v>1960</v>
      </c>
      <c r="C21" s="2965"/>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1960</v>
      </c>
      <c r="C22" s="3428"/>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1960</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1960</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1961</v>
      </c>
      <c r="D27" s="1389">
        <f>SUM(D19:D26)</f>
        <v>0</v>
      </c>
      <c r="E27" s="1390">
        <f>IF(SUM(E19:E26)='数据-基础表'!BA5,SUM(E19:E26),IF(F27="地上面积有误","面积有误","地下面积有误"))</f>
        <v>5963.72</v>
      </c>
      <c r="F27" s="1389">
        <f>IF(SUM(F19:F26)=E8,SUM(F19:F26),"地上面积有误")</f>
        <v>5963.72</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5963.72</v>
      </c>
    </row>
    <row r="28" spans="1:19">
      <c r="A28" s="2259"/>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1962</v>
      </c>
      <c r="C29" s="2263"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1965</v>
      </c>
      <c r="D31" s="725">
        <f>D27+D30</f>
        <v>0</v>
      </c>
      <c r="E31" s="725">
        <f>E27+E30</f>
        <v>5963.72</v>
      </c>
      <c r="F31" s="726">
        <f>F27+F30</f>
        <v>5963.72</v>
      </c>
      <c r="G31" s="727">
        <f>G27+G30</f>
        <v>0</v>
      </c>
      <c r="H31" s="1388"/>
      <c r="I31" s="1388"/>
      <c r="J31" s="1388"/>
      <c r="K31" s="1388"/>
      <c r="L31" s="1388"/>
      <c r="M31" s="1388"/>
      <c r="N31" s="1388"/>
      <c r="O31" s="1388"/>
      <c r="P31" s="1388"/>
    </row>
    <row r="32" spans="1:19">
      <c r="A32" s="2230"/>
      <c r="B32" s="2230" t="s">
        <v>1966</v>
      </c>
      <c r="C32" s="2230"/>
      <c r="D32" s="2230"/>
      <c r="E32" s="1270">
        <f>SUMIF(C19:C26,"*住宅*",E19:E26)</f>
        <v>5307.46</v>
      </c>
      <c r="F32" s="2230"/>
      <c r="G32" s="2230"/>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2" t="s">
        <v>1968</v>
      </c>
      <c r="B2" s="1262">
        <f>项目基本情况!D3</f>
        <v>43155</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5" thickBot="1">
      <c r="A3" s="2025"/>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42">
      <c r="A5" s="2285" t="s">
        <v>1975</v>
      </c>
      <c r="B5" s="2286" t="s">
        <v>1976</v>
      </c>
      <c r="C5" s="2287" t="s">
        <v>1977</v>
      </c>
      <c r="D5" s="2288" t="s">
        <v>1978</v>
      </c>
      <c r="E5" s="1264" t="s">
        <v>1979</v>
      </c>
      <c r="F5" s="2289" t="s">
        <v>1980</v>
      </c>
      <c r="G5" s="1264" t="s">
        <v>1981</v>
      </c>
      <c r="H5" s="1264" t="s">
        <v>1982</v>
      </c>
      <c r="I5" s="1264" t="s">
        <v>1983</v>
      </c>
      <c r="J5" s="2290" t="s">
        <v>1984</v>
      </c>
      <c r="K5" s="2291" t="s">
        <v>1985</v>
      </c>
      <c r="L5" s="2292" t="s">
        <v>1986</v>
      </c>
      <c r="M5" s="2293" t="s">
        <v>1987</v>
      </c>
      <c r="N5" s="2294" t="s">
        <v>3072</v>
      </c>
      <c r="O5" s="2292" t="s">
        <v>1988</v>
      </c>
      <c r="P5" s="2295" t="s">
        <v>1989</v>
      </c>
      <c r="Q5" s="69" t="s">
        <v>1990</v>
      </c>
      <c r="R5" s="2296" t="s">
        <v>1991</v>
      </c>
      <c r="S5" s="2297" t="s">
        <v>1992</v>
      </c>
      <c r="T5" s="2298" t="s">
        <v>1993</v>
      </c>
      <c r="U5" s="1263" t="s">
        <v>1994</v>
      </c>
      <c r="V5" s="1264" t="s">
        <v>1995</v>
      </c>
      <c r="W5" s="1264" t="s">
        <v>1996</v>
      </c>
      <c r="X5" s="71"/>
      <c r="Y5" s="70" t="s">
        <v>1997</v>
      </c>
      <c r="Z5" s="2299" t="s">
        <v>1994</v>
      </c>
      <c r="AA5" s="1264" t="s">
        <v>1995</v>
      </c>
      <c r="AB5" s="1264" t="s">
        <v>1996</v>
      </c>
      <c r="AC5" s="71"/>
      <c r="AD5" s="71" t="s">
        <v>1997</v>
      </c>
      <c r="AE5" s="1263" t="s">
        <v>1998</v>
      </c>
      <c r="AF5" s="1264" t="s">
        <v>1999</v>
      </c>
      <c r="AG5" s="70" t="s">
        <v>2000</v>
      </c>
      <c r="AH5" s="1263" t="s">
        <v>2001</v>
      </c>
      <c r="AI5" s="2299" t="s">
        <v>2002</v>
      </c>
      <c r="AJ5" s="2299" t="s">
        <v>2003</v>
      </c>
      <c r="AK5" s="1264" t="s">
        <v>2004</v>
      </c>
      <c r="AL5" s="1264" t="s">
        <v>2005</v>
      </c>
      <c r="AM5" s="70" t="s">
        <v>2006</v>
      </c>
      <c r="AN5" s="2300" t="s">
        <v>2007</v>
      </c>
      <c r="AO5" s="2071" t="s">
        <v>2008</v>
      </c>
      <c r="AP5" s="1245"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2" t="str">
        <f>'数据-汇总表'!C19</f>
        <v>住宅</v>
      </c>
      <c r="B6" s="2303" t="str">
        <f>IF(A6=0,"","经营性")</f>
        <v>经营性</v>
      </c>
      <c r="C6" s="2304" t="s">
        <v>3064</v>
      </c>
      <c r="D6" s="1047">
        <f>SUMIF(项目基本情况!D$12:I$12,C6,项目基本情况!D$14:I$14)</f>
        <v>70</v>
      </c>
      <c r="E6" s="1044">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8">
        <v>4.4999999999999998E-2</v>
      </c>
      <c r="I6" s="798">
        <v>0.05</v>
      </c>
      <c r="J6" s="74">
        <v>8.5000000000000006E-2</v>
      </c>
      <c r="K6" s="1247">
        <f>SUMIF('数据-汇总表'!C$19:C$33,A6,'数据-汇总表'!E$19:E$33)</f>
        <v>5307.46</v>
      </c>
      <c r="L6" s="799">
        <v>6000</v>
      </c>
      <c r="M6" s="75">
        <f t="shared" ref="M6:M14" si="0">ROUND(K6*L6/10000,0)</f>
        <v>3184</v>
      </c>
      <c r="N6" s="797">
        <v>0.95</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6">
        <f>IF(AF6="",0,AE6-AF6)</f>
        <v>0</v>
      </c>
      <c r="AH6" s="83"/>
      <c r="AI6" s="85">
        <v>365</v>
      </c>
      <c r="AJ6" s="86"/>
      <c r="AK6" s="87">
        <v>1.4999999999999999E-2</v>
      </c>
      <c r="AL6" s="88">
        <v>1.5E-3</v>
      </c>
      <c r="AM6" s="89">
        <v>1.4999999999999999E-2</v>
      </c>
      <c r="AN6" s="2305"/>
      <c r="AO6" s="55" t="e">
        <f ca="1">SUMIF(INDIRECT("'"&amp;AN6&amp;"'"&amp;"!A:A"),"总价",INDIRECT("'"&amp;AN6&amp;"'"&amp;"!B:B"))</f>
        <v>#REF!</v>
      </c>
      <c r="AP6" s="2306">
        <f>IF(C6="住宅",K6*L6,0)</f>
        <v>31844760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4.25">
      <c r="A7" s="2302" t="str">
        <f>'数据-汇总表'!C20</f>
        <v>商业</v>
      </c>
      <c r="B7" s="2303" t="str">
        <f t="shared" ref="B7:B13" si="1">IF(A7=0,"","经营性")</f>
        <v>经营性</v>
      </c>
      <c r="C7" s="2304" t="s">
        <v>1376</v>
      </c>
      <c r="D7" s="1047">
        <f>SUMIF(项目基本情况!D$12:I$12,C7,项目基本情况!D$14:I$14)</f>
        <v>40</v>
      </c>
      <c r="E7" s="1044">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8">
        <v>0.05</v>
      </c>
      <c r="I7" s="798">
        <v>5.5E-2</v>
      </c>
      <c r="J7" s="74">
        <v>8.5000000000000006E-2</v>
      </c>
      <c r="K7" s="1247">
        <f>SUMIF('数据-汇总表'!C$19:C$33,A7,'数据-汇总表'!E$19:E$33)</f>
        <v>656.26</v>
      </c>
      <c r="L7" s="799">
        <v>3000</v>
      </c>
      <c r="M7" s="75">
        <f t="shared" si="0"/>
        <v>197</v>
      </c>
      <c r="N7" s="797">
        <v>0.95</v>
      </c>
      <c r="O7" s="75" t="str">
        <f t="shared" ref="O7:O14" si="3">IF($N$5="成新度","——",ROUND(M7*N7,0))</f>
        <v>——</v>
      </c>
      <c r="P7" s="76" t="str">
        <f t="shared" ref="P7:P14" si="4">IF($N$5="成新度","——",M7-O7)</f>
        <v>——</v>
      </c>
      <c r="Q7" s="800">
        <v>0.35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'比较法-商业 (租金)'!C49</f>
        <v>7.2</v>
      </c>
      <c r="V7" s="79">
        <v>3.5000000000000003E-2</v>
      </c>
      <c r="W7" s="79">
        <v>0.1</v>
      </c>
      <c r="X7" s="1257"/>
      <c r="Y7" s="80">
        <v>0.95</v>
      </c>
      <c r="Z7" s="81"/>
      <c r="AA7" s="74"/>
      <c r="AB7" s="74"/>
      <c r="AC7" s="1257"/>
      <c r="AD7" s="82"/>
      <c r="AE7" s="1258">
        <f t="shared" ref="AE7:AE13" ca="1" si="6">IF(AN7="",0,SUMIF(INDIRECT("'"&amp;AN7&amp;"'"&amp;"!E:E"),$AE$5,INDIRECT("'"&amp;AN7&amp;"'"&amp;"!F:F")))</f>
        <v>31.34</v>
      </c>
      <c r="AF7" s="1800"/>
      <c r="AG7" s="146">
        <f t="shared" ref="AG7:AG13" si="7">IF(AF7="",0,AE7-AF7)</f>
        <v>0</v>
      </c>
      <c r="AH7" s="83"/>
      <c r="AI7" s="85">
        <v>365</v>
      </c>
      <c r="AJ7" s="86"/>
      <c r="AK7" s="87">
        <v>1.4999999999999999E-2</v>
      </c>
      <c r="AL7" s="88">
        <v>1.5E-3</v>
      </c>
      <c r="AM7" s="89">
        <v>1.4999999999999999E-2</v>
      </c>
      <c r="AN7" s="2305" t="s">
        <v>3364</v>
      </c>
      <c r="AO7" s="55">
        <f t="shared" ref="AO7:AO13" ca="1" si="8">SUMIF(INDIRECT("'"&amp;AN7&amp;"'"&amp;"!A:A"),"总价",INDIRECT("'"&amp;AN7&amp;"'"&amp;"!B:B"))</f>
        <v>3090</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4.25">
      <c r="A8" s="2302">
        <f>'数据-汇总表'!C21</f>
        <v>0</v>
      </c>
      <c r="B8" s="2303" t="str">
        <f t="shared" si="1"/>
        <v/>
      </c>
      <c r="C8" s="2304" t="s">
        <v>1376</v>
      </c>
      <c r="D8" s="1047">
        <f>SUMIF(项目基本情况!D$12:I$12,C8,项目基本情况!D$14:I$14)</f>
        <v>40</v>
      </c>
      <c r="E8" s="1044" t="str">
        <f>IF(B8="","",SUMIF(项目基本情况!D$12:I$12,C8,项目基本情况!D$13:I$13))</f>
        <v/>
      </c>
      <c r="F8" s="72">
        <f>SUMIF(项目基本情况!D$12:I$12,C8,项目基本情况!D$15:I$15)</f>
        <v>31.34</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6">
        <f t="shared" si="7"/>
        <v>0</v>
      </c>
      <c r="AH8" s="804"/>
      <c r="AI8" s="85">
        <v>365</v>
      </c>
      <c r="AJ8" s="86"/>
      <c r="AK8" s="87"/>
      <c r="AL8" s="88"/>
      <c r="AM8" s="8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25">
      <c r="A14" s="2307" t="s">
        <v>2012</v>
      </c>
      <c r="B14" s="2303" t="s">
        <v>2013</v>
      </c>
      <c r="C14" s="2308"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6"/>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7">
      <c r="A15" s="2307" t="s">
        <v>2014</v>
      </c>
      <c r="B15" s="2303" t="s">
        <v>2013</v>
      </c>
      <c r="C15" s="2308"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6"/>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75" thickBot="1">
      <c r="A16" s="2309" t="s">
        <v>2016</v>
      </c>
      <c r="B16" s="97"/>
      <c r="C16" s="1001"/>
      <c r="D16" s="2310"/>
      <c r="E16" s="97"/>
      <c r="F16" s="97"/>
      <c r="G16" s="98">
        <f>ROUND(SUMPRODUCT(G6:G13,K6:K13)/SUMPRODUCT((G6:G13&gt;0)*(K6:K13)),3)</f>
        <v>0.97099999999999997</v>
      </c>
      <c r="H16" s="99">
        <f>ROUND(SUMPRODUCT(H6:H13,K6:K13)/SUMPRODUCT((H6:H13&gt;0)*(K6:K13)),3)</f>
        <v>4.5999999999999999E-2</v>
      </c>
      <c r="I16" s="100"/>
      <c r="J16" s="100"/>
      <c r="K16" s="101">
        <f>SUM(K6:K15)</f>
        <v>5963.72</v>
      </c>
      <c r="L16" s="102">
        <f>ROUND(M16*10000/SUM(K6:K14),0)</f>
        <v>5669</v>
      </c>
      <c r="M16" s="102">
        <f>SUM(M6:M14)</f>
        <v>3381</v>
      </c>
      <c r="N16" s="103">
        <f>ROUND(SUMPRODUCT(M6:M14,N6:N14)/M16,3)</f>
        <v>0.95</v>
      </c>
      <c r="O16" s="102">
        <f>SUM(O6:O14)</f>
        <v>0</v>
      </c>
      <c r="P16" s="102">
        <f>SUM(P6:P14)</f>
        <v>0</v>
      </c>
      <c r="Q16" s="104">
        <f>ROUND(SUMPRODUCT(Q6:Q13,K6:K13)/SUMPRODUCT((Q6:Q13&gt;0)*(K6:K13)),2)</f>
        <v>0.35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2018</v>
      </c>
      <c r="B19" s="112">
        <v>0</v>
      </c>
      <c r="C19" s="2273" t="s">
        <v>2019</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2020</v>
      </c>
      <c r="B20" s="113">
        <v>2</v>
      </c>
      <c r="C20" s="2273" t="s">
        <v>2021</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2022</v>
      </c>
      <c r="B21" s="113">
        <v>2</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2023</v>
      </c>
      <c r="B22" s="114">
        <f>B19+B20</f>
        <v>2</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2024</v>
      </c>
      <c r="B23" s="114">
        <f>B19+B21</f>
        <v>2</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2025</v>
      </c>
      <c r="B24" s="115">
        <f>B20-B21</f>
        <v>0</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2026</v>
      </c>
      <c r="B26" s="2316" t="s">
        <v>2027</v>
      </c>
      <c r="C26" s="2317" t="s">
        <v>2028</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2029</v>
      </c>
      <c r="B27" s="3429">
        <v>160</v>
      </c>
      <c r="C27" s="1760" t="s">
        <v>2030</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2031</v>
      </c>
      <c r="B28" s="118">
        <v>200</v>
      </c>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2032</v>
      </c>
      <c r="B29" s="120">
        <v>0</v>
      </c>
      <c r="C29" s="1760" t="s">
        <v>2033</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2034</v>
      </c>
      <c r="B30" s="720">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2035</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2036</v>
      </c>
      <c r="B32" s="721">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2037</v>
      </c>
      <c r="B33" s="722">
        <v>0.03</v>
      </c>
      <c r="C33" s="1759" t="s">
        <v>2038</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2039</v>
      </c>
      <c r="B34" s="121">
        <v>0.03</v>
      </c>
      <c r="C34" s="1759" t="s">
        <v>2040</v>
      </c>
      <c r="D34" s="2274" t="s">
        <v>2041</v>
      </c>
      <c r="E34" s="728"/>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2042</v>
      </c>
      <c r="B35" s="118">
        <v>200</v>
      </c>
      <c r="C35" s="1759" t="s">
        <v>2043</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2044</v>
      </c>
      <c r="B36" s="122">
        <v>1.4999999999999999E-2</v>
      </c>
      <c r="C36" s="1759" t="s">
        <v>2045</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2046</v>
      </c>
      <c r="B37" s="123">
        <v>0.03</v>
      </c>
      <c r="C37" s="1759" t="s">
        <v>2047</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2048</v>
      </c>
      <c r="B38" s="121">
        <v>0.03</v>
      </c>
      <c r="C38" s="1759" t="s">
        <v>2047</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2049</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2050</v>
      </c>
      <c r="B40" s="1296">
        <f ca="1">存贷款利率!G1</f>
        <v>4.7500000000000001E-2</v>
      </c>
      <c r="C40" s="1759" t="s">
        <v>2051</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2052</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2053</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2054</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2055</v>
      </c>
      <c r="B44" s="127">
        <v>0.05</v>
      </c>
      <c r="C44" s="1759" t="s">
        <v>2056</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2057</v>
      </c>
      <c r="B45" s="125">
        <v>0.03</v>
      </c>
      <c r="C45" s="1760" t="s">
        <v>2058</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2059</v>
      </c>
      <c r="B46" s="125">
        <v>0.02</v>
      </c>
      <c r="C46" s="1760" t="s">
        <v>2060</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2061</v>
      </c>
      <c r="B47" s="128"/>
      <c r="C47" s="1760" t="s">
        <v>2062</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2063</v>
      </c>
      <c r="B48" s="129">
        <v>0.03</v>
      </c>
      <c r="C48" s="1767" t="s">
        <v>2064</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2065</v>
      </c>
      <c r="B49" s="125">
        <v>5.0000000000000001E-4</v>
      </c>
      <c r="C49" s="1767" t="s">
        <v>2066</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2067</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2068</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2069</v>
      </c>
      <c r="B52" s="132">
        <f>SUMIF(A54:A63,B53,B54:B63)</f>
        <v>3</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2070</v>
      </c>
      <c r="B53" s="2332" t="s">
        <v>523</v>
      </c>
      <c r="C53" s="1423" t="s">
        <v>2071</v>
      </c>
      <c r="D53" s="2333" t="s">
        <v>2072</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2073</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2074</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2075</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2076</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2077</v>
      </c>
      <c r="B58" s="84">
        <v>3</v>
      </c>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2078</v>
      </c>
      <c r="B59" s="84"/>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2079</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2080</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2081</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2082</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550" t="s">
        <v>2083</v>
      </c>
      <c r="B1" s="3551"/>
      <c r="C1" s="3551"/>
      <c r="D1" s="3551"/>
      <c r="E1" s="3551"/>
      <c r="F1" s="3551"/>
      <c r="G1" s="355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4"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1"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1" t="s">
        <v>2095</v>
      </c>
      <c r="C5" s="2370" t="s">
        <v>2096</v>
      </c>
      <c r="D5" s="2367"/>
      <c r="E5" s="2371"/>
      <c r="F5" s="1791" t="s">
        <v>2097</v>
      </c>
      <c r="G5" s="2372" t="s">
        <v>2098</v>
      </c>
      <c r="H5" s="2364"/>
      <c r="I5" s="2364"/>
      <c r="J5" s="2364"/>
      <c r="K5" s="2364"/>
      <c r="L5" s="2364"/>
      <c r="M5" s="2364"/>
      <c r="N5" s="2364"/>
      <c r="O5" s="2364"/>
      <c r="P5" s="2364"/>
      <c r="Q5" s="2364"/>
      <c r="R5" s="2364"/>
    </row>
    <row r="6" spans="1:29" ht="54">
      <c r="A6" s="430"/>
      <c r="B6" s="1791" t="s">
        <v>2099</v>
      </c>
      <c r="C6" s="2372" t="s">
        <v>2094</v>
      </c>
      <c r="D6" s="2367"/>
      <c r="E6" s="2371"/>
      <c r="F6" s="1791" t="s">
        <v>2100</v>
      </c>
      <c r="G6" s="2372" t="s">
        <v>2101</v>
      </c>
      <c r="H6" s="2364"/>
      <c r="I6" s="2364"/>
      <c r="J6" s="2364"/>
      <c r="K6" s="2364"/>
      <c r="L6" s="2364"/>
      <c r="M6" s="2364"/>
      <c r="N6" s="2364"/>
      <c r="O6" s="2364"/>
      <c r="P6" s="2364"/>
      <c r="Q6" s="2364"/>
      <c r="R6" s="2364"/>
    </row>
    <row r="7" spans="1:29" ht="41.25" thickBot="1">
      <c r="A7" s="430"/>
      <c r="B7" s="1791"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1" t="s">
        <v>2100</v>
      </c>
      <c r="C8" s="2372" t="s">
        <v>2101</v>
      </c>
      <c r="D8" s="2373"/>
      <c r="E8" s="2373"/>
      <c r="F8" s="1129"/>
      <c r="G8" s="1129"/>
      <c r="H8" s="2364"/>
      <c r="I8" s="2364"/>
      <c r="J8" s="2364"/>
      <c r="K8" s="2364"/>
      <c r="L8" s="2364"/>
      <c r="M8" s="2364"/>
      <c r="N8" s="2364"/>
      <c r="O8" s="2364"/>
      <c r="P8" s="2364"/>
      <c r="Q8" s="2364"/>
      <c r="R8" s="2364"/>
    </row>
    <row r="9" spans="1:29" ht="27">
      <c r="A9" s="430"/>
      <c r="B9" s="1791" t="s">
        <v>2104</v>
      </c>
      <c r="C9" s="2370" t="s">
        <v>2105</v>
      </c>
      <c r="D9" s="2367"/>
      <c r="E9" s="2373"/>
      <c r="F9" s="1129"/>
      <c r="G9" s="1129"/>
      <c r="H9" s="2364"/>
      <c r="I9" s="2364"/>
      <c r="J9" s="2364"/>
      <c r="K9" s="2364"/>
      <c r="L9" s="2364"/>
      <c r="M9" s="2364"/>
      <c r="N9" s="2364"/>
      <c r="O9" s="2364"/>
      <c r="P9" s="2364"/>
      <c r="Q9" s="2364"/>
      <c r="R9" s="2364"/>
    </row>
    <row r="10" spans="1:29" s="116" customFormat="1" ht="15.75" thickBot="1">
      <c r="A10" s="2377"/>
      <c r="B10" s="2378" t="s">
        <v>2106</v>
      </c>
      <c r="C10" s="2379"/>
      <c r="D10" s="2367"/>
      <c r="E10" s="2367"/>
      <c r="F10" s="1129"/>
      <c r="G10" s="1129"/>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7"/>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7"/>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3" t="s">
        <v>2087</v>
      </c>
      <c r="C15" s="2399" t="str">
        <f>C3</f>
        <v>估价对象周边居住用地比例、居住小区规模和社区发展完善程度，综合评价居住社区成熟度一般</v>
      </c>
      <c r="D15" s="2367"/>
      <c r="E15" s="2400" t="s">
        <v>2111</v>
      </c>
      <c r="F15" s="1263" t="s">
        <v>2112</v>
      </c>
      <c r="G15" s="134"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5"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65"/>
    </row>
    <row r="18" spans="1:18" ht="57">
      <c r="A18" s="644"/>
      <c r="B18" s="2404" t="s">
        <v>2099</v>
      </c>
      <c r="C18" s="135" t="str">
        <f>C6</f>
        <v>估价对象周边道路状况、公共交通通达情况、停车便捷程度，综合评价交通便捷度较好</v>
      </c>
      <c r="D18" s="2373"/>
      <c r="E18" s="2403"/>
      <c r="F18" s="2404" t="s">
        <v>2102</v>
      </c>
      <c r="G18" s="135" t="str">
        <f>G7</f>
        <v>该园区内是否有污染型企业，绿化情况，卫生条件，整体环境状况判断</v>
      </c>
    </row>
    <row r="19" spans="1:18" ht="28.5">
      <c r="A19" s="644"/>
      <c r="B19" s="2404" t="s">
        <v>2114</v>
      </c>
      <c r="C19" s="1565"/>
      <c r="D19" s="2367"/>
      <c r="E19" s="2403"/>
      <c r="F19" s="1791" t="s">
        <v>2097</v>
      </c>
      <c r="G19" s="135" t="str">
        <f>G5</f>
        <v>估价对象所在区域公共配套设施齐备情况</v>
      </c>
    </row>
    <row r="20" spans="1:18" ht="28.5">
      <c r="A20" s="644"/>
      <c r="B20" s="2404" t="s">
        <v>2115</v>
      </c>
      <c r="C20" s="2402" t="str">
        <f>C9</f>
        <v>区域自然环境：；人文环境；综合评价环境状况一般</v>
      </c>
      <c r="D20" s="2373"/>
      <c r="E20" s="2403"/>
      <c r="F20" s="1791" t="s">
        <v>2116</v>
      </c>
      <c r="G20" s="135" t="str">
        <f>G6</f>
        <v>估价对象所在区域基础设施水平</v>
      </c>
    </row>
    <row r="21" spans="1:18" ht="28.5">
      <c r="A21" s="644"/>
      <c r="B21" s="1791" t="s">
        <v>2097</v>
      </c>
      <c r="C21" s="135" t="str">
        <f>C7</f>
        <v>估价对象所在区域公共配套设施齐备情况</v>
      </c>
      <c r="D21" s="2367"/>
      <c r="E21" s="2403"/>
      <c r="F21" s="2404" t="s">
        <v>2117</v>
      </c>
      <c r="G21" s="2405"/>
    </row>
    <row r="22" spans="1:18" ht="13.5" customHeight="1">
      <c r="A22" s="644"/>
      <c r="B22" s="1791" t="s">
        <v>2100</v>
      </c>
      <c r="C22" s="135" t="str">
        <f>C8</f>
        <v>估价对象所在区域基础设施水平</v>
      </c>
      <c r="D22" s="2367"/>
      <c r="E22" s="2403"/>
      <c r="F22" s="2404" t="s">
        <v>2106</v>
      </c>
      <c r="G22" s="1565"/>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6" sqref="B26"/>
    </sheetView>
  </sheetViews>
  <sheetFormatPr defaultRowHeight="13.5"/>
  <cols>
    <col min="1" max="1" width="23.375" style="1734" customWidth="1"/>
    <col min="2" max="9" width="15.75" style="1734" customWidth="1"/>
    <col min="10" max="16384" width="9" style="1734"/>
  </cols>
  <sheetData>
    <row r="1" spans="1:10" ht="16.5">
      <c r="A1" s="1739" t="s">
        <v>1364</v>
      </c>
      <c r="B1" s="1739">
        <f>SUM(B14:B23)</f>
        <v>14709.010000000002</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43155</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83916</v>
      </c>
      <c r="C5" s="1739">
        <f ca="1">ROUND(B5*10000/$B$1,0)</f>
        <v>57051</v>
      </c>
      <c r="D5" s="1739" t="e">
        <f ca="1">ROUND(B5*10000/$B$2,0)</f>
        <v>#DIV/0!</v>
      </c>
      <c r="E5" s="1738"/>
      <c r="F5" s="1736"/>
      <c r="G5" s="1736"/>
    </row>
    <row r="6" spans="1:10" ht="16.5">
      <c r="A6" s="1739" t="s">
        <v>1355</v>
      </c>
      <c r="B6" s="1739">
        <f ca="1">SUM(G14:G23)</f>
        <v>83916</v>
      </c>
      <c r="C6" s="1739">
        <f ca="1">ROUND(B6*10000/$B$1,0)</f>
        <v>57051</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结果表住宅!B118</f>
        <v>5307.46</v>
      </c>
      <c r="C14" s="1737">
        <f>结果表住宅!C118</f>
        <v>0</v>
      </c>
      <c r="D14" s="1737">
        <f ca="1">结果表住宅!H118</f>
        <v>34360</v>
      </c>
      <c r="E14" s="1737">
        <f ca="1">ROUND(D14*10000/B14,0)</f>
        <v>64739</v>
      </c>
      <c r="F14" s="1737" t="e">
        <f ca="1">ROUND(D14*10000/C14,0)</f>
        <v>#DIV/0!</v>
      </c>
      <c r="G14" s="1737">
        <f ca="1">结果表住宅!D122</f>
        <v>34360</v>
      </c>
      <c r="H14" s="1737" t="str">
        <f>结果表住宅!D124</f>
        <v>——</v>
      </c>
      <c r="I14" s="1737" t="str">
        <f>结果表住宅!D126</f>
        <v>——</v>
      </c>
      <c r="J14" s="1736"/>
    </row>
    <row r="15" spans="1:10" ht="16.5">
      <c r="A15" s="1735" t="s">
        <v>1348</v>
      </c>
      <c r="B15" s="1742">
        <f>典型户型修正!B22</f>
        <v>9401.5500000000011</v>
      </c>
      <c r="C15" s="1742"/>
      <c r="D15" s="1742">
        <f>典型户型修正!S22</f>
        <v>49556</v>
      </c>
      <c r="E15" s="1737">
        <f t="shared" ref="E15:E23" si="0">ROUND(D15*10000/B15,0)</f>
        <v>52710</v>
      </c>
      <c r="F15" s="1737" t="e">
        <f t="shared" ref="F15:F23" si="1">ROUND(D15*10000/C15,0)</f>
        <v>#DIV/0!</v>
      </c>
      <c r="G15" s="1743">
        <f>D15</f>
        <v>49556</v>
      </c>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3064</v>
      </c>
      <c r="D1" s="2415"/>
      <c r="E1" s="2415"/>
      <c r="F1" s="2417" t="s">
        <v>2121</v>
      </c>
      <c r="G1" s="2067" t="s">
        <v>3052</v>
      </c>
      <c r="H1" s="2418" t="str">
        <f>IF(G1="现房","——","估价对象范围")</f>
        <v>——</v>
      </c>
      <c r="I1" s="2419" t="s">
        <v>3216</v>
      </c>
    </row>
    <row r="2" spans="1:12" ht="21.75" customHeight="1" thickBot="1">
      <c r="A2" s="3624" t="str">
        <f>项目基本情况!S2</f>
        <v>北京市房地产</v>
      </c>
      <c r="B2" s="3625"/>
      <c r="C2" s="3625"/>
      <c r="D2" s="3625"/>
      <c r="E2" s="3625"/>
      <c r="F2" s="3625"/>
      <c r="G2" s="3625"/>
      <c r="H2" s="3625"/>
      <c r="I2" s="3626"/>
    </row>
    <row r="3" spans="1:12" ht="12.75">
      <c r="A3" s="3627" t="s">
        <v>2122</v>
      </c>
      <c r="B3" s="3628"/>
      <c r="C3" s="3628"/>
      <c r="D3" s="3628"/>
      <c r="E3" s="3628"/>
      <c r="F3" s="3628"/>
      <c r="G3" s="3628"/>
      <c r="H3" s="3628"/>
      <c r="I3" s="3628"/>
    </row>
    <row r="4" spans="1:12" ht="14.25">
      <c r="A4" s="2422" t="s">
        <v>2123</v>
      </c>
      <c r="B4" s="2423" t="s">
        <v>2124</v>
      </c>
      <c r="C4" s="2424" t="s">
        <v>3217</v>
      </c>
      <c r="D4" s="2424" t="s">
        <v>3218</v>
      </c>
      <c r="E4" s="3608" t="s">
        <v>2125</v>
      </c>
      <c r="F4" s="3621"/>
      <c r="G4" s="3621"/>
      <c r="H4" s="3621"/>
      <c r="I4" s="3609"/>
      <c r="K4" s="2425" t="str">
        <f>IF(ISNUMBER(FIND("比较法",结果表住宅!C4)),"比较法",IF(ISNUMBER(FIND("成本法",结果表住宅!C4)),"成本法",IF(ISNUMBER(FIND("假设开发法",结果表住宅!C4)),"假设开发法",IF(ISNUMBER(FIND("收益法",结果表住宅!C4)),"收益法","基准地价系数修正法"))))</f>
        <v>比较法</v>
      </c>
      <c r="L4" s="2425"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599" t="s">
        <v>2126</v>
      </c>
      <c r="B5" s="3525">
        <v>25</v>
      </c>
      <c r="C5" s="3629"/>
      <c r="D5" s="3617"/>
      <c r="E5" s="139" t="s">
        <v>2127</v>
      </c>
      <c r="F5" s="2426"/>
      <c r="G5" s="2426"/>
      <c r="H5" s="2426"/>
      <c r="I5" s="1827"/>
    </row>
    <row r="6" spans="1:12" ht="12.75">
      <c r="A6" s="3599"/>
      <c r="B6" s="3525"/>
      <c r="C6" s="3631"/>
      <c r="D6" s="3617"/>
      <c r="E6" s="139" t="s">
        <v>2128</v>
      </c>
      <c r="F6" s="2426"/>
      <c r="G6" s="2426"/>
      <c r="H6" s="2426"/>
      <c r="I6" s="1827"/>
    </row>
    <row r="7" spans="1:12" ht="12.75">
      <c r="A7" s="3599"/>
      <c r="B7" s="3525"/>
      <c r="C7" s="3630"/>
      <c r="D7" s="3617"/>
      <c r="E7" s="139" t="s">
        <v>2129</v>
      </c>
      <c r="F7" s="2426"/>
      <c r="G7" s="2426"/>
      <c r="H7" s="2426"/>
      <c r="I7" s="1827"/>
    </row>
    <row r="8" spans="1:12" ht="12.75">
      <c r="A8" s="3599" t="s">
        <v>2130</v>
      </c>
      <c r="B8" s="3525">
        <v>15</v>
      </c>
      <c r="C8" s="3629"/>
      <c r="D8" s="3617"/>
      <c r="E8" s="139" t="s">
        <v>2131</v>
      </c>
      <c r="F8" s="2426"/>
      <c r="G8" s="2426"/>
      <c r="H8" s="2426"/>
      <c r="I8" s="1827"/>
    </row>
    <row r="9" spans="1:12" ht="12.75">
      <c r="A9" s="3599"/>
      <c r="B9" s="3525"/>
      <c r="C9" s="3630"/>
      <c r="D9" s="3617"/>
      <c r="E9" s="139" t="s">
        <v>2132</v>
      </c>
      <c r="F9" s="2426"/>
      <c r="G9" s="2426"/>
      <c r="H9" s="2426"/>
      <c r="I9" s="1827"/>
    </row>
    <row r="10" spans="1:12" ht="12.75">
      <c r="A10" s="3599" t="s">
        <v>2133</v>
      </c>
      <c r="B10" s="3525">
        <v>15</v>
      </c>
      <c r="C10" s="3629"/>
      <c r="D10" s="3617"/>
      <c r="E10" s="139" t="s">
        <v>2134</v>
      </c>
      <c r="F10" s="2426"/>
      <c r="G10" s="2426"/>
      <c r="H10" s="2426"/>
      <c r="I10" s="1827"/>
    </row>
    <row r="11" spans="1:12" ht="12.75">
      <c r="A11" s="3599"/>
      <c r="B11" s="3525"/>
      <c r="C11" s="3630"/>
      <c r="D11" s="3617"/>
      <c r="E11" s="139" t="s">
        <v>2135</v>
      </c>
      <c r="F11" s="2426"/>
      <c r="G11" s="2426"/>
      <c r="H11" s="2426"/>
      <c r="I11" s="1827"/>
    </row>
    <row r="12" spans="1:12" ht="12.75">
      <c r="A12" s="3599" t="s">
        <v>2136</v>
      </c>
      <c r="B12" s="3525">
        <v>15</v>
      </c>
      <c r="C12" s="3629"/>
      <c r="D12" s="3617"/>
      <c r="E12" s="139" t="s">
        <v>2137</v>
      </c>
      <c r="F12" s="2426"/>
      <c r="G12" s="2426"/>
      <c r="H12" s="2426"/>
      <c r="I12" s="1827"/>
    </row>
    <row r="13" spans="1:12" ht="12.75">
      <c r="A13" s="3599"/>
      <c r="B13" s="3525"/>
      <c r="C13" s="3630"/>
      <c r="D13" s="3617"/>
      <c r="E13" s="139" t="s">
        <v>2138</v>
      </c>
      <c r="F13" s="2426"/>
      <c r="G13" s="2426"/>
      <c r="H13" s="2426"/>
      <c r="I13" s="1827"/>
    </row>
    <row r="14" spans="1:12" ht="12.75">
      <c r="A14" s="3599" t="s">
        <v>2139</v>
      </c>
      <c r="B14" s="3525">
        <v>30</v>
      </c>
      <c r="C14" s="3629">
        <v>0.7</v>
      </c>
      <c r="D14" s="3617">
        <f>1-C14</f>
        <v>0.30000000000000004</v>
      </c>
      <c r="E14" s="139" t="s">
        <v>2140</v>
      </c>
      <c r="F14" s="2426"/>
      <c r="G14" s="2426"/>
      <c r="H14" s="2426"/>
      <c r="I14" s="1827"/>
    </row>
    <row r="15" spans="1:12" ht="12.75">
      <c r="A15" s="3599"/>
      <c r="B15" s="3525"/>
      <c r="C15" s="3631"/>
      <c r="D15" s="3617"/>
      <c r="E15" s="139" t="s">
        <v>2141</v>
      </c>
      <c r="F15" s="2426"/>
      <c r="G15" s="2426"/>
      <c r="H15" s="2426"/>
      <c r="I15" s="1827"/>
    </row>
    <row r="16" spans="1:12" ht="12.75">
      <c r="A16" s="3599"/>
      <c r="B16" s="3525"/>
      <c r="C16" s="3630"/>
      <c r="D16" s="3617"/>
      <c r="E16" s="139" t="s">
        <v>2142</v>
      </c>
      <c r="F16" s="2426"/>
      <c r="G16" s="2426"/>
      <c r="H16" s="2426"/>
      <c r="I16" s="1827"/>
    </row>
    <row r="17" spans="1:35" ht="15">
      <c r="A17" s="2427" t="s">
        <v>2143</v>
      </c>
      <c r="B17" s="64"/>
      <c r="C17" s="140">
        <f>SUM(C5:C16)</f>
        <v>0.7</v>
      </c>
      <c r="D17" s="140">
        <f>SUM(D5:D16)</f>
        <v>0.30000000000000004</v>
      </c>
      <c r="E17" s="137"/>
      <c r="F17" s="137"/>
      <c r="G17" s="137"/>
      <c r="H17" s="137"/>
      <c r="I17" s="137"/>
      <c r="K17" s="2425"/>
      <c r="L17" s="2428" t="s">
        <v>2144</v>
      </c>
      <c r="M17" s="2428" t="s">
        <v>2145</v>
      </c>
    </row>
    <row r="18" spans="1:35" ht="15.75" thickBot="1">
      <c r="A18" s="2429" t="s">
        <v>2146</v>
      </c>
      <c r="B18" s="2430"/>
      <c r="C18" s="141">
        <f>ROUND(C17/SUM(C17:D17),2)</f>
        <v>0.7</v>
      </c>
      <c r="D18" s="141">
        <f>1-C18</f>
        <v>0.30000000000000004</v>
      </c>
      <c r="E18" s="137"/>
      <c r="F18" s="137"/>
      <c r="G18" s="137"/>
      <c r="H18" s="137"/>
      <c r="I18" s="137"/>
      <c r="K18" s="2425" t="s">
        <v>2147</v>
      </c>
      <c r="L18" s="2425">
        <f>IF(C1="",'数据-汇总表'!E3,SUMIF(项目类型,C1,'数据-汇总表'!E17:E26)+SUMIF(项目类型,C1,'数据-汇总表'!I17:I26))</f>
        <v>5307.46</v>
      </c>
      <c r="M18" s="2425">
        <f>IF(C1="",'数据-汇总表'!E3,SUMIF(项目类型,C1,'数据-汇总表'!E17:E26))</f>
        <v>5307.46</v>
      </c>
    </row>
    <row r="19" spans="1:35" ht="15">
      <c r="A19" s="2431" t="s">
        <v>2148</v>
      </c>
      <c r="B19" s="2432" t="s">
        <v>2149</v>
      </c>
      <c r="C19" s="142">
        <f ca="1">SUMIF(INDIRECT("'"&amp;C4&amp;"'"&amp;"!A:A"),结果表住宅!B19,INDIRECT("'"&amp;C4&amp;"'"&amp;"!B:B"))</f>
        <v>39765</v>
      </c>
      <c r="D19" s="143">
        <f ca="1">SUMIF(INDIRECT("'"&amp;D4&amp;"'"&amp;"!A:A"),结果表住宅!B19,INDIRECT("'"&amp;D4&amp;"'"&amp;"!B:B"))</f>
        <v>21749</v>
      </c>
      <c r="E19" s="2431" t="s">
        <v>2150</v>
      </c>
      <c r="F19" s="2432" t="s">
        <v>2149</v>
      </c>
      <c r="G19" s="144">
        <f ca="1">ROUND(C19*$C$18+D19*$D$18,0)</f>
        <v>34360</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SUMIF(INDIRECT("'"&amp;C4&amp;"'"&amp;"!A:A"),结果表住宅!B20,INDIRECT("'"&amp;C4&amp;"'"&amp;"!B:B"))</f>
        <v>74922</v>
      </c>
      <c r="D20" s="146">
        <f ca="1">SUMIF(INDIRECT("'"&amp;D4&amp;"'"&amp;"!A:A"),结果表住宅!B20,INDIRECT("'"&amp;D4&amp;"'"&amp;"!B:B"))</f>
        <v>40978</v>
      </c>
      <c r="E20" s="2434"/>
      <c r="F20" s="1243" t="s">
        <v>2153</v>
      </c>
      <c r="G20" s="147">
        <f ca="1">ROUND(C20*$C$18+D20*$D$18,0)</f>
        <v>64739</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0.82835992459423413</v>
      </c>
      <c r="E22" s="137"/>
      <c r="F22" s="137"/>
      <c r="G22" s="137"/>
      <c r="H22" s="137"/>
      <c r="I22" s="137"/>
    </row>
    <row r="23" spans="1:35" ht="13.5" thickBot="1">
      <c r="A23" s="2415"/>
      <c r="B23" s="2415"/>
      <c r="C23" s="2415"/>
      <c r="D23" s="2415"/>
      <c r="E23" s="137"/>
      <c r="F23" s="137"/>
      <c r="G23" s="137"/>
      <c r="H23" s="137"/>
      <c r="I23" s="137"/>
    </row>
    <row r="24" spans="1:35" ht="14.25">
      <c r="A24" s="3638" t="s">
        <v>2157</v>
      </c>
      <c r="B24" s="2432" t="s">
        <v>2149</v>
      </c>
      <c r="C24" s="144">
        <f>IF(B30=0,0,D30)</f>
        <v>0</v>
      </c>
      <c r="D24" s="2439"/>
      <c r="E24" s="137"/>
      <c r="F24" s="137"/>
      <c r="G24" s="137"/>
      <c r="H24" s="137"/>
      <c r="I24" s="137"/>
    </row>
    <row r="25" spans="1:35" ht="14.25">
      <c r="A25" s="3639"/>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34360</v>
      </c>
      <c r="D32" s="2446" t="s">
        <v>2164</v>
      </c>
      <c r="E32" s="137"/>
      <c r="F32" s="137"/>
      <c r="G32" s="137"/>
      <c r="H32" s="137"/>
      <c r="I32" s="137"/>
    </row>
    <row r="33" spans="1:15" ht="15">
      <c r="A33" s="953" t="s">
        <v>2165</v>
      </c>
      <c r="B33" s="2447"/>
      <c r="C33" s="2448"/>
      <c r="D33" s="2449"/>
      <c r="E33" s="2450" t="s">
        <v>2166</v>
      </c>
      <c r="F33" s="2451"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618" t="s">
        <v>2171</v>
      </c>
      <c r="B36" s="2458" t="s">
        <v>2172</v>
      </c>
      <c r="C36" s="153"/>
      <c r="D36" s="2459"/>
      <c r="E36" s="2460"/>
      <c r="F36" s="2461"/>
      <c r="G36" s="137"/>
      <c r="H36" s="137"/>
      <c r="I36" s="137"/>
    </row>
    <row r="37" spans="1:15" ht="15.75" thickBot="1">
      <c r="A37" s="3619"/>
      <c r="B37" s="2263" t="s">
        <v>2173</v>
      </c>
      <c r="C37" s="155"/>
      <c r="D37" s="1388"/>
      <c r="E37" s="1388"/>
      <c r="F37" s="2461"/>
      <c r="G37" s="137"/>
      <c r="H37" s="137"/>
      <c r="I37" s="137"/>
    </row>
    <row r="38" spans="1:15" ht="15.75" thickBot="1">
      <c r="A38" s="3620"/>
      <c r="B38" s="2462" t="s">
        <v>2174</v>
      </c>
      <c r="C38" s="723"/>
      <c r="D38" s="2463" t="s">
        <v>2175</v>
      </c>
      <c r="E38" s="1388"/>
      <c r="F38" s="2461"/>
      <c r="G38" s="137"/>
      <c r="H38" s="137"/>
      <c r="I38" s="137"/>
    </row>
    <row r="39" spans="1:15" ht="15">
      <c r="A39" s="2434" t="s">
        <v>2176</v>
      </c>
      <c r="B39" s="2464" t="s">
        <v>2177</v>
      </c>
      <c r="C39" s="2465" t="s">
        <v>2178</v>
      </c>
      <c r="D39" s="2465" t="s">
        <v>2179</v>
      </c>
      <c r="E39" s="2466" t="s">
        <v>2180</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635" t="s">
        <v>2185</v>
      </c>
      <c r="B45" s="3636"/>
      <c r="C45" s="3637"/>
      <c r="D45" s="163">
        <f ca="1">ROUND(H101*F45,0)</f>
        <v>34360</v>
      </c>
      <c r="E45" s="164" t="s">
        <v>2186</v>
      </c>
      <c r="F45" s="165">
        <v>1</v>
      </c>
      <c r="G45" s="166" t="s">
        <v>2187</v>
      </c>
      <c r="H45" s="137"/>
      <c r="I45" s="137"/>
      <c r="J45" s="3554" t="s">
        <v>2188</v>
      </c>
      <c r="K45" s="3554"/>
      <c r="L45" s="3554"/>
      <c r="M45" s="3554"/>
      <c r="N45" s="3554"/>
      <c r="O45" s="3554"/>
    </row>
    <row r="46" spans="1:15" ht="14.25" customHeight="1">
      <c r="A46" s="3632" t="s">
        <v>2189</v>
      </c>
      <c r="B46" s="3633"/>
      <c r="C46" s="3633"/>
      <c r="D46" s="3633"/>
      <c r="E46" s="3633"/>
      <c r="F46" s="3633"/>
      <c r="G46" s="3634"/>
      <c r="H46" s="2477"/>
      <c r="I46" s="167"/>
      <c r="J46" s="1805">
        <v>1</v>
      </c>
      <c r="K46" s="3554" t="s">
        <v>2190</v>
      </c>
      <c r="L46" s="3554"/>
      <c r="M46" s="3555"/>
      <c r="N46" s="3555"/>
      <c r="O46" s="3555"/>
    </row>
    <row r="47" spans="1:15" ht="12" customHeight="1">
      <c r="A47" s="168" t="s">
        <v>2191</v>
      </c>
      <c r="B47" s="169"/>
      <c r="C47" s="170"/>
      <c r="D47" s="171" t="s">
        <v>2192</v>
      </c>
      <c r="E47" s="24" t="s">
        <v>2193</v>
      </c>
      <c r="F47" s="172" t="s">
        <v>2194</v>
      </c>
      <c r="G47" s="173" t="s">
        <v>2195</v>
      </c>
      <c r="H47" s="2477"/>
      <c r="I47" s="167"/>
      <c r="J47" s="1805">
        <v>2</v>
      </c>
      <c r="K47" s="3554" t="s">
        <v>2196</v>
      </c>
      <c r="L47" s="3554"/>
      <c r="M47" s="3556">
        <f>'数据-取费表'!B2</f>
        <v>43155</v>
      </c>
      <c r="N47" s="3556"/>
      <c r="O47" s="3556"/>
    </row>
    <row r="48" spans="1:15" ht="25.5">
      <c r="A48" s="3622" t="s">
        <v>2197</v>
      </c>
      <c r="B48" s="3623"/>
      <c r="C48" s="3623"/>
      <c r="D48" s="139">
        <f>IF(H48="情况1",0,IF(H48="情况2",D52,IF(H48="情况3",D53,IF(H48="情况4",D54))))</f>
        <v>0</v>
      </c>
      <c r="E48" s="1794" t="str">
        <f>IF(H48="情况4","(销售额-原购置价)×税（费）率","销售额×税（费）率")</f>
        <v>销售额×税（费）率</v>
      </c>
      <c r="F48" s="174" t="str">
        <f>IF(H48="情况1","免征",'数据-取费表'!B41)</f>
        <v>免征</v>
      </c>
      <c r="G48" s="2478" t="s">
        <v>2198</v>
      </c>
      <c r="H48" s="2479" t="s">
        <v>2199</v>
      </c>
      <c r="I48" s="2477"/>
      <c r="J48" s="1805">
        <v>3</v>
      </c>
      <c r="K48" s="3554" t="s">
        <v>2200</v>
      </c>
      <c r="L48" s="3554"/>
      <c r="M48" s="3557">
        <f ca="1">H101</f>
        <v>34360</v>
      </c>
      <c r="N48" s="3557"/>
      <c r="O48" s="3557"/>
    </row>
    <row r="49" spans="1:35" ht="25.5" customHeight="1">
      <c r="A49" s="175" t="s">
        <v>2201</v>
      </c>
      <c r="B49" s="3602" t="s">
        <v>2202</v>
      </c>
      <c r="C49" s="3602"/>
      <c r="D49" s="176">
        <v>0</v>
      </c>
      <c r="E49" s="23" t="s">
        <v>2203</v>
      </c>
      <c r="F49" s="28" t="s">
        <v>34</v>
      </c>
      <c r="G49" s="3583"/>
      <c r="H49" s="137"/>
      <c r="I49" s="2480"/>
      <c r="J49" s="1805">
        <v>4</v>
      </c>
      <c r="K49" s="3554" t="str">
        <f>IF(项目基本情况!E8="房地产抵押价值","房地产抵押价值","抵押担保权已注销时的房地产抵押价值")</f>
        <v>房地产抵押价值</v>
      </c>
      <c r="L49" s="3554"/>
      <c r="M49" s="3557">
        <f ca="1">IF(项目基本情况!E8="房地产抵押价值",H107,H109)</f>
        <v>34360</v>
      </c>
      <c r="N49" s="3557"/>
      <c r="O49" s="3557"/>
    </row>
    <row r="50" spans="1:35" ht="25.5" customHeight="1">
      <c r="A50" s="177"/>
      <c r="B50" s="3602" t="s">
        <v>2204</v>
      </c>
      <c r="C50" s="3602"/>
      <c r="D50" s="178"/>
      <c r="E50" s="31"/>
      <c r="F50" s="179"/>
      <c r="G50" s="3584"/>
      <c r="H50" s="137"/>
      <c r="I50" s="2480"/>
      <c r="J50" s="3554" t="s">
        <v>2205</v>
      </c>
      <c r="K50" s="3554"/>
      <c r="L50" s="3554"/>
      <c r="M50" s="3554"/>
      <c r="N50" s="3554"/>
      <c r="O50" s="3554"/>
    </row>
    <row r="51" spans="1:35" ht="12" customHeight="1">
      <c r="A51" s="180"/>
      <c r="B51" s="3602" t="s">
        <v>2206</v>
      </c>
      <c r="C51" s="3602"/>
      <c r="D51" s="181"/>
      <c r="E51" s="30"/>
      <c r="F51" s="179"/>
      <c r="G51" s="3585"/>
      <c r="H51" s="137"/>
      <c r="I51" s="2480"/>
      <c r="J51" s="2481" t="s">
        <v>2207</v>
      </c>
      <c r="K51" s="3554" t="s">
        <v>2208</v>
      </c>
      <c r="L51" s="3554"/>
      <c r="M51" s="2481" t="s">
        <v>2209</v>
      </c>
      <c r="N51" s="2481" t="s">
        <v>2210</v>
      </c>
      <c r="O51" s="2481" t="s">
        <v>2211</v>
      </c>
    </row>
    <row r="52" spans="1:35" ht="24" customHeight="1">
      <c r="A52" s="182" t="s">
        <v>2212</v>
      </c>
      <c r="B52" s="3602" t="s">
        <v>2213</v>
      </c>
      <c r="C52" s="3602"/>
      <c r="D52" s="181">
        <f ca="1">ROUND(D45*'数据-取费表'!B41/(1+'数据-取费表'!C42),0)</f>
        <v>1800</v>
      </c>
      <c r="E52" s="11" t="s">
        <v>2214</v>
      </c>
      <c r="F52" s="183">
        <f>'数据-取费表'!B41</f>
        <v>5.5000000000000007E-2</v>
      </c>
      <c r="G52" s="2482"/>
      <c r="H52" s="137"/>
      <c r="I52" s="2480"/>
      <c r="J52" s="1805">
        <v>1</v>
      </c>
      <c r="K52" s="3577" t="s">
        <v>2215</v>
      </c>
      <c r="L52" s="3577"/>
      <c r="M52" s="1747">
        <f>D48</f>
        <v>0</v>
      </c>
      <c r="N52" s="1805" t="str">
        <f>E48</f>
        <v>销售额×税（费）率</v>
      </c>
      <c r="O52" s="1748" t="str">
        <f>F48</f>
        <v>免征</v>
      </c>
    </row>
    <row r="53" spans="1:35" ht="12" customHeight="1">
      <c r="A53" s="182" t="s">
        <v>2216</v>
      </c>
      <c r="B53" s="3603" t="s">
        <v>2217</v>
      </c>
      <c r="C53" s="3604"/>
      <c r="D53" s="181">
        <f ca="1">ROUND(D45*'数据-取费表'!B41/(1+'数据-取费表'!C42),0)</f>
        <v>1800</v>
      </c>
      <c r="E53" s="11" t="s">
        <v>2214</v>
      </c>
      <c r="F53" s="183">
        <f>'数据-取费表'!B41</f>
        <v>5.5000000000000007E-2</v>
      </c>
      <c r="G53" s="2482"/>
      <c r="H53" s="137"/>
      <c r="I53" s="2480"/>
      <c r="J53" s="1805">
        <v>2</v>
      </c>
      <c r="K53" s="3577" t="s">
        <v>2218</v>
      </c>
      <c r="L53" s="3577"/>
      <c r="M53" s="1747">
        <f t="shared" ref="M53:O54" ca="1" si="0">D55</f>
        <v>17</v>
      </c>
      <c r="N53" s="1805" t="str">
        <f t="shared" si="0"/>
        <v>销售额×税（费）率</v>
      </c>
      <c r="O53" s="1748">
        <f t="shared" si="0"/>
        <v>5.0000000000000001E-4</v>
      </c>
    </row>
    <row r="54" spans="1:35" ht="12" customHeight="1">
      <c r="A54" s="182" t="s">
        <v>2219</v>
      </c>
      <c r="B54" s="3603" t="s">
        <v>2220</v>
      </c>
      <c r="C54" s="3604"/>
      <c r="D54" s="181">
        <f ca="1">C68</f>
        <v>1800</v>
      </c>
      <c r="E54" s="30" t="s">
        <v>2221</v>
      </c>
      <c r="F54" s="183">
        <f>'数据-取费表'!B41</f>
        <v>5.5000000000000007E-2</v>
      </c>
      <c r="G54" s="2482"/>
      <c r="H54" s="2483"/>
      <c r="I54" s="2480"/>
      <c r="J54" s="1805">
        <v>3</v>
      </c>
      <c r="K54" s="3577" t="s">
        <v>2222</v>
      </c>
      <c r="L54" s="3577"/>
      <c r="M54" s="1747">
        <f t="shared" ca="1" si="0"/>
        <v>19479</v>
      </c>
      <c r="N54" s="1805" t="str">
        <f t="shared" si="0"/>
        <v>增值额×税（费）率</v>
      </c>
      <c r="O54" s="1749" t="str">
        <f t="shared" si="0"/>
        <v>——</v>
      </c>
    </row>
    <row r="55" spans="1:35" ht="24" customHeight="1">
      <c r="A55" s="3641" t="s">
        <v>2223</v>
      </c>
      <c r="B55" s="3623"/>
      <c r="C55" s="3623"/>
      <c r="D55" s="184">
        <f ca="1">IF(H55="个人住宅",0,ROUND(D45*I55,0))</f>
        <v>17</v>
      </c>
      <c r="E55" s="11" t="s">
        <v>2224</v>
      </c>
      <c r="F55" s="183">
        <f>IF(H55="正常",I55,"免征")</f>
        <v>5.0000000000000001E-4</v>
      </c>
      <c r="G55" s="2482"/>
      <c r="H55" s="2479" t="s">
        <v>2225</v>
      </c>
      <c r="I55" s="185">
        <f>'数据-取费表'!B49</f>
        <v>5.0000000000000001E-4</v>
      </c>
      <c r="J55" s="1805" t="str">
        <f>IF(H59="非个人房产","",4)</f>
        <v/>
      </c>
      <c r="K55" s="3577" t="str">
        <f>IF(H59="非个人房产","——","个人所得税")</f>
        <v>——</v>
      </c>
      <c r="L55" s="3577"/>
      <c r="M55" s="1750" t="str">
        <f>D59</f>
        <v>——</v>
      </c>
      <c r="N55" s="1803" t="str">
        <f>E59</f>
        <v>——</v>
      </c>
      <c r="O55" s="1751" t="str">
        <f>F59</f>
        <v>——</v>
      </c>
    </row>
    <row r="56" spans="1:35" ht="24.75">
      <c r="A56" s="3641" t="s">
        <v>2226</v>
      </c>
      <c r="B56" s="3623"/>
      <c r="C56" s="3623"/>
      <c r="D56" s="184">
        <f ca="1">IF(H56="个人住宅",D57,D58)</f>
        <v>19479</v>
      </c>
      <c r="E56" s="11" t="s">
        <v>2227</v>
      </c>
      <c r="F56" s="183" t="str">
        <f>IF(H56="正常",F58,"免征")</f>
        <v>——</v>
      </c>
      <c r="G56" s="2484" t="s">
        <v>2228</v>
      </c>
      <c r="H56" s="2485" t="s">
        <v>2225</v>
      </c>
      <c r="I56" s="2486"/>
      <c r="J56" s="1805" t="str">
        <f>IF(项目基本情况!K6="上海银行",IF(J55="",4,J55+1),"")</f>
        <v/>
      </c>
      <c r="K56" s="3560" t="str">
        <f>IF(项目基本情况!K6="上海银行","其他处置费用","")</f>
        <v/>
      </c>
      <c r="L56" s="3561"/>
      <c r="M56" s="1747" t="str">
        <f>IF(项目基本情况!K6="上海银行",M69,"")</f>
        <v/>
      </c>
      <c r="N56" s="3563" t="str">
        <f>IF(项目基本情况!K6="上海银行","包含处置中涉及的律师、诉讼、拍卖、评估等费用","")</f>
        <v/>
      </c>
      <c r="O56" s="3564"/>
    </row>
    <row r="57" spans="1:35" ht="12.75">
      <c r="A57" s="182" t="s">
        <v>2201</v>
      </c>
      <c r="B57" s="3608" t="s">
        <v>2229</v>
      </c>
      <c r="C57" s="3609"/>
      <c r="D57" s="186">
        <v>0</v>
      </c>
      <c r="E57" s="23" t="s">
        <v>2203</v>
      </c>
      <c r="F57" s="154"/>
      <c r="G57" s="2482"/>
      <c r="H57" s="2486"/>
      <c r="I57" s="2486"/>
      <c r="J57" s="3577">
        <f>IF(AND(J55="",J56=""),4,IF(项目基本情况!K6="上海银行",结果表住宅!J56+1,结果表住宅!J55+1))</f>
        <v>4</v>
      </c>
      <c r="K57" s="3577" t="s">
        <v>2230</v>
      </c>
      <c r="L57" s="2487" t="s">
        <v>2231</v>
      </c>
      <c r="M57" s="1752"/>
      <c r="N57" s="1753">
        <f ca="1">SUMIF(M52:M56,"&lt;9e307")</f>
        <v>19496</v>
      </c>
      <c r="O57" s="2488"/>
      <c r="P57" s="1746">
        <f ca="1">N57/M49</f>
        <v>0.56740395809080324</v>
      </c>
    </row>
    <row r="58" spans="1:35" ht="24.75">
      <c r="A58" s="182" t="s">
        <v>2212</v>
      </c>
      <c r="B58" s="3608" t="s">
        <v>2232</v>
      </c>
      <c r="C58" s="3621"/>
      <c r="D58" s="184">
        <f ca="1">IF(H58="转让取得",C81,C97)</f>
        <v>19479</v>
      </c>
      <c r="E58" s="11" t="s">
        <v>2227</v>
      </c>
      <c r="F58" s="24" t="s">
        <v>34</v>
      </c>
      <c r="G58" s="2482"/>
      <c r="H58" s="2485" t="s">
        <v>2233</v>
      </c>
      <c r="I58" s="2486"/>
      <c r="J58" s="3577"/>
      <c r="K58" s="3577"/>
      <c r="L58" s="2487" t="s">
        <v>2234</v>
      </c>
      <c r="M58" s="1754"/>
      <c r="N58" s="2489" t="str">
        <f ca="1">NUMBERSTRING(INT(N57*10000),2)&amp;"元整"</f>
        <v>壹亿玖仟肆佰玖拾陆万元整</v>
      </c>
      <c r="O58" s="2490"/>
    </row>
    <row r="59" spans="1:35" ht="24.75" thickBot="1">
      <c r="A59" s="3581" t="s">
        <v>2235</v>
      </c>
      <c r="B59" s="3582"/>
      <c r="C59" s="3582"/>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579">
        <f>J57+1</f>
        <v>5</v>
      </c>
      <c r="K59" s="3577" t="s">
        <v>2237</v>
      </c>
      <c r="L59" s="1805" t="s">
        <v>2231</v>
      </c>
      <c r="M59" s="1755"/>
      <c r="N59" s="1756">
        <f ca="1">M49-N57</f>
        <v>14864</v>
      </c>
      <c r="O59" s="2492"/>
    </row>
    <row r="60" spans="1:35" ht="12" customHeight="1">
      <c r="A60" s="2493"/>
      <c r="B60" s="2415"/>
      <c r="C60" s="2415"/>
      <c r="D60" s="2415"/>
      <c r="E60" s="2163"/>
      <c r="F60" s="2486"/>
      <c r="G60" s="2486"/>
      <c r="H60" s="2494"/>
      <c r="I60" s="137"/>
      <c r="J60" s="3580"/>
      <c r="K60" s="3577"/>
      <c r="L60" s="2487" t="s">
        <v>2234</v>
      </c>
      <c r="M60" s="1754"/>
      <c r="N60" s="2489" t="str">
        <f ca="1">NUMBERSTRING(INT(N59*10000),2)&amp;"元整"</f>
        <v>壹亿肆仟捌佰陆拾肆万元整</v>
      </c>
      <c r="O60" s="2490"/>
    </row>
    <row r="61" spans="1:35" ht="13.5" thickBot="1">
      <c r="A61" s="3640" t="s">
        <v>2238</v>
      </c>
      <c r="B61" s="3640"/>
      <c r="C61" s="3640"/>
      <c r="D61" s="3640"/>
      <c r="E61" s="3640"/>
      <c r="F61" s="2486"/>
      <c r="G61" s="2486"/>
      <c r="H61" s="2494"/>
      <c r="I61" s="137"/>
      <c r="J61" s="1805">
        <f>J59+1</f>
        <v>6</v>
      </c>
      <c r="K61" s="3577" t="s">
        <v>2239</v>
      </c>
      <c r="L61" s="3577"/>
      <c r="M61" s="1757"/>
      <c r="N61" s="1758">
        <f ca="1">ROUND(N59*10000/'数据-汇总表'!E3,0)</f>
        <v>24924</v>
      </c>
      <c r="O61" s="2495"/>
    </row>
    <row r="62" spans="1:35" ht="12.75">
      <c r="A62" s="3597" t="s">
        <v>2240</v>
      </c>
      <c r="B62" s="3598"/>
      <c r="C62" s="1797"/>
      <c r="D62" s="1797" t="s">
        <v>2241</v>
      </c>
      <c r="E62" s="191" t="s">
        <v>2242</v>
      </c>
      <c r="F62" s="2486"/>
      <c r="G62" s="2486"/>
      <c r="H62" s="2494"/>
      <c r="I62" s="137"/>
    </row>
    <row r="63" spans="1:35" ht="12.75">
      <c r="A63" s="202" t="s">
        <v>774</v>
      </c>
      <c r="B63" s="192" t="s">
        <v>2243</v>
      </c>
      <c r="C63" s="193">
        <f ca="1">ROUND((C64+C65)/(1+'数据-取费表'!C42),0)</f>
        <v>32724</v>
      </c>
      <c r="D63" s="194"/>
      <c r="E63" s="195"/>
      <c r="F63" s="2486"/>
      <c r="G63" s="2486"/>
      <c r="H63" s="2494"/>
      <c r="I63" s="137"/>
      <c r="J63" s="3562" t="s">
        <v>2244</v>
      </c>
      <c r="K63" s="2496" t="s">
        <v>2245</v>
      </c>
      <c r="L63" s="1745">
        <f ca="1">IF(M49&gt;10000,M49*0.5%,IF(AND(M49&gt;1000,M49&lt;=10000),M49*1%,IF(AND(M49&gt;100,M49&lt;=1000),M49*3%,IF(AND(M49&gt;10,M49&lt;=100),M49*5%,M49*8%))))</f>
        <v>171.8</v>
      </c>
      <c r="M63" s="24">
        <f ca="1">ROUND(L63,1)</f>
        <v>171.8</v>
      </c>
      <c r="Z63" s="2420"/>
      <c r="AI63" s="2421"/>
    </row>
    <row r="64" spans="1:35" ht="14.25" customHeight="1">
      <c r="A64" s="196" t="s">
        <v>769</v>
      </c>
      <c r="B64" s="197" t="s">
        <v>2246</v>
      </c>
      <c r="C64" s="198">
        <f ca="1">D45</f>
        <v>34360</v>
      </c>
      <c r="D64" s="199" t="s">
        <v>32</v>
      </c>
      <c r="E64" s="200"/>
      <c r="F64" s="2486"/>
      <c r="G64" s="2486"/>
      <c r="H64" s="2494"/>
      <c r="I64" s="137"/>
      <c r="J64" s="3562"/>
      <c r="K64" s="2496" t="s">
        <v>2247</v>
      </c>
      <c r="L64" s="1745">
        <f ca="1">IF(M49&gt;2000,M49*0.5%,IF(AND(M49&gt;1000,M49&lt;=2000),M49*0.6%,IF(AND(M49&gt;500,M49&lt;=1000),M49*0.7%,IF(AND(M49&gt;200,M49&lt;=500),M49*0.8%,IF(AND(M49&gt;100,M49&lt;=200),M49*0.9%,IF(AND(M49&gt;50,M49&lt;=100),M49*1%,IF(AND(M49&gt;20,M49&lt;=50),M49*1.5%,IF(AND(M49&gt;10,M49&lt;=20),M49*2%,IF(AND(M49&gt;1,M49&lt;=10),M49*2.5%)))))))))</f>
        <v>171.8</v>
      </c>
      <c r="M64" s="24">
        <f t="shared" ref="M64:M65" ca="1" si="1">ROUND(L64,1)</f>
        <v>171.8</v>
      </c>
      <c r="N64" s="137" t="s">
        <v>2248</v>
      </c>
      <c r="Z64" s="2420"/>
      <c r="AI64" s="2421"/>
    </row>
    <row r="65" spans="1:35" ht="14.25" customHeight="1">
      <c r="A65" s="196" t="s">
        <v>770</v>
      </c>
      <c r="B65" s="197" t="s">
        <v>2249</v>
      </c>
      <c r="C65" s="201"/>
      <c r="D65" s="199"/>
      <c r="E65" s="200"/>
      <c r="F65" s="2486"/>
      <c r="G65" s="2486"/>
      <c r="H65" s="2494"/>
      <c r="I65" s="137"/>
      <c r="J65" s="3562"/>
      <c r="K65" s="2496" t="s">
        <v>2250</v>
      </c>
      <c r="L65" s="1745">
        <f ca="1">IF(M49&gt;1000,M49*0.1%,IF(AND(M49&gt;500,M49&lt;=1000),M49*0.5%,IF(AND(M49&gt;50,M49&lt;=500),M49*1%,IF(AND(M49&gt;1,M49&lt;=50),M49*1.5%))))</f>
        <v>34.36</v>
      </c>
      <c r="M65" s="24">
        <f t="shared" ca="1" si="1"/>
        <v>34.4</v>
      </c>
      <c r="N65" s="137" t="s">
        <v>2248</v>
      </c>
      <c r="Z65" s="2420"/>
      <c r="AI65" s="2421"/>
    </row>
    <row r="66" spans="1:35" ht="14.25" customHeight="1">
      <c r="A66" s="202" t="s">
        <v>771</v>
      </c>
      <c r="B66" s="203" t="s">
        <v>2251</v>
      </c>
      <c r="C66" s="204"/>
      <c r="D66" s="205" t="s">
        <v>32</v>
      </c>
      <c r="E66" s="1769" t="s">
        <v>1370</v>
      </c>
      <c r="F66" s="2486"/>
      <c r="G66" s="2486"/>
      <c r="H66" s="2494"/>
      <c r="I66" s="137"/>
      <c r="J66" s="3562"/>
      <c r="K66" s="2496" t="s">
        <v>2252</v>
      </c>
      <c r="L66" s="1745">
        <f ca="1">M49*0.5%</f>
        <v>171.8</v>
      </c>
      <c r="M66" s="24">
        <f ca="1">IF(L66&gt;0.5,0.5,ROUND(L66,0))</f>
        <v>0.5</v>
      </c>
      <c r="N66" s="137" t="s">
        <v>2253</v>
      </c>
      <c r="Z66" s="2420"/>
      <c r="AI66" s="2421"/>
    </row>
    <row r="67" spans="1:35" ht="14.25" customHeight="1">
      <c r="A67" s="202" t="s">
        <v>772</v>
      </c>
      <c r="B67" s="203" t="s">
        <v>2254</v>
      </c>
      <c r="C67" s="206">
        <f ca="1">C63-C66</f>
        <v>32724</v>
      </c>
      <c r="D67" s="199" t="s">
        <v>32</v>
      </c>
      <c r="E67" s="200"/>
      <c r="F67" s="2486"/>
      <c r="G67" s="2486"/>
      <c r="H67" s="2494"/>
      <c r="I67" s="137"/>
      <c r="J67" s="3562"/>
      <c r="K67" s="2496" t="s">
        <v>2255</v>
      </c>
      <c r="L67" s="1745">
        <f ca="1">IF(M49&gt;=10000,(8.25+(M49-10000)*0.01%),IF(AND(M49&gt;=8000,M49&lt;10000),(7.85+(M49-8000)*0.02%),IF(AND(M49&gt;=5000,M49&lt;8000),(6.65+(M49-5000)*0.04%),IF(AND(M49&gt;=2000,M49&lt;5000),(4.25+(PM49-2000)*0.08%),IF(AND(M49&gt;=1000,M49&lt;2000),(2.75+(M49-1000)*0.15%),IF(AND(M49&gt;=100,M49&lt;1000),(0.5+(M49-100)*0.25%),IF(AND(M49&gt;0,M49&lt;100),M49*0.5%)))))))</f>
        <v>10.686</v>
      </c>
      <c r="M67" s="24">
        <f ca="1">ROUND(L67*0.9,1)</f>
        <v>9.6</v>
      </c>
      <c r="Z67" s="2420"/>
      <c r="AI67" s="2421"/>
    </row>
    <row r="68" spans="1:35" ht="14.25" customHeight="1" thickBot="1">
      <c r="A68" s="207" t="s">
        <v>773</v>
      </c>
      <c r="B68" s="208" t="s">
        <v>2256</v>
      </c>
      <c r="C68" s="209">
        <f ca="1">IF(C67&lt;=0,0,ROUND(C67*D68,0))</f>
        <v>1800</v>
      </c>
      <c r="D68" s="210">
        <f>'数据-取费表'!B41</f>
        <v>5.5000000000000007E-2</v>
      </c>
      <c r="E68" s="211"/>
      <c r="F68" s="2486"/>
      <c r="G68" s="2486"/>
      <c r="H68" s="2494"/>
      <c r="I68" s="137"/>
      <c r="J68" s="3562"/>
      <c r="K68" s="2496" t="s">
        <v>2257</v>
      </c>
      <c r="L68" s="1745">
        <f ca="1">IF(M49&gt;10000,M49*0.5%,IF(AND(M49&gt;5000,M49&lt;=10000),M49*1%,IF(AND(M49&gt;1000,M49&lt;=5000),M49*2%,IF(AND(M49&gt;200,M49&lt;=1000),M49*3%,M49*5%))))</f>
        <v>171.8</v>
      </c>
      <c r="M68" s="24">
        <f ca="1">ROUND(L68,1)</f>
        <v>171.8</v>
      </c>
      <c r="Z68" s="2420"/>
      <c r="AI68" s="2421"/>
    </row>
    <row r="69" spans="1:35" s="2443" customFormat="1" ht="16.5" customHeight="1">
      <c r="A69" s="2497"/>
      <c r="B69" s="2498"/>
      <c r="C69" s="2499"/>
      <c r="D69" s="2500"/>
      <c r="E69" s="2501"/>
      <c r="F69" s="2163"/>
      <c r="G69" s="2163"/>
      <c r="H69" s="2162"/>
      <c r="I69" s="2415"/>
      <c r="J69" s="3562"/>
      <c r="K69" s="2496" t="s">
        <v>2258</v>
      </c>
      <c r="L69" s="2502"/>
      <c r="M69" s="24">
        <f ca="1">ROUND(SUM(M63:M68),0)</f>
        <v>560</v>
      </c>
      <c r="N69" s="1746">
        <f ca="1">M69/M49</f>
        <v>1.6298020954598369E-2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06" t="s">
        <v>2259</v>
      </c>
      <c r="B70" s="3607"/>
      <c r="C70" s="3607"/>
      <c r="D70" s="3607"/>
      <c r="E70" s="3607"/>
      <c r="F70" s="3607"/>
      <c r="G70" s="3607"/>
      <c r="H70" s="360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97" t="s">
        <v>2240</v>
      </c>
      <c r="B71" s="3598"/>
      <c r="C71" s="1797"/>
      <c r="D71" s="1797"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32724</v>
      </c>
      <c r="D72" s="199" t="s">
        <v>32</v>
      </c>
      <c r="E72" s="1796"/>
      <c r="F72" s="1790"/>
      <c r="G72" s="1790"/>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164</v>
      </c>
      <c r="D73" s="199" t="s">
        <v>32</v>
      </c>
      <c r="E73" s="1796"/>
      <c r="F73" s="1790"/>
      <c r="G73" s="1790"/>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1796"/>
      <c r="F74" s="1790"/>
      <c r="G74" s="1790"/>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603" t="s">
        <v>2268</v>
      </c>
      <c r="F76" s="3602"/>
      <c r="G76" s="3602"/>
      <c r="H76" s="360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10" t="s">
        <v>2271</v>
      </c>
      <c r="H77" s="180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164</v>
      </c>
      <c r="D78" s="225">
        <f>'数据-取费表'!B43</f>
        <v>5.000000000000001E-3</v>
      </c>
      <c r="E78" s="3594" t="s">
        <v>2273</v>
      </c>
      <c r="F78" s="3595"/>
      <c r="G78" s="3595"/>
      <c r="H78" s="359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32560</v>
      </c>
      <c r="D79" s="199" t="s">
        <v>32</v>
      </c>
      <c r="E79" s="1796"/>
      <c r="F79" s="1790"/>
      <c r="G79" s="1790"/>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198.53658536585365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19479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06" t="s">
        <v>2277</v>
      </c>
      <c r="B83" s="3607"/>
      <c r="C83" s="3607"/>
      <c r="D83" s="3607"/>
      <c r="E83" s="3607"/>
      <c r="F83" s="3607"/>
      <c r="G83" s="3607"/>
      <c r="H83" s="360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97" t="s">
        <v>2240</v>
      </c>
      <c r="B84" s="3598"/>
      <c r="C84" s="1797"/>
      <c r="D84" s="1797"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32724</v>
      </c>
      <c r="D85" s="199" t="s">
        <v>32</v>
      </c>
      <c r="E85" s="1796"/>
      <c r="F85" s="1790"/>
      <c r="G85" s="1790"/>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164</v>
      </c>
      <c r="D86" s="234"/>
      <c r="E86" s="1796"/>
      <c r="F86" s="1790"/>
      <c r="G86" s="1790"/>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1792"/>
      <c r="F87" s="1793"/>
      <c r="G87" s="1793"/>
      <c r="H87" s="179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1793"/>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1793"/>
      <c r="G89" s="1793"/>
      <c r="H89" s="179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1793"/>
      <c r="G90" s="1793"/>
      <c r="H90" s="179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94" t="s">
        <v>2286</v>
      </c>
      <c r="F91" s="3595"/>
      <c r="G91" s="3595"/>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94" t="s">
        <v>2290</v>
      </c>
      <c r="F92" s="3595"/>
      <c r="G92" s="3595"/>
      <c r="H92" s="359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164</v>
      </c>
      <c r="D93" s="225">
        <f>'数据-取费表'!B43</f>
        <v>5.000000000000001E-3</v>
      </c>
      <c r="E93" s="3594" t="s">
        <v>2273</v>
      </c>
      <c r="F93" s="3595"/>
      <c r="G93" s="3595"/>
      <c r="H93" s="359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642" t="s">
        <v>2294</v>
      </c>
      <c r="F94" s="3643"/>
      <c r="G94" s="3643"/>
      <c r="H94" s="364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32560</v>
      </c>
      <c r="D95" s="199" t="s">
        <v>32</v>
      </c>
      <c r="E95" s="1796"/>
      <c r="F95" s="1790"/>
      <c r="G95" s="1790"/>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198.53658536585365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19479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46" t="s">
        <v>2296</v>
      </c>
      <c r="B100" s="3547"/>
      <c r="C100" s="3547"/>
      <c r="D100" s="3578"/>
      <c r="E100" s="3547" t="s">
        <v>2297</v>
      </c>
      <c r="F100" s="3547"/>
      <c r="G100" s="3547"/>
      <c r="H100" s="3578"/>
      <c r="I100" s="137"/>
    </row>
    <row r="101" spans="1:35" ht="18.75" customHeight="1">
      <c r="A101" s="3586" t="s">
        <v>2298</v>
      </c>
      <c r="B101" s="3587"/>
      <c r="C101" s="732" t="str">
        <f>C4</f>
        <v>比较法-住宅</v>
      </c>
      <c r="D101" s="733" t="str">
        <f>D4</f>
        <v>成本法</v>
      </c>
      <c r="E101" s="3558" t="s">
        <v>2299</v>
      </c>
      <c r="F101" s="3559"/>
      <c r="G101" s="2517" t="s">
        <v>2300</v>
      </c>
      <c r="H101" s="1041">
        <f ca="1">H118</f>
        <v>34360</v>
      </c>
      <c r="I101" s="137"/>
    </row>
    <row r="102" spans="1:35" ht="18.75" customHeight="1">
      <c r="A102" s="3588" t="s">
        <v>2301</v>
      </c>
      <c r="B102" s="2517" t="s">
        <v>2300</v>
      </c>
      <c r="C102" s="732">
        <f ca="1">C19</f>
        <v>39765</v>
      </c>
      <c r="D102" s="733">
        <f ca="1">D19</f>
        <v>21749</v>
      </c>
      <c r="E102" s="3558"/>
      <c r="F102" s="3559"/>
      <c r="G102" s="2517" t="s">
        <v>2302</v>
      </c>
      <c r="H102" s="370">
        <f ca="1">I118</f>
        <v>64739</v>
      </c>
      <c r="I102" s="137"/>
    </row>
    <row r="103" spans="1:35" ht="42.75" customHeight="1">
      <c r="A103" s="3588"/>
      <c r="B103" s="2517" t="s">
        <v>2302</v>
      </c>
      <c r="C103" s="734">
        <f ca="1">C20</f>
        <v>74922</v>
      </c>
      <c r="D103" s="735">
        <f ca="1">D20</f>
        <v>40978</v>
      </c>
      <c r="E103" s="3552" t="s">
        <v>2303</v>
      </c>
      <c r="F103" s="3553"/>
      <c r="G103" s="2518" t="s">
        <v>2304</v>
      </c>
      <c r="H103" s="1041">
        <f>IF(D36="正常操作",H104+H105+H106,H105+H106)</f>
        <v>0</v>
      </c>
      <c r="I103" s="137"/>
    </row>
    <row r="104" spans="1:35" ht="18.75" customHeight="1">
      <c r="A104" s="3588" t="s">
        <v>2305</v>
      </c>
      <c r="B104" s="2519" t="s">
        <v>2300</v>
      </c>
      <c r="C104" s="736">
        <f ca="1">H118</f>
        <v>34360</v>
      </c>
      <c r="D104" s="737"/>
      <c r="E104" s="2263" t="s">
        <v>2306</v>
      </c>
      <c r="F104" s="2255"/>
      <c r="G104" s="2518" t="s">
        <v>2304</v>
      </c>
      <c r="H104" s="1042">
        <f>IF(D36="同一抵押权人同一抵押物续贷",C36&amp;"（未扣减，详见特别提示）",C36)</f>
        <v>0</v>
      </c>
      <c r="I104" s="137"/>
    </row>
    <row r="105" spans="1:35" ht="18.75" customHeight="1" thickBot="1">
      <c r="A105" s="3600"/>
      <c r="B105" s="2520" t="s">
        <v>2302</v>
      </c>
      <c r="C105" s="738">
        <f ca="1">I118</f>
        <v>64739</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89" t="str">
        <f>IF(项目基本情况!E8="已注销","——","3.房地产抵押价值")</f>
        <v>3.房地产抵押价值</v>
      </c>
      <c r="F107" s="3559"/>
      <c r="G107" s="2517" t="s">
        <v>2300</v>
      </c>
      <c r="H107" s="1041">
        <f ca="1">IF(E107="——","——",H101-H103)</f>
        <v>34360</v>
      </c>
      <c r="I107" s="137"/>
    </row>
    <row r="108" spans="1:35" ht="18.75" customHeight="1">
      <c r="A108" s="137"/>
      <c r="B108" s="137"/>
      <c r="C108" s="137"/>
      <c r="D108" s="137"/>
      <c r="E108" s="3589"/>
      <c r="F108" s="3559"/>
      <c r="G108" s="2517" t="s">
        <v>2302</v>
      </c>
      <c r="H108" s="370">
        <f ca="1">ROUND(H107*10000/'数据-汇总表'!E3,0)</f>
        <v>57615</v>
      </c>
      <c r="I108" s="137"/>
    </row>
    <row r="109" spans="1:35" ht="18.75" customHeight="1">
      <c r="A109" s="137"/>
      <c r="B109" s="137"/>
      <c r="C109" s="137"/>
      <c r="D109" s="137"/>
      <c r="E109" s="3589" t="str">
        <f>IF(项目基本情况!E8="已注销及未注销","4.抵押担保权已注销时的房地产抵押价值",IF(项目基本情况!E8="已注销","3.抵押担保权已注销时的房地产抵押价值","——"))</f>
        <v>——</v>
      </c>
      <c r="F109" s="3559"/>
      <c r="G109" s="2517" t="s">
        <v>2300</v>
      </c>
      <c r="H109" s="347" t="str">
        <f>IF(E109="——","——",H101-H105-H106)</f>
        <v>——</v>
      </c>
      <c r="I109" s="137"/>
    </row>
    <row r="110" spans="1:35" ht="18.75" customHeight="1">
      <c r="A110" s="137"/>
      <c r="B110" s="137"/>
      <c r="C110" s="137"/>
      <c r="D110" s="137"/>
      <c r="E110" s="3589"/>
      <c r="F110" s="3559"/>
      <c r="G110" s="2517" t="s">
        <v>2302</v>
      </c>
      <c r="H110" s="370" t="str">
        <f>IF(H109="——","——",ROUND(H109*10000/'数据-汇总表'!E3,0))</f>
        <v>——</v>
      </c>
      <c r="I110" s="137"/>
    </row>
    <row r="111" spans="1:35" ht="18.75" customHeight="1">
      <c r="A111" s="137"/>
      <c r="B111" s="137"/>
      <c r="C111" s="137"/>
      <c r="D111" s="137"/>
      <c r="E111" s="3590" t="str">
        <f>IF(项目基本情况!E9="抵押净值",IF(OR(项目基本情况!E8="已注销",项目基本情况!E8="房地产抵押价值"),"4.抵押净值","5.抵押净值"),"——")</f>
        <v>——</v>
      </c>
      <c r="F111" s="3591"/>
      <c r="G111" s="2517" t="s">
        <v>2300</v>
      </c>
      <c r="H111" s="1041" t="str">
        <f>IF(E111="——","——",N59)</f>
        <v>——</v>
      </c>
      <c r="I111" s="137"/>
    </row>
    <row r="112" spans="1:35" ht="18.75" customHeight="1" thickBot="1">
      <c r="A112" s="137"/>
      <c r="B112" s="137"/>
      <c r="C112" s="137"/>
      <c r="D112" s="137"/>
      <c r="E112" s="3592"/>
      <c r="F112" s="3593"/>
      <c r="G112" s="2522" t="s">
        <v>2302</v>
      </c>
      <c r="H112" s="786" t="str">
        <f>IF(E111="——","——",N61)</f>
        <v>——</v>
      </c>
      <c r="I112" s="137"/>
    </row>
    <row r="113" spans="1:11" ht="18.75" customHeight="1">
      <c r="A113" s="137"/>
      <c r="B113" s="137"/>
      <c r="C113" s="137"/>
      <c r="D113" s="137"/>
      <c r="E113" s="3601" t="s">
        <v>2308</v>
      </c>
      <c r="F113" s="3601"/>
      <c r="G113" s="3601"/>
      <c r="H113" s="3601"/>
      <c r="I113" s="137"/>
    </row>
    <row r="114" spans="1:11" ht="3.75" customHeight="1">
      <c r="A114" s="2415"/>
      <c r="B114" s="2415"/>
      <c r="C114" s="2415"/>
      <c r="D114" s="2415"/>
      <c r="E114" s="2493"/>
      <c r="F114" s="2493"/>
      <c r="G114" s="2493"/>
      <c r="H114" s="2493"/>
      <c r="I114" s="2415"/>
    </row>
    <row r="115" spans="1:11" ht="18.75" customHeight="1">
      <c r="A115" s="3614" t="s">
        <v>2310</v>
      </c>
      <c r="B115" s="3615"/>
      <c r="C115" s="3615"/>
      <c r="D115" s="3615"/>
      <c r="E115" s="3615"/>
      <c r="F115" s="3615"/>
      <c r="G115" s="3615"/>
      <c r="H115" s="3615"/>
      <c r="I115" s="3616"/>
    </row>
    <row r="116" spans="1:11" ht="27" customHeight="1">
      <c r="A116" s="3525" t="s">
        <v>2311</v>
      </c>
      <c r="B116" s="3568" t="s">
        <v>2312</v>
      </c>
      <c r="C116" s="3568" t="s">
        <v>2313</v>
      </c>
      <c r="D116" s="3574" t="s">
        <v>2314</v>
      </c>
      <c r="E116" s="3575"/>
      <c r="F116" s="3610" t="s">
        <v>2315</v>
      </c>
      <c r="G116" s="3610"/>
      <c r="H116" s="3525" t="s">
        <v>2316</v>
      </c>
      <c r="I116" s="3525"/>
    </row>
    <row r="117" spans="1:11" ht="18.75" customHeight="1">
      <c r="A117" s="3525"/>
      <c r="B117" s="3569"/>
      <c r="C117" s="3569"/>
      <c r="D117" s="1791" t="s">
        <v>2317</v>
      </c>
      <c r="E117" s="1791" t="s">
        <v>2318</v>
      </c>
      <c r="F117" s="1791" t="s">
        <v>2317</v>
      </c>
      <c r="G117" s="1791" t="s">
        <v>2319</v>
      </c>
      <c r="H117" s="1791" t="s">
        <v>2317</v>
      </c>
      <c r="I117" s="1791" t="s">
        <v>2319</v>
      </c>
    </row>
    <row r="118" spans="1:11" ht="24.75" customHeight="1">
      <c r="A118" s="2523" t="str">
        <f>项目基本情况!S2</f>
        <v>北京市房地产</v>
      </c>
      <c r="B118" s="1791">
        <f>M18</f>
        <v>5307.46</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34360</v>
      </c>
      <c r="I118" s="1791">
        <f ca="1">ROUND(IF(D32="楼面单价",C32,H118*10000/B118),0)</f>
        <v>64739</v>
      </c>
    </row>
    <row r="119" spans="1:11" ht="18.75" customHeight="1">
      <c r="A119" s="3525" t="s">
        <v>2320</v>
      </c>
      <c r="B119" s="3525"/>
      <c r="C119" s="3525"/>
      <c r="D119" s="3570" t="e">
        <f ca="1">NUMBERSTRING(INT(D118*10000),2)&amp;"元整"</f>
        <v>#REF!</v>
      </c>
      <c r="E119" s="3571"/>
      <c r="F119" s="3570" t="e">
        <f ca="1">NUMBERSTRING(INT(F118*10000),2)&amp;"元整"</f>
        <v>#REF!</v>
      </c>
      <c r="G119" s="3571"/>
      <c r="H119" s="3570" t="str">
        <f ca="1">NUMBERSTRING(INT(H118*10000),2)&amp;"元整"</f>
        <v>叁亿肆仟叁佰陆拾万元整</v>
      </c>
      <c r="I119" s="3571"/>
    </row>
    <row r="120" spans="1:11" ht="18.75" customHeight="1">
      <c r="A120" s="3565" t="str">
        <f>IF(项目基本情况!B9="房地产市场价值","",MID(E103,3,LEN(E103)-2))</f>
        <v>估价师知悉的法定优先受偿款</v>
      </c>
      <c r="B120" s="3566"/>
      <c r="C120" s="3567"/>
      <c r="D120" s="3565">
        <f>H103</f>
        <v>0</v>
      </c>
      <c r="E120" s="3566"/>
      <c r="F120" s="3566"/>
      <c r="G120" s="3566"/>
      <c r="H120" s="3566"/>
      <c r="I120" s="3567"/>
      <c r="K120" s="2420" t="str">
        <f>IF(D120=0,"故，本次评估不存在"&amp;A120,"故，本次评估"&amp;A120&amp;"为人民币"&amp;D120&amp;"万元整。")</f>
        <v>故，本次评估不存在估价师知悉的法定优先受偿款</v>
      </c>
    </row>
    <row r="121" spans="1:11" ht="18.75" customHeight="1">
      <c r="A121" s="3611" t="s">
        <v>2320</v>
      </c>
      <c r="B121" s="3612"/>
      <c r="C121" s="3613"/>
      <c r="D121" s="3570" t="str">
        <f>IF(D120=0,"零元整",NUMBERSTRING(INT(D120*10000),2)&amp;"元整")</f>
        <v>零元整</v>
      </c>
      <c r="E121" s="3572"/>
      <c r="F121" s="3572"/>
      <c r="G121" s="3572"/>
      <c r="H121" s="3572"/>
      <c r="I121" s="3571"/>
    </row>
    <row r="122" spans="1:11" ht="18.75" customHeight="1">
      <c r="A122" s="3576" t="str">
        <f>IF(项目基本情况!B9="房地产市场价值","",MID(E107,3,LEN(E107)-2))</f>
        <v>房地产抵押价值</v>
      </c>
      <c r="B122" s="3576"/>
      <c r="C122" s="3576"/>
      <c r="D122" s="3565">
        <f ca="1">H107</f>
        <v>34360</v>
      </c>
      <c r="E122" s="3566"/>
      <c r="F122" s="3566"/>
      <c r="G122" s="3566"/>
      <c r="H122" s="3566"/>
      <c r="I122" s="3567"/>
    </row>
    <row r="123" spans="1:11" ht="18.75" customHeight="1">
      <c r="A123" s="3525" t="s">
        <v>2320</v>
      </c>
      <c r="B123" s="3525"/>
      <c r="C123" s="3525"/>
      <c r="D123" s="3570" t="str">
        <f ca="1">NUMBERSTRING(INT(D122*10000),2)&amp;"元整"</f>
        <v>叁亿肆仟叁佰陆拾万元整</v>
      </c>
      <c r="E123" s="3572"/>
      <c r="F123" s="3572"/>
      <c r="G123" s="3572"/>
      <c r="H123" s="3572"/>
      <c r="I123" s="3571"/>
    </row>
    <row r="124" spans="1:11" ht="18.75" customHeight="1">
      <c r="A124" s="3576" t="str">
        <f>IF(项目基本情况!B9="房地产市场价值","",MID(E109,3,LEN(E109)-2))</f>
        <v/>
      </c>
      <c r="B124" s="3576"/>
      <c r="C124" s="3576"/>
      <c r="D124" s="3565" t="str">
        <f>H109</f>
        <v>——</v>
      </c>
      <c r="E124" s="3566"/>
      <c r="F124" s="3566"/>
      <c r="G124" s="3566"/>
      <c r="H124" s="3566"/>
      <c r="I124" s="3567"/>
    </row>
    <row r="125" spans="1:11" ht="18.75" customHeight="1">
      <c r="A125" s="3525" t="s">
        <v>2320</v>
      </c>
      <c r="B125" s="3525"/>
      <c r="C125" s="3525"/>
      <c r="D125" s="3570" t="e">
        <f>NUMBERSTRING(INT(D124*10000),2)&amp;"元整"</f>
        <v>#VALUE!</v>
      </c>
      <c r="E125" s="3572"/>
      <c r="F125" s="3572"/>
      <c r="G125" s="3572"/>
      <c r="H125" s="3572"/>
      <c r="I125" s="3571"/>
    </row>
    <row r="126" spans="1:11" ht="18.75" customHeight="1">
      <c r="A126" s="3576" t="str">
        <f>IF(项目基本情况!B9="房地产市场价值","",MID(E111,3,LEN(E111)-2))</f>
        <v/>
      </c>
      <c r="B126" s="3576"/>
      <c r="C126" s="3576"/>
      <c r="D126" s="3565" t="str">
        <f>H111</f>
        <v>——</v>
      </c>
      <c r="E126" s="3566"/>
      <c r="F126" s="3566"/>
      <c r="G126" s="3566"/>
      <c r="H126" s="3566"/>
      <c r="I126" s="3567"/>
    </row>
    <row r="127" spans="1:11" ht="18.75" customHeight="1">
      <c r="A127" s="3525" t="s">
        <v>2320</v>
      </c>
      <c r="B127" s="3525"/>
      <c r="C127" s="3525"/>
      <c r="D127" s="3570" t="e">
        <f>NUMBERSTRING(INT(D126*10000),2)&amp;"元整"</f>
        <v>#VALUE!</v>
      </c>
      <c r="E127" s="3572"/>
      <c r="F127" s="3572"/>
      <c r="G127" s="3572"/>
      <c r="H127" s="3572"/>
      <c r="I127" s="3571"/>
    </row>
    <row r="128" spans="1:11" ht="21.75" customHeight="1">
      <c r="A128" s="3573" t="s">
        <v>2321</v>
      </c>
      <c r="B128" s="3573"/>
      <c r="C128" s="3573"/>
      <c r="D128" s="3573"/>
      <c r="E128" s="3573"/>
      <c r="F128" s="3573"/>
      <c r="G128" s="3573"/>
      <c r="H128" s="3573"/>
      <c r="I128" s="3573"/>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J50" sqref="J5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2532</v>
      </c>
      <c r="C1" s="1630" t="s">
        <v>2533</v>
      </c>
      <c r="D1" s="1617" t="s">
        <v>3064</v>
      </c>
      <c r="E1" s="2582"/>
      <c r="F1" s="2583" t="s">
        <v>2534</v>
      </c>
      <c r="G1" s="1627" t="s">
        <v>2535</v>
      </c>
      <c r="H1" s="1626"/>
      <c r="I1" s="1626"/>
      <c r="J1" s="1626"/>
      <c r="K1" s="1628"/>
      <c r="L1" s="1629"/>
      <c r="M1" s="1630"/>
      <c r="N1" s="1630"/>
      <c r="O1" s="1630"/>
      <c r="P1" s="2584"/>
      <c r="Q1" s="1616"/>
      <c r="R1" s="1616"/>
      <c r="S1" s="1616"/>
      <c r="T1" s="1616"/>
      <c r="U1" s="1616"/>
      <c r="V1" s="1616"/>
      <c r="W1" s="1616"/>
      <c r="X1" s="1616"/>
      <c r="Y1" s="1616"/>
      <c r="Z1" s="1616"/>
      <c r="AA1" s="1616"/>
      <c r="AB1" s="1616"/>
      <c r="AC1" s="1624"/>
    </row>
    <row r="2" spans="1:29" s="392" customFormat="1" ht="28.5" customHeight="1" thickTop="1">
      <c r="A2" s="1613" t="s">
        <v>1393</v>
      </c>
      <c r="B2" s="1414">
        <f>IF(C2="——",ROUND(C49*D3/10000,0),ROUND(C49*D3/10000,0)-D2)</f>
        <v>39765</v>
      </c>
      <c r="C2" s="2585" t="s">
        <v>70</v>
      </c>
      <c r="D2" s="1361" t="e">
        <f ca="1">SUMIF(INDIRECT("'"&amp;F2&amp;"'"&amp;"!A:A"),"承租人权益价值",INDIRECT("'"&amp;F2&amp;"'"&amp;"!c:c"))</f>
        <v>#REF!</v>
      </c>
      <c r="E2" s="2586" t="s">
        <v>2536</v>
      </c>
      <c r="F2" s="2587"/>
      <c r="G2" s="1120"/>
      <c r="H2" s="1120"/>
      <c r="I2" s="1120"/>
      <c r="J2" s="1120"/>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1394</v>
      </c>
      <c r="B3" s="398">
        <f>IF(C2="——",C49,ROUND(B2*10000/D3,0))</f>
        <v>74922</v>
      </c>
      <c r="C3" s="399" t="s">
        <v>2537</v>
      </c>
      <c r="D3" s="398">
        <f>IF(D1="",'数据-汇总表'!E3,SUMIF('数据-汇总表'!$C19:$C33,D1,'数据-汇总表'!$E19:$E33))</f>
        <v>5307.46</v>
      </c>
      <c r="E3" s="1120"/>
      <c r="F3" s="2594"/>
      <c r="G3" s="1120"/>
      <c r="H3" s="1120"/>
      <c r="I3" s="1120"/>
      <c r="J3" s="1120"/>
      <c r="K3" s="2588"/>
      <c r="L3" s="2589"/>
      <c r="M3" s="2590"/>
      <c r="N3" s="2590"/>
      <c r="O3" s="2590"/>
      <c r="P3" s="2591"/>
      <c r="Q3" s="2592"/>
      <c r="R3" s="2592"/>
      <c r="S3" s="2592"/>
      <c r="T3" s="2592"/>
      <c r="U3" s="2592"/>
      <c r="V3" s="2592"/>
      <c r="W3" s="2592"/>
      <c r="X3" s="2592"/>
      <c r="Y3" s="2592"/>
      <c r="Z3" s="2592"/>
      <c r="AA3" s="2592"/>
      <c r="AB3" s="2592"/>
      <c r="AC3" s="1278"/>
    </row>
    <row r="4" spans="1:29" ht="15">
      <c r="A4" s="400" t="s">
        <v>2538</v>
      </c>
      <c r="B4" s="401"/>
      <c r="C4" s="3665" t="s">
        <v>2539</v>
      </c>
      <c r="D4" s="3666"/>
      <c r="E4" s="3667" t="s">
        <v>2540</v>
      </c>
      <c r="F4" s="3668"/>
      <c r="G4" s="3665" t="s">
        <v>2541</v>
      </c>
      <c r="H4" s="3666"/>
      <c r="I4" s="3665" t="s">
        <v>2542</v>
      </c>
      <c r="J4" s="3666"/>
      <c r="K4" s="2595" t="s">
        <v>2543</v>
      </c>
      <c r="L4" s="1126"/>
      <c r="M4" s="1127"/>
      <c r="N4" s="1127"/>
      <c r="O4" s="1127"/>
      <c r="P4" s="3669" t="s">
        <v>2544</v>
      </c>
      <c r="Q4" s="3670"/>
      <c r="R4" s="3650" t="s">
        <v>2540</v>
      </c>
      <c r="S4" s="3651"/>
      <c r="T4" s="3650" t="s">
        <v>2541</v>
      </c>
      <c r="U4" s="3651"/>
      <c r="V4" s="3677" t="s">
        <v>2542</v>
      </c>
      <c r="W4" s="3677"/>
      <c r="X4" s="1809"/>
      <c r="Y4" s="3650" t="s">
        <v>2544</v>
      </c>
      <c r="Z4" s="3651"/>
      <c r="AA4" s="3645" t="s">
        <v>2540</v>
      </c>
      <c r="AB4" s="3645" t="s">
        <v>2541</v>
      </c>
      <c r="AC4" s="3645" t="s">
        <v>2542</v>
      </c>
    </row>
    <row r="5" spans="1:29" ht="15">
      <c r="A5" s="403"/>
      <c r="B5" s="404"/>
      <c r="C5" s="3656" t="s">
        <v>2545</v>
      </c>
      <c r="D5" s="3657"/>
      <c r="E5" s="3654" t="s">
        <v>3100</v>
      </c>
      <c r="F5" s="3655"/>
      <c r="G5" s="3660" t="s">
        <v>3101</v>
      </c>
      <c r="H5" s="3661"/>
      <c r="I5" s="3660" t="s">
        <v>3102</v>
      </c>
      <c r="J5" s="3661"/>
      <c r="K5" s="2596"/>
      <c r="L5" s="1126"/>
      <c r="M5" s="1127"/>
      <c r="N5" s="1127"/>
      <c r="O5" s="1127"/>
      <c r="P5" s="3671"/>
      <c r="Q5" s="3672"/>
      <c r="R5" s="3652"/>
      <c r="S5" s="3653"/>
      <c r="T5" s="3652"/>
      <c r="U5" s="3653"/>
      <c r="V5" s="3677"/>
      <c r="W5" s="3677"/>
      <c r="X5" s="1809"/>
      <c r="Y5" s="3652"/>
      <c r="Z5" s="3653"/>
      <c r="AA5" s="3646"/>
      <c r="AB5" s="3646"/>
      <c r="AC5" s="3646"/>
    </row>
    <row r="6" spans="1:29" ht="15.75" thickBot="1">
      <c r="A6" s="405"/>
      <c r="B6" s="406"/>
      <c r="C6" s="3658" t="s">
        <v>2549</v>
      </c>
      <c r="D6" s="3659"/>
      <c r="E6" s="3662" t="s">
        <v>2549</v>
      </c>
      <c r="F6" s="3663"/>
      <c r="G6" s="3658" t="s">
        <v>2549</v>
      </c>
      <c r="H6" s="3659"/>
      <c r="I6" s="3658" t="s">
        <v>2549</v>
      </c>
      <c r="J6" s="3659"/>
      <c r="K6" s="2596" t="s">
        <v>2550</v>
      </c>
      <c r="L6" s="1126"/>
      <c r="M6" s="1127"/>
      <c r="N6" s="1127"/>
      <c r="O6" s="1127"/>
      <c r="P6" s="3673"/>
      <c r="Q6" s="3674"/>
      <c r="R6" s="3652"/>
      <c r="S6" s="3653"/>
      <c r="T6" s="3675"/>
      <c r="U6" s="3676"/>
      <c r="V6" s="3677"/>
      <c r="W6" s="3677"/>
      <c r="X6" s="1809"/>
      <c r="Y6" s="3675"/>
      <c r="Z6" s="3676"/>
      <c r="AA6" s="3647"/>
      <c r="AB6" s="3647"/>
      <c r="AC6" s="3647"/>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7"/>
      <c r="L7" s="1128"/>
      <c r="M7" s="1129"/>
      <c r="N7" s="1129"/>
      <c r="O7" s="1129"/>
      <c r="P7" s="3648" t="s">
        <v>2552</v>
      </c>
      <c r="Q7" s="3678"/>
      <c r="R7" s="766" t="s">
        <v>23</v>
      </c>
      <c r="S7" s="767">
        <f t="shared" ref="S7:S15" si="0">F7</f>
        <v>100</v>
      </c>
      <c r="T7" s="766" t="s">
        <v>23</v>
      </c>
      <c r="U7" s="767">
        <f t="shared" ref="U7:U15" si="1">H7</f>
        <v>100</v>
      </c>
      <c r="V7" s="766" t="s">
        <v>23</v>
      </c>
      <c r="W7" s="767">
        <f t="shared" ref="W7:W15" si="2">J7</f>
        <v>100</v>
      </c>
      <c r="X7" s="768"/>
      <c r="Y7" s="3648" t="s">
        <v>2552</v>
      </c>
      <c r="Z7" s="3649"/>
      <c r="AA7" s="769">
        <f>D7/F7</f>
        <v>1</v>
      </c>
      <c r="AB7" s="769">
        <f>D7/H7</f>
        <v>1</v>
      </c>
      <c r="AC7" s="769">
        <f>D7/J7</f>
        <v>1</v>
      </c>
    </row>
    <row r="8" spans="1:29" s="116" customFormat="1" ht="15.75" thickBot="1">
      <c r="A8" s="407" t="s">
        <v>2553</v>
      </c>
      <c r="B8" s="408"/>
      <c r="C8" s="413" t="s">
        <v>2554</v>
      </c>
      <c r="D8" s="410">
        <v>100</v>
      </c>
      <c r="E8" s="2598" t="s">
        <v>3109</v>
      </c>
      <c r="F8" s="412">
        <f>SUMIF(61:61,E8,62:62)-SUMIF(61:61,C8,62:62)+100</f>
        <v>100</v>
      </c>
      <c r="G8" s="413" t="s">
        <v>3109</v>
      </c>
      <c r="H8" s="410">
        <f>SUMIF(61:61,G8,62:62)-SUMIF(61:61,C8,62:62)+100</f>
        <v>100</v>
      </c>
      <c r="I8" s="2598" t="s">
        <v>3109</v>
      </c>
      <c r="J8" s="410">
        <f>SUMIF(61:61,I8,62:62)-SUMIF(61:61,C8,62:62)+100</f>
        <v>100</v>
      </c>
      <c r="K8" s="2597"/>
      <c r="L8" s="1128"/>
      <c r="M8" s="1129"/>
      <c r="N8" s="1129"/>
      <c r="O8" s="1129"/>
      <c r="P8" s="3648" t="s">
        <v>2555</v>
      </c>
      <c r="Q8" s="3649"/>
      <c r="R8" s="766" t="s">
        <v>23</v>
      </c>
      <c r="S8" s="767">
        <f t="shared" si="0"/>
        <v>100</v>
      </c>
      <c r="T8" s="766" t="s">
        <v>23</v>
      </c>
      <c r="U8" s="767">
        <f t="shared" si="1"/>
        <v>100</v>
      </c>
      <c r="V8" s="766" t="s">
        <v>23</v>
      </c>
      <c r="W8" s="767">
        <f t="shared" si="2"/>
        <v>100</v>
      </c>
      <c r="X8" s="768"/>
      <c r="Y8" s="3648" t="s">
        <v>2555</v>
      </c>
      <c r="Z8" s="3649"/>
      <c r="AA8" s="769">
        <f t="shared" ref="AA8:AA19" si="3">D8/F8</f>
        <v>1</v>
      </c>
      <c r="AB8" s="769">
        <f t="shared" ref="AB8:AB19" si="4">D8/H8</f>
        <v>1</v>
      </c>
      <c r="AC8" s="769">
        <f t="shared" ref="AC8:AC19" si="5">D8/J8</f>
        <v>1</v>
      </c>
    </row>
    <row r="9" spans="1:29" s="116" customFormat="1">
      <c r="A9" s="414" t="s">
        <v>2556</v>
      </c>
      <c r="B9" s="71" t="s">
        <v>2557</v>
      </c>
      <c r="C9" s="3338" t="s">
        <v>3215</v>
      </c>
      <c r="D9" s="134">
        <v>100</v>
      </c>
      <c r="E9" s="3339" t="s">
        <v>3215</v>
      </c>
      <c r="F9" s="417">
        <f>SUMIF(63:63,E9,64:64)-SUMIF(63:63,C9,64:64)+100</f>
        <v>100</v>
      </c>
      <c r="G9" s="3340" t="s">
        <v>3215</v>
      </c>
      <c r="H9" s="134">
        <f>SUMIF(63:63,G9,64:64)-SUMIF(63:63,C9,64:64)+100</f>
        <v>100</v>
      </c>
      <c r="I9" s="3340" t="s">
        <v>3215</v>
      </c>
      <c r="J9" s="134">
        <f>SUMIF(63:63,I9,64:64)-SUMIF(63:63,C9,64:64)+100</f>
        <v>100</v>
      </c>
      <c r="K9" s="2597"/>
      <c r="L9" s="1128"/>
      <c r="M9" s="1129"/>
      <c r="N9" s="1129"/>
      <c r="O9" s="1129"/>
      <c r="P9" s="3664" t="s">
        <v>2558</v>
      </c>
      <c r="Q9" s="1791" t="str">
        <f t="shared" ref="Q9:Q15" si="6">B9</f>
        <v>用途</v>
      </c>
      <c r="R9" s="766" t="s">
        <v>17</v>
      </c>
      <c r="S9" s="767">
        <f t="shared" si="0"/>
        <v>100</v>
      </c>
      <c r="T9" s="766" t="s">
        <v>17</v>
      </c>
      <c r="U9" s="767">
        <f t="shared" si="1"/>
        <v>100</v>
      </c>
      <c r="V9" s="766" t="s">
        <v>17</v>
      </c>
      <c r="W9" s="767">
        <f t="shared" si="2"/>
        <v>100</v>
      </c>
      <c r="X9" s="768"/>
      <c r="Y9" s="3525" t="s">
        <v>2559</v>
      </c>
      <c r="Z9" s="55" t="str">
        <f t="shared" ref="Z9:Z15" si="7">Q9</f>
        <v>用途</v>
      </c>
      <c r="AA9" s="769">
        <f t="shared" si="3"/>
        <v>1</v>
      </c>
      <c r="AB9" s="769">
        <f t="shared" si="4"/>
        <v>1</v>
      </c>
      <c r="AC9" s="769">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1"/>
      <c r="M10" s="1132"/>
      <c r="N10" s="1132"/>
      <c r="O10" s="1132"/>
      <c r="P10" s="3664"/>
      <c r="Q10" s="1791" t="str">
        <f t="shared" si="6"/>
        <v>土地使用年限（年）</v>
      </c>
      <c r="R10" s="766" t="s">
        <v>17</v>
      </c>
      <c r="S10" s="767">
        <f t="shared" si="0"/>
        <v>100</v>
      </c>
      <c r="T10" s="766" t="s">
        <v>17</v>
      </c>
      <c r="U10" s="767">
        <f t="shared" si="1"/>
        <v>100</v>
      </c>
      <c r="V10" s="766" t="s">
        <v>17</v>
      </c>
      <c r="W10" s="767">
        <f t="shared" si="2"/>
        <v>100</v>
      </c>
      <c r="X10" s="768"/>
      <c r="Y10" s="3525"/>
      <c r="Z10" s="55" t="str">
        <f t="shared" si="7"/>
        <v>土地使用年限（年）</v>
      </c>
      <c r="AA10" s="769">
        <f t="shared" si="3"/>
        <v>1</v>
      </c>
      <c r="AB10" s="769">
        <f t="shared" si="4"/>
        <v>1</v>
      </c>
      <c r="AC10" s="769">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4"/>
      <c r="M11" s="1127"/>
      <c r="N11" s="1127"/>
      <c r="O11" s="1127"/>
      <c r="P11" s="3664"/>
      <c r="Q11" s="1791" t="str">
        <f t="shared" si="6"/>
        <v>容积率</v>
      </c>
      <c r="R11" s="766" t="s">
        <v>21</v>
      </c>
      <c r="S11" s="767">
        <f t="shared" si="0"/>
        <v>100</v>
      </c>
      <c r="T11" s="766" t="s">
        <v>21</v>
      </c>
      <c r="U11" s="767">
        <f t="shared" si="1"/>
        <v>100</v>
      </c>
      <c r="V11" s="766" t="s">
        <v>21</v>
      </c>
      <c r="W11" s="767">
        <f t="shared" si="2"/>
        <v>100</v>
      </c>
      <c r="X11" s="768"/>
      <c r="Y11" s="3525"/>
      <c r="Z11" s="55" t="str">
        <f t="shared" si="7"/>
        <v>容积率</v>
      </c>
      <c r="AA11" s="769">
        <f t="shared" si="3"/>
        <v>1</v>
      </c>
      <c r="AB11" s="769">
        <f t="shared" si="4"/>
        <v>1</v>
      </c>
      <c r="AC11" s="769">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8"/>
      <c r="M12" s="1129"/>
      <c r="N12" s="1129"/>
      <c r="O12" s="1129"/>
      <c r="P12" s="3664"/>
      <c r="Q12" s="1791">
        <f t="shared" si="6"/>
        <v>111</v>
      </c>
      <c r="R12" s="766" t="s">
        <v>21</v>
      </c>
      <c r="S12" s="767">
        <f t="shared" si="0"/>
        <v>100</v>
      </c>
      <c r="T12" s="766" t="s">
        <v>21</v>
      </c>
      <c r="U12" s="767">
        <f t="shared" si="1"/>
        <v>100</v>
      </c>
      <c r="V12" s="766" t="s">
        <v>21</v>
      </c>
      <c r="W12" s="767">
        <f t="shared" si="2"/>
        <v>100</v>
      </c>
      <c r="X12" s="768"/>
      <c r="Y12" s="3525"/>
      <c r="Z12" s="55">
        <f t="shared" si="7"/>
        <v>111</v>
      </c>
      <c r="AA12" s="769">
        <f>D12/F12</f>
        <v>1</v>
      </c>
      <c r="AB12" s="769">
        <f>D12/H12</f>
        <v>1</v>
      </c>
      <c r="AC12" s="769">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6"/>
      <c r="M13" s="1127"/>
      <c r="N13" s="1127"/>
      <c r="O13" s="1127"/>
      <c r="P13" s="3664"/>
      <c r="Q13" s="1791">
        <f t="shared" si="6"/>
        <v>111</v>
      </c>
      <c r="R13" s="766" t="s">
        <v>21</v>
      </c>
      <c r="S13" s="767">
        <f t="shared" si="0"/>
        <v>100</v>
      </c>
      <c r="T13" s="766" t="s">
        <v>21</v>
      </c>
      <c r="U13" s="767">
        <f t="shared" si="1"/>
        <v>100</v>
      </c>
      <c r="V13" s="766" t="s">
        <v>21</v>
      </c>
      <c r="W13" s="767">
        <f t="shared" si="2"/>
        <v>100</v>
      </c>
      <c r="X13" s="768"/>
      <c r="Y13" s="3525"/>
      <c r="Z13" s="55">
        <f t="shared" si="7"/>
        <v>111</v>
      </c>
      <c r="AA13" s="769">
        <f t="shared" si="3"/>
        <v>1</v>
      </c>
      <c r="AB13" s="769">
        <f t="shared" si="4"/>
        <v>1</v>
      </c>
      <c r="AC13" s="769">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6"/>
      <c r="M14" s="1127"/>
      <c r="N14" s="1127"/>
      <c r="O14" s="1127"/>
      <c r="P14" s="3664"/>
      <c r="Q14" s="1791">
        <f t="shared" si="6"/>
        <v>111</v>
      </c>
      <c r="R14" s="766" t="s">
        <v>21</v>
      </c>
      <c r="S14" s="767">
        <f t="shared" si="0"/>
        <v>100</v>
      </c>
      <c r="T14" s="766" t="s">
        <v>21</v>
      </c>
      <c r="U14" s="767">
        <f t="shared" si="1"/>
        <v>100</v>
      </c>
      <c r="V14" s="766" t="s">
        <v>21</v>
      </c>
      <c r="W14" s="767">
        <f t="shared" si="2"/>
        <v>100</v>
      </c>
      <c r="X14" s="768"/>
      <c r="Y14" s="3525"/>
      <c r="Z14" s="55">
        <f t="shared" si="7"/>
        <v>111</v>
      </c>
      <c r="AA14" s="769">
        <f t="shared" si="3"/>
        <v>1</v>
      </c>
      <c r="AB14" s="769">
        <f t="shared" si="4"/>
        <v>1</v>
      </c>
      <c r="AC14" s="769">
        <f t="shared" si="5"/>
        <v>1</v>
      </c>
    </row>
    <row r="15" spans="1:29" ht="99.75">
      <c r="A15" s="439" t="s">
        <v>2562</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6"/>
      <c r="M15" s="1127"/>
      <c r="N15" s="1127"/>
      <c r="O15" s="1127"/>
      <c r="P15" s="3691" t="s">
        <v>2563</v>
      </c>
      <c r="Q15" s="1806" t="str">
        <f t="shared" si="6"/>
        <v>居住社区成熟度</v>
      </c>
      <c r="R15" s="770" t="s">
        <v>21</v>
      </c>
      <c r="S15" s="771">
        <f t="shared" si="0"/>
        <v>98</v>
      </c>
      <c r="T15" s="770" t="s">
        <v>21</v>
      </c>
      <c r="U15" s="771">
        <f t="shared" si="1"/>
        <v>98</v>
      </c>
      <c r="V15" s="770" t="s">
        <v>21</v>
      </c>
      <c r="W15" s="771">
        <f t="shared" si="2"/>
        <v>98</v>
      </c>
      <c r="X15" s="1809"/>
      <c r="Y15" s="3684" t="s">
        <v>2563</v>
      </c>
      <c r="Z15" s="1810" t="str">
        <f t="shared" si="7"/>
        <v>居住社区成熟度</v>
      </c>
      <c r="AA15" s="1807">
        <f t="shared" si="3"/>
        <v>1.0204081632653061</v>
      </c>
      <c r="AB15" s="1807">
        <f t="shared" si="4"/>
        <v>1.0204081632653061</v>
      </c>
      <c r="AC15" s="1807">
        <f t="shared" si="5"/>
        <v>1.0204081632653061</v>
      </c>
    </row>
    <row r="16" spans="1:29" ht="15">
      <c r="A16" s="427"/>
      <c r="B16" s="445"/>
      <c r="C16" s="446" t="s">
        <v>3133</v>
      </c>
      <c r="D16" s="447"/>
      <c r="E16" s="2603" t="s">
        <v>3116</v>
      </c>
      <c r="F16" s="447"/>
      <c r="G16" s="2604" t="s">
        <v>3116</v>
      </c>
      <c r="H16" s="449"/>
      <c r="I16" s="2604" t="s">
        <v>3116</v>
      </c>
      <c r="J16" s="447"/>
      <c r="K16" s="2605"/>
      <c r="L16" s="1136"/>
      <c r="M16" s="1127"/>
      <c r="N16" s="1127"/>
      <c r="O16" s="1127"/>
      <c r="P16" s="3692"/>
      <c r="Q16" s="1806"/>
      <c r="R16" s="770"/>
      <c r="S16" s="771"/>
      <c r="T16" s="770"/>
      <c r="U16" s="771"/>
      <c r="V16" s="770"/>
      <c r="W16" s="771"/>
      <c r="X16" s="1809"/>
      <c r="Y16" s="3685"/>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6"/>
      <c r="M17" s="1127"/>
      <c r="N17" s="1127"/>
      <c r="O17" s="1127"/>
      <c r="P17" s="3692"/>
      <c r="Q17" s="1806" t="str">
        <f>B17</f>
        <v>交通便捷度</v>
      </c>
      <c r="R17" s="770" t="s">
        <v>21</v>
      </c>
      <c r="S17" s="771">
        <f>F17</f>
        <v>96</v>
      </c>
      <c r="T17" s="770" t="s">
        <v>21</v>
      </c>
      <c r="U17" s="771">
        <f>H17</f>
        <v>96</v>
      </c>
      <c r="V17" s="770" t="s">
        <v>21</v>
      </c>
      <c r="W17" s="771">
        <f>J17</f>
        <v>96</v>
      </c>
      <c r="X17" s="1809"/>
      <c r="Y17" s="3685"/>
      <c r="Z17" s="1810" t="str">
        <f>Q17</f>
        <v>交通便捷度</v>
      </c>
      <c r="AA17" s="1807">
        <f t="shared" si="3"/>
        <v>1.0416666666666667</v>
      </c>
      <c r="AB17" s="1807">
        <f t="shared" si="4"/>
        <v>1.0416666666666667</v>
      </c>
      <c r="AC17" s="1807">
        <f t="shared" si="5"/>
        <v>1.0416666666666667</v>
      </c>
    </row>
    <row r="18" spans="1:29" ht="15">
      <c r="A18" s="427"/>
      <c r="B18" s="455"/>
      <c r="C18" s="2607" t="s">
        <v>3133</v>
      </c>
      <c r="D18" s="449"/>
      <c r="E18" s="2608" t="s">
        <v>3116</v>
      </c>
      <c r="F18" s="449"/>
      <c r="G18" s="2609" t="s">
        <v>3116</v>
      </c>
      <c r="H18" s="447"/>
      <c r="I18" s="2609" t="s">
        <v>3116</v>
      </c>
      <c r="J18" s="447"/>
      <c r="K18" s="2605"/>
      <c r="L18" s="1136"/>
      <c r="M18" s="1127"/>
      <c r="N18" s="1127"/>
      <c r="O18" s="1127"/>
      <c r="P18" s="3692"/>
      <c r="Q18" s="1806"/>
      <c r="R18" s="770"/>
      <c r="S18" s="771"/>
      <c r="T18" s="770"/>
      <c r="U18" s="771"/>
      <c r="V18" s="770"/>
      <c r="W18" s="771"/>
      <c r="X18" s="1809"/>
      <c r="Y18" s="3685"/>
      <c r="Z18" s="1810"/>
      <c r="AA18" s="1807">
        <v>1</v>
      </c>
      <c r="AB18" s="1807">
        <v>1</v>
      </c>
      <c r="AC18" s="1807">
        <v>1</v>
      </c>
    </row>
    <row r="19" spans="1:29" ht="42.75">
      <c r="A19" s="427"/>
      <c r="B19" s="450" t="s">
        <v>2097</v>
      </c>
      <c r="C19" s="2606"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692"/>
      <c r="Q19" s="1806" t="str">
        <f>B19</f>
        <v>公共配套设施</v>
      </c>
      <c r="R19" s="770" t="s">
        <v>21</v>
      </c>
      <c r="S19" s="771">
        <f>F19</f>
        <v>98</v>
      </c>
      <c r="T19" s="770" t="s">
        <v>21</v>
      </c>
      <c r="U19" s="771">
        <f>H19</f>
        <v>100</v>
      </c>
      <c r="V19" s="770" t="s">
        <v>21</v>
      </c>
      <c r="W19" s="771">
        <f>J19</f>
        <v>100</v>
      </c>
      <c r="X19" s="1809"/>
      <c r="Y19" s="3685"/>
      <c r="Z19" s="1810" t="str">
        <f>Q19</f>
        <v>公共配套设施</v>
      </c>
      <c r="AA19" s="1807">
        <f t="shared" si="3"/>
        <v>1.0204081632653061</v>
      </c>
      <c r="AB19" s="1807">
        <f t="shared" si="4"/>
        <v>1</v>
      </c>
      <c r="AC19" s="1807">
        <f t="shared" si="5"/>
        <v>1</v>
      </c>
    </row>
    <row r="20" spans="1:29" ht="15">
      <c r="A20" s="427"/>
      <c r="B20" s="455"/>
      <c r="C20" s="446" t="s">
        <v>3133</v>
      </c>
      <c r="D20" s="447"/>
      <c r="E20" s="2603" t="s">
        <v>3116</v>
      </c>
      <c r="F20" s="447"/>
      <c r="G20" s="2604" t="s">
        <v>3133</v>
      </c>
      <c r="H20" s="447"/>
      <c r="I20" s="2604" t="s">
        <v>3133</v>
      </c>
      <c r="J20" s="447"/>
      <c r="K20" s="2605"/>
      <c r="L20" s="1136"/>
      <c r="M20" s="1127"/>
      <c r="N20" s="1127"/>
      <c r="O20" s="1127"/>
      <c r="P20" s="3692"/>
      <c r="Q20" s="1806"/>
      <c r="R20" s="770"/>
      <c r="S20" s="771"/>
      <c r="T20" s="770"/>
      <c r="U20" s="771"/>
      <c r="V20" s="770"/>
      <c r="W20" s="771"/>
      <c r="X20" s="1809"/>
      <c r="Y20" s="3685"/>
      <c r="Z20" s="1810"/>
      <c r="AA20" s="1807">
        <v>1</v>
      </c>
      <c r="AB20" s="1807">
        <v>1</v>
      </c>
      <c r="AC20" s="1807">
        <v>1</v>
      </c>
    </row>
    <row r="21" spans="1:29" ht="28.5">
      <c r="A21" s="427"/>
      <c r="B21" s="1380"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6"/>
      <c r="M21" s="1127"/>
      <c r="N21" s="1127"/>
      <c r="O21" s="1127"/>
      <c r="P21" s="3692"/>
      <c r="Q21" s="1806" t="str">
        <f>B21</f>
        <v>基础设施水平</v>
      </c>
      <c r="R21" s="770" t="s">
        <v>17</v>
      </c>
      <c r="S21" s="771">
        <f>F21</f>
        <v>100</v>
      </c>
      <c r="T21" s="770" t="s">
        <v>17</v>
      </c>
      <c r="U21" s="771">
        <f>H21</f>
        <v>100</v>
      </c>
      <c r="V21" s="770" t="s">
        <v>17</v>
      </c>
      <c r="W21" s="771">
        <f>J21</f>
        <v>100</v>
      </c>
      <c r="X21" s="1809"/>
      <c r="Y21" s="3685"/>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7"/>
      <c r="G22" s="2610" t="s">
        <v>3120</v>
      </c>
      <c r="H22" s="447"/>
      <c r="I22" s="446" t="s">
        <v>3120</v>
      </c>
      <c r="J22" s="447"/>
      <c r="K22" s="2611"/>
      <c r="L22" s="1136"/>
      <c r="M22" s="1127"/>
      <c r="N22" s="1127"/>
      <c r="O22" s="1127"/>
      <c r="P22" s="3692"/>
      <c r="Q22" s="1806"/>
      <c r="R22" s="770"/>
      <c r="S22" s="771"/>
      <c r="T22" s="770"/>
      <c r="U22" s="771"/>
      <c r="V22" s="770"/>
      <c r="W22" s="771"/>
      <c r="X22" s="1809"/>
      <c r="Y22" s="3685"/>
      <c r="Z22" s="1810"/>
      <c r="AA22" s="1807">
        <v>1</v>
      </c>
      <c r="AB22" s="1807">
        <v>1</v>
      </c>
      <c r="AC22" s="1807">
        <v>1</v>
      </c>
    </row>
    <row r="23" spans="1:29" ht="57">
      <c r="A23" s="427"/>
      <c r="B23" s="450" t="s">
        <v>2104</v>
      </c>
      <c r="C23" s="2606"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6"/>
      <c r="M23" s="1127"/>
      <c r="N23" s="1127"/>
      <c r="O23" s="1127"/>
      <c r="P23" s="3692"/>
      <c r="Q23" s="1806" t="str">
        <f>B23</f>
        <v>自然及人文环境</v>
      </c>
      <c r="R23" s="770" t="s">
        <v>21</v>
      </c>
      <c r="S23" s="771">
        <f>F23</f>
        <v>98</v>
      </c>
      <c r="T23" s="770" t="s">
        <v>21</v>
      </c>
      <c r="U23" s="771">
        <f>H23</f>
        <v>100</v>
      </c>
      <c r="V23" s="770" t="s">
        <v>21</v>
      </c>
      <c r="W23" s="771">
        <f>J23</f>
        <v>100</v>
      </c>
      <c r="X23" s="1809"/>
      <c r="Y23" s="3685"/>
      <c r="Z23" s="1810" t="str">
        <f>Q23</f>
        <v>自然及人文环境</v>
      </c>
      <c r="AA23" s="1807">
        <f>D23/F23</f>
        <v>1.0204081632653061</v>
      </c>
      <c r="AB23" s="1807">
        <f>D23/H23</f>
        <v>1</v>
      </c>
      <c r="AC23" s="1807">
        <f>D23/J23</f>
        <v>1</v>
      </c>
    </row>
    <row r="24" spans="1:29" ht="15">
      <c r="A24" s="427"/>
      <c r="B24" s="455"/>
      <c r="C24" s="446" t="s">
        <v>3116</v>
      </c>
      <c r="D24" s="447"/>
      <c r="E24" s="2603" t="s">
        <v>3117</v>
      </c>
      <c r="F24" s="447"/>
      <c r="G24" s="2604" t="s">
        <v>3116</v>
      </c>
      <c r="H24" s="447"/>
      <c r="I24" s="2604" t="s">
        <v>3116</v>
      </c>
      <c r="J24" s="447"/>
      <c r="K24" s="2605"/>
      <c r="L24" s="1136"/>
      <c r="M24" s="1127"/>
      <c r="N24" s="1127"/>
      <c r="O24" s="1127"/>
      <c r="P24" s="3692"/>
      <c r="Q24" s="1806"/>
      <c r="R24" s="770"/>
      <c r="S24" s="771"/>
      <c r="T24" s="770"/>
      <c r="U24" s="771"/>
      <c r="V24" s="770"/>
      <c r="W24" s="771"/>
      <c r="X24" s="1809"/>
      <c r="Y24" s="3685"/>
      <c r="Z24" s="1810"/>
      <c r="AA24" s="1807">
        <v>1</v>
      </c>
      <c r="AB24" s="1807">
        <v>1</v>
      </c>
      <c r="AC24" s="1807">
        <v>1</v>
      </c>
    </row>
    <row r="25" spans="1:29" ht="15">
      <c r="A25" s="427"/>
      <c r="B25" s="421" t="s">
        <v>2564</v>
      </c>
      <c r="C25" s="459"/>
      <c r="D25" s="434">
        <v>100</v>
      </c>
      <c r="E25" s="2612"/>
      <c r="F25" s="434">
        <f>SUMIF(86:86,E25,87:87)-SUMIF(86:86,C25,87:87)+100</f>
        <v>100</v>
      </c>
      <c r="G25" s="2613"/>
      <c r="H25" s="434">
        <f>SUMIF(86:86,G25,87:87)-SUMIF(86:86,C25,87:87)+100</f>
        <v>100</v>
      </c>
      <c r="I25" s="2613"/>
      <c r="J25" s="434">
        <f>SUMIF(86:86,I25,87:87)-SUMIF(86:86,C25,87:87)+100</f>
        <v>100</v>
      </c>
      <c r="K25" s="425">
        <v>1</v>
      </c>
      <c r="L25" s="1136"/>
      <c r="M25" s="1127"/>
      <c r="N25" s="1127"/>
      <c r="O25" s="1127"/>
      <c r="P25" s="3692"/>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685"/>
      <c r="Z25" s="1810" t="str">
        <f>Q25</f>
        <v>楼层-1</v>
      </c>
      <c r="AA25" s="1807">
        <f t="shared" ref="AA25:AA46" si="15">D25/F25</f>
        <v>1</v>
      </c>
      <c r="AB25" s="1807">
        <f t="shared" ref="AB25:AB46" si="16">D25/H25</f>
        <v>1</v>
      </c>
      <c r="AC25" s="1807">
        <f t="shared" ref="AC25:AC46" si="17">D25/J25</f>
        <v>1</v>
      </c>
    </row>
    <row r="26" spans="1:29" ht="15">
      <c r="A26" s="427"/>
      <c r="B26" s="421" t="s">
        <v>2565</v>
      </c>
      <c r="C26" s="459"/>
      <c r="D26" s="434">
        <v>100</v>
      </c>
      <c r="E26" s="2612"/>
      <c r="F26" s="434">
        <f>SUMIF(88:88,E26,89:89)-SUMIF(88:88,C26,89:89)+100</f>
        <v>100</v>
      </c>
      <c r="G26" s="2613"/>
      <c r="H26" s="434">
        <f>SUMIF(88:88,G26,89:89)-SUMIF(88:88,C26,89:89)+100</f>
        <v>100</v>
      </c>
      <c r="I26" s="2613"/>
      <c r="J26" s="434">
        <f>SUMIF(88:88,I26,89:89)-SUMIF(88:88,C26,89:89)+100</f>
        <v>100</v>
      </c>
      <c r="K26" s="425">
        <v>1</v>
      </c>
      <c r="L26" s="1136"/>
      <c r="M26" s="1127"/>
      <c r="N26" s="1127"/>
      <c r="O26" s="1127"/>
      <c r="P26" s="3692"/>
      <c r="Q26" s="1806" t="str">
        <f t="shared" si="11"/>
        <v>朝向</v>
      </c>
      <c r="R26" s="770" t="s">
        <v>21</v>
      </c>
      <c r="S26" s="771">
        <f t="shared" si="12"/>
        <v>100</v>
      </c>
      <c r="T26" s="770" t="s">
        <v>21</v>
      </c>
      <c r="U26" s="771">
        <f t="shared" si="13"/>
        <v>100</v>
      </c>
      <c r="V26" s="770" t="s">
        <v>21</v>
      </c>
      <c r="W26" s="771">
        <f t="shared" si="14"/>
        <v>100</v>
      </c>
      <c r="X26" s="1809"/>
      <c r="Y26" s="3685"/>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600"/>
      <c r="L27" s="1128"/>
      <c r="M27" s="1129"/>
      <c r="N27" s="1129"/>
      <c r="O27" s="1129"/>
      <c r="P27" s="3692"/>
      <c r="Q27" s="1791">
        <f t="shared" si="11"/>
        <v>111</v>
      </c>
      <c r="R27" s="766" t="s">
        <v>21</v>
      </c>
      <c r="S27" s="767">
        <f t="shared" si="12"/>
        <v>100</v>
      </c>
      <c r="T27" s="766" t="s">
        <v>21</v>
      </c>
      <c r="U27" s="767">
        <f t="shared" si="13"/>
        <v>100</v>
      </c>
      <c r="V27" s="766" t="s">
        <v>21</v>
      </c>
      <c r="W27" s="767">
        <f t="shared" si="14"/>
        <v>100</v>
      </c>
      <c r="X27" s="768"/>
      <c r="Y27" s="3685"/>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4"/>
      <c r="H28" s="434">
        <f>SUMIF(92:92,G28,93:93)-SUMIF(92:92,C28,93:93)+100</f>
        <v>100</v>
      </c>
      <c r="I28" s="433"/>
      <c r="J28" s="434">
        <f>SUMIF(92:92,I28,93:93)-SUMIF(92:92,C28,93:93)+100</f>
        <v>100</v>
      </c>
      <c r="K28" s="2600"/>
      <c r="L28" s="1136"/>
      <c r="M28" s="1127"/>
      <c r="N28" s="1127"/>
      <c r="O28" s="1127"/>
      <c r="P28" s="3692"/>
      <c r="Q28" s="1806">
        <f t="shared" si="11"/>
        <v>111</v>
      </c>
      <c r="R28" s="770" t="s">
        <v>21</v>
      </c>
      <c r="S28" s="771">
        <f t="shared" si="12"/>
        <v>100</v>
      </c>
      <c r="T28" s="770" t="s">
        <v>21</v>
      </c>
      <c r="U28" s="771">
        <f t="shared" si="13"/>
        <v>100</v>
      </c>
      <c r="V28" s="770" t="s">
        <v>21</v>
      </c>
      <c r="W28" s="771">
        <f t="shared" si="14"/>
        <v>100</v>
      </c>
      <c r="X28" s="1809"/>
      <c r="Y28" s="3685"/>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4"/>
      <c r="H29" s="434">
        <f>SUMIF(94:94,G29,95:95)-SUMIF(94:94,C29,95:95)+100</f>
        <v>100</v>
      </c>
      <c r="I29" s="433"/>
      <c r="J29" s="434">
        <f>SUMIF(94:94,I29,95:95)-SUMIF(94:94,C29,95:95)+100</f>
        <v>100</v>
      </c>
      <c r="K29" s="2600"/>
      <c r="L29" s="1136"/>
      <c r="M29" s="1127"/>
      <c r="N29" s="1127"/>
      <c r="O29" s="1127"/>
      <c r="P29" s="3692"/>
      <c r="Q29" s="1806">
        <f t="shared" si="11"/>
        <v>111</v>
      </c>
      <c r="R29" s="770" t="s">
        <v>21</v>
      </c>
      <c r="S29" s="771">
        <f t="shared" si="12"/>
        <v>100</v>
      </c>
      <c r="T29" s="770" t="s">
        <v>21</v>
      </c>
      <c r="U29" s="771">
        <f t="shared" si="13"/>
        <v>100</v>
      </c>
      <c r="V29" s="770" t="s">
        <v>21</v>
      </c>
      <c r="W29" s="771">
        <f t="shared" si="14"/>
        <v>100</v>
      </c>
      <c r="X29" s="1809"/>
      <c r="Y29" s="3685"/>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4"/>
      <c r="H30" s="434">
        <f>SUMIF(96:96,G30,97:97)-SUMIF(96:96,C30,97:97)+100</f>
        <v>100</v>
      </c>
      <c r="I30" s="433"/>
      <c r="J30" s="434">
        <f>SUMIF(96:96,I30,97:97)-SUMIF(96:96,C30,97:97)+100</f>
        <v>100</v>
      </c>
      <c r="K30" s="2600"/>
      <c r="L30" s="1136"/>
      <c r="M30" s="1127"/>
      <c r="N30" s="1127"/>
      <c r="O30" s="1127"/>
      <c r="P30" s="3692"/>
      <c r="Q30" s="1806">
        <f t="shared" si="11"/>
        <v>111</v>
      </c>
      <c r="R30" s="770" t="s">
        <v>21</v>
      </c>
      <c r="S30" s="771">
        <f t="shared" si="12"/>
        <v>100</v>
      </c>
      <c r="T30" s="770" t="s">
        <v>21</v>
      </c>
      <c r="U30" s="771">
        <f t="shared" si="13"/>
        <v>100</v>
      </c>
      <c r="V30" s="770" t="s">
        <v>21</v>
      </c>
      <c r="W30" s="771">
        <f t="shared" si="14"/>
        <v>100</v>
      </c>
      <c r="X30" s="1809"/>
      <c r="Y30" s="3685"/>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5"/>
      <c r="H31" s="437">
        <f>SUMIF(98:98,G31,99:99)-SUMIF(98:98,C31,99:99)+100</f>
        <v>100</v>
      </c>
      <c r="I31" s="436"/>
      <c r="J31" s="437">
        <f>SUMIF(98:98,I31,99:99)-SUMIF(98:98,C31,99:99)+100</f>
        <v>100</v>
      </c>
      <c r="K31" s="2600"/>
      <c r="L31" s="1136"/>
      <c r="M31" s="1127"/>
      <c r="N31" s="1127"/>
      <c r="O31" s="1127"/>
      <c r="P31" s="3692"/>
      <c r="Q31" s="1806">
        <f t="shared" si="11"/>
        <v>111</v>
      </c>
      <c r="R31" s="770" t="s">
        <v>21</v>
      </c>
      <c r="S31" s="771">
        <f t="shared" si="12"/>
        <v>100</v>
      </c>
      <c r="T31" s="770" t="s">
        <v>21</v>
      </c>
      <c r="U31" s="771">
        <f t="shared" si="13"/>
        <v>100</v>
      </c>
      <c r="V31" s="770" t="s">
        <v>21</v>
      </c>
      <c r="W31" s="771">
        <f t="shared" si="14"/>
        <v>100</v>
      </c>
      <c r="X31" s="1809"/>
      <c r="Y31" s="3685"/>
      <c r="Z31" s="1810">
        <f t="shared" si="18"/>
        <v>111</v>
      </c>
      <c r="AA31" s="1807">
        <f t="shared" si="15"/>
        <v>1</v>
      </c>
      <c r="AB31" s="1807">
        <f t="shared" si="16"/>
        <v>1</v>
      </c>
      <c r="AC31" s="1807">
        <f t="shared" si="17"/>
        <v>1</v>
      </c>
    </row>
    <row r="32" spans="1:29" ht="15">
      <c r="A32" s="439" t="s">
        <v>2566</v>
      </c>
      <c r="B32" s="71" t="s">
        <v>2567</v>
      </c>
      <c r="C32" s="2616" t="s">
        <v>3123</v>
      </c>
      <c r="D32" s="466">
        <v>100</v>
      </c>
      <c r="E32" s="2617" t="s">
        <v>3123</v>
      </c>
      <c r="F32" s="460">
        <f>SUMIF(100:100,E32,101:101)-SUMIF(100:100,C32,101:101)+100</f>
        <v>100</v>
      </c>
      <c r="G32" s="2616" t="s">
        <v>3123</v>
      </c>
      <c r="H32" s="466">
        <f>SUMIF(100:100,G32,101:101)-SUMIF(100:100,C32,101:101)+100</f>
        <v>100</v>
      </c>
      <c r="I32" s="2617" t="s">
        <v>3123</v>
      </c>
      <c r="J32" s="434">
        <f>SUMIF(100:100,I32,101:101)-SUMIF(100:100,C32,101:101)+100</f>
        <v>100</v>
      </c>
      <c r="K32" s="425"/>
      <c r="L32" s="1136"/>
      <c r="M32" s="1127"/>
      <c r="N32" s="1127"/>
      <c r="O32" s="1127"/>
      <c r="P32" s="3686" t="s">
        <v>2568</v>
      </c>
      <c r="Q32" s="1806" t="str">
        <f t="shared" si="11"/>
        <v>建筑类型</v>
      </c>
      <c r="R32" s="770" t="s">
        <v>21</v>
      </c>
      <c r="S32" s="771">
        <f t="shared" si="12"/>
        <v>100</v>
      </c>
      <c r="T32" s="770" t="s">
        <v>21</v>
      </c>
      <c r="U32" s="771">
        <f t="shared" si="13"/>
        <v>100</v>
      </c>
      <c r="V32" s="770" t="s">
        <v>21</v>
      </c>
      <c r="W32" s="771">
        <f t="shared" si="14"/>
        <v>100</v>
      </c>
      <c r="X32" s="1809"/>
      <c r="Y32" s="3689" t="s">
        <v>2568</v>
      </c>
      <c r="Z32" s="1810" t="str">
        <f t="shared" si="18"/>
        <v>建筑类型</v>
      </c>
      <c r="AA32" s="1807">
        <f t="shared" si="15"/>
        <v>1</v>
      </c>
      <c r="AB32" s="1807">
        <f t="shared" si="16"/>
        <v>1</v>
      </c>
      <c r="AC32" s="1807">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600"/>
      <c r="L33" s="1134"/>
      <c r="M33" s="1137"/>
      <c r="N33" s="1137"/>
      <c r="O33" s="1137"/>
      <c r="P33" s="3687"/>
      <c r="Q33" s="772" t="str">
        <f t="shared" si="11"/>
        <v>项目建筑规模</v>
      </c>
      <c r="R33" s="773" t="s">
        <v>21</v>
      </c>
      <c r="S33" s="774">
        <f t="shared" si="12"/>
        <v>100</v>
      </c>
      <c r="T33" s="773" t="s">
        <v>21</v>
      </c>
      <c r="U33" s="774">
        <f t="shared" si="13"/>
        <v>100</v>
      </c>
      <c r="V33" s="773" t="s">
        <v>21</v>
      </c>
      <c r="W33" s="774">
        <f t="shared" si="14"/>
        <v>100</v>
      </c>
      <c r="X33" s="775"/>
      <c r="Y33" s="3689"/>
      <c r="Z33" s="776" t="str">
        <f t="shared" si="18"/>
        <v>项目建筑规模</v>
      </c>
      <c r="AA33" s="1807">
        <f t="shared" si="15"/>
        <v>1</v>
      </c>
      <c r="AB33" s="1807">
        <f t="shared" si="16"/>
        <v>1</v>
      </c>
      <c r="AC33" s="1807">
        <f t="shared" si="17"/>
        <v>1</v>
      </c>
    </row>
    <row r="34" spans="1:29" ht="15">
      <c r="A34" s="471"/>
      <c r="B34" s="421" t="s">
        <v>2570</v>
      </c>
      <c r="C34" s="2618" t="s">
        <v>3125</v>
      </c>
      <c r="D34" s="434">
        <v>100</v>
      </c>
      <c r="E34" s="2619" t="s">
        <v>3125</v>
      </c>
      <c r="F34" s="460">
        <f>SUMIF(105:105,E34,106:106)-SUMIF(105:105,C34,106:106)+100</f>
        <v>100</v>
      </c>
      <c r="G34" s="2618" t="s">
        <v>3125</v>
      </c>
      <c r="H34" s="434">
        <f>SUMIF(105:105,G34,106:106)-SUMIF(105:105,C34,106:106)+100</f>
        <v>100</v>
      </c>
      <c r="I34" s="2619" t="s">
        <v>3125</v>
      </c>
      <c r="J34" s="434">
        <f>SUMIF(105:105,I34,106:106)-SUMIF(105:105,C34,106:106)+100</f>
        <v>100</v>
      </c>
      <c r="K34" s="425">
        <v>2</v>
      </c>
      <c r="L34" s="1136"/>
      <c r="M34" s="1127"/>
      <c r="N34" s="1127"/>
      <c r="O34" s="1127"/>
      <c r="P34" s="3687"/>
      <c r="Q34" s="1806" t="str">
        <f t="shared" si="11"/>
        <v>建筑结构</v>
      </c>
      <c r="R34" s="770" t="s">
        <v>21</v>
      </c>
      <c r="S34" s="771">
        <f t="shared" si="12"/>
        <v>100</v>
      </c>
      <c r="T34" s="770" t="s">
        <v>21</v>
      </c>
      <c r="U34" s="771">
        <f t="shared" si="13"/>
        <v>100</v>
      </c>
      <c r="V34" s="770" t="s">
        <v>21</v>
      </c>
      <c r="W34" s="771">
        <f t="shared" si="14"/>
        <v>100</v>
      </c>
      <c r="X34" s="1809"/>
      <c r="Y34" s="3689"/>
      <c r="Z34" s="1810" t="str">
        <f t="shared" si="18"/>
        <v>建筑结构</v>
      </c>
      <c r="AA34" s="1807">
        <f t="shared" si="15"/>
        <v>1</v>
      </c>
      <c r="AB34" s="1807">
        <f t="shared" si="16"/>
        <v>1</v>
      </c>
      <c r="AC34" s="1807">
        <f t="shared" si="17"/>
        <v>1</v>
      </c>
    </row>
    <row r="35" spans="1:29" ht="15">
      <c r="A35" s="471"/>
      <c r="B35" s="421" t="s">
        <v>2571</v>
      </c>
      <c r="C35" s="2612" t="s">
        <v>3126</v>
      </c>
      <c r="D35" s="434">
        <v>100</v>
      </c>
      <c r="E35" s="2613" t="s">
        <v>3127</v>
      </c>
      <c r="F35" s="460">
        <f>SUMIF(107:107,E35,108:108)-SUMIF(107:107,C35,108:108)+100</f>
        <v>97</v>
      </c>
      <c r="G35" s="2612" t="s">
        <v>3126</v>
      </c>
      <c r="H35" s="434">
        <f>SUMIF(107:107,G35,108:108)-SUMIF(107:107,C35,108:108)+100</f>
        <v>100</v>
      </c>
      <c r="I35" s="2613" t="s">
        <v>3126</v>
      </c>
      <c r="J35" s="434">
        <f>SUMIF(107:107,I35,108:108)-SUMIF(107:107,C35,108:108)+100</f>
        <v>100</v>
      </c>
      <c r="K35" s="425">
        <v>3</v>
      </c>
      <c r="L35" s="1136"/>
      <c r="M35" s="1127"/>
      <c r="N35" s="1127"/>
      <c r="O35" s="1127"/>
      <c r="P35" s="3687"/>
      <c r="Q35" s="1806" t="str">
        <f t="shared" si="11"/>
        <v>建筑品质</v>
      </c>
      <c r="R35" s="770" t="s">
        <v>21</v>
      </c>
      <c r="S35" s="771">
        <f t="shared" si="12"/>
        <v>97</v>
      </c>
      <c r="T35" s="770" t="s">
        <v>21</v>
      </c>
      <c r="U35" s="771">
        <f t="shared" si="13"/>
        <v>100</v>
      </c>
      <c r="V35" s="770" t="s">
        <v>21</v>
      </c>
      <c r="W35" s="771">
        <f t="shared" si="14"/>
        <v>100</v>
      </c>
      <c r="X35" s="1809"/>
      <c r="Y35" s="3689"/>
      <c r="Z35" s="1810" t="str">
        <f t="shared" si="18"/>
        <v>建筑品质</v>
      </c>
      <c r="AA35" s="1807">
        <f t="shared" si="15"/>
        <v>1.0309278350515463</v>
      </c>
      <c r="AB35" s="1807">
        <f t="shared" si="16"/>
        <v>1</v>
      </c>
      <c r="AC35" s="1807">
        <f t="shared" si="17"/>
        <v>1</v>
      </c>
    </row>
    <row r="36" spans="1:29" ht="15">
      <c r="A36" s="471"/>
      <c r="B36" s="421" t="s">
        <v>2572</v>
      </c>
      <c r="C36" s="2612" t="s">
        <v>3128</v>
      </c>
      <c r="D36" s="434">
        <v>100</v>
      </c>
      <c r="E36" s="2613" t="s">
        <v>3128</v>
      </c>
      <c r="F36" s="460">
        <f>SUMIF(109:109,E36,110:110)-SUMIF(109:109,C36,110:110)+100</f>
        <v>100</v>
      </c>
      <c r="G36" s="2612" t="s">
        <v>3128</v>
      </c>
      <c r="H36" s="434">
        <f>SUMIF(109:109,G36,110:110)-SUMIF(109:109,C36,110:110)+100</f>
        <v>100</v>
      </c>
      <c r="I36" s="2613" t="s">
        <v>3128</v>
      </c>
      <c r="J36" s="434">
        <f>SUMIF(109:109,I36,110:110)-SUMIF(109:109,C36,110:110)+100</f>
        <v>100</v>
      </c>
      <c r="K36" s="425">
        <v>1</v>
      </c>
      <c r="L36" s="1136"/>
      <c r="M36" s="1127"/>
      <c r="N36" s="1127"/>
      <c r="O36" s="1127"/>
      <c r="P36" s="3687"/>
      <c r="Q36" s="1806" t="str">
        <f t="shared" si="11"/>
        <v>公共部分装修</v>
      </c>
      <c r="R36" s="770" t="s">
        <v>21</v>
      </c>
      <c r="S36" s="771">
        <f t="shared" si="12"/>
        <v>100</v>
      </c>
      <c r="T36" s="770" t="s">
        <v>21</v>
      </c>
      <c r="U36" s="771">
        <f t="shared" si="13"/>
        <v>100</v>
      </c>
      <c r="V36" s="770" t="s">
        <v>21</v>
      </c>
      <c r="W36" s="771">
        <f t="shared" si="14"/>
        <v>100</v>
      </c>
      <c r="X36" s="1809"/>
      <c r="Y36" s="3689"/>
      <c r="Z36" s="1810" t="str">
        <f t="shared" si="18"/>
        <v>公共部分装修</v>
      </c>
      <c r="AA36" s="1807">
        <f t="shared" si="15"/>
        <v>1</v>
      </c>
      <c r="AB36" s="1807">
        <f t="shared" si="16"/>
        <v>1</v>
      </c>
      <c r="AC36" s="1807">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687"/>
      <c r="Q37" s="1791" t="str">
        <f t="shared" si="11"/>
        <v>成新度</v>
      </c>
      <c r="R37" s="766" t="s">
        <v>21</v>
      </c>
      <c r="S37" s="767">
        <f t="shared" si="12"/>
        <v>100</v>
      </c>
      <c r="T37" s="766" t="s">
        <v>21</v>
      </c>
      <c r="U37" s="767">
        <f t="shared" si="13"/>
        <v>100</v>
      </c>
      <c r="V37" s="766" t="s">
        <v>21</v>
      </c>
      <c r="W37" s="767">
        <f t="shared" si="14"/>
        <v>100</v>
      </c>
      <c r="X37" s="768"/>
      <c r="Y37" s="3689"/>
      <c r="Z37" s="55" t="str">
        <f t="shared" si="18"/>
        <v>成新度</v>
      </c>
      <c r="AA37" s="769">
        <f t="shared" si="15"/>
        <v>1</v>
      </c>
      <c r="AB37" s="769">
        <f t="shared" si="16"/>
        <v>1</v>
      </c>
      <c r="AC37" s="769">
        <f t="shared" si="17"/>
        <v>1</v>
      </c>
    </row>
    <row r="38" spans="1:29" ht="15">
      <c r="A38" s="471"/>
      <c r="B38" s="421" t="s">
        <v>2574</v>
      </c>
      <c r="C38" s="2612" t="s">
        <v>3129</v>
      </c>
      <c r="D38" s="434">
        <v>100</v>
      </c>
      <c r="E38" s="2613" t="s">
        <v>3129</v>
      </c>
      <c r="F38" s="460">
        <f>SUMIF(114:114,E38,115:115)-SUMIF(114:114,C38,115:115)+100</f>
        <v>100</v>
      </c>
      <c r="G38" s="2612" t="s">
        <v>3129</v>
      </c>
      <c r="H38" s="434">
        <f>SUMIF(114:114,G38,115:115)-SUMIF(114:114,C38,115:115)+100</f>
        <v>100</v>
      </c>
      <c r="I38" s="2613" t="s">
        <v>3129</v>
      </c>
      <c r="J38" s="434">
        <f>SUMIF(114:114,I38,115:115)-SUMIF(114:114,C38,115:115)+100</f>
        <v>100</v>
      </c>
      <c r="K38" s="425">
        <v>1</v>
      </c>
      <c r="L38" s="1136"/>
      <c r="M38" s="1127"/>
      <c r="N38" s="1127"/>
      <c r="O38" s="1127"/>
      <c r="P38" s="3687" t="s">
        <v>2568</v>
      </c>
      <c r="Q38" s="1806" t="str">
        <f t="shared" si="11"/>
        <v>物业管理</v>
      </c>
      <c r="R38" s="770" t="s">
        <v>21</v>
      </c>
      <c r="S38" s="771">
        <f t="shared" si="12"/>
        <v>100</v>
      </c>
      <c r="T38" s="770" t="s">
        <v>21</v>
      </c>
      <c r="U38" s="771">
        <f t="shared" si="13"/>
        <v>100</v>
      </c>
      <c r="V38" s="770" t="s">
        <v>21</v>
      </c>
      <c r="W38" s="771">
        <f t="shared" si="14"/>
        <v>100</v>
      </c>
      <c r="X38" s="1809"/>
      <c r="Y38" s="3689" t="s">
        <v>2568</v>
      </c>
      <c r="Z38" s="1810" t="str">
        <f t="shared" si="18"/>
        <v>物业管理</v>
      </c>
      <c r="AA38" s="1807">
        <f t="shared" si="15"/>
        <v>1</v>
      </c>
      <c r="AB38" s="1807">
        <f t="shared" si="16"/>
        <v>1</v>
      </c>
      <c r="AC38" s="1807">
        <f t="shared" si="17"/>
        <v>1</v>
      </c>
    </row>
    <row r="39" spans="1:29" ht="15">
      <c r="A39" s="471"/>
      <c r="B39" s="421" t="s">
        <v>2575</v>
      </c>
      <c r="C39" s="2612" t="s">
        <v>3120</v>
      </c>
      <c r="D39" s="434">
        <v>100</v>
      </c>
      <c r="E39" s="2613" t="s">
        <v>3120</v>
      </c>
      <c r="F39" s="460">
        <f>SUMIF(116:116,E39,117:117)-SUMIF(116:116,C39,117:117)+100</f>
        <v>100</v>
      </c>
      <c r="G39" s="2612" t="s">
        <v>3120</v>
      </c>
      <c r="H39" s="434">
        <f>SUMIF(116:116,G39,117:117)-SUMIF(116:116,C39,117:117)+100</f>
        <v>100</v>
      </c>
      <c r="I39" s="2613" t="s">
        <v>3120</v>
      </c>
      <c r="J39" s="434">
        <f>SUMIF(116:116,I39,117:117)-SUMIF(116:116,C39,117:117)+100</f>
        <v>100</v>
      </c>
      <c r="K39" s="425">
        <v>1</v>
      </c>
      <c r="L39" s="1136"/>
      <c r="M39" s="1127"/>
      <c r="N39" s="1127"/>
      <c r="O39" s="1127"/>
      <c r="P39" s="3687"/>
      <c r="Q39" s="1806" t="str">
        <f t="shared" si="11"/>
        <v>市政基础设施</v>
      </c>
      <c r="R39" s="770" t="s">
        <v>21</v>
      </c>
      <c r="S39" s="771">
        <f t="shared" si="12"/>
        <v>100</v>
      </c>
      <c r="T39" s="770" t="s">
        <v>21</v>
      </c>
      <c r="U39" s="771">
        <f t="shared" si="13"/>
        <v>100</v>
      </c>
      <c r="V39" s="770" t="s">
        <v>21</v>
      </c>
      <c r="W39" s="771">
        <f t="shared" si="14"/>
        <v>100</v>
      </c>
      <c r="X39" s="1809"/>
      <c r="Y39" s="3689"/>
      <c r="Z39" s="1810" t="str">
        <f t="shared" si="18"/>
        <v>市政基础设施</v>
      </c>
      <c r="AA39" s="1807">
        <f t="shared" si="15"/>
        <v>1</v>
      </c>
      <c r="AB39" s="1807">
        <f t="shared" si="16"/>
        <v>1</v>
      </c>
      <c r="AC39" s="1807">
        <f t="shared" si="17"/>
        <v>1</v>
      </c>
    </row>
    <row r="40" spans="1:29" ht="15">
      <c r="A40" s="471"/>
      <c r="B40" s="421" t="s">
        <v>2576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v>2</v>
      </c>
      <c r="L40" s="1136"/>
      <c r="M40" s="1127"/>
      <c r="N40" s="1127"/>
      <c r="O40" s="1127"/>
      <c r="P40" s="3687"/>
      <c r="Q40" s="1806" t="str">
        <f t="shared" si="11"/>
        <v>房型</v>
      </c>
      <c r="R40" s="770" t="s">
        <v>21</v>
      </c>
      <c r="S40" s="771">
        <f t="shared" si="12"/>
        <v>100</v>
      </c>
      <c r="T40" s="770" t="s">
        <v>21</v>
      </c>
      <c r="U40" s="771">
        <f t="shared" si="13"/>
        <v>100</v>
      </c>
      <c r="V40" s="770" t="s">
        <v>21</v>
      </c>
      <c r="W40" s="771">
        <f t="shared" si="14"/>
        <v>100</v>
      </c>
      <c r="X40" s="1809"/>
      <c r="Y40" s="3689"/>
      <c r="Z40" s="1810" t="str">
        <f t="shared" si="18"/>
        <v>房型</v>
      </c>
      <c r="AA40" s="1807">
        <f t="shared" si="15"/>
        <v>1</v>
      </c>
      <c r="AB40" s="1807">
        <f t="shared" si="16"/>
        <v>1</v>
      </c>
      <c r="AC40" s="1807">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4"/>
      <c r="M41" s="1137"/>
      <c r="N41" s="1137"/>
      <c r="O41" s="1137"/>
      <c r="P41" s="3687"/>
      <c r="Q41" s="772" t="str">
        <f t="shared" si="11"/>
        <v>单套/主力户型建筑面积</v>
      </c>
      <c r="R41" s="773" t="s">
        <v>21</v>
      </c>
      <c r="S41" s="774">
        <f t="shared" si="12"/>
        <v>100</v>
      </c>
      <c r="T41" s="773" t="s">
        <v>21</v>
      </c>
      <c r="U41" s="774">
        <f t="shared" si="13"/>
        <v>100</v>
      </c>
      <c r="V41" s="773" t="s">
        <v>21</v>
      </c>
      <c r="W41" s="774">
        <f t="shared" si="14"/>
        <v>100</v>
      </c>
      <c r="X41" s="775"/>
      <c r="Y41" s="3689"/>
      <c r="Z41" s="776" t="str">
        <f t="shared" si="18"/>
        <v>单套/主力户型建筑面积</v>
      </c>
      <c r="AA41" s="1807">
        <f t="shared" si="15"/>
        <v>1</v>
      </c>
      <c r="AB41" s="1807">
        <f t="shared" si="16"/>
        <v>1</v>
      </c>
      <c r="AC41" s="1807">
        <f t="shared" si="17"/>
        <v>1</v>
      </c>
    </row>
    <row r="42" spans="1:29" ht="15">
      <c r="A42" s="471"/>
      <c r="B42" s="421" t="s">
        <v>2578</v>
      </c>
      <c r="C42" s="2612" t="s">
        <v>3128</v>
      </c>
      <c r="D42" s="434">
        <v>100</v>
      </c>
      <c r="E42" s="2613" t="s">
        <v>3132</v>
      </c>
      <c r="F42" s="460">
        <f>SUMIF(122:122,E42,123:123)-SUMIF(122:122,C42,123:123)+100</f>
        <v>94</v>
      </c>
      <c r="G42" s="2612" t="s">
        <v>3132</v>
      </c>
      <c r="H42" s="434">
        <f>SUMIF(122:122,G42,123:123)-SUMIF(122:122,C42,123:123)+100</f>
        <v>94</v>
      </c>
      <c r="I42" s="2613" t="s">
        <v>3132</v>
      </c>
      <c r="J42" s="434">
        <f>SUMIF(122:122,I42,123:123)-SUMIF(122:122,C42,123:123)+100</f>
        <v>94</v>
      </c>
      <c r="K42" s="425">
        <v>2</v>
      </c>
      <c r="L42" s="1136"/>
      <c r="M42" s="1127"/>
      <c r="N42" s="1127"/>
      <c r="O42" s="1127"/>
      <c r="P42" s="3687"/>
      <c r="Q42" s="1806" t="str">
        <f t="shared" si="11"/>
        <v>内部装修</v>
      </c>
      <c r="R42" s="770" t="s">
        <v>21</v>
      </c>
      <c r="S42" s="771">
        <f t="shared" si="12"/>
        <v>94</v>
      </c>
      <c r="T42" s="770" t="s">
        <v>21</v>
      </c>
      <c r="U42" s="771">
        <f t="shared" si="13"/>
        <v>94</v>
      </c>
      <c r="V42" s="770" t="s">
        <v>21</v>
      </c>
      <c r="W42" s="771">
        <f t="shared" si="14"/>
        <v>94</v>
      </c>
      <c r="X42" s="1809"/>
      <c r="Y42" s="3689"/>
      <c r="Z42" s="1810" t="str">
        <f t="shared" si="18"/>
        <v>内部装修</v>
      </c>
      <c r="AA42" s="1807">
        <f t="shared" si="15"/>
        <v>1.0638297872340425</v>
      </c>
      <c r="AB42" s="1807">
        <f t="shared" si="16"/>
        <v>1.0638297872340425</v>
      </c>
      <c r="AC42" s="1807">
        <f t="shared" si="17"/>
        <v>1.0638297872340425</v>
      </c>
    </row>
    <row r="43" spans="1:29" ht="15">
      <c r="A43" s="471"/>
      <c r="B43" s="421" t="s">
        <v>2579</v>
      </c>
      <c r="C43" s="2612" t="s">
        <v>3133</v>
      </c>
      <c r="D43" s="434">
        <v>100</v>
      </c>
      <c r="E43" s="2613" t="s">
        <v>3133</v>
      </c>
      <c r="F43" s="460">
        <f>SUMIF(124:124,E43,125:125)-SUMIF(124:124,C43,125:125)+100</f>
        <v>100</v>
      </c>
      <c r="G43" s="2612" t="s">
        <v>3133</v>
      </c>
      <c r="H43" s="434">
        <f>SUMIF(124:124,G43,125:125)-SUMIF(124:124,C43,125:125)+100</f>
        <v>100</v>
      </c>
      <c r="I43" s="2613" t="s">
        <v>3133</v>
      </c>
      <c r="J43" s="434">
        <f>SUMIF(124:124,I43,125:125)-SUMIF(124:124,C43,125:125)+100</f>
        <v>100</v>
      </c>
      <c r="K43" s="425">
        <v>2</v>
      </c>
      <c r="L43" s="1136"/>
      <c r="M43" s="1127"/>
      <c r="N43" s="1127"/>
      <c r="O43" s="1127"/>
      <c r="P43" s="3687"/>
      <c r="Q43" s="1806" t="str">
        <f t="shared" si="11"/>
        <v>内部装修维护情况</v>
      </c>
      <c r="R43" s="770" t="s">
        <v>21</v>
      </c>
      <c r="S43" s="771">
        <f t="shared" si="12"/>
        <v>100</v>
      </c>
      <c r="T43" s="770" t="s">
        <v>21</v>
      </c>
      <c r="U43" s="771">
        <f t="shared" si="13"/>
        <v>100</v>
      </c>
      <c r="V43" s="770" t="s">
        <v>21</v>
      </c>
      <c r="W43" s="771">
        <f t="shared" si="14"/>
        <v>100</v>
      </c>
      <c r="X43" s="1809"/>
      <c r="Y43" s="3689"/>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8"/>
      <c r="M44" s="1129"/>
      <c r="N44" s="1129"/>
      <c r="O44" s="1129"/>
      <c r="P44" s="3687"/>
      <c r="Q44" s="1791">
        <f t="shared" si="11"/>
        <v>111</v>
      </c>
      <c r="R44" s="766" t="s">
        <v>21</v>
      </c>
      <c r="S44" s="767">
        <f t="shared" si="12"/>
        <v>100</v>
      </c>
      <c r="T44" s="766" t="s">
        <v>21</v>
      </c>
      <c r="U44" s="767">
        <f t="shared" si="13"/>
        <v>100</v>
      </c>
      <c r="V44" s="766" t="s">
        <v>21</v>
      </c>
      <c r="W44" s="767">
        <f t="shared" si="14"/>
        <v>100</v>
      </c>
      <c r="X44" s="768"/>
      <c r="Y44" s="3689"/>
      <c r="Z44" s="55">
        <f t="shared" si="18"/>
        <v>111</v>
      </c>
      <c r="AA44" s="769">
        <f t="shared" si="15"/>
        <v>1</v>
      </c>
      <c r="AB44" s="769">
        <f t="shared" si="16"/>
        <v>1</v>
      </c>
      <c r="AC44" s="769">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6"/>
      <c r="M45" s="1127"/>
      <c r="N45" s="1127"/>
      <c r="O45" s="1127"/>
      <c r="P45" s="3687"/>
      <c r="Q45" s="1806">
        <f t="shared" si="11"/>
        <v>111</v>
      </c>
      <c r="R45" s="770" t="s">
        <v>21</v>
      </c>
      <c r="S45" s="771">
        <f t="shared" si="12"/>
        <v>100</v>
      </c>
      <c r="T45" s="770" t="s">
        <v>21</v>
      </c>
      <c r="U45" s="771">
        <f t="shared" si="13"/>
        <v>100</v>
      </c>
      <c r="V45" s="770" t="s">
        <v>21</v>
      </c>
      <c r="W45" s="771">
        <f t="shared" si="14"/>
        <v>100</v>
      </c>
      <c r="X45" s="1809"/>
      <c r="Y45" s="3689"/>
      <c r="Z45" s="1810">
        <f t="shared" si="18"/>
        <v>111</v>
      </c>
      <c r="AA45" s="1807">
        <f t="shared" si="15"/>
        <v>1</v>
      </c>
      <c r="AB45" s="1807">
        <f t="shared" si="16"/>
        <v>1</v>
      </c>
      <c r="AC45" s="1807">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6"/>
      <c r="M46" s="1127"/>
      <c r="N46" s="1127"/>
      <c r="O46" s="1127"/>
      <c r="P46" s="3688"/>
      <c r="Q46" s="1806">
        <f t="shared" si="11"/>
        <v>111</v>
      </c>
      <c r="R46" s="770" t="s">
        <v>20</v>
      </c>
      <c r="S46" s="771">
        <f t="shared" si="12"/>
        <v>100</v>
      </c>
      <c r="T46" s="770" t="s">
        <v>20</v>
      </c>
      <c r="U46" s="771">
        <f t="shared" si="13"/>
        <v>100</v>
      </c>
      <c r="V46" s="770" t="s">
        <v>20</v>
      </c>
      <c r="W46" s="771">
        <f t="shared" si="14"/>
        <v>100</v>
      </c>
      <c r="X46" s="1809"/>
      <c r="Y46" s="3690"/>
      <c r="Z46" s="1810">
        <f t="shared" si="18"/>
        <v>111</v>
      </c>
      <c r="AA46" s="1807">
        <f t="shared" si="15"/>
        <v>1</v>
      </c>
      <c r="AB46" s="1807">
        <f t="shared" si="16"/>
        <v>1</v>
      </c>
      <c r="AC46" s="1807">
        <f t="shared" si="17"/>
        <v>1</v>
      </c>
    </row>
    <row r="47" spans="1:29" ht="15">
      <c r="A47" s="478" t="s">
        <v>2580</v>
      </c>
      <c r="B47" s="479"/>
      <c r="C47" s="1403" t="s">
        <v>19</v>
      </c>
      <c r="D47" s="1404"/>
      <c r="E47" s="1405">
        <v>65000</v>
      </c>
      <c r="F47" s="1406"/>
      <c r="G47" s="1407">
        <v>61000</v>
      </c>
      <c r="H47" s="1408"/>
      <c r="I47" s="1405">
        <v>68000</v>
      </c>
      <c r="J47" s="1408"/>
      <c r="K47" s="2620"/>
      <c r="L47" s="1139"/>
      <c r="M47" s="1140"/>
      <c r="N47" s="1127"/>
      <c r="O47" s="1140"/>
      <c r="P47" s="3682" t="str">
        <f>A47</f>
        <v>成交单价（元/平方米）</v>
      </c>
      <c r="Q47" s="3682"/>
      <c r="R47" s="3683">
        <f>E47</f>
        <v>65000</v>
      </c>
      <c r="S47" s="3683"/>
      <c r="T47" s="3683">
        <f>G47</f>
        <v>61000</v>
      </c>
      <c r="U47" s="3683"/>
      <c r="V47" s="3683">
        <f>I47</f>
        <v>68000</v>
      </c>
      <c r="W47" s="3683"/>
      <c r="X47" s="755"/>
      <c r="Y47" s="777"/>
      <c r="Z47" s="755"/>
      <c r="AA47" s="755"/>
      <c r="AB47" s="755"/>
      <c r="AC47" s="755"/>
    </row>
    <row r="48" spans="1:29" ht="15.75" thickBot="1">
      <c r="A48" s="485" t="s">
        <v>2581</v>
      </c>
      <c r="B48" s="486"/>
      <c r="C48" s="1409">
        <f>R49</f>
        <v>74922</v>
      </c>
      <c r="D48" s="1410"/>
      <c r="E48" s="1411">
        <f>R48</f>
        <v>78898</v>
      </c>
      <c r="F48" s="1411"/>
      <c r="G48" s="1409">
        <f>T48</f>
        <v>68977</v>
      </c>
      <c r="H48" s="1410"/>
      <c r="I48" s="1411">
        <f>V48</f>
        <v>76892</v>
      </c>
      <c r="J48" s="1410"/>
      <c r="K48" s="2621"/>
      <c r="L48" s="1139"/>
      <c r="M48" s="1140"/>
      <c r="N48" s="1140"/>
      <c r="O48" s="1140"/>
      <c r="P48" s="3682" t="str">
        <f>A48</f>
        <v>比较价值（元/平方米）</v>
      </c>
      <c r="Q48" s="3682"/>
      <c r="R48" s="3683">
        <f>IF(F1="售价",ROUND(PRODUCT(R47,AA7:AA46),0),ROUND(PRODUCT(R47,AA7:AA46),1))</f>
        <v>78898</v>
      </c>
      <c r="S48" s="3683"/>
      <c r="T48" s="3683">
        <f>IF(F1="售价",ROUND(PRODUCT(T47,AB7:AB46),0),ROUND(PRODUCT(T47,AB7:AB46),1))</f>
        <v>68977</v>
      </c>
      <c r="U48" s="3683"/>
      <c r="V48" s="3683">
        <f>IF(F1="售价",ROUND(PRODUCT(V47,AC7:AC46),0),ROUND(PRODUCT(V47,AC7:AC46),1))</f>
        <v>76892</v>
      </c>
      <c r="W48" s="3683"/>
      <c r="X48" s="755"/>
      <c r="Y48" s="755"/>
      <c r="Z48" s="755"/>
      <c r="AA48" s="755"/>
      <c r="AB48" s="755"/>
      <c r="AC48" s="755"/>
    </row>
    <row r="49" spans="1:29" ht="15.75" thickBot="1">
      <c r="A49" s="491" t="s">
        <v>2582</v>
      </c>
      <c r="B49" s="492"/>
      <c r="C49" s="1412">
        <f>R49</f>
        <v>74922</v>
      </c>
      <c r="D49" s="1413"/>
      <c r="E49" s="1413"/>
      <c r="F49" s="1413"/>
      <c r="G49" s="1413"/>
      <c r="H49" s="1413"/>
      <c r="I49" s="1413"/>
      <c r="J49" s="1413"/>
      <c r="K49" s="2622"/>
      <c r="L49" s="1139"/>
      <c r="M49" s="1140"/>
      <c r="N49" s="1140"/>
      <c r="O49" s="1140"/>
      <c r="P49" s="3679" t="str">
        <f>A49</f>
        <v>估价对象XX用房的比较价值（楼面单价，元/平方米）</v>
      </c>
      <c r="Q49" s="3680"/>
      <c r="R49" s="3681">
        <f>IF(F1="售价",ROUND(AVERAGE(R48:V48),0),ROUND(AVERAGE(R48:V48),1))</f>
        <v>74922</v>
      </c>
      <c r="S49" s="3681"/>
      <c r="T49" s="3681"/>
      <c r="U49" s="3681"/>
      <c r="V49" s="3681"/>
      <c r="W49" s="36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1"/>
      <c r="L52" s="1102"/>
      <c r="M52" s="1140"/>
      <c r="N52" s="1140"/>
      <c r="O52" s="1140"/>
    </row>
    <row r="53" spans="1:29" ht="13.5" customHeight="1">
      <c r="A53" s="1140"/>
      <c r="B53" s="1140"/>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1"/>
      <c r="L53" s="1102"/>
      <c r="M53" s="1140"/>
      <c r="N53" s="1140"/>
      <c r="O53" s="1140"/>
    </row>
    <row r="54" spans="1:29" s="501" customFormat="1" ht="13.5" customHeight="1">
      <c r="A54" s="1141"/>
      <c r="B54" s="1141"/>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4"/>
      <c r="L54" s="1145"/>
      <c r="M54" s="1141"/>
      <c r="N54" s="1141"/>
      <c r="O54" s="1141"/>
      <c r="P54" s="2624"/>
    </row>
    <row r="55" spans="1:29" s="501" customFormat="1">
      <c r="A55" s="1141"/>
      <c r="B55" s="1142"/>
      <c r="C55" s="1146"/>
      <c r="D55" s="1141"/>
      <c r="E55" s="1141"/>
      <c r="F55" s="1141"/>
      <c r="G55" s="1141"/>
      <c r="H55" s="1141"/>
      <c r="I55" s="1141"/>
      <c r="J55" s="1141"/>
      <c r="K55" s="1144"/>
      <c r="L55" s="1145"/>
      <c r="M55" s="1141"/>
      <c r="N55" s="1141"/>
      <c r="O55" s="1141"/>
      <c r="P55" s="2624"/>
    </row>
    <row r="56" spans="1:29">
      <c r="A56" s="1140"/>
      <c r="B56" s="1142"/>
      <c r="C56" s="1146"/>
      <c r="D56" s="1140"/>
      <c r="E56" s="1140"/>
      <c r="F56" s="1140"/>
      <c r="G56" s="1140"/>
      <c r="H56" s="1140"/>
      <c r="I56" s="1140"/>
      <c r="J56" s="1140"/>
      <c r="K56" s="1101"/>
      <c r="L56" s="1102"/>
      <c r="M56" s="1140"/>
      <c r="N56" s="1140"/>
      <c r="O56" s="1140"/>
    </row>
    <row r="57" spans="1:29" ht="21.75" thickBot="1">
      <c r="A57" s="759" t="s">
        <v>2586</v>
      </c>
      <c r="B57" s="755"/>
      <c r="C57" s="760"/>
      <c r="D57" s="760"/>
      <c r="E57" s="760"/>
      <c r="F57" s="761"/>
      <c r="G57" s="761"/>
      <c r="H57" s="760"/>
      <c r="I57" s="760"/>
      <c r="J57" s="760"/>
      <c r="K57" s="1156"/>
      <c r="L57" s="1157"/>
      <c r="M57" s="1155"/>
      <c r="N57" s="1155"/>
      <c r="O57" s="1155"/>
      <c r="P57" s="2625"/>
      <c r="Q57" s="503"/>
    </row>
    <row r="58" spans="1:29" s="507" customFormat="1" ht="15">
      <c r="A58" s="504" t="s">
        <v>2587</v>
      </c>
      <c r="B58" s="505"/>
      <c r="C58" s="1572" t="str">
        <f>YEAR(C7)&amp;"-"&amp;MONTH(C7)</f>
        <v>2018-2</v>
      </c>
      <c r="D58" s="1571">
        <f>EDATE(C58,-1)</f>
        <v>43101</v>
      </c>
      <c r="E58" s="1571">
        <f>EDATE(D58,-1)</f>
        <v>43070</v>
      </c>
      <c r="F58" s="1571">
        <f t="shared" ref="F58:O58" si="19">EDATE(E58,-1)</f>
        <v>43040</v>
      </c>
      <c r="G58" s="1571">
        <f t="shared" si="19"/>
        <v>43009</v>
      </c>
      <c r="H58" s="1571">
        <f t="shared" si="19"/>
        <v>42979</v>
      </c>
      <c r="I58" s="1571">
        <f t="shared" si="19"/>
        <v>42948</v>
      </c>
      <c r="J58" s="1571">
        <f t="shared" si="19"/>
        <v>42917</v>
      </c>
      <c r="K58" s="1571">
        <f t="shared" si="19"/>
        <v>42887</v>
      </c>
      <c r="L58" s="1571">
        <f t="shared" si="19"/>
        <v>42856</v>
      </c>
      <c r="M58" s="1571">
        <f t="shared" si="19"/>
        <v>42826</v>
      </c>
      <c r="N58" s="1571">
        <f t="shared" si="19"/>
        <v>42795</v>
      </c>
      <c r="O58" s="1571">
        <f t="shared" si="19"/>
        <v>42767</v>
      </c>
      <c r="P58" s="1566"/>
    </row>
    <row r="59" spans="1:29" s="116" customFormat="1" ht="15">
      <c r="A59" s="508"/>
      <c r="B59" s="2626"/>
      <c r="C59" s="1569">
        <v>100</v>
      </c>
      <c r="D59" s="510"/>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2589</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住宅</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9"/>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9"/>
      <c r="O67" s="1149"/>
      <c r="P67" s="2629"/>
      <c r="Q67" s="503"/>
    </row>
    <row r="68" spans="1:17" ht="15">
      <c r="A68" s="533"/>
      <c r="B68" s="547"/>
      <c r="C68" s="548">
        <v>0</v>
      </c>
      <c r="D68" s="548">
        <v>1</v>
      </c>
      <c r="E68" s="548">
        <v>2</v>
      </c>
      <c r="F68" s="548">
        <v>3</v>
      </c>
      <c r="G68" s="548">
        <v>4</v>
      </c>
      <c r="H68" s="548">
        <v>5</v>
      </c>
      <c r="I68" s="548">
        <v>6</v>
      </c>
      <c r="J68" s="548"/>
      <c r="K68" s="549"/>
      <c r="L68" s="550"/>
      <c r="M68" s="551"/>
      <c r="N68" s="1148"/>
      <c r="O68" s="1148"/>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59"/>
      <c r="E73" s="559"/>
      <c r="F73" s="559"/>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9"/>
      <c r="Q81" s="503"/>
    </row>
    <row r="82" spans="1:17" ht="15.75" thickTop="1">
      <c r="A82" s="533"/>
      <c r="B82" s="545" t="s">
        <v>2100</v>
      </c>
      <c r="C82" s="538" t="s">
        <v>2607</v>
      </c>
      <c r="D82" s="538" t="s">
        <v>2608</v>
      </c>
      <c r="E82" s="538" t="s">
        <v>2609</v>
      </c>
      <c r="F82" s="538" t="s">
        <v>2610</v>
      </c>
      <c r="G82" s="538" t="s">
        <v>2611</v>
      </c>
      <c r="H82" s="538"/>
      <c r="I82" s="538"/>
      <c r="J82" s="538"/>
      <c r="K82" s="538"/>
      <c r="L82" s="538"/>
      <c r="M82" s="1378"/>
      <c r="N82" s="1149"/>
      <c r="O82" s="1149"/>
      <c r="P82" s="262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9"/>
      <c r="Q85" s="503"/>
    </row>
    <row r="86" spans="1:17" s="116" customFormat="1" ht="15.75" thickTop="1">
      <c r="A86" s="578"/>
      <c r="B86" s="537" t="s">
        <v>2613</v>
      </c>
      <c r="C86" s="553"/>
      <c r="D86" s="553"/>
      <c r="E86" s="553"/>
      <c r="F86" s="553"/>
      <c r="G86" s="553"/>
      <c r="H86" s="553"/>
      <c r="I86" s="553"/>
      <c r="J86" s="553"/>
      <c r="K86" s="553"/>
      <c r="L86" s="579"/>
      <c r="M86" s="580"/>
      <c r="N86" s="1147"/>
      <c r="O86" s="1147"/>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9"/>
      <c r="Q87" s="503"/>
    </row>
    <row r="88" spans="1:17" s="116" customFormat="1" ht="15.75" thickTop="1">
      <c r="A88" s="578"/>
      <c r="B88" s="537" t="s">
        <v>2614</v>
      </c>
      <c r="C88" s="553"/>
      <c r="D88" s="553"/>
      <c r="E88" s="553"/>
      <c r="F88" s="2634"/>
      <c r="G88" s="553"/>
      <c r="H88" s="553"/>
      <c r="I88" s="553"/>
      <c r="J88" s="553"/>
      <c r="K88" s="553"/>
      <c r="L88" s="553"/>
      <c r="M88" s="580"/>
      <c r="N88" s="1147"/>
      <c r="O88" s="1147"/>
      <c r="P88" s="2629"/>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9"/>
      <c r="O89" s="1149"/>
      <c r="P89" s="2629"/>
      <c r="Q89" s="503"/>
    </row>
    <row r="90" spans="1:17" s="470" customFormat="1" ht="15.75" thickTop="1">
      <c r="A90" s="552"/>
      <c r="B90" s="537">
        <f>B27</f>
        <v>111</v>
      </c>
      <c r="C90" s="553"/>
      <c r="D90" s="553"/>
      <c r="E90" s="553"/>
      <c r="F90" s="553"/>
      <c r="G90" s="553"/>
      <c r="H90" s="554"/>
      <c r="I90" s="554"/>
      <c r="J90" s="554"/>
      <c r="K90" s="554"/>
      <c r="L90" s="555"/>
      <c r="M90" s="556"/>
      <c r="N90" s="1150"/>
      <c r="O90" s="1150"/>
      <c r="P90" s="2630"/>
      <c r="Q90" s="558"/>
    </row>
    <row r="91" spans="1:17" s="470" customFormat="1" ht="15.75" thickBot="1">
      <c r="A91" s="552"/>
      <c r="B91" s="542"/>
      <c r="C91" s="559"/>
      <c r="D91" s="559"/>
      <c r="E91" s="559"/>
      <c r="F91" s="559"/>
      <c r="G91" s="559"/>
      <c r="H91" s="561"/>
      <c r="I91" s="561"/>
      <c r="J91" s="561"/>
      <c r="K91" s="561"/>
      <c r="L91" s="561"/>
      <c r="M91" s="562"/>
      <c r="N91" s="1150"/>
      <c r="O91" s="1150"/>
      <c r="P91" s="2630"/>
      <c r="Q91" s="558"/>
    </row>
    <row r="92" spans="1:17" ht="15.75" thickTop="1">
      <c r="A92" s="533"/>
      <c r="B92" s="537">
        <f>B28</f>
        <v>111</v>
      </c>
      <c r="C92" s="553"/>
      <c r="D92" s="553"/>
      <c r="E92" s="553"/>
      <c r="F92" s="553"/>
      <c r="G92" s="582"/>
      <c r="H92" s="582"/>
      <c r="I92" s="582"/>
      <c r="J92" s="582"/>
      <c r="K92" s="583"/>
      <c r="L92" s="584"/>
      <c r="M92" s="585"/>
      <c r="N92" s="1148"/>
      <c r="O92" s="1148"/>
      <c r="P92" s="2629"/>
      <c r="Q92" s="503"/>
    </row>
    <row r="93" spans="1:17" ht="15.75" thickBot="1">
      <c r="A93" s="533"/>
      <c r="B93" s="542"/>
      <c r="C93" s="559"/>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59"/>
      <c r="E95" s="559"/>
      <c r="F95" s="559"/>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69"/>
      <c r="D97" s="569"/>
      <c r="E97" s="569"/>
      <c r="F97" s="569"/>
      <c r="G97" s="535"/>
      <c r="H97" s="535"/>
      <c r="I97" s="535"/>
      <c r="J97" s="535"/>
      <c r="K97" s="535"/>
      <c r="L97" s="535"/>
      <c r="M97" s="536"/>
      <c r="N97" s="1149"/>
      <c r="O97" s="1149"/>
      <c r="P97" s="2629"/>
      <c r="Q97" s="503"/>
    </row>
    <row r="98" spans="1:17" ht="15.75" thickTop="1">
      <c r="A98" s="533"/>
      <c r="B98" s="545">
        <f>B31</f>
        <v>111</v>
      </c>
      <c r="C98" s="586"/>
      <c r="D98" s="586"/>
      <c r="E98" s="586"/>
      <c r="F98" s="586"/>
      <c r="G98" s="586"/>
      <c r="H98" s="586"/>
      <c r="I98" s="586"/>
      <c r="J98" s="586"/>
      <c r="K98" s="587"/>
      <c r="L98" s="588"/>
      <c r="M98" s="589"/>
      <c r="N98" s="1148"/>
      <c r="O98" s="1148"/>
      <c r="P98" s="2629"/>
      <c r="Q98" s="503"/>
    </row>
    <row r="99" spans="1:17" ht="15.75" thickBot="1">
      <c r="A99" s="2635"/>
      <c r="B99" s="568"/>
      <c r="C99" s="590"/>
      <c r="D99" s="590"/>
      <c r="E99" s="590"/>
      <c r="F99" s="590"/>
      <c r="G99" s="590"/>
      <c r="H99" s="590"/>
      <c r="I99" s="590"/>
      <c r="J99" s="590"/>
      <c r="K99" s="590"/>
      <c r="L99" s="590"/>
      <c r="M99" s="591"/>
      <c r="N99" s="1149"/>
      <c r="O99" s="1149"/>
      <c r="P99" s="2629"/>
      <c r="Q99" s="503"/>
    </row>
    <row r="100" spans="1:17">
      <c r="A100" s="526" t="s">
        <v>2566</v>
      </c>
      <c r="B100" s="527" t="s">
        <v>2615</v>
      </c>
      <c r="C100" s="3275" t="s">
        <v>3169</v>
      </c>
      <c r="D100" s="529"/>
      <c r="E100" s="529"/>
      <c r="F100" s="529"/>
      <c r="G100" s="529"/>
      <c r="H100" s="529"/>
      <c r="I100" s="529"/>
      <c r="J100" s="529"/>
      <c r="K100" s="530"/>
      <c r="L100" s="531"/>
      <c r="M100" s="532"/>
      <c r="N100" s="1148"/>
      <c r="O100" s="1148"/>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9"/>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9"/>
      <c r="Q102" s="503"/>
    </row>
    <row r="103" spans="1:17" s="470" customFormat="1">
      <c r="A103" s="592"/>
      <c r="B103" s="593"/>
      <c r="C103" s="594">
        <v>0</v>
      </c>
      <c r="D103" s="594">
        <v>200</v>
      </c>
      <c r="E103" s="594">
        <v>400</v>
      </c>
      <c r="F103" s="594"/>
      <c r="G103" s="594"/>
      <c r="H103" s="594"/>
      <c r="I103" s="594"/>
      <c r="J103" s="595"/>
      <c r="K103" s="595"/>
      <c r="L103" s="596"/>
      <c r="M103" s="597"/>
      <c r="N103" s="1150"/>
      <c r="O103" s="1150"/>
      <c r="P103" s="2630"/>
      <c r="Q103" s="558"/>
    </row>
    <row r="104" spans="1:17" s="470" customFormat="1" ht="15.75" thickBot="1">
      <c r="A104" s="552"/>
      <c r="B104" s="542"/>
      <c r="C104" s="559">
        <v>100</v>
      </c>
      <c r="D104" s="535">
        <v>102</v>
      </c>
      <c r="E104" s="535">
        <v>104</v>
      </c>
      <c r="F104" s="535"/>
      <c r="G104" s="535"/>
      <c r="H104" s="535"/>
      <c r="I104" s="535"/>
      <c r="J104" s="535"/>
      <c r="K104" s="535"/>
      <c r="L104" s="535"/>
      <c r="M104" s="535"/>
      <c r="N104" s="1149"/>
      <c r="O104" s="1149"/>
      <c r="P104" s="2630"/>
      <c r="Q104" s="558"/>
    </row>
    <row r="105" spans="1:17" ht="15" thickTop="1">
      <c r="A105" s="598"/>
      <c r="B105" s="537" t="s">
        <v>2617</v>
      </c>
      <c r="C105" s="3283"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9"/>
      <c r="Q106" s="503"/>
    </row>
    <row r="107" spans="1:17" ht="15" thickTop="1">
      <c r="A107" s="598"/>
      <c r="B107" s="537" t="s">
        <v>2618</v>
      </c>
      <c r="C107" s="3284" t="s">
        <v>3174</v>
      </c>
      <c r="D107" s="3284" t="s">
        <v>3175</v>
      </c>
      <c r="E107" s="582"/>
      <c r="F107" s="582"/>
      <c r="G107" s="582"/>
      <c r="H107" s="582"/>
      <c r="I107" s="582"/>
      <c r="J107" s="582"/>
      <c r="K107" s="583"/>
      <c r="L107" s="584"/>
      <c r="M107" s="585"/>
      <c r="N107" s="1148"/>
      <c r="O107" s="1148"/>
      <c r="P107" s="2629"/>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9"/>
      <c r="O108" s="1149"/>
      <c r="P108" s="2629"/>
      <c r="Q108" s="503"/>
    </row>
    <row r="109" spans="1:17" ht="15" thickTop="1">
      <c r="A109" s="598"/>
      <c r="B109" s="537" t="s">
        <v>2619</v>
      </c>
      <c r="C109" s="3283" t="s">
        <v>3177</v>
      </c>
      <c r="D109" s="553"/>
      <c r="E109" s="553"/>
      <c r="F109" s="582"/>
      <c r="G109" s="582"/>
      <c r="H109" s="582"/>
      <c r="I109" s="582"/>
      <c r="J109" s="582"/>
      <c r="K109" s="583"/>
      <c r="L109" s="584"/>
      <c r="M109" s="585"/>
      <c r="N109" s="1148"/>
      <c r="O109" s="1148"/>
      <c r="P109" s="2629"/>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9"/>
      <c r="O110" s="1149"/>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30"/>
      <c r="Q113" s="558"/>
    </row>
    <row r="114" spans="1:17" ht="15" thickTop="1">
      <c r="A114" s="598"/>
      <c r="B114" s="537" t="s">
        <v>2620</v>
      </c>
      <c r="C114" s="3283" t="s">
        <v>3179</v>
      </c>
      <c r="D114" s="3283" t="s">
        <v>3180</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9"/>
      <c r="Q115" s="503"/>
    </row>
    <row r="116" spans="1:17" ht="15" thickTop="1">
      <c r="A116" s="598"/>
      <c r="B116" s="537" t="s">
        <v>2621</v>
      </c>
      <c r="C116" s="3283" t="s">
        <v>3181</v>
      </c>
      <c r="D116" s="553"/>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9"/>
      <c r="Q117" s="503"/>
    </row>
    <row r="118" spans="1:17" ht="15" thickTop="1">
      <c r="A118" s="598"/>
      <c r="B118" s="537" t="s">
        <v>2622</v>
      </c>
      <c r="C118" s="582"/>
      <c r="D118" s="582"/>
      <c r="E118" s="582"/>
      <c r="F118" s="582"/>
      <c r="G118" s="582"/>
      <c r="H118" s="582"/>
      <c r="I118" s="582"/>
      <c r="J118" s="582"/>
      <c r="K118" s="583"/>
      <c r="L118" s="584"/>
      <c r="M118" s="585"/>
      <c r="N118" s="1148"/>
      <c r="O118" s="1148"/>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9"/>
      <c r="Q119" s="503"/>
    </row>
    <row r="120" spans="1:17" s="470" customFormat="1" ht="28.5" thickTop="1">
      <c r="A120" s="592"/>
      <c r="B120" s="537" t="s">
        <v>2577</v>
      </c>
      <c r="C120" s="553"/>
      <c r="D120" s="553"/>
      <c r="E120" s="553"/>
      <c r="F120" s="553"/>
      <c r="G120" s="553"/>
      <c r="H120" s="553"/>
      <c r="I120" s="553"/>
      <c r="J120" s="553"/>
      <c r="K120" s="553"/>
      <c r="L120" s="579"/>
      <c r="M120" s="580"/>
      <c r="N120" s="1150"/>
      <c r="O120" s="1150"/>
      <c r="P120" s="2630"/>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30"/>
      <c r="Q121" s="558"/>
    </row>
    <row r="122" spans="1:17" ht="15" thickTop="1">
      <c r="A122" s="598"/>
      <c r="B122" s="537" t="s">
        <v>2623</v>
      </c>
      <c r="C122" s="3283" t="s">
        <v>3177</v>
      </c>
      <c r="D122" s="3283" t="s">
        <v>3182</v>
      </c>
      <c r="E122" s="3283" t="s">
        <v>3183</v>
      </c>
      <c r="F122" s="328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59"/>
      <c r="E129" s="559"/>
      <c r="F129" s="559"/>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row r="136" spans="1:17" ht="15" thickBot="1">
      <c r="B136" s="2636" t="s">
        <v>2625</v>
      </c>
    </row>
    <row r="137" spans="1:17" ht="15">
      <c r="B137" s="2637" t="s">
        <v>2626</v>
      </c>
      <c r="C137" s="2638"/>
      <c r="D137" s="2638"/>
      <c r="E137" s="2638"/>
      <c r="F137" s="2638"/>
      <c r="G137" s="2639"/>
      <c r="H137" s="2640"/>
      <c r="I137" s="2641" t="s">
        <v>2627</v>
      </c>
      <c r="J137" s="2638"/>
      <c r="K137" s="2642"/>
    </row>
    <row r="138" spans="1:17" ht="15">
      <c r="B138" s="2643"/>
      <c r="C138" s="145" t="s">
        <v>2628</v>
      </c>
      <c r="D138" s="145" t="s">
        <v>2629</v>
      </c>
      <c r="E138" s="2644" t="s">
        <v>2630</v>
      </c>
      <c r="F138" s="2645" t="s">
        <v>2631</v>
      </c>
      <c r="G138" s="145" t="s">
        <v>2629</v>
      </c>
      <c r="H138" s="146" t="s">
        <v>2630</v>
      </c>
      <c r="I138" s="2646"/>
      <c r="J138" s="145" t="s">
        <v>2632</v>
      </c>
      <c r="K138" s="146" t="s">
        <v>2633</v>
      </c>
    </row>
    <row r="139" spans="1:17" ht="15">
      <c r="B139" s="1080">
        <v>6</v>
      </c>
      <c r="C139" s="1081">
        <v>96</v>
      </c>
      <c r="D139" s="2647" t="s">
        <v>2634</v>
      </c>
      <c r="E139" s="1082">
        <v>100</v>
      </c>
      <c r="F139" s="1083">
        <v>102.5</v>
      </c>
      <c r="G139" s="2647" t="s">
        <v>2634</v>
      </c>
      <c r="H139" s="1084">
        <v>105</v>
      </c>
      <c r="I139" s="2648" t="s">
        <v>2635</v>
      </c>
      <c r="J139" s="1081">
        <v>20</v>
      </c>
      <c r="K139" s="1085">
        <f>C145/(J139-2)</f>
        <v>4.0555555555555553E-3</v>
      </c>
    </row>
    <row r="140" spans="1:17" ht="15">
      <c r="B140" s="1086">
        <v>5</v>
      </c>
      <c r="C140" s="1087">
        <v>100</v>
      </c>
      <c r="D140" s="1087"/>
      <c r="E140" s="1088"/>
      <c r="F140" s="1089">
        <v>102</v>
      </c>
      <c r="G140" s="1087"/>
      <c r="H140" s="1090"/>
      <c r="I140" s="2649" t="s">
        <v>2636</v>
      </c>
      <c r="J140" s="314">
        <f>ROUNDUP((J139-1)/2,0)</f>
        <v>10</v>
      </c>
      <c r="K140" s="1091">
        <v>100</v>
      </c>
    </row>
    <row r="141" spans="1:17" ht="15">
      <c r="B141" s="1086">
        <v>4</v>
      </c>
      <c r="C141" s="1087">
        <v>102</v>
      </c>
      <c r="D141" s="1087"/>
      <c r="E141" s="1088"/>
      <c r="F141" s="1089">
        <v>101.5</v>
      </c>
      <c r="G141" s="1087"/>
      <c r="H141" s="1090"/>
      <c r="I141" s="2649" t="s">
        <v>2637</v>
      </c>
      <c r="J141" s="314">
        <v>1</v>
      </c>
      <c r="K141" s="1092">
        <f>ROUND(100+(J141-J140)*K139*100,1)</f>
        <v>96.4</v>
      </c>
    </row>
    <row r="142" spans="1:17" ht="15">
      <c r="B142" s="1086">
        <v>3</v>
      </c>
      <c r="C142" s="1087">
        <v>103</v>
      </c>
      <c r="D142" s="1087"/>
      <c r="E142" s="1088"/>
      <c r="F142" s="1089">
        <v>101</v>
      </c>
      <c r="G142" s="1087"/>
      <c r="H142" s="1090"/>
      <c r="I142" s="2649" t="s">
        <v>2638</v>
      </c>
      <c r="J142" s="314">
        <f>J139</f>
        <v>20</v>
      </c>
      <c r="K142" s="1093">
        <v>95</v>
      </c>
    </row>
    <row r="143" spans="1:17" ht="15">
      <c r="B143" s="1086">
        <v>2</v>
      </c>
      <c r="C143" s="1087">
        <v>100</v>
      </c>
      <c r="D143" s="1087"/>
      <c r="E143" s="1088"/>
      <c r="F143" s="1089">
        <v>100.5</v>
      </c>
      <c r="G143" s="1087"/>
      <c r="H143" s="1090"/>
      <c r="I143" s="2649" t="s">
        <v>2639</v>
      </c>
      <c r="J143" s="1087">
        <v>15</v>
      </c>
      <c r="K143" s="1092">
        <f>ROUND(100+(J143-J140)*K139*100,1)</f>
        <v>102</v>
      </c>
    </row>
    <row r="144" spans="1:17" ht="15">
      <c r="B144" s="1086">
        <v>1</v>
      </c>
      <c r="C144" s="1087">
        <v>98</v>
      </c>
      <c r="D144" s="2650" t="s">
        <v>2640</v>
      </c>
      <c r="E144" s="1088">
        <v>102</v>
      </c>
      <c r="F144" s="1094">
        <v>100</v>
      </c>
      <c r="G144" s="2650" t="s">
        <v>2640</v>
      </c>
      <c r="H144" s="1090">
        <v>105</v>
      </c>
      <c r="I144" s="2649" t="s">
        <v>2639</v>
      </c>
      <c r="J144" s="1087">
        <v>18</v>
      </c>
      <c r="K144" s="1092">
        <f>ROUND(100+(J144-J140)*K139*100,1)</f>
        <v>103.2</v>
      </c>
    </row>
    <row r="145" spans="2:11" ht="15.75" thickBot="1">
      <c r="B145" s="2651" t="s">
        <v>2641</v>
      </c>
      <c r="C145" s="1095">
        <f>ROUND(MAX(C139:C144)/MIN(C139:C144)-1,3)</f>
        <v>7.2999999999999995E-2</v>
      </c>
      <c r="D145" s="1096"/>
      <c r="E145" s="1096"/>
      <c r="F145" s="2652" t="s">
        <v>2642</v>
      </c>
      <c r="G145" s="2653"/>
      <c r="H145" s="2654"/>
      <c r="I145" s="2655" t="s">
        <v>2639</v>
      </c>
      <c r="J145" s="1097">
        <v>8</v>
      </c>
      <c r="K145" s="1098">
        <f>ROUND(100+(J145-J140)*K139*100,1)</f>
        <v>99.2</v>
      </c>
    </row>
    <row r="147" spans="2:11">
      <c r="B147" s="2636" t="s">
        <v>2643</v>
      </c>
    </row>
    <row r="148" spans="2:11">
      <c r="B148" s="2636"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459" t="str">
        <f>项目基本情况!B1</f>
        <v>北京市房地产抵押价值预评估</v>
      </c>
      <c r="C37" s="3459"/>
      <c r="D37" s="3459"/>
      <c r="E37" s="3459"/>
      <c r="F37" s="3459"/>
      <c r="G37" s="3459"/>
      <c r="H37" s="3459"/>
      <c r="I37" s="3459"/>
    </row>
    <row r="38" spans="1:9">
      <c r="A38" s="1012"/>
      <c r="B38" s="1012"/>
    </row>
    <row r="39" spans="1:9">
      <c r="A39" s="1010" t="s">
        <v>817</v>
      </c>
      <c r="B39" s="1010" t="s">
        <v>819</v>
      </c>
    </row>
    <row r="40" spans="1:9">
      <c r="A40" s="1010"/>
      <c r="B40" s="1938">
        <f>项目基本情况!B5</f>
        <v>0</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刘梅（注册号：1120140022)、吴薇（注册号：1419970001)</v>
      </c>
    </row>
    <row r="47" spans="1:9">
      <c r="A47" s="1010"/>
      <c r="B47" s="1010" t="str">
        <f>项目基本情况!K5</f>
        <v/>
      </c>
    </row>
    <row r="48" spans="1:9">
      <c r="A48" s="1010" t="s">
        <v>817</v>
      </c>
      <c r="B48" s="1010"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3"/>
      <c r="C1" s="2552" t="s">
        <v>2431</v>
      </c>
      <c r="D1" s="241"/>
      <c r="E1" s="241"/>
      <c r="F1" s="241"/>
      <c r="G1" s="1375">
        <f>MATCH(B1,'数据-取费表'!A6:A16,0)+5</f>
        <v>8</v>
      </c>
      <c r="H1" s="1278" t="str">
        <f>IF(ISERROR(FIND("住宅",B1)),"非住宅","住宅")</f>
        <v>非住宅</v>
      </c>
    </row>
    <row r="2" spans="1:8" s="243" customFormat="1" ht="18" customHeight="1">
      <c r="A2" s="244" t="s">
        <v>2330</v>
      </c>
      <c r="B2" s="245">
        <f ca="1">ROUND(IF(D2="——",C52/10000,C52/10000-E2),0)</f>
        <v>6017</v>
      </c>
      <c r="C2" s="242" t="s">
        <v>2331</v>
      </c>
      <c r="D2" s="2546" t="s">
        <v>70</v>
      </c>
      <c r="E2" s="1436" t="e">
        <f ca="1">SUMIF(INDIRECT("'"&amp;G2&amp;"'"&amp;"!A:A"),"承租人权益价值",INDIRECT("'"&amp;G2&amp;"'"&amp;"!c:c"))</f>
        <v>#REF!</v>
      </c>
      <c r="F2" s="2547" t="s">
        <v>2331</v>
      </c>
      <c r="G2" s="2548"/>
    </row>
    <row r="3" spans="1:8" s="243" customFormat="1" ht="18" customHeight="1" thickBot="1">
      <c r="A3" s="246" t="s">
        <v>2332</v>
      </c>
      <c r="B3" s="247">
        <f ca="1">ROUND(B2*10000/(IF(B1="",'数据-汇总表'!E3,INDIRECT("'数据-取费表'!k"&amp;$G$1))),0)</f>
        <v>10089</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980446</v>
      </c>
      <c r="D5" s="254" t="s">
        <v>2337</v>
      </c>
      <c r="E5" s="255" t="s">
        <v>2338</v>
      </c>
      <c r="F5" s="255" t="s">
        <v>2339</v>
      </c>
      <c r="G5" s="256"/>
    </row>
    <row r="6" spans="1:8" s="257" customFormat="1" ht="13.5" customHeight="1">
      <c r="A6" s="945" t="s">
        <v>2340</v>
      </c>
      <c r="B6" s="258" t="s">
        <v>2341</v>
      </c>
      <c r="C6" s="259"/>
      <c r="D6" s="260"/>
      <c r="E6" s="261"/>
      <c r="F6" s="261"/>
      <c r="G6" s="262"/>
    </row>
    <row r="7" spans="1:8" s="257" customFormat="1" ht="13.5" customHeight="1">
      <c r="A7" s="945" t="s">
        <v>2342</v>
      </c>
      <c r="B7" s="258" t="s">
        <v>2343</v>
      </c>
      <c r="C7" s="263">
        <f>ROUND(C6*F7,0)</f>
        <v>0</v>
      </c>
      <c r="D7" s="263"/>
      <c r="E7" s="261"/>
      <c r="F7" s="264">
        <f>'数据-取费表'!B48+'数据-取费表'!B49</f>
        <v>3.0499999999999999E-2</v>
      </c>
      <c r="G7" s="262"/>
    </row>
    <row r="8" spans="1:8" s="266" customFormat="1">
      <c r="A8" s="945" t="s">
        <v>2344</v>
      </c>
      <c r="B8" s="258" t="s">
        <v>2345</v>
      </c>
      <c r="C8" s="263">
        <f ca="1">IF(G8="已包含在土地购买价格中",0,C9+C10)</f>
        <v>980446</v>
      </c>
      <c r="D8" s="265"/>
      <c r="E8" s="263"/>
      <c r="F8" s="264"/>
      <c r="G8" s="2549"/>
    </row>
    <row r="9" spans="1:8" s="257" customFormat="1" ht="13.5" customHeight="1">
      <c r="A9" s="946" t="s">
        <v>799</v>
      </c>
      <c r="B9" s="267" t="s">
        <v>2346</v>
      </c>
      <c r="C9" s="268">
        <f ca="1">ROUND(D9*E9,0)</f>
        <v>849194</v>
      </c>
      <c r="D9" s="1028">
        <f ca="1">IF(B1="",'数据-汇总表'!E5,IF(INDIRECT("'数据-取费表'!c"&amp;$G$1)="住宅",INDIRECT("'数据-取费表'!k"&amp;$G$1),0))</f>
        <v>5307.46</v>
      </c>
      <c r="E9" s="268">
        <f>'数据-取费表'!B27</f>
        <v>160</v>
      </c>
      <c r="F9" s="264"/>
      <c r="G9" s="269"/>
    </row>
    <row r="10" spans="1:8" s="257" customFormat="1" ht="13.5" customHeight="1">
      <c r="A10" s="946" t="s">
        <v>800</v>
      </c>
      <c r="B10" s="267" t="s">
        <v>2348</v>
      </c>
      <c r="C10" s="268">
        <f ca="1">ROUND(D10*E10,0)</f>
        <v>131252</v>
      </c>
      <c r="D10" s="1028">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30"/>
      <c r="E11" s="261"/>
      <c r="F11" s="261"/>
      <c r="G11" s="262"/>
    </row>
    <row r="12" spans="1:8" s="257" customFormat="1" ht="13.5" hidden="1" customHeight="1">
      <c r="A12" s="270" t="s">
        <v>8</v>
      </c>
      <c r="B12" s="258" t="s">
        <v>2432</v>
      </c>
      <c r="C12" s="254">
        <v>0</v>
      </c>
      <c r="D12" s="1030"/>
      <c r="E12" s="271"/>
      <c r="F12" s="264">
        <v>3.0499999999999999E-2</v>
      </c>
      <c r="G12" s="262"/>
    </row>
    <row r="13" spans="1:8" s="257" customFormat="1" ht="13.5" hidden="1" customHeight="1">
      <c r="A13" s="270" t="s">
        <v>9</v>
      </c>
      <c r="B13" s="258" t="s">
        <v>2433</v>
      </c>
      <c r="C13" s="254"/>
      <c r="D13" s="1030"/>
      <c r="E13" s="261"/>
      <c r="F13" s="261"/>
      <c r="G13" s="262"/>
    </row>
    <row r="14" spans="1:8" s="257" customFormat="1" ht="13.5" hidden="1" customHeight="1">
      <c r="A14" s="270" t="s">
        <v>10</v>
      </c>
      <c r="B14" s="258" t="s">
        <v>2345</v>
      </c>
      <c r="C14" s="254"/>
      <c r="D14" s="1030"/>
      <c r="E14" s="261"/>
      <c r="F14" s="261"/>
      <c r="G14" s="262" t="s">
        <v>2434</v>
      </c>
    </row>
    <row r="15" spans="1:8" s="257" customFormat="1" ht="13.5" hidden="1" customHeight="1">
      <c r="A15" s="270" t="s">
        <v>11</v>
      </c>
      <c r="B15" s="258" t="s">
        <v>2435</v>
      </c>
      <c r="C15" s="263"/>
      <c r="D15" s="1030"/>
      <c r="E15" s="261"/>
      <c r="F15" s="261"/>
      <c r="G15" s="262" t="s">
        <v>2436</v>
      </c>
    </row>
    <row r="16" spans="1:8" s="257" customFormat="1" ht="13.5" hidden="1" customHeight="1">
      <c r="A16" s="270" t="s">
        <v>12</v>
      </c>
      <c r="B16" s="258" t="s">
        <v>2345</v>
      </c>
      <c r="C16" s="263"/>
      <c r="D16" s="1030"/>
      <c r="E16" s="261"/>
      <c r="F16" s="261"/>
      <c r="G16" s="262"/>
    </row>
    <row r="17" spans="1:7" s="257" customFormat="1" ht="13.5" hidden="1" customHeight="1">
      <c r="A17" s="270" t="s">
        <v>13</v>
      </c>
      <c r="B17" s="258" t="s">
        <v>2437</v>
      </c>
      <c r="C17" s="272"/>
      <c r="D17" s="1031"/>
      <c r="E17" s="272"/>
      <c r="F17" s="272"/>
      <c r="G17" s="262" t="s">
        <v>2436</v>
      </c>
    </row>
    <row r="18" spans="1:7" s="257" customFormat="1" ht="13.5" hidden="1" customHeight="1">
      <c r="A18" s="270" t="s">
        <v>14</v>
      </c>
      <c r="B18" s="258" t="s">
        <v>2438</v>
      </c>
      <c r="C18" s="263">
        <v>0</v>
      </c>
      <c r="D18" s="1030"/>
      <c r="E18" s="261"/>
      <c r="F18" s="264">
        <v>3.0499999999999999E-2</v>
      </c>
      <c r="G18" s="262" t="s">
        <v>2439</v>
      </c>
    </row>
    <row r="19" spans="1:7" s="266" customFormat="1" ht="13.5" customHeight="1">
      <c r="A19" s="298" t="s">
        <v>2440</v>
      </c>
      <c r="B19" s="253" t="s">
        <v>2441</v>
      </c>
      <c r="C19" s="254">
        <f ca="1">IF(G19="已包含在土地取得成本中","0",ROUND(D19*E19,0))</f>
        <v>1192744</v>
      </c>
      <c r="D19" s="1032">
        <f ca="1">D9+D10</f>
        <v>5963.72</v>
      </c>
      <c r="E19" s="254">
        <f>'数据-取费表'!B31</f>
        <v>200</v>
      </c>
      <c r="F19" s="274"/>
      <c r="G19" s="2549"/>
    </row>
    <row r="20" spans="1:7" s="257" customFormat="1" ht="13.5" customHeight="1">
      <c r="A20" s="298" t="s">
        <v>2442</v>
      </c>
      <c r="B20" s="253" t="s">
        <v>2443</v>
      </c>
      <c r="C20" s="275">
        <f ca="1">ROUND((C5+C19)*F20,0)</f>
        <v>65196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6">
        <f ca="1">ROUND(SUM(C23:C25),0)</f>
        <v>214454</v>
      </c>
      <c r="D22" s="278">
        <f ca="1">C26</f>
        <v>1.4E-3</v>
      </c>
      <c r="E22" s="279" t="s">
        <v>2447</v>
      </c>
      <c r="F22" s="280">
        <f ca="1">'数据-取费表'!B40</f>
        <v>4.7500000000000001E-2</v>
      </c>
      <c r="G22" s="277" t="str">
        <f>IF('数据-取费表'!B22&lt;=1,"单利计息","复利计息")</f>
        <v>复利计息</v>
      </c>
    </row>
    <row r="23" spans="1:7" s="257" customFormat="1" ht="13.5" customHeight="1">
      <c r="A23" s="947" t="s">
        <v>2340</v>
      </c>
      <c r="B23" s="258" t="s">
        <v>2451</v>
      </c>
      <c r="C23" s="1377">
        <f ca="1">ROUND(IF('数据-取费表'!B22&lt;=1,C5*F22*'数据-取费表'!B22,C5*(POWER((1+F22),'数据-取费表'!B22)-1)),0)</f>
        <v>95355</v>
      </c>
      <c r="D23" s="281"/>
      <c r="E23" s="281"/>
      <c r="F23" s="282"/>
      <c r="G23" s="283" t="s">
        <v>2452</v>
      </c>
    </row>
    <row r="24" spans="1:7" s="257" customFormat="1" ht="13.5" customHeight="1">
      <c r="A24" s="947" t="s">
        <v>2342</v>
      </c>
      <c r="B24" s="258" t="s">
        <v>2453</v>
      </c>
      <c r="C24" s="1377">
        <f ca="1">ROUND(IF('数据-取费表'!B22&lt;=1,C19*F22*('数据-取费表'!B19/2+'数据-取费表'!B20),C19*(POWER((1+F22),('数据-取费表'!B19/2+'数据-取费表'!B20))-1)),0)</f>
        <v>116002</v>
      </c>
      <c r="D24" s="281"/>
      <c r="E24" s="281"/>
      <c r="F24" s="282"/>
      <c r="G24" s="283" t="s">
        <v>2454</v>
      </c>
    </row>
    <row r="25" spans="1:7" s="257" customFormat="1" ht="24">
      <c r="A25" s="947" t="s">
        <v>2344</v>
      </c>
      <c r="B25" s="258" t="s">
        <v>2455</v>
      </c>
      <c r="C25" s="1377">
        <f ca="1">ROUND(IF('数据-取费表'!B22&lt;=1,C20*F22*'数据-取费表'!B22/2,C20*(POWER((1+F22),'数据-取费表'!B22/2)-1)),0)</f>
        <v>3097</v>
      </c>
      <c r="D25" s="281"/>
      <c r="E25" s="284"/>
      <c r="F25" s="282"/>
      <c r="G25" s="285" t="s">
        <v>2456</v>
      </c>
    </row>
    <row r="26" spans="1:7" s="257" customFormat="1">
      <c r="A26" s="947"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783435</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ROUND((C5+C19+C20)*F27,0)</f>
        <v>783435</v>
      </c>
      <c r="D28" s="278"/>
      <c r="E28" s="279"/>
      <c r="F28" s="289"/>
      <c r="G28" s="290"/>
    </row>
    <row r="29" spans="1:7" s="257" customFormat="1" ht="13.5" customHeight="1">
      <c r="A29" s="947"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3573231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37483236</v>
      </c>
      <c r="D33" s="275"/>
      <c r="E33" s="255"/>
      <c r="F33" s="284"/>
      <c r="G33" s="277"/>
    </row>
    <row r="34" spans="1:7" s="301" customFormat="1" ht="13.5" customHeight="1">
      <c r="A34" s="947" t="s">
        <v>790</v>
      </c>
      <c r="B34" s="258" t="s">
        <v>2393</v>
      </c>
      <c r="C34" s="263">
        <f ca="1">ROUND(IF(B1="",SUMPRODUCT('数据-取费表'!K6:K14,'数据-取费表'!L6:L14),INDIRECT("'数据-取费表'!l"&amp;$G$1)*INDIRECT("'数据-取费表'!k"&amp;$G$1)+'数据-取费表'!L14*INDIRECT("'数据-取费表'!S"&amp;$G$1)),0)</f>
        <v>33813540</v>
      </c>
      <c r="D34" s="260"/>
      <c r="E34" s="263"/>
      <c r="F34" s="300"/>
      <c r="G34" s="262"/>
    </row>
    <row r="35" spans="1:7" ht="13.5" customHeight="1">
      <c r="A35" s="947" t="s">
        <v>795</v>
      </c>
      <c r="B35" s="258" t="s">
        <v>2395</v>
      </c>
      <c r="C35" s="263">
        <f ca="1">ROUND(C34*F35,0)</f>
        <v>1014406</v>
      </c>
      <c r="D35" s="263"/>
      <c r="E35" s="263"/>
      <c r="F35" s="302">
        <f>'数据-取费表'!B33</f>
        <v>0.03</v>
      </c>
      <c r="G35" s="262" t="s">
        <v>2396</v>
      </c>
    </row>
    <row r="36" spans="1:7" ht="24">
      <c r="A36" s="947" t="s">
        <v>796</v>
      </c>
      <c r="B36" s="258" t="s">
        <v>2397</v>
      </c>
      <c r="C36" s="263">
        <f ca="1">ROUND(IF(B1="",SUM('数据-取费表'!AP6:AP13)*F36,IF(INDIRECT("'数据-取费表'!c"&amp;$G$1)="住宅",INDIRECT("'数据-取费表'!k"&amp;$G$1)*INDIRECT("'数据-取费表'!l"&amp;$G$1)*F36,0)),0)</f>
        <v>955343</v>
      </c>
      <c r="D36" s="263"/>
      <c r="E36" s="263"/>
      <c r="F36" s="302">
        <f>'数据-取费表'!B34</f>
        <v>0.03</v>
      </c>
      <c r="G36" s="303" t="s">
        <v>2398</v>
      </c>
    </row>
    <row r="37" spans="1:7" s="301" customFormat="1" ht="13.5" customHeight="1">
      <c r="A37" s="947" t="s">
        <v>797</v>
      </c>
      <c r="B37" s="258" t="s">
        <v>2399</v>
      </c>
      <c r="C37" s="292">
        <f ca="1">ROUND(E37*D37,0)</f>
        <v>1192744</v>
      </c>
      <c r="D37" s="260">
        <f ca="1">D19</f>
        <v>5963.72</v>
      </c>
      <c r="E37" s="292">
        <f>'数据-取费表'!B35</f>
        <v>200</v>
      </c>
      <c r="F37" s="302"/>
      <c r="G37" s="304"/>
    </row>
    <row r="38" spans="1:7" ht="13.5" customHeight="1">
      <c r="A38" s="947" t="s">
        <v>798</v>
      </c>
      <c r="B38" s="258" t="s">
        <v>2401</v>
      </c>
      <c r="C38" s="263">
        <f ca="1">ROUND(C34*F38,0)</f>
        <v>507203</v>
      </c>
      <c r="D38" s="263"/>
      <c r="E38" s="263"/>
      <c r="F38" s="302">
        <f>'数据-取费表'!B36</f>
        <v>1.4999999999999999E-2</v>
      </c>
      <c r="G38" s="262" t="s">
        <v>2396</v>
      </c>
    </row>
    <row r="39" spans="1:7" s="257" customFormat="1" ht="13.5" customHeight="1">
      <c r="A39" s="298" t="s">
        <v>2402</v>
      </c>
      <c r="B39" s="253" t="s">
        <v>2403</v>
      </c>
      <c r="C39" s="275">
        <f ca="1">ROUND(C33*F20,0)</f>
        <v>1124497</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1833868</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ROUND(IF('数据-取费表'!B22&lt;=1,C33*F22*'数据-取费表'!B20/2,C33*(POWER((1+F22),'数据-取费表'!B20/2)-1)),0)</f>
        <v>1780454</v>
      </c>
      <c r="D42" s="281"/>
      <c r="E42" s="281"/>
      <c r="F42" s="282"/>
      <c r="G42" s="3693" t="s">
        <v>2459</v>
      </c>
    </row>
    <row r="43" spans="1:7" ht="13.5" customHeight="1">
      <c r="A43" s="947" t="s">
        <v>791</v>
      </c>
      <c r="B43" s="258" t="s">
        <v>2413</v>
      </c>
      <c r="C43" s="281">
        <f ca="1">ROUND(IF('数据-取费表'!B22&lt;=1,C39*F22*'数据-取费表'!B20/2,C39*(POWER((1+F22),'数据-取费表'!B20/2)-1)),0)</f>
        <v>53414</v>
      </c>
      <c r="D43" s="281"/>
      <c r="E43" s="281"/>
      <c r="F43" s="282"/>
      <c r="G43" s="3694"/>
    </row>
    <row r="44" spans="1:7" ht="13.5" customHeight="1">
      <c r="A44" s="947" t="s">
        <v>792</v>
      </c>
      <c r="B44" s="258" t="s">
        <v>2414</v>
      </c>
      <c r="C44" s="281">
        <f ca="1">ROUND(IF('数据-取费表'!B22&lt;=1,C40*F22*'数据-取费表'!B20/2,C40*(POWER((1+F22),'数据-取费表'!B20/2)-1)),4)</f>
        <v>1.4E-3</v>
      </c>
      <c r="D44" s="281"/>
      <c r="E44" s="281"/>
      <c r="F44" s="282"/>
      <c r="G44" s="3695"/>
    </row>
    <row r="45" spans="1:7" s="257" customFormat="1" ht="13.5" customHeight="1">
      <c r="A45" s="298" t="s">
        <v>2415</v>
      </c>
      <c r="B45" s="287" t="s">
        <v>2381</v>
      </c>
      <c r="C45" s="288">
        <f ca="1">C46</f>
        <v>13512707</v>
      </c>
      <c r="D45" s="278">
        <f ca="1">C47</f>
        <v>1.0500000000000001E-2</v>
      </c>
      <c r="E45" s="279" t="s">
        <v>2407</v>
      </c>
      <c r="F45" s="289"/>
      <c r="G45" s="290" t="s">
        <v>2416</v>
      </c>
    </row>
    <row r="46" spans="1:7" s="257" customFormat="1" ht="13.5" customHeight="1">
      <c r="A46" s="947" t="s">
        <v>790</v>
      </c>
      <c r="B46" s="291" t="s">
        <v>2417</v>
      </c>
      <c r="C46" s="292">
        <f ca="1">ROUND((C33+C39)*F27,0)</f>
        <v>13512707</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59571942</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56593345</v>
      </c>
      <c r="D51" s="275"/>
      <c r="E51" s="275"/>
      <c r="F51" s="307"/>
      <c r="G51" s="277" t="s">
        <v>2428</v>
      </c>
    </row>
    <row r="52" spans="1:7" s="251" customFormat="1" ht="16.5" thickBot="1">
      <c r="A52" s="308" t="s">
        <v>2429</v>
      </c>
      <c r="B52" s="309"/>
      <c r="C52" s="310">
        <f ca="1">C31+C51</f>
        <v>60166576</v>
      </c>
      <c r="D52" s="309"/>
      <c r="E52" s="309"/>
      <c r="F52" s="309"/>
      <c r="G52" s="311"/>
    </row>
    <row r="55" spans="1:7" ht="15">
      <c r="B55" s="313" t="s">
        <v>2430</v>
      </c>
      <c r="C55" s="314"/>
    </row>
    <row r="56" spans="1:7">
      <c r="B56" s="316" t="s">
        <v>1512</v>
      </c>
      <c r="C56" s="318">
        <f ca="1">1-C57</f>
        <v>5.9000000000000052E-2</v>
      </c>
    </row>
    <row r="57" spans="1:7">
      <c r="B57" s="316" t="s">
        <v>1513</v>
      </c>
      <c r="C57" s="317">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2462</v>
      </c>
      <c r="B1" s="1577"/>
      <c r="C1" s="1578"/>
      <c r="D1" s="1576"/>
      <c r="E1" s="319"/>
      <c r="F1" s="319"/>
      <c r="G1" s="1577"/>
      <c r="H1" s="319"/>
      <c r="I1" s="319"/>
      <c r="J1" s="319"/>
      <c r="K1" s="319">
        <f>MATCH(C1,'数据-取费表'!A6:A16,0)+5</f>
        <v>8</v>
      </c>
    </row>
    <row r="2" spans="1:33" ht="18" customHeight="1">
      <c r="A2" s="244" t="s">
        <v>2330</v>
      </c>
      <c r="B2" s="247">
        <f ca="1">C32</f>
        <v>-132</v>
      </c>
      <c r="C2" s="319" t="s">
        <v>2463</v>
      </c>
      <c r="D2" s="319"/>
      <c r="E2" s="319"/>
      <c r="F2" s="319"/>
      <c r="G2" s="319"/>
      <c r="H2" s="319"/>
      <c r="I2" s="319"/>
      <c r="J2" s="319"/>
      <c r="K2" s="319"/>
    </row>
    <row r="3" spans="1:33" ht="18" customHeight="1" thickBot="1">
      <c r="A3" s="246" t="s">
        <v>2332</v>
      </c>
      <c r="B3" s="247">
        <f ca="1">ROUND(B2*10000/IF(C1="",'数据-汇总表'!E3,INDIRECT("'数据-取费表'!K"&amp;$K$1)),0)</f>
        <v>-221</v>
      </c>
      <c r="C3" s="319" t="s">
        <v>2464</v>
      </c>
      <c r="D3" s="319"/>
      <c r="E3" s="319"/>
      <c r="F3" s="319"/>
      <c r="G3" s="319"/>
      <c r="H3" s="319"/>
      <c r="I3" s="319"/>
      <c r="J3" s="319"/>
      <c r="K3" s="319"/>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3" t="s">
        <v>2468</v>
      </c>
      <c r="D5" s="2553" t="s">
        <v>2469</v>
      </c>
      <c r="E5" s="2553" t="s">
        <v>2470</v>
      </c>
      <c r="F5" s="2553"/>
      <c r="G5" s="2553"/>
      <c r="H5" s="2553"/>
      <c r="I5" s="2553"/>
      <c r="J5" s="2553"/>
      <c r="K5" s="255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9"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4" t="s">
        <v>2474</v>
      </c>
      <c r="B8" s="176"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4"/>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4"/>
      <c r="F13" s="972">
        <f>'数据-取费表'!B34</f>
        <v>0.03</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5963.72</v>
      </c>
      <c r="E14" s="24">
        <f>'数据-取费表'!B35</f>
        <v>200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39"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5963.72</v>
      </c>
      <c r="E17" s="24">
        <f>'数据-取费表'!B32</f>
        <v>0</v>
      </c>
      <c r="F17" s="974"/>
      <c r="G17" s="139"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98</v>
      </c>
      <c r="D18" s="1029"/>
      <c r="E18" s="24"/>
      <c r="F18" s="972"/>
      <c r="G18" s="2555"/>
      <c r="H18" s="1573"/>
      <c r="I18" s="2556" t="s">
        <v>2496</v>
      </c>
      <c r="J18" s="975"/>
      <c r="K18" s="976"/>
    </row>
    <row r="19" spans="1:33" s="971" customFormat="1" ht="13.5" customHeight="1">
      <c r="A19" s="967" t="s">
        <v>804</v>
      </c>
      <c r="B19" s="968" t="s">
        <v>2497</v>
      </c>
      <c r="C19" s="24">
        <f ca="1">ROUND(D19*E19/10000,0)</f>
        <v>85</v>
      </c>
      <c r="D19" s="1029">
        <f ca="1">IF(C1="",'数据-汇总表'!E5,IF(INDIRECT("'数据-取费表'!c"&amp;$K$1)="住宅",INDIRECT("'数据-取费表'!k"&amp;$K$1),0))</f>
        <v>5307.46</v>
      </c>
      <c r="E19" s="24">
        <f>'数据-取费表'!B27</f>
        <v>160</v>
      </c>
      <c r="F19" s="972"/>
      <c r="G19" s="15"/>
      <c r="H19" s="1575"/>
      <c r="I19" s="977"/>
      <c r="J19" s="977"/>
      <c r="K19" s="978"/>
    </row>
    <row r="20" spans="1:33" s="971" customFormat="1" ht="13.5" customHeight="1">
      <c r="A20" s="967" t="s">
        <v>805</v>
      </c>
      <c r="B20" s="968" t="s">
        <v>2498</v>
      </c>
      <c r="C20" s="24">
        <f ca="1">ROUND(D20*E20/10000,0)</f>
        <v>13</v>
      </c>
      <c r="D20" s="1029">
        <f ca="1">IF(C1="",'数据-汇总表'!E6,IF(INDIRECT("'数据-取费表'!c"&amp;$K$1)="住宅",INDIRECT("'数据-取费表'!s"&amp;$K$1),INDIRECT("'数据-取费表'!k"&amp;$K$1)+INDIRECT("'数据-取费表'!s"&amp;$K$1)))</f>
        <v>656.26000000000022</v>
      </c>
      <c r="E20" s="24">
        <f>'数据-取费表'!B28</f>
        <v>200</v>
      </c>
      <c r="F20" s="972"/>
      <c r="G20" s="15"/>
      <c r="H20" s="977"/>
      <c r="I20" s="977"/>
      <c r="J20" s="977"/>
      <c r="K20" s="978"/>
    </row>
    <row r="21" spans="1:33" s="971" customFormat="1" ht="13.5" customHeight="1">
      <c r="A21" s="957" t="s">
        <v>801</v>
      </c>
      <c r="B21" s="981" t="s">
        <v>2499</v>
      </c>
      <c r="C21" s="982">
        <f ca="1">C16+C17+C18</f>
        <v>98</v>
      </c>
      <c r="D21" s="983"/>
      <c r="E21" s="324"/>
      <c r="F21" s="324"/>
      <c r="G21" s="139" t="s">
        <v>2500</v>
      </c>
      <c r="H21" s="975"/>
      <c r="I21" s="975"/>
      <c r="J21" s="975"/>
      <c r="K21" s="976"/>
    </row>
    <row r="22" spans="1:33" s="971" customFormat="1" ht="13.5" customHeight="1">
      <c r="A22" s="957" t="s">
        <v>2472</v>
      </c>
      <c r="B22" s="981" t="s">
        <v>2501</v>
      </c>
      <c r="C22" s="982">
        <f ca="1">ROUND(C21*F22,0)</f>
        <v>3</v>
      </c>
      <c r="D22" s="324"/>
      <c r="E22" s="324"/>
      <c r="F22" s="984">
        <f>'数据-取费表'!B37</f>
        <v>0.03</v>
      </c>
      <c r="G22" s="8" t="s">
        <v>2502</v>
      </c>
      <c r="H22" s="964"/>
      <c r="I22" s="964"/>
      <c r="J22" s="964"/>
      <c r="K22" s="965"/>
    </row>
    <row r="23" spans="1:33" s="971" customFormat="1" ht="13.5" customHeight="1">
      <c r="A23" s="957" t="s">
        <v>2474</v>
      </c>
      <c r="B23" s="981" t="s">
        <v>2503</v>
      </c>
      <c r="C23" s="982">
        <f ca="1">ROUND(C4*F23*F11,0)</f>
        <v>0</v>
      </c>
      <c r="D23" s="324"/>
      <c r="E23" s="324"/>
      <c r="F23" s="984">
        <f>'数据-取费表'!B38</f>
        <v>0.03</v>
      </c>
      <c r="G23" s="8" t="s">
        <v>2504</v>
      </c>
      <c r="H23" s="964"/>
      <c r="I23" s="964"/>
      <c r="J23" s="964"/>
      <c r="K23" s="965"/>
    </row>
    <row r="24" spans="1:33" s="971" customFormat="1" ht="13.5" customHeight="1">
      <c r="A24" s="957" t="s">
        <v>2505</v>
      </c>
      <c r="B24" s="981" t="s">
        <v>2506</v>
      </c>
      <c r="C24" s="323">
        <f>ROUND(F24/(1+'数据-取费表'!C42),4)</f>
        <v>2.9000000000000001E-2</v>
      </c>
      <c r="D24" s="324" t="s">
        <v>15</v>
      </c>
      <c r="E24" s="324"/>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5"/>
      <c r="I27" s="975"/>
      <c r="J27" s="975"/>
      <c r="K27" s="976"/>
    </row>
    <row r="28" spans="1:33" s="332" customFormat="1" ht="13.5" customHeight="1">
      <c r="A28" s="957" t="s">
        <v>2512</v>
      </c>
      <c r="B28" s="2558" t="s">
        <v>2513</v>
      </c>
      <c r="C28" s="330">
        <f ca="1">C30</f>
        <v>35</v>
      </c>
      <c r="D28" s="323">
        <f ca="1">C29</f>
        <v>0</v>
      </c>
      <c r="E28" s="325" t="s">
        <v>15</v>
      </c>
      <c r="F28" s="331">
        <f ca="1">IF(C1="",'数据-取费表'!Q16,INDIRECT("'数据-取费表'!q"&amp;$K$1))</f>
        <v>0.35</v>
      </c>
      <c r="G28" s="985"/>
      <c r="H28" s="986"/>
      <c r="I28" s="986"/>
      <c r="J28" s="986"/>
      <c r="K28" s="987"/>
    </row>
    <row r="29" spans="1:33" s="334" customFormat="1" ht="13.5" customHeight="1">
      <c r="A29" s="967" t="s">
        <v>802</v>
      </c>
      <c r="B29" s="990" t="s">
        <v>2514</v>
      </c>
      <c r="C29" s="327">
        <f ca="1">ROUND((1+C24)*F28*'数据-取费表'!B24/'数据-取费表'!B20,4)</f>
        <v>0</v>
      </c>
      <c r="D29" s="327"/>
      <c r="E29" s="328"/>
      <c r="F29" s="333"/>
      <c r="G29" s="139" t="s">
        <v>2515</v>
      </c>
      <c r="H29" s="975"/>
      <c r="I29" s="975"/>
      <c r="J29" s="975"/>
      <c r="K29" s="976"/>
    </row>
    <row r="30" spans="1:33" s="334" customFormat="1" ht="13.5" customHeight="1">
      <c r="A30" s="967" t="s">
        <v>803</v>
      </c>
      <c r="B30" s="990" t="s">
        <v>2516</v>
      </c>
      <c r="C30" s="335">
        <f ca="1">ROUND((C21+C22+C23)*F28,0)</f>
        <v>35</v>
      </c>
      <c r="D30" s="327"/>
      <c r="E30" s="328"/>
      <c r="F30" s="333"/>
      <c r="G30" s="139"/>
      <c r="H30" s="975"/>
      <c r="I30" s="975"/>
      <c r="J30" s="975"/>
      <c r="K30" s="976"/>
    </row>
    <row r="31" spans="1:33" s="971" customFormat="1" ht="13.5" customHeight="1" thickBot="1">
      <c r="A31" s="2559"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-132</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295" customWidth="1"/>
    <col min="12" max="12" width="12.25" style="3296" customWidth="1"/>
    <col min="13" max="15" width="12.25" style="3000" customWidth="1"/>
    <col min="16" max="16" width="4.75" style="315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3083</v>
      </c>
      <c r="B1" s="2967" t="s">
        <v>3084</v>
      </c>
      <c r="C1" s="2968" t="s">
        <v>3085</v>
      </c>
      <c r="D1" s="2969" t="s">
        <v>3064</v>
      </c>
      <c r="E1" s="2970"/>
      <c r="F1" s="2971" t="s">
        <v>3086</v>
      </c>
      <c r="G1" s="2972" t="s">
        <v>3087</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9" customFormat="1" ht="28.5" customHeight="1" thickTop="1">
      <c r="A2" s="1613" t="s">
        <v>3088</v>
      </c>
      <c r="B2" s="2980" t="e">
        <f>IF(C2="——",ROUND(C49*D3/10000,0),ROUND(C49*D3/10000,0)-D2)</f>
        <v>#VALUE!</v>
      </c>
      <c r="C2" s="2585" t="s">
        <v>70</v>
      </c>
      <c r="D2" s="2981" t="e">
        <f ca="1">SUMIF(INDIRECT("'"&amp;F2&amp;"'"&amp;"!A:A"),"承租人权益价值",INDIRECT("'"&amp;F2&amp;"'"&amp;"!c:c"))</f>
        <v>#REF!</v>
      </c>
      <c r="E2" s="2586" t="s">
        <v>3089</v>
      </c>
      <c r="F2" s="2587"/>
      <c r="G2" s="2982"/>
      <c r="H2" s="2982"/>
      <c r="I2" s="2982"/>
      <c r="J2" s="2982"/>
      <c r="K2" s="2983"/>
      <c r="L2" s="2984"/>
      <c r="M2" s="2985"/>
      <c r="N2" s="2985"/>
      <c r="O2" s="2985"/>
      <c r="P2" s="2986"/>
      <c r="Q2" s="2987"/>
      <c r="R2" s="2987"/>
      <c r="S2" s="2987"/>
      <c r="T2" s="2987"/>
      <c r="U2" s="2987"/>
      <c r="V2" s="2987"/>
      <c r="W2" s="2987"/>
      <c r="X2" s="2987"/>
      <c r="Y2" s="2987"/>
      <c r="Z2" s="2987"/>
      <c r="AA2" s="2987"/>
      <c r="AB2" s="2987"/>
      <c r="AC2" s="2988"/>
    </row>
    <row r="3" spans="1:29" s="2989" customFormat="1" ht="28.5" customHeight="1" thickBot="1">
      <c r="A3" s="246" t="s">
        <v>3090</v>
      </c>
      <c r="B3" s="2990">
        <f>IF(C2="——",C49,ROUND(B2*10000/D3,0))</f>
        <v>69669</v>
      </c>
      <c r="C3" s="2991" t="s">
        <v>3091</v>
      </c>
      <c r="D3" s="2990" t="e">
        <f>IF(D1="",'[1]数据-汇总表'!E3,SUMIF('[1]数据-汇总表'!$C19:$C33,D1,'[1]数据-汇总表'!$E19:$E33))</f>
        <v>#VALUE!</v>
      </c>
      <c r="E3" s="2982"/>
      <c r="F3" s="2992"/>
      <c r="G3" s="2982"/>
      <c r="H3" s="2982"/>
      <c r="I3" s="2982"/>
      <c r="J3" s="2982"/>
      <c r="K3" s="2983"/>
      <c r="L3" s="2984"/>
      <c r="M3" s="2985"/>
      <c r="N3" s="2985"/>
      <c r="O3" s="2985"/>
      <c r="P3" s="2986"/>
      <c r="Q3" s="2987"/>
      <c r="R3" s="2987"/>
      <c r="S3" s="2987"/>
      <c r="T3" s="2987"/>
      <c r="U3" s="2987"/>
      <c r="V3" s="2987"/>
      <c r="W3" s="2987"/>
      <c r="X3" s="2987"/>
      <c r="Y3" s="2987"/>
      <c r="Z3" s="2987"/>
      <c r="AA3" s="2987"/>
      <c r="AB3" s="2987"/>
      <c r="AC3" s="2993"/>
    </row>
    <row r="4" spans="1:29" ht="15">
      <c r="A4" s="2994" t="s">
        <v>3092</v>
      </c>
      <c r="B4" s="2995"/>
      <c r="C4" s="3725" t="s">
        <v>3093</v>
      </c>
      <c r="D4" s="3726"/>
      <c r="E4" s="3727" t="s">
        <v>3094</v>
      </c>
      <c r="F4" s="3728"/>
      <c r="G4" s="3725" t="s">
        <v>3095</v>
      </c>
      <c r="H4" s="3726"/>
      <c r="I4" s="3725" t="s">
        <v>3096</v>
      </c>
      <c r="J4" s="3726"/>
      <c r="K4" s="2996" t="s">
        <v>3097</v>
      </c>
      <c r="L4" s="2997"/>
      <c r="M4" s="2998"/>
      <c r="N4" s="2998"/>
      <c r="O4" s="2998"/>
      <c r="P4" s="3729" t="s">
        <v>3098</v>
      </c>
      <c r="Q4" s="3730"/>
      <c r="R4" s="3715" t="s">
        <v>3094</v>
      </c>
      <c r="S4" s="3716"/>
      <c r="T4" s="3715" t="s">
        <v>3095</v>
      </c>
      <c r="U4" s="3716"/>
      <c r="V4" s="3714" t="s">
        <v>3096</v>
      </c>
      <c r="W4" s="3714"/>
      <c r="X4" s="2999"/>
      <c r="Y4" s="3715" t="s">
        <v>3098</v>
      </c>
      <c r="Z4" s="3716"/>
      <c r="AA4" s="3721" t="s">
        <v>3094</v>
      </c>
      <c r="AB4" s="3721" t="s">
        <v>3095</v>
      </c>
      <c r="AC4" s="3721" t="s">
        <v>3096</v>
      </c>
    </row>
    <row r="5" spans="1:29" ht="15">
      <c r="A5" s="3001"/>
      <c r="B5" s="3002"/>
      <c r="C5" s="3735" t="s">
        <v>3099</v>
      </c>
      <c r="D5" s="3661"/>
      <c r="E5" s="3654" t="s">
        <v>3100</v>
      </c>
      <c r="F5" s="3655"/>
      <c r="G5" s="3660" t="s">
        <v>3101</v>
      </c>
      <c r="H5" s="3661"/>
      <c r="I5" s="3660" t="s">
        <v>3102</v>
      </c>
      <c r="J5" s="3661"/>
      <c r="K5" s="3003"/>
      <c r="L5" s="2997"/>
      <c r="M5" s="2998"/>
      <c r="N5" s="2998"/>
      <c r="O5" s="2998"/>
      <c r="P5" s="3731"/>
      <c r="Q5" s="3732"/>
      <c r="R5" s="3717"/>
      <c r="S5" s="3718"/>
      <c r="T5" s="3717"/>
      <c r="U5" s="3718"/>
      <c r="V5" s="3714"/>
      <c r="W5" s="3714"/>
      <c r="X5" s="2999"/>
      <c r="Y5" s="3717"/>
      <c r="Z5" s="3718"/>
      <c r="AA5" s="3722"/>
      <c r="AB5" s="3722"/>
      <c r="AC5" s="3722"/>
    </row>
    <row r="6" spans="1:29" ht="15.75" thickBot="1">
      <c r="A6" s="3004"/>
      <c r="B6" s="3005"/>
      <c r="C6" s="3736" t="s">
        <v>3103</v>
      </c>
      <c r="D6" s="3737"/>
      <c r="E6" s="3738" t="s">
        <v>3103</v>
      </c>
      <c r="F6" s="3739"/>
      <c r="G6" s="3736" t="s">
        <v>3103</v>
      </c>
      <c r="H6" s="3737"/>
      <c r="I6" s="3736" t="s">
        <v>3103</v>
      </c>
      <c r="J6" s="3737"/>
      <c r="K6" s="3003" t="s">
        <v>3104</v>
      </c>
      <c r="L6" s="2997"/>
      <c r="M6" s="2998"/>
      <c r="N6" s="2998"/>
      <c r="O6" s="2998"/>
      <c r="P6" s="3733"/>
      <c r="Q6" s="3734"/>
      <c r="R6" s="3717"/>
      <c r="S6" s="3718"/>
      <c r="T6" s="3719"/>
      <c r="U6" s="3720"/>
      <c r="V6" s="3714"/>
      <c r="W6" s="3714"/>
      <c r="X6" s="2999"/>
      <c r="Y6" s="3719"/>
      <c r="Z6" s="3720"/>
      <c r="AA6" s="3723"/>
      <c r="AB6" s="3723"/>
      <c r="AC6" s="3723"/>
    </row>
    <row r="7" spans="1:29" s="3019" customFormat="1" ht="15.75" thickBot="1">
      <c r="A7" s="3006" t="s">
        <v>3105</v>
      </c>
      <c r="B7" s="3007"/>
      <c r="C7" s="3008">
        <f>'[1]数据-取费表'!B2</f>
        <v>43110</v>
      </c>
      <c r="D7" s="3009">
        <v>100</v>
      </c>
      <c r="E7" s="3010">
        <v>43108</v>
      </c>
      <c r="F7" s="3011">
        <f>SUMIF(58:58,YEAR(E7)&amp;"-"&amp;MONTH(E7),59:59)</f>
        <v>100</v>
      </c>
      <c r="G7" s="3010">
        <v>43108</v>
      </c>
      <c r="H7" s="3009">
        <f>SUMIF(58:58,YEAR(G7)&amp;"-"&amp;MONTH(G7),59:59)</f>
        <v>100</v>
      </c>
      <c r="I7" s="3010">
        <v>43108</v>
      </c>
      <c r="J7" s="3009">
        <f>SUMIF(58:58,YEAR(I7)&amp;"-"&amp;MONTH(I7),59:59)</f>
        <v>100</v>
      </c>
      <c r="K7" s="3012"/>
      <c r="L7" s="3013"/>
      <c r="M7" s="3014"/>
      <c r="N7" s="3014"/>
      <c r="O7" s="3014"/>
      <c r="P7" s="3710" t="s">
        <v>2552</v>
      </c>
      <c r="Q7" s="3724"/>
      <c r="R7" s="3015" t="s">
        <v>21</v>
      </c>
      <c r="S7" s="3016">
        <f t="shared" ref="S7:S15" si="0">F7</f>
        <v>100</v>
      </c>
      <c r="T7" s="3015" t="s">
        <v>3106</v>
      </c>
      <c r="U7" s="3016">
        <f t="shared" ref="U7:U15" si="1">H7</f>
        <v>100</v>
      </c>
      <c r="V7" s="3015" t="s">
        <v>3106</v>
      </c>
      <c r="W7" s="3016">
        <f t="shared" ref="W7:W15" si="2">J7</f>
        <v>100</v>
      </c>
      <c r="X7" s="3017"/>
      <c r="Y7" s="3710" t="s">
        <v>3107</v>
      </c>
      <c r="Z7" s="3711"/>
      <c r="AA7" s="3018">
        <f>D7/F7</f>
        <v>1</v>
      </c>
      <c r="AB7" s="3018">
        <f>D7/H7</f>
        <v>1</v>
      </c>
      <c r="AC7" s="3018">
        <f>D7/J7</f>
        <v>1</v>
      </c>
    </row>
    <row r="8" spans="1:29" s="3019" customFormat="1" ht="15.75" thickBot="1">
      <c r="A8" s="3006" t="s">
        <v>3108</v>
      </c>
      <c r="B8" s="3007"/>
      <c r="C8" s="3020" t="s">
        <v>2554</v>
      </c>
      <c r="D8" s="3009">
        <v>100</v>
      </c>
      <c r="E8" s="3021" t="s">
        <v>3109</v>
      </c>
      <c r="F8" s="3011">
        <f>SUMIF(61:61,E8,62:62)-SUMIF(61:61,C8,62:62)+100</f>
        <v>100</v>
      </c>
      <c r="G8" s="3020" t="s">
        <v>3109</v>
      </c>
      <c r="H8" s="3009">
        <f>SUMIF(61:61,G8,62:62)-SUMIF(61:61,C8,62:62)+100</f>
        <v>100</v>
      </c>
      <c r="I8" s="3021" t="s">
        <v>3109</v>
      </c>
      <c r="J8" s="3009">
        <f>SUMIF(61:61,I8,62:62)-SUMIF(61:61,C8,62:62)+100</f>
        <v>100</v>
      </c>
      <c r="K8" s="3012"/>
      <c r="L8" s="3013"/>
      <c r="M8" s="3014"/>
      <c r="N8" s="3014"/>
      <c r="O8" s="3014"/>
      <c r="P8" s="3710" t="s">
        <v>2555</v>
      </c>
      <c r="Q8" s="3711"/>
      <c r="R8" s="3015" t="s">
        <v>21</v>
      </c>
      <c r="S8" s="3016">
        <f t="shared" si="0"/>
        <v>100</v>
      </c>
      <c r="T8" s="3015" t="s">
        <v>21</v>
      </c>
      <c r="U8" s="3016">
        <f t="shared" si="1"/>
        <v>100</v>
      </c>
      <c r="V8" s="3015" t="s">
        <v>21</v>
      </c>
      <c r="W8" s="3016">
        <f t="shared" si="2"/>
        <v>100</v>
      </c>
      <c r="X8" s="3017"/>
      <c r="Y8" s="3710" t="s">
        <v>2555</v>
      </c>
      <c r="Z8" s="3711"/>
      <c r="AA8" s="3018">
        <f t="shared" ref="AA8:AA19" si="3">D8/F8</f>
        <v>1</v>
      </c>
      <c r="AB8" s="3018">
        <f t="shared" ref="AB8:AB19" si="4">D8/H8</f>
        <v>1</v>
      </c>
      <c r="AC8" s="3018">
        <f t="shared" ref="AC8:AC19" si="5">D8/J8</f>
        <v>1</v>
      </c>
    </row>
    <row r="9" spans="1:29" s="3019" customFormat="1">
      <c r="A9" s="3022" t="s">
        <v>2556</v>
      </c>
      <c r="B9" s="3023" t="s">
        <v>2557</v>
      </c>
      <c r="C9" s="3024" t="s">
        <v>751</v>
      </c>
      <c r="D9" s="3025">
        <v>100</v>
      </c>
      <c r="E9" s="3026" t="s">
        <v>3064</v>
      </c>
      <c r="F9" s="3027">
        <f>SUMIF(63:63,E9,64:64)-SUMIF(63:63,C9,64:64)+100</f>
        <v>100</v>
      </c>
      <c r="G9" s="3028" t="s">
        <v>3064</v>
      </c>
      <c r="H9" s="3025">
        <f>SUMIF(63:63,G9,64:64)-SUMIF(63:63,C9,64:64)+100</f>
        <v>100</v>
      </c>
      <c r="I9" s="3028" t="s">
        <v>3064</v>
      </c>
      <c r="J9" s="3025">
        <f>SUMIF(63:63,I9,64:64)-SUMIF(63:63,C9,64:64)+100</f>
        <v>100</v>
      </c>
      <c r="K9" s="3012"/>
      <c r="L9" s="3013"/>
      <c r="M9" s="3014"/>
      <c r="N9" s="3014"/>
      <c r="O9" s="3014"/>
      <c r="P9" s="3712" t="s">
        <v>2558</v>
      </c>
      <c r="Q9" s="3029" t="str">
        <f t="shared" ref="Q9:Q15" si="6">B9</f>
        <v>用途</v>
      </c>
      <c r="R9" s="3015" t="s">
        <v>3106</v>
      </c>
      <c r="S9" s="3016">
        <f t="shared" si="0"/>
        <v>100</v>
      </c>
      <c r="T9" s="3015" t="s">
        <v>3106</v>
      </c>
      <c r="U9" s="3016">
        <f t="shared" si="1"/>
        <v>100</v>
      </c>
      <c r="V9" s="3015" t="s">
        <v>3106</v>
      </c>
      <c r="W9" s="3016">
        <f t="shared" si="2"/>
        <v>100</v>
      </c>
      <c r="X9" s="3017"/>
      <c r="Y9" s="3713" t="s">
        <v>3110</v>
      </c>
      <c r="Z9" s="3030" t="str">
        <f t="shared" ref="Z9:Z15" si="7">Q9</f>
        <v>用途</v>
      </c>
      <c r="AA9" s="3018">
        <f t="shared" si="3"/>
        <v>1</v>
      </c>
      <c r="AB9" s="3018">
        <f t="shared" si="4"/>
        <v>1</v>
      </c>
      <c r="AC9" s="3018">
        <f t="shared" si="5"/>
        <v>1</v>
      </c>
    </row>
    <row r="10" spans="1:29" s="3040" customFormat="1" ht="27">
      <c r="A10" s="3031"/>
      <c r="B10" s="3032" t="s">
        <v>3111</v>
      </c>
      <c r="C10" s="3033" t="s">
        <v>3112</v>
      </c>
      <c r="D10" s="3034">
        <v>100</v>
      </c>
      <c r="E10" s="3035" t="s">
        <v>3112</v>
      </c>
      <c r="F10" s="3036">
        <f>SUMIF(65:65,E10,66:66)-SUMIF(65:65,C10,66:66)+100</f>
        <v>100</v>
      </c>
      <c r="G10" s="3033" t="s">
        <v>3112</v>
      </c>
      <c r="H10" s="3034">
        <f>SUMIF(65:65,G10,66:66)-SUMIF(65:65,C10,66:66)+100</f>
        <v>100</v>
      </c>
      <c r="I10" s="3033" t="s">
        <v>3112</v>
      </c>
      <c r="J10" s="3034">
        <f>SUMIF(65:65,I10,66:66)-SUMIF(65:65,C10,66:66)+100</f>
        <v>100</v>
      </c>
      <c r="K10" s="3037"/>
      <c r="L10" s="3038"/>
      <c r="M10" s="3039"/>
      <c r="N10" s="3039"/>
      <c r="O10" s="3039"/>
      <c r="P10" s="3712"/>
      <c r="Q10" s="3029" t="str">
        <f t="shared" si="6"/>
        <v>土地使用年限（年）</v>
      </c>
      <c r="R10" s="3015" t="s">
        <v>3106</v>
      </c>
      <c r="S10" s="3016">
        <f t="shared" si="0"/>
        <v>100</v>
      </c>
      <c r="T10" s="3015" t="s">
        <v>3106</v>
      </c>
      <c r="U10" s="3016">
        <f t="shared" si="1"/>
        <v>100</v>
      </c>
      <c r="V10" s="3015" t="s">
        <v>3106</v>
      </c>
      <c r="W10" s="3016">
        <f t="shared" si="2"/>
        <v>100</v>
      </c>
      <c r="X10" s="3017"/>
      <c r="Y10" s="3713"/>
      <c r="Z10" s="3030" t="str">
        <f t="shared" si="7"/>
        <v>土地使用年限（年）</v>
      </c>
      <c r="AA10" s="3018">
        <f t="shared" si="3"/>
        <v>1</v>
      </c>
      <c r="AB10" s="3018">
        <f t="shared" si="4"/>
        <v>1</v>
      </c>
      <c r="AC10" s="3018">
        <f t="shared" si="5"/>
        <v>1</v>
      </c>
    </row>
    <row r="11" spans="1:29" ht="15">
      <c r="A11" s="3041"/>
      <c r="B11" s="3032" t="s">
        <v>3113</v>
      </c>
      <c r="C11" s="3042">
        <v>2.63</v>
      </c>
      <c r="D11" s="3034">
        <v>100</v>
      </c>
      <c r="E11" s="3043">
        <v>2</v>
      </c>
      <c r="F11" s="3036">
        <f>LOOKUP(E11,68:68,69:69)-LOOKUP(C11,68:68,69:69)+100</f>
        <v>100</v>
      </c>
      <c r="G11" s="3042">
        <v>1.05</v>
      </c>
      <c r="H11" s="3034">
        <f>LOOKUP(G11,68:68,69:69)-LOOKUP(C11,68:68,69:69)+100</f>
        <v>101</v>
      </c>
      <c r="I11" s="3042">
        <v>2.5</v>
      </c>
      <c r="J11" s="3034">
        <f>LOOKUP(I11,68:68,69:69)-LOOKUP(C11,68:68,69:69)+100</f>
        <v>100</v>
      </c>
      <c r="K11" s="3037">
        <v>1</v>
      </c>
      <c r="L11" s="3044"/>
      <c r="M11" s="2998"/>
      <c r="N11" s="2998"/>
      <c r="O11" s="2998"/>
      <c r="P11" s="3712"/>
      <c r="Q11" s="3029" t="str">
        <f t="shared" si="6"/>
        <v>容积率</v>
      </c>
      <c r="R11" s="3015" t="s">
        <v>3106</v>
      </c>
      <c r="S11" s="3016">
        <f t="shared" si="0"/>
        <v>100</v>
      </c>
      <c r="T11" s="3015" t="s">
        <v>3106</v>
      </c>
      <c r="U11" s="3016">
        <f t="shared" si="1"/>
        <v>101</v>
      </c>
      <c r="V11" s="3015" t="s">
        <v>3106</v>
      </c>
      <c r="W11" s="3016">
        <f t="shared" si="2"/>
        <v>100</v>
      </c>
      <c r="X11" s="3017"/>
      <c r="Y11" s="3713"/>
      <c r="Z11" s="3030" t="str">
        <f t="shared" si="7"/>
        <v>容积率</v>
      </c>
      <c r="AA11" s="3018">
        <f t="shared" si="3"/>
        <v>1</v>
      </c>
      <c r="AB11" s="3018">
        <f t="shared" si="4"/>
        <v>0.99009900990099009</v>
      </c>
      <c r="AC11" s="3018">
        <f t="shared" si="5"/>
        <v>1</v>
      </c>
    </row>
    <row r="12" spans="1:29" s="3019" customFormat="1" ht="15">
      <c r="A12" s="3045"/>
      <c r="B12" s="3046">
        <v>111</v>
      </c>
      <c r="C12" s="3047"/>
      <c r="D12" s="3048">
        <v>100</v>
      </c>
      <c r="E12" s="3047"/>
      <c r="F12" s="3036">
        <f>SUMIF(70:70,E12,71:71)-SUMIF(70:70,C12,71:71)+100</f>
        <v>100</v>
      </c>
      <c r="G12" s="3047"/>
      <c r="H12" s="3034">
        <f>SUMIF(70:70,G12,71:71)-SUMIF(70:70,C12,71:71)+100</f>
        <v>100</v>
      </c>
      <c r="I12" s="3047"/>
      <c r="J12" s="3034">
        <f>SUMIF(70:70,I12,71:71)-SUMIF(70:70,C12,71:71)+100</f>
        <v>100</v>
      </c>
      <c r="K12" s="3049"/>
      <c r="L12" s="3013"/>
      <c r="M12" s="3014"/>
      <c r="N12" s="3014"/>
      <c r="O12" s="3014"/>
      <c r="P12" s="3712"/>
      <c r="Q12" s="3029">
        <f t="shared" si="6"/>
        <v>111</v>
      </c>
      <c r="R12" s="3015" t="s">
        <v>3106</v>
      </c>
      <c r="S12" s="3016">
        <f t="shared" si="0"/>
        <v>100</v>
      </c>
      <c r="T12" s="3015" t="s">
        <v>3106</v>
      </c>
      <c r="U12" s="3016">
        <f t="shared" si="1"/>
        <v>100</v>
      </c>
      <c r="V12" s="3015" t="s">
        <v>3106</v>
      </c>
      <c r="W12" s="3016">
        <f t="shared" si="2"/>
        <v>100</v>
      </c>
      <c r="X12" s="3017"/>
      <c r="Y12" s="3713"/>
      <c r="Z12" s="3030">
        <f t="shared" si="7"/>
        <v>111</v>
      </c>
      <c r="AA12" s="3018">
        <f>D12/F12</f>
        <v>1</v>
      </c>
      <c r="AB12" s="3018">
        <f>D12/H12</f>
        <v>1</v>
      </c>
      <c r="AC12" s="3018">
        <f>D12/J12</f>
        <v>1</v>
      </c>
    </row>
    <row r="13" spans="1:29" ht="15">
      <c r="A13" s="3041"/>
      <c r="B13" s="3046">
        <v>111</v>
      </c>
      <c r="C13" s="3050"/>
      <c r="D13" s="3051">
        <v>100</v>
      </c>
      <c r="E13" s="3050"/>
      <c r="F13" s="3036">
        <f>SUMIF(72:72,E13,73:73)-SUMIF(72:72,C13,73:73)+100</f>
        <v>100</v>
      </c>
      <c r="G13" s="3050"/>
      <c r="H13" s="3051">
        <f>SUMIF(72:72,G13,73:73)-SUMIF(72:72,C13,73:73)+100</f>
        <v>100</v>
      </c>
      <c r="I13" s="3050"/>
      <c r="J13" s="3051">
        <f>SUMIF(72:72,I13,73:73)-SUMIF(72:72,C13,73:73)+100</f>
        <v>100</v>
      </c>
      <c r="K13" s="3049"/>
      <c r="L13" s="3052"/>
      <c r="M13" s="2998"/>
      <c r="N13" s="2998"/>
      <c r="O13" s="2998"/>
      <c r="P13" s="3712"/>
      <c r="Q13" s="3029">
        <f t="shared" si="6"/>
        <v>111</v>
      </c>
      <c r="R13" s="3015" t="s">
        <v>3106</v>
      </c>
      <c r="S13" s="3016">
        <f t="shared" si="0"/>
        <v>100</v>
      </c>
      <c r="T13" s="3015" t="s">
        <v>3106</v>
      </c>
      <c r="U13" s="3016">
        <f t="shared" si="1"/>
        <v>100</v>
      </c>
      <c r="V13" s="3015" t="s">
        <v>3106</v>
      </c>
      <c r="W13" s="3016">
        <f t="shared" si="2"/>
        <v>100</v>
      </c>
      <c r="X13" s="3017"/>
      <c r="Y13" s="3713"/>
      <c r="Z13" s="3030">
        <f t="shared" si="7"/>
        <v>111</v>
      </c>
      <c r="AA13" s="3018">
        <f t="shared" si="3"/>
        <v>1</v>
      </c>
      <c r="AB13" s="3018">
        <f t="shared" si="4"/>
        <v>1</v>
      </c>
      <c r="AC13" s="3018">
        <f t="shared" si="5"/>
        <v>1</v>
      </c>
    </row>
    <row r="14" spans="1:29" ht="15.75" thickBot="1">
      <c r="A14" s="3053"/>
      <c r="B14" s="3054">
        <v>111</v>
      </c>
      <c r="C14" s="3055"/>
      <c r="D14" s="3056">
        <v>100</v>
      </c>
      <c r="E14" s="3055"/>
      <c r="F14" s="3057">
        <f>SUMIF(74:74,E14,75:75)-SUMIF(74:74,C14,75:75)+100</f>
        <v>100</v>
      </c>
      <c r="G14" s="3055"/>
      <c r="H14" s="3056">
        <f>SUMIF(74:74,G14,75:75)-SUMIF(74:74,C14,75:75)+100</f>
        <v>100</v>
      </c>
      <c r="I14" s="3055"/>
      <c r="J14" s="3056">
        <f>SUMIF(74:74,I14,75:75)-SUMIF(74:74,C14,75:75)+100</f>
        <v>100</v>
      </c>
      <c r="K14" s="3049"/>
      <c r="L14" s="3052"/>
      <c r="M14" s="2998"/>
      <c r="N14" s="2998"/>
      <c r="O14" s="2998"/>
      <c r="P14" s="3712"/>
      <c r="Q14" s="3029">
        <f t="shared" si="6"/>
        <v>111</v>
      </c>
      <c r="R14" s="3015" t="s">
        <v>3106</v>
      </c>
      <c r="S14" s="3016">
        <f t="shared" si="0"/>
        <v>100</v>
      </c>
      <c r="T14" s="3015" t="s">
        <v>3106</v>
      </c>
      <c r="U14" s="3016">
        <f t="shared" si="1"/>
        <v>100</v>
      </c>
      <c r="V14" s="3015" t="s">
        <v>3106</v>
      </c>
      <c r="W14" s="3016">
        <f t="shared" si="2"/>
        <v>100</v>
      </c>
      <c r="X14" s="3017"/>
      <c r="Y14" s="3713"/>
      <c r="Z14" s="3030">
        <f t="shared" si="7"/>
        <v>111</v>
      </c>
      <c r="AA14" s="3018">
        <f t="shared" si="3"/>
        <v>1</v>
      </c>
      <c r="AB14" s="3018">
        <f t="shared" si="4"/>
        <v>1</v>
      </c>
      <c r="AC14" s="3018">
        <f t="shared" si="5"/>
        <v>1</v>
      </c>
    </row>
    <row r="15" spans="1:29" ht="99.75">
      <c r="A15" s="3058" t="s">
        <v>3114</v>
      </c>
      <c r="B15" s="3059" t="s">
        <v>2087</v>
      </c>
      <c r="C15" s="3060" t="str">
        <f>[1]估价对象房地状况!C3</f>
        <v>估价对象周边居住用地比例较大、居住小区规模较大、社区发展较完善，综合评价居住社区成熟度较好</v>
      </c>
      <c r="D15" s="3061">
        <v>100</v>
      </c>
      <c r="E15" s="3062"/>
      <c r="F15" s="3061">
        <f>SUMIF(76:76,E16,77:77)-SUMIF(76:76,C16,77:77)+100</f>
        <v>100</v>
      </c>
      <c r="G15" s="3063"/>
      <c r="H15" s="3061">
        <f>SUMIF(76:76,G16,77:77)-SUMIF(76:76,C16,77:77)+100</f>
        <v>100</v>
      </c>
      <c r="I15" s="3063"/>
      <c r="J15" s="3061">
        <f>SUMIF(76:76,I16,77:77)-SUMIF(76:76,C16,77:77)+100</f>
        <v>100</v>
      </c>
      <c r="K15" s="3064">
        <v>2</v>
      </c>
      <c r="L15" s="3052"/>
      <c r="M15" s="2998"/>
      <c r="N15" s="2998"/>
      <c r="O15" s="2998"/>
      <c r="P15" s="3701" t="s">
        <v>3115</v>
      </c>
      <c r="Q15" s="3065" t="str">
        <f t="shared" si="6"/>
        <v>居住社区成熟度</v>
      </c>
      <c r="R15" s="3066" t="s">
        <v>3106</v>
      </c>
      <c r="S15" s="3067">
        <f t="shared" si="0"/>
        <v>100</v>
      </c>
      <c r="T15" s="3066" t="s">
        <v>3106</v>
      </c>
      <c r="U15" s="3067">
        <f t="shared" si="1"/>
        <v>100</v>
      </c>
      <c r="V15" s="3066" t="s">
        <v>3106</v>
      </c>
      <c r="W15" s="3067">
        <f t="shared" si="2"/>
        <v>100</v>
      </c>
      <c r="X15" s="2999"/>
      <c r="Y15" s="3703" t="s">
        <v>3115</v>
      </c>
      <c r="Z15" s="3068" t="str">
        <f t="shared" si="7"/>
        <v>居住社区成熟度</v>
      </c>
      <c r="AA15" s="3069">
        <f t="shared" si="3"/>
        <v>1</v>
      </c>
      <c r="AB15" s="3069">
        <f t="shared" si="4"/>
        <v>1</v>
      </c>
      <c r="AC15" s="3069">
        <f t="shared" si="5"/>
        <v>1</v>
      </c>
    </row>
    <row r="16" spans="1:29" ht="15">
      <c r="A16" s="3041"/>
      <c r="B16" s="3070"/>
      <c r="C16" s="3071" t="s">
        <v>3116</v>
      </c>
      <c r="D16" s="3072"/>
      <c r="E16" s="3073" t="s">
        <v>3116</v>
      </c>
      <c r="F16" s="3072"/>
      <c r="G16" s="3074" t="s">
        <v>3116</v>
      </c>
      <c r="H16" s="3075"/>
      <c r="I16" s="3074" t="s">
        <v>3116</v>
      </c>
      <c r="J16" s="3072"/>
      <c r="K16" s="3076"/>
      <c r="L16" s="3052"/>
      <c r="M16" s="2998"/>
      <c r="N16" s="2998"/>
      <c r="O16" s="2998"/>
      <c r="P16" s="3702"/>
      <c r="Q16" s="3065"/>
      <c r="R16" s="3066"/>
      <c r="S16" s="3067"/>
      <c r="T16" s="3066"/>
      <c r="U16" s="3067"/>
      <c r="V16" s="3066"/>
      <c r="W16" s="3067"/>
      <c r="X16" s="2999"/>
      <c r="Y16" s="3704"/>
      <c r="Z16" s="3068"/>
      <c r="AA16" s="3069">
        <v>1</v>
      </c>
      <c r="AB16" s="3069">
        <v>1</v>
      </c>
      <c r="AC16" s="3069">
        <v>1</v>
      </c>
    </row>
    <row r="17" spans="1:29" ht="71.25">
      <c r="A17" s="3041"/>
      <c r="B17" s="3077" t="s">
        <v>2099</v>
      </c>
      <c r="C17" s="3078" t="str">
        <f>[1]估价对象房地状况!C6</f>
        <v>估价对象周边道路通达、公共交通便捷、停车便捷，综合评价交通便捷度较好</v>
      </c>
      <c r="D17" s="3075">
        <v>100</v>
      </c>
      <c r="E17" s="3079"/>
      <c r="F17" s="3075">
        <f>SUMIF(78:78,E18,79:79)-SUMIF(78:78,C18,79:79)+100</f>
        <v>98</v>
      </c>
      <c r="G17" s="3080"/>
      <c r="H17" s="3081">
        <f>SUMIF(78:78,G18,79:79)-SUMIF(78:78,C18,79:79)+100</f>
        <v>100</v>
      </c>
      <c r="I17" s="3080"/>
      <c r="J17" s="3081">
        <f>SUMIF(78:78,I18,79:79)-SUMIF(78:78,C18,79:79)+100</f>
        <v>100</v>
      </c>
      <c r="K17" s="3064">
        <v>2</v>
      </c>
      <c r="L17" s="3052"/>
      <c r="M17" s="2998"/>
      <c r="N17" s="2998"/>
      <c r="O17" s="2998"/>
      <c r="P17" s="3702"/>
      <c r="Q17" s="3065" t="str">
        <f>B17</f>
        <v>交通便捷度</v>
      </c>
      <c r="R17" s="3066" t="s">
        <v>3106</v>
      </c>
      <c r="S17" s="3067">
        <f>F17</f>
        <v>98</v>
      </c>
      <c r="T17" s="3066" t="s">
        <v>3106</v>
      </c>
      <c r="U17" s="3067">
        <f>H17</f>
        <v>100</v>
      </c>
      <c r="V17" s="3066" t="s">
        <v>3106</v>
      </c>
      <c r="W17" s="3067">
        <f>J17</f>
        <v>100</v>
      </c>
      <c r="X17" s="2999"/>
      <c r="Y17" s="3704"/>
      <c r="Z17" s="3068" t="str">
        <f>Q17</f>
        <v>交通便捷度</v>
      </c>
      <c r="AA17" s="3069">
        <f t="shared" si="3"/>
        <v>1.0204081632653061</v>
      </c>
      <c r="AB17" s="3069">
        <f t="shared" si="4"/>
        <v>1</v>
      </c>
      <c r="AC17" s="3069">
        <f t="shared" si="5"/>
        <v>1</v>
      </c>
    </row>
    <row r="18" spans="1:29" ht="15">
      <c r="A18" s="3041"/>
      <c r="B18" s="3082"/>
      <c r="C18" s="3083" t="s">
        <v>3116</v>
      </c>
      <c r="D18" s="3075"/>
      <c r="E18" s="3084" t="s">
        <v>3117</v>
      </c>
      <c r="F18" s="3075"/>
      <c r="G18" s="3085" t="s">
        <v>3116</v>
      </c>
      <c r="H18" s="3072"/>
      <c r="I18" s="3085" t="s">
        <v>3116</v>
      </c>
      <c r="J18" s="3072"/>
      <c r="K18" s="3076"/>
      <c r="L18" s="3052"/>
      <c r="M18" s="2998"/>
      <c r="N18" s="2998"/>
      <c r="O18" s="2998"/>
      <c r="P18" s="3702"/>
      <c r="Q18" s="3065"/>
      <c r="R18" s="3066"/>
      <c r="S18" s="3067"/>
      <c r="T18" s="3066"/>
      <c r="U18" s="3067"/>
      <c r="V18" s="3066"/>
      <c r="W18" s="3067"/>
      <c r="X18" s="2999"/>
      <c r="Y18" s="3704"/>
      <c r="Z18" s="3068"/>
      <c r="AA18" s="3069">
        <v>1</v>
      </c>
      <c r="AB18" s="3069">
        <v>1</v>
      </c>
      <c r="AC18" s="3069">
        <v>1</v>
      </c>
    </row>
    <row r="19" spans="1:29" ht="42.75">
      <c r="A19" s="3041"/>
      <c r="B19" s="3077" t="s">
        <v>3118</v>
      </c>
      <c r="C19" s="3078" t="str">
        <f>[1]估价对象房地状况!C7</f>
        <v>估价对象所在区域公共配套设施较齐备</v>
      </c>
      <c r="D19" s="3081">
        <v>100</v>
      </c>
      <c r="E19" s="3086"/>
      <c r="F19" s="3081">
        <f>SUMIF(80:80,E20,81:81)-SUMIF(80:80,C20,81:81)+100</f>
        <v>100</v>
      </c>
      <c r="G19" s="3087"/>
      <c r="H19" s="3075">
        <f>SUMIF(80:80,G20,81:81)-SUMIF(80:80,C20,81:81)+100</f>
        <v>100</v>
      </c>
      <c r="I19" s="3087"/>
      <c r="J19" s="3075">
        <f>SUMIF(80:80,I20,81:81)-SUMIF(80:80,C20,81:81)+100</f>
        <v>100</v>
      </c>
      <c r="K19" s="3064">
        <v>2</v>
      </c>
      <c r="L19" s="3052"/>
      <c r="M19" s="2998"/>
      <c r="N19" s="2998"/>
      <c r="O19" s="2998"/>
      <c r="P19" s="3702"/>
      <c r="Q19" s="3065" t="str">
        <f>B19</f>
        <v>公共配套设施</v>
      </c>
      <c r="R19" s="3066" t="s">
        <v>3106</v>
      </c>
      <c r="S19" s="3067">
        <f>F19</f>
        <v>100</v>
      </c>
      <c r="T19" s="3066" t="s">
        <v>3106</v>
      </c>
      <c r="U19" s="3067">
        <f>H19</f>
        <v>100</v>
      </c>
      <c r="V19" s="3066" t="s">
        <v>3106</v>
      </c>
      <c r="W19" s="3067">
        <f>J19</f>
        <v>100</v>
      </c>
      <c r="X19" s="2999"/>
      <c r="Y19" s="3704"/>
      <c r="Z19" s="3068" t="str">
        <f>Q19</f>
        <v>公共配套设施</v>
      </c>
      <c r="AA19" s="3069">
        <f t="shared" si="3"/>
        <v>1</v>
      </c>
      <c r="AB19" s="3069">
        <f t="shared" si="4"/>
        <v>1</v>
      </c>
      <c r="AC19" s="3069">
        <f t="shared" si="5"/>
        <v>1</v>
      </c>
    </row>
    <row r="20" spans="1:29" ht="15">
      <c r="A20" s="3041"/>
      <c r="B20" s="3082"/>
      <c r="C20" s="3088" t="s">
        <v>3116</v>
      </c>
      <c r="D20" s="3072"/>
      <c r="E20" s="3073" t="s">
        <v>3116</v>
      </c>
      <c r="F20" s="3072"/>
      <c r="G20" s="3074" t="s">
        <v>3116</v>
      </c>
      <c r="H20" s="3072"/>
      <c r="I20" s="3074" t="s">
        <v>3116</v>
      </c>
      <c r="J20" s="3072"/>
      <c r="K20" s="3076"/>
      <c r="L20" s="3052"/>
      <c r="M20" s="2998"/>
      <c r="N20" s="2998"/>
      <c r="O20" s="2998"/>
      <c r="P20" s="3702"/>
      <c r="Q20" s="3065"/>
      <c r="R20" s="3066"/>
      <c r="S20" s="3067"/>
      <c r="T20" s="3066"/>
      <c r="U20" s="3067"/>
      <c r="V20" s="3066"/>
      <c r="W20" s="3067"/>
      <c r="X20" s="2999"/>
      <c r="Y20" s="3704"/>
      <c r="Z20" s="3068"/>
      <c r="AA20" s="3069">
        <v>1</v>
      </c>
      <c r="AB20" s="3069">
        <v>1</v>
      </c>
      <c r="AC20" s="3069">
        <v>1</v>
      </c>
    </row>
    <row r="21" spans="1:29" ht="42.75">
      <c r="A21" s="3041"/>
      <c r="B21" s="3089" t="s">
        <v>3119</v>
      </c>
      <c r="C21" s="3078" t="str">
        <f>[1]估价对象房地状况!C8</f>
        <v>估价对象所在区域基础设施水平七通</v>
      </c>
      <c r="D21" s="3075">
        <v>100</v>
      </c>
      <c r="E21" s="3086"/>
      <c r="F21" s="3081">
        <f>SUMIF(82:82,E22,83:83)-SUMIF(82:82,C22,83:83)+100</f>
        <v>100</v>
      </c>
      <c r="G21" s="3087"/>
      <c r="H21" s="3075">
        <f>SUMIF(82:82,G22,83:83)-SUMIF(82:82,C22,83:83)+100</f>
        <v>100</v>
      </c>
      <c r="I21" s="3087"/>
      <c r="J21" s="3075">
        <f>SUMIF(82:82,I22,83:83)-SUMIF(82:82,C22,83:83)+100</f>
        <v>100</v>
      </c>
      <c r="K21" s="3064"/>
      <c r="L21" s="3052"/>
      <c r="M21" s="2998"/>
      <c r="N21" s="2998"/>
      <c r="O21" s="2998"/>
      <c r="P21" s="3702"/>
      <c r="Q21" s="3065" t="str">
        <f>B21</f>
        <v>基础设施水平</v>
      </c>
      <c r="R21" s="3066" t="s">
        <v>3106</v>
      </c>
      <c r="S21" s="3067">
        <f>F21</f>
        <v>100</v>
      </c>
      <c r="T21" s="3066" t="s">
        <v>3106</v>
      </c>
      <c r="U21" s="3067">
        <f>H21</f>
        <v>100</v>
      </c>
      <c r="V21" s="3066" t="s">
        <v>3106</v>
      </c>
      <c r="W21" s="3067">
        <f>J21</f>
        <v>100</v>
      </c>
      <c r="X21" s="2999"/>
      <c r="Y21" s="3704"/>
      <c r="Z21" s="3068" t="str">
        <f>Q21</f>
        <v>基础设施水平</v>
      </c>
      <c r="AA21" s="3069">
        <f t="shared" ref="AA21" si="8">D21/F21</f>
        <v>1</v>
      </c>
      <c r="AB21" s="3069">
        <f t="shared" ref="AB21" si="9">D21/H21</f>
        <v>1</v>
      </c>
      <c r="AC21" s="3069">
        <f t="shared" ref="AC21" si="10">D21/J21</f>
        <v>1</v>
      </c>
    </row>
    <row r="22" spans="1:29" ht="15">
      <c r="A22" s="3041"/>
      <c r="B22" s="3089"/>
      <c r="C22" s="3090" t="s">
        <v>3120</v>
      </c>
      <c r="D22" s="3072"/>
      <c r="E22" s="3088" t="s">
        <v>3120</v>
      </c>
      <c r="F22" s="3072"/>
      <c r="G22" s="3091" t="s">
        <v>3120</v>
      </c>
      <c r="H22" s="3072"/>
      <c r="I22" s="3088" t="s">
        <v>3120</v>
      </c>
      <c r="J22" s="3072"/>
      <c r="K22" s="3092"/>
      <c r="L22" s="3052"/>
      <c r="M22" s="2998"/>
      <c r="N22" s="2998"/>
      <c r="O22" s="2998"/>
      <c r="P22" s="3702"/>
      <c r="Q22" s="3065"/>
      <c r="R22" s="3066"/>
      <c r="S22" s="3067"/>
      <c r="T22" s="3066"/>
      <c r="U22" s="3067"/>
      <c r="V22" s="3066"/>
      <c r="W22" s="3067"/>
      <c r="X22" s="2999"/>
      <c r="Y22" s="3704"/>
      <c r="Z22" s="3068"/>
      <c r="AA22" s="3069">
        <v>1</v>
      </c>
      <c r="AB22" s="3069">
        <v>1</v>
      </c>
      <c r="AC22" s="3069">
        <v>1</v>
      </c>
    </row>
    <row r="23" spans="1:29" ht="57">
      <c r="A23" s="3041"/>
      <c r="B23" s="3077" t="s">
        <v>2104</v>
      </c>
      <c r="C23" s="3093" t="str">
        <f>[1]估价对象房地状况!C9</f>
        <v>区域自然环境好；人文环境较好；综合评价环境状况较好</v>
      </c>
      <c r="D23" s="3075">
        <v>100</v>
      </c>
      <c r="E23" s="3079"/>
      <c r="F23" s="3075">
        <f>SUMIF(84:84,E24,85:85)-SUMIF(84:84,C24,85:85)+100</f>
        <v>98</v>
      </c>
      <c r="G23" s="3080"/>
      <c r="H23" s="3075">
        <f>SUMIF(84:84,G24,85:85)-SUMIF(84:84,C24,85:85)+100</f>
        <v>100</v>
      </c>
      <c r="I23" s="3080"/>
      <c r="J23" s="3075">
        <f>SUMIF(84:84,I24,85:85)-SUMIF(84:84,C24,85:85)+100</f>
        <v>100</v>
      </c>
      <c r="K23" s="3064">
        <v>2</v>
      </c>
      <c r="L23" s="3052"/>
      <c r="M23" s="2998"/>
      <c r="N23" s="2998"/>
      <c r="O23" s="2998"/>
      <c r="P23" s="3702"/>
      <c r="Q23" s="3065" t="str">
        <f>B23</f>
        <v>自然及人文环境</v>
      </c>
      <c r="R23" s="3066" t="s">
        <v>3106</v>
      </c>
      <c r="S23" s="3067">
        <f>F23</f>
        <v>98</v>
      </c>
      <c r="T23" s="3066" t="s">
        <v>3106</v>
      </c>
      <c r="U23" s="3067">
        <f>H23</f>
        <v>100</v>
      </c>
      <c r="V23" s="3066" t="s">
        <v>3106</v>
      </c>
      <c r="W23" s="3067">
        <f>J23</f>
        <v>100</v>
      </c>
      <c r="X23" s="2999"/>
      <c r="Y23" s="3704"/>
      <c r="Z23" s="3068" t="str">
        <f>Q23</f>
        <v>自然及人文环境</v>
      </c>
      <c r="AA23" s="3069">
        <f>D23/F23</f>
        <v>1.0204081632653061</v>
      </c>
      <c r="AB23" s="3069">
        <f>D23/H23</f>
        <v>1</v>
      </c>
      <c r="AC23" s="3069">
        <f>D23/J23</f>
        <v>1</v>
      </c>
    </row>
    <row r="24" spans="1:29" ht="15">
      <c r="A24" s="3041"/>
      <c r="B24" s="3082"/>
      <c r="C24" s="3071" t="s">
        <v>3116</v>
      </c>
      <c r="D24" s="3072"/>
      <c r="E24" s="3073" t="s">
        <v>3117</v>
      </c>
      <c r="F24" s="3072"/>
      <c r="G24" s="3074" t="s">
        <v>3116</v>
      </c>
      <c r="H24" s="3072"/>
      <c r="I24" s="3074" t="s">
        <v>3116</v>
      </c>
      <c r="J24" s="3072"/>
      <c r="K24" s="3076"/>
      <c r="L24" s="3052"/>
      <c r="M24" s="2998"/>
      <c r="N24" s="2998"/>
      <c r="O24" s="2998"/>
      <c r="P24" s="3702"/>
      <c r="Q24" s="3065"/>
      <c r="R24" s="3066"/>
      <c r="S24" s="3067"/>
      <c r="T24" s="3066"/>
      <c r="U24" s="3067"/>
      <c r="V24" s="3066"/>
      <c r="W24" s="3067"/>
      <c r="X24" s="2999"/>
      <c r="Y24" s="3704"/>
      <c r="Z24" s="3068"/>
      <c r="AA24" s="3069">
        <v>1</v>
      </c>
      <c r="AB24" s="3069">
        <v>1</v>
      </c>
      <c r="AC24" s="3069">
        <v>1</v>
      </c>
    </row>
    <row r="25" spans="1:29" ht="15">
      <c r="A25" s="3041"/>
      <c r="B25" s="3032" t="s">
        <v>3121</v>
      </c>
      <c r="C25" s="3094"/>
      <c r="D25" s="3051">
        <v>100</v>
      </c>
      <c r="E25" s="3095"/>
      <c r="F25" s="3051">
        <f>SUMIF(86:86,E25,87:87)-SUMIF(86:86,C25,87:87)+100</f>
        <v>100</v>
      </c>
      <c r="G25" s="3096"/>
      <c r="H25" s="3051">
        <f>SUMIF(86:86,G25,87:87)-SUMIF(86:86,C25,87:87)+100</f>
        <v>100</v>
      </c>
      <c r="I25" s="3096"/>
      <c r="J25" s="3051">
        <f>SUMIF(86:86,I25,87:87)-SUMIF(86:86,C25,87:87)+100</f>
        <v>100</v>
      </c>
      <c r="K25" s="3037"/>
      <c r="L25" s="3052"/>
      <c r="M25" s="2998"/>
      <c r="N25" s="2998"/>
      <c r="O25" s="2998"/>
      <c r="P25" s="3702"/>
      <c r="Q25" s="3065" t="str">
        <f t="shared" ref="Q25:Q46" si="11">B25</f>
        <v>楼层-1</v>
      </c>
      <c r="R25" s="3066" t="s">
        <v>3106</v>
      </c>
      <c r="S25" s="3067">
        <f t="shared" ref="S25:S46" si="12">F25</f>
        <v>100</v>
      </c>
      <c r="T25" s="3066" t="s">
        <v>3106</v>
      </c>
      <c r="U25" s="3067">
        <f t="shared" ref="U25:U46" si="13">H25</f>
        <v>100</v>
      </c>
      <c r="V25" s="3066" t="s">
        <v>3106</v>
      </c>
      <c r="W25" s="3067">
        <f t="shared" ref="W25:W46" si="14">J25</f>
        <v>100</v>
      </c>
      <c r="X25" s="2999"/>
      <c r="Y25" s="3704"/>
      <c r="Z25" s="3068" t="str">
        <f>Q25</f>
        <v>楼层-1</v>
      </c>
      <c r="AA25" s="3069">
        <f t="shared" ref="AA25:AA46" si="15">D25/F25</f>
        <v>1</v>
      </c>
      <c r="AB25" s="3069">
        <f t="shared" ref="AB25:AB46" si="16">D25/H25</f>
        <v>1</v>
      </c>
      <c r="AC25" s="3069">
        <f t="shared" ref="AC25:AC46" si="17">D25/J25</f>
        <v>1</v>
      </c>
    </row>
    <row r="26" spans="1:29" ht="15">
      <c r="A26" s="3041"/>
      <c r="B26" s="3032" t="s">
        <v>2565</v>
      </c>
      <c r="C26" s="3094"/>
      <c r="D26" s="3051">
        <v>100</v>
      </c>
      <c r="E26" s="3095"/>
      <c r="F26" s="3051">
        <f>SUMIF(88:88,E26,89:89)-SUMIF(88:88,C26,89:89)+100</f>
        <v>100</v>
      </c>
      <c r="G26" s="3096"/>
      <c r="H26" s="3051">
        <f>SUMIF(88:88,G26,89:89)-SUMIF(88:88,C26,89:89)+100</f>
        <v>100</v>
      </c>
      <c r="I26" s="3096"/>
      <c r="J26" s="3051">
        <f>SUMIF(88:88,I26,89:89)-SUMIF(88:88,C26,89:89)+100</f>
        <v>100</v>
      </c>
      <c r="K26" s="3037"/>
      <c r="L26" s="3052"/>
      <c r="M26" s="2998"/>
      <c r="N26" s="2998"/>
      <c r="O26" s="2998"/>
      <c r="P26" s="3702"/>
      <c r="Q26" s="3065" t="str">
        <f t="shared" si="11"/>
        <v>朝向</v>
      </c>
      <c r="R26" s="3066" t="s">
        <v>3106</v>
      </c>
      <c r="S26" s="3067">
        <f t="shared" si="12"/>
        <v>100</v>
      </c>
      <c r="T26" s="3066" t="s">
        <v>3106</v>
      </c>
      <c r="U26" s="3067">
        <f t="shared" si="13"/>
        <v>100</v>
      </c>
      <c r="V26" s="3066" t="s">
        <v>3106</v>
      </c>
      <c r="W26" s="3067">
        <f t="shared" si="14"/>
        <v>100</v>
      </c>
      <c r="X26" s="2999"/>
      <c r="Y26" s="3704"/>
      <c r="Z26" s="3068" t="str">
        <f>Q26</f>
        <v>朝向</v>
      </c>
      <c r="AA26" s="3069">
        <f t="shared" si="15"/>
        <v>1</v>
      </c>
      <c r="AB26" s="3069">
        <f t="shared" si="16"/>
        <v>1</v>
      </c>
      <c r="AC26" s="3069">
        <f t="shared" si="17"/>
        <v>1</v>
      </c>
    </row>
    <row r="27" spans="1:29" s="3019" customFormat="1" ht="15">
      <c r="A27" s="3045"/>
      <c r="B27" s="3097">
        <v>111</v>
      </c>
      <c r="C27" s="3047"/>
      <c r="D27" s="3098">
        <v>100</v>
      </c>
      <c r="E27" s="3099"/>
      <c r="F27" s="3098">
        <f>SUMIF(90:90,E27,91:91)-SUMIF(90:90,C27,91:91)+100</f>
        <v>100</v>
      </c>
      <c r="G27" s="3100"/>
      <c r="H27" s="3098">
        <f>SUMIF(90:90,G27,91:91)-SUMIF(90:90,C27,91:91)+100</f>
        <v>100</v>
      </c>
      <c r="I27" s="3100"/>
      <c r="J27" s="3098">
        <f>SUMIF(90:90,I27,91:91)-SUMIF(90:90,C27,91:91)+100</f>
        <v>100</v>
      </c>
      <c r="K27" s="3049"/>
      <c r="L27" s="3013"/>
      <c r="M27" s="3014"/>
      <c r="N27" s="3014"/>
      <c r="O27" s="3014"/>
      <c r="P27" s="3702"/>
      <c r="Q27" s="3029">
        <f t="shared" si="11"/>
        <v>111</v>
      </c>
      <c r="R27" s="3015" t="s">
        <v>3106</v>
      </c>
      <c r="S27" s="3016">
        <f t="shared" si="12"/>
        <v>100</v>
      </c>
      <c r="T27" s="3015" t="s">
        <v>3106</v>
      </c>
      <c r="U27" s="3016">
        <f t="shared" si="13"/>
        <v>100</v>
      </c>
      <c r="V27" s="3015" t="s">
        <v>3106</v>
      </c>
      <c r="W27" s="3016">
        <f t="shared" si="14"/>
        <v>100</v>
      </c>
      <c r="X27" s="3017"/>
      <c r="Y27" s="3704"/>
      <c r="Z27" s="3030">
        <f>Q27</f>
        <v>111</v>
      </c>
      <c r="AA27" s="3069">
        <f t="shared" si="15"/>
        <v>1</v>
      </c>
      <c r="AB27" s="3069">
        <f t="shared" si="16"/>
        <v>1</v>
      </c>
      <c r="AC27" s="3069">
        <f t="shared" si="17"/>
        <v>1</v>
      </c>
    </row>
    <row r="28" spans="1:29" ht="15">
      <c r="A28" s="3041"/>
      <c r="B28" s="3097">
        <v>111</v>
      </c>
      <c r="C28" s="3050"/>
      <c r="D28" s="3051">
        <v>100</v>
      </c>
      <c r="E28" s="3050"/>
      <c r="F28" s="3051">
        <f>SUMIF(92:92,E28,93:93)-SUMIF(92:92,C28,93:93)+100</f>
        <v>100</v>
      </c>
      <c r="G28" s="3101"/>
      <c r="H28" s="3051">
        <f>SUMIF(92:92,G28,93:93)-SUMIF(92:92,C28,93:93)+100</f>
        <v>100</v>
      </c>
      <c r="I28" s="3050"/>
      <c r="J28" s="3051">
        <f>SUMIF(92:92,I28,93:93)-SUMIF(92:92,C28,93:93)+100</f>
        <v>100</v>
      </c>
      <c r="K28" s="3049"/>
      <c r="L28" s="3052"/>
      <c r="M28" s="2998"/>
      <c r="N28" s="2998"/>
      <c r="O28" s="2998"/>
      <c r="P28" s="3702"/>
      <c r="Q28" s="3065">
        <f t="shared" si="11"/>
        <v>111</v>
      </c>
      <c r="R28" s="3066" t="s">
        <v>3106</v>
      </c>
      <c r="S28" s="3067">
        <f t="shared" si="12"/>
        <v>100</v>
      </c>
      <c r="T28" s="3066" t="s">
        <v>3106</v>
      </c>
      <c r="U28" s="3067">
        <f t="shared" si="13"/>
        <v>100</v>
      </c>
      <c r="V28" s="3066" t="s">
        <v>3106</v>
      </c>
      <c r="W28" s="3067">
        <f t="shared" si="14"/>
        <v>100</v>
      </c>
      <c r="X28" s="2999"/>
      <c r="Y28" s="3704"/>
      <c r="Z28" s="3068">
        <f t="shared" ref="Z28:Z46" si="18">Q28</f>
        <v>111</v>
      </c>
      <c r="AA28" s="3069">
        <f t="shared" si="15"/>
        <v>1</v>
      </c>
      <c r="AB28" s="3069">
        <f t="shared" si="16"/>
        <v>1</v>
      </c>
      <c r="AC28" s="3069">
        <f t="shared" si="17"/>
        <v>1</v>
      </c>
    </row>
    <row r="29" spans="1:29" ht="15">
      <c r="A29" s="3041"/>
      <c r="B29" s="3097">
        <v>111</v>
      </c>
      <c r="C29" s="3050"/>
      <c r="D29" s="3051">
        <v>100</v>
      </c>
      <c r="E29" s="3050"/>
      <c r="F29" s="3051">
        <f>SUMIF(94:94,E29,95:95)-SUMIF(94:94,C29,95:95)+100</f>
        <v>100</v>
      </c>
      <c r="G29" s="3101"/>
      <c r="H29" s="3051">
        <f>SUMIF(94:94,G29,95:95)-SUMIF(94:94,C29,95:95)+100</f>
        <v>100</v>
      </c>
      <c r="I29" s="3050"/>
      <c r="J29" s="3051">
        <f>SUMIF(94:94,I29,95:95)-SUMIF(94:94,C29,95:95)+100</f>
        <v>100</v>
      </c>
      <c r="K29" s="3049"/>
      <c r="L29" s="3052"/>
      <c r="M29" s="2998"/>
      <c r="N29" s="2998"/>
      <c r="O29" s="2998"/>
      <c r="P29" s="3702"/>
      <c r="Q29" s="3065">
        <f t="shared" si="11"/>
        <v>111</v>
      </c>
      <c r="R29" s="3066" t="s">
        <v>3106</v>
      </c>
      <c r="S29" s="3067">
        <f t="shared" si="12"/>
        <v>100</v>
      </c>
      <c r="T29" s="3066" t="s">
        <v>3106</v>
      </c>
      <c r="U29" s="3067">
        <f t="shared" si="13"/>
        <v>100</v>
      </c>
      <c r="V29" s="3066" t="s">
        <v>3106</v>
      </c>
      <c r="W29" s="3067">
        <f t="shared" si="14"/>
        <v>100</v>
      </c>
      <c r="X29" s="2999"/>
      <c r="Y29" s="3704"/>
      <c r="Z29" s="3068">
        <f t="shared" si="18"/>
        <v>111</v>
      </c>
      <c r="AA29" s="3069">
        <f t="shared" si="15"/>
        <v>1</v>
      </c>
      <c r="AB29" s="3069">
        <f t="shared" si="16"/>
        <v>1</v>
      </c>
      <c r="AC29" s="3069">
        <f t="shared" si="17"/>
        <v>1</v>
      </c>
    </row>
    <row r="30" spans="1:29" ht="15">
      <c r="A30" s="3041"/>
      <c r="B30" s="3097">
        <v>111</v>
      </c>
      <c r="C30" s="3050"/>
      <c r="D30" s="3051">
        <v>100</v>
      </c>
      <c r="E30" s="3050"/>
      <c r="F30" s="3051">
        <f>SUMIF(96:96,E30,97:97)-SUMIF(96:96,C30,97:97)+100</f>
        <v>100</v>
      </c>
      <c r="G30" s="3101"/>
      <c r="H30" s="3051">
        <f>SUMIF(96:96,G30,97:97)-SUMIF(96:96,C30,97:97)+100</f>
        <v>100</v>
      </c>
      <c r="I30" s="3050"/>
      <c r="J30" s="3051">
        <f>SUMIF(96:96,I30,97:97)-SUMIF(96:96,C30,97:97)+100</f>
        <v>100</v>
      </c>
      <c r="K30" s="3049"/>
      <c r="L30" s="3052"/>
      <c r="M30" s="2998"/>
      <c r="N30" s="2998"/>
      <c r="O30" s="2998"/>
      <c r="P30" s="3702"/>
      <c r="Q30" s="3065">
        <f t="shared" si="11"/>
        <v>111</v>
      </c>
      <c r="R30" s="3066" t="s">
        <v>3106</v>
      </c>
      <c r="S30" s="3067">
        <f t="shared" si="12"/>
        <v>100</v>
      </c>
      <c r="T30" s="3066" t="s">
        <v>3106</v>
      </c>
      <c r="U30" s="3067">
        <f t="shared" si="13"/>
        <v>100</v>
      </c>
      <c r="V30" s="3066" t="s">
        <v>3106</v>
      </c>
      <c r="W30" s="3067">
        <f t="shared" si="14"/>
        <v>100</v>
      </c>
      <c r="X30" s="2999"/>
      <c r="Y30" s="3704"/>
      <c r="Z30" s="3068">
        <f t="shared" si="18"/>
        <v>111</v>
      </c>
      <c r="AA30" s="3069">
        <f t="shared" si="15"/>
        <v>1</v>
      </c>
      <c r="AB30" s="3069">
        <f t="shared" si="16"/>
        <v>1</v>
      </c>
      <c r="AC30" s="3069">
        <f t="shared" si="17"/>
        <v>1</v>
      </c>
    </row>
    <row r="31" spans="1:29" ht="15.75" thickBot="1">
      <c r="A31" s="3053"/>
      <c r="B31" s="3097">
        <v>111</v>
      </c>
      <c r="C31" s="3055"/>
      <c r="D31" s="3056">
        <v>100</v>
      </c>
      <c r="E31" s="3055"/>
      <c r="F31" s="3056">
        <f>SUMIF(98:98,E31,99:99)-SUMIF(98:98,C31,99:99)+100</f>
        <v>100</v>
      </c>
      <c r="G31" s="3102"/>
      <c r="H31" s="3056">
        <f>SUMIF(98:98,G31,99:99)-SUMIF(98:98,C31,99:99)+100</f>
        <v>100</v>
      </c>
      <c r="I31" s="3055"/>
      <c r="J31" s="3056">
        <f>SUMIF(98:98,I31,99:99)-SUMIF(98:98,C31,99:99)+100</f>
        <v>100</v>
      </c>
      <c r="K31" s="3049"/>
      <c r="L31" s="3052"/>
      <c r="M31" s="2998"/>
      <c r="N31" s="2998"/>
      <c r="O31" s="2998"/>
      <c r="P31" s="3702"/>
      <c r="Q31" s="3065">
        <f t="shared" si="11"/>
        <v>111</v>
      </c>
      <c r="R31" s="3066" t="s">
        <v>3106</v>
      </c>
      <c r="S31" s="3067">
        <f t="shared" si="12"/>
        <v>100</v>
      </c>
      <c r="T31" s="3066" t="s">
        <v>3106</v>
      </c>
      <c r="U31" s="3067">
        <f t="shared" si="13"/>
        <v>100</v>
      </c>
      <c r="V31" s="3066" t="s">
        <v>3106</v>
      </c>
      <c r="W31" s="3067">
        <f t="shared" si="14"/>
        <v>100</v>
      </c>
      <c r="X31" s="2999"/>
      <c r="Y31" s="3704"/>
      <c r="Z31" s="3068">
        <f t="shared" si="18"/>
        <v>111</v>
      </c>
      <c r="AA31" s="3069">
        <f t="shared" si="15"/>
        <v>1</v>
      </c>
      <c r="AB31" s="3069">
        <f t="shared" si="16"/>
        <v>1</v>
      </c>
      <c r="AC31" s="3069">
        <f t="shared" si="17"/>
        <v>1</v>
      </c>
    </row>
    <row r="32" spans="1:29" ht="15">
      <c r="A32" s="3058" t="s">
        <v>3122</v>
      </c>
      <c r="B32" s="3023" t="s">
        <v>2567</v>
      </c>
      <c r="C32" s="3103" t="s">
        <v>3123</v>
      </c>
      <c r="D32" s="3104">
        <v>100</v>
      </c>
      <c r="E32" s="3105" t="s">
        <v>3123</v>
      </c>
      <c r="F32" s="3106">
        <f>SUMIF(100:100,E32,101:101)-SUMIF(100:100,C32,101:101)+100</f>
        <v>100</v>
      </c>
      <c r="G32" s="3103" t="s">
        <v>3123</v>
      </c>
      <c r="H32" s="3104">
        <f>SUMIF(100:100,G32,101:101)-SUMIF(100:100,C32,101:101)+100</f>
        <v>100</v>
      </c>
      <c r="I32" s="3105" t="s">
        <v>3123</v>
      </c>
      <c r="J32" s="3051">
        <f>SUMIF(100:100,I32,101:101)-SUMIF(100:100,C32,101:101)+100</f>
        <v>100</v>
      </c>
      <c r="K32" s="3037">
        <v>1</v>
      </c>
      <c r="L32" s="3052"/>
      <c r="M32" s="2998"/>
      <c r="N32" s="2998"/>
      <c r="O32" s="2998"/>
      <c r="P32" s="3705" t="s">
        <v>3124</v>
      </c>
      <c r="Q32" s="3065" t="str">
        <f t="shared" si="11"/>
        <v>建筑类型</v>
      </c>
      <c r="R32" s="3066" t="s">
        <v>3106</v>
      </c>
      <c r="S32" s="3067">
        <f t="shared" si="12"/>
        <v>100</v>
      </c>
      <c r="T32" s="3066" t="s">
        <v>3106</v>
      </c>
      <c r="U32" s="3067">
        <f t="shared" si="13"/>
        <v>100</v>
      </c>
      <c r="V32" s="3066" t="s">
        <v>3106</v>
      </c>
      <c r="W32" s="3067">
        <f t="shared" si="14"/>
        <v>100</v>
      </c>
      <c r="X32" s="2999"/>
      <c r="Y32" s="3708" t="s">
        <v>3124</v>
      </c>
      <c r="Z32" s="3068" t="str">
        <f t="shared" si="18"/>
        <v>建筑类型</v>
      </c>
      <c r="AA32" s="3069">
        <f t="shared" si="15"/>
        <v>1</v>
      </c>
      <c r="AB32" s="3069">
        <f t="shared" si="16"/>
        <v>1</v>
      </c>
      <c r="AC32" s="3069">
        <f t="shared" si="17"/>
        <v>1</v>
      </c>
    </row>
    <row r="33" spans="1:29" s="3115" customFormat="1" ht="15">
      <c r="A33" s="3107"/>
      <c r="B33" s="3032" t="s">
        <v>2569</v>
      </c>
      <c r="C33" s="3108"/>
      <c r="D33" s="3034">
        <v>100</v>
      </c>
      <c r="E33" s="3043"/>
      <c r="F33" s="3036">
        <f>LOOKUP(E33,103:103,104:104)-LOOKUP(C33,103:103,104:104)+100</f>
        <v>100</v>
      </c>
      <c r="G33" s="3042"/>
      <c r="H33" s="3034">
        <f>LOOKUP(G33,103:103,104:104)-LOOKUP(C33,103:103,104:104)+100</f>
        <v>100</v>
      </c>
      <c r="I33" s="3043"/>
      <c r="J33" s="3034">
        <f>LOOKUP(I33,103:103,104:104)-LOOKUP(C33,103:103,104:104)+100</f>
        <v>100</v>
      </c>
      <c r="K33" s="3049"/>
      <c r="L33" s="3044"/>
      <c r="M33" s="3109"/>
      <c r="N33" s="3109"/>
      <c r="O33" s="3109"/>
      <c r="P33" s="3706"/>
      <c r="Q33" s="3110" t="str">
        <f t="shared" si="11"/>
        <v>项目建筑规模</v>
      </c>
      <c r="R33" s="3111" t="s">
        <v>3106</v>
      </c>
      <c r="S33" s="3112">
        <f t="shared" si="12"/>
        <v>100</v>
      </c>
      <c r="T33" s="3111" t="s">
        <v>3106</v>
      </c>
      <c r="U33" s="3112">
        <f t="shared" si="13"/>
        <v>100</v>
      </c>
      <c r="V33" s="3111" t="s">
        <v>3106</v>
      </c>
      <c r="W33" s="3112">
        <f t="shared" si="14"/>
        <v>100</v>
      </c>
      <c r="X33" s="3113"/>
      <c r="Y33" s="3708"/>
      <c r="Z33" s="3114" t="str">
        <f t="shared" si="18"/>
        <v>项目建筑规模</v>
      </c>
      <c r="AA33" s="3069">
        <f t="shared" si="15"/>
        <v>1</v>
      </c>
      <c r="AB33" s="3069">
        <f t="shared" si="16"/>
        <v>1</v>
      </c>
      <c r="AC33" s="3069">
        <f t="shared" si="17"/>
        <v>1</v>
      </c>
    </row>
    <row r="34" spans="1:29" ht="15">
      <c r="A34" s="3116"/>
      <c r="B34" s="3032" t="s">
        <v>2570</v>
      </c>
      <c r="C34" s="3117" t="s">
        <v>3125</v>
      </c>
      <c r="D34" s="3051">
        <v>100</v>
      </c>
      <c r="E34" s="3118" t="s">
        <v>3125</v>
      </c>
      <c r="F34" s="3106">
        <f>SUMIF(105:105,E34,106:106)-SUMIF(105:105,C34,106:106)+100</f>
        <v>100</v>
      </c>
      <c r="G34" s="3117" t="s">
        <v>3125</v>
      </c>
      <c r="H34" s="3051">
        <f>SUMIF(105:105,G34,106:106)-SUMIF(105:105,C34,106:106)+100</f>
        <v>100</v>
      </c>
      <c r="I34" s="3118" t="s">
        <v>3125</v>
      </c>
      <c r="J34" s="3051">
        <f>SUMIF(105:105,I34,106:106)-SUMIF(105:105,C34,106:106)+100</f>
        <v>100</v>
      </c>
      <c r="K34" s="3037">
        <v>2</v>
      </c>
      <c r="L34" s="3052"/>
      <c r="M34" s="2998"/>
      <c r="N34" s="2998"/>
      <c r="O34" s="2998"/>
      <c r="P34" s="3706"/>
      <c r="Q34" s="3065" t="str">
        <f t="shared" si="11"/>
        <v>建筑结构</v>
      </c>
      <c r="R34" s="3066" t="s">
        <v>3106</v>
      </c>
      <c r="S34" s="3067">
        <f t="shared" si="12"/>
        <v>100</v>
      </c>
      <c r="T34" s="3066" t="s">
        <v>3106</v>
      </c>
      <c r="U34" s="3067">
        <f t="shared" si="13"/>
        <v>100</v>
      </c>
      <c r="V34" s="3066" t="s">
        <v>3106</v>
      </c>
      <c r="W34" s="3067">
        <f t="shared" si="14"/>
        <v>100</v>
      </c>
      <c r="X34" s="2999"/>
      <c r="Y34" s="3708"/>
      <c r="Z34" s="3068" t="str">
        <f t="shared" si="18"/>
        <v>建筑结构</v>
      </c>
      <c r="AA34" s="3069">
        <f t="shared" si="15"/>
        <v>1</v>
      </c>
      <c r="AB34" s="3069">
        <f t="shared" si="16"/>
        <v>1</v>
      </c>
      <c r="AC34" s="3069">
        <f t="shared" si="17"/>
        <v>1</v>
      </c>
    </row>
    <row r="35" spans="1:29" ht="15">
      <c r="A35" s="3116"/>
      <c r="B35" s="3032" t="s">
        <v>2571</v>
      </c>
      <c r="C35" s="3095" t="s">
        <v>3126</v>
      </c>
      <c r="D35" s="3051">
        <v>100</v>
      </c>
      <c r="E35" s="3096" t="s">
        <v>3127</v>
      </c>
      <c r="F35" s="3106">
        <f>SUMIF(107:107,E35,108:108)-SUMIF(107:107,C35,108:108)+100</f>
        <v>98</v>
      </c>
      <c r="G35" s="3095" t="s">
        <v>3126</v>
      </c>
      <c r="H35" s="3051">
        <f>SUMIF(107:107,G35,108:108)-SUMIF(107:107,C35,108:108)+100</f>
        <v>100</v>
      </c>
      <c r="I35" s="3096" t="s">
        <v>3126</v>
      </c>
      <c r="J35" s="3051">
        <f>SUMIF(107:107,I35,108:108)-SUMIF(107:107,C35,108:108)+100</f>
        <v>100</v>
      </c>
      <c r="K35" s="3037">
        <v>2</v>
      </c>
      <c r="L35" s="3052"/>
      <c r="M35" s="2998"/>
      <c r="N35" s="2998"/>
      <c r="O35" s="2998"/>
      <c r="P35" s="3706"/>
      <c r="Q35" s="3065" t="str">
        <f t="shared" si="11"/>
        <v>建筑品质</v>
      </c>
      <c r="R35" s="3066" t="s">
        <v>3106</v>
      </c>
      <c r="S35" s="3067">
        <f t="shared" si="12"/>
        <v>98</v>
      </c>
      <c r="T35" s="3066" t="s">
        <v>3106</v>
      </c>
      <c r="U35" s="3067">
        <f t="shared" si="13"/>
        <v>100</v>
      </c>
      <c r="V35" s="3066" t="s">
        <v>3106</v>
      </c>
      <c r="W35" s="3067">
        <f t="shared" si="14"/>
        <v>100</v>
      </c>
      <c r="X35" s="2999"/>
      <c r="Y35" s="3708"/>
      <c r="Z35" s="3068" t="str">
        <f t="shared" si="18"/>
        <v>建筑品质</v>
      </c>
      <c r="AA35" s="3069">
        <f t="shared" si="15"/>
        <v>1.0204081632653061</v>
      </c>
      <c r="AB35" s="3069">
        <f t="shared" si="16"/>
        <v>1</v>
      </c>
      <c r="AC35" s="3069">
        <f t="shared" si="17"/>
        <v>1</v>
      </c>
    </row>
    <row r="36" spans="1:29" ht="15">
      <c r="A36" s="3116"/>
      <c r="B36" s="3032" t="s">
        <v>2572</v>
      </c>
      <c r="C36" s="3095" t="s">
        <v>3128</v>
      </c>
      <c r="D36" s="3051">
        <v>100</v>
      </c>
      <c r="E36" s="3096" t="s">
        <v>3128</v>
      </c>
      <c r="F36" s="3106">
        <f>SUMIF(109:109,E36,110:110)-SUMIF(109:109,C36,110:110)+100</f>
        <v>100</v>
      </c>
      <c r="G36" s="3095" t="s">
        <v>3128</v>
      </c>
      <c r="H36" s="3051">
        <f>SUMIF(109:109,G36,110:110)-SUMIF(109:109,C36,110:110)+100</f>
        <v>100</v>
      </c>
      <c r="I36" s="3096" t="s">
        <v>3128</v>
      </c>
      <c r="J36" s="3051">
        <f>SUMIF(109:109,I36,110:110)-SUMIF(109:109,C36,110:110)+100</f>
        <v>100</v>
      </c>
      <c r="K36" s="3037">
        <v>1</v>
      </c>
      <c r="L36" s="3052"/>
      <c r="M36" s="2998"/>
      <c r="N36" s="2998"/>
      <c r="O36" s="2998"/>
      <c r="P36" s="3706"/>
      <c r="Q36" s="3065" t="str">
        <f t="shared" si="11"/>
        <v>公共部分装修</v>
      </c>
      <c r="R36" s="3066" t="s">
        <v>3106</v>
      </c>
      <c r="S36" s="3067">
        <f t="shared" si="12"/>
        <v>100</v>
      </c>
      <c r="T36" s="3066" t="s">
        <v>3106</v>
      </c>
      <c r="U36" s="3067">
        <f t="shared" si="13"/>
        <v>100</v>
      </c>
      <c r="V36" s="3066" t="s">
        <v>3106</v>
      </c>
      <c r="W36" s="3067">
        <f t="shared" si="14"/>
        <v>100</v>
      </c>
      <c r="X36" s="2999"/>
      <c r="Y36" s="3708"/>
      <c r="Z36" s="3068" t="str">
        <f t="shared" si="18"/>
        <v>公共部分装修</v>
      </c>
      <c r="AA36" s="3069">
        <f t="shared" si="15"/>
        <v>1</v>
      </c>
      <c r="AB36" s="3069">
        <f t="shared" si="16"/>
        <v>1</v>
      </c>
      <c r="AC36" s="3069">
        <f t="shared" si="17"/>
        <v>1</v>
      </c>
    </row>
    <row r="37" spans="1:29" s="3019" customFormat="1" ht="15">
      <c r="A37" s="3119"/>
      <c r="B37" s="3032" t="s">
        <v>2573</v>
      </c>
      <c r="C37" s="3120">
        <v>1</v>
      </c>
      <c r="D37" s="3034">
        <v>100</v>
      </c>
      <c r="E37" s="3120">
        <v>1</v>
      </c>
      <c r="F37" s="3036">
        <f>LOOKUP(E37,112:112,113:113)-LOOKUP(C37,112:112,113:113)+100</f>
        <v>100</v>
      </c>
      <c r="G37" s="3121">
        <v>1</v>
      </c>
      <c r="H37" s="3034">
        <f>LOOKUP(G37,112:112,113:113)-LOOKUP(C37,112:112,113:113)+100</f>
        <v>100</v>
      </c>
      <c r="I37" s="3122">
        <v>1</v>
      </c>
      <c r="J37" s="3034">
        <f>LOOKUP(I37,112:112,113:113)-LOOKUP(C37,112:112,113:113)+100</f>
        <v>100</v>
      </c>
      <c r="K37" s="3037">
        <v>2</v>
      </c>
      <c r="L37" s="3013"/>
      <c r="M37" s="3014"/>
      <c r="N37" s="3014"/>
      <c r="O37" s="3014"/>
      <c r="P37" s="3706"/>
      <c r="Q37" s="3029" t="str">
        <f t="shared" si="11"/>
        <v>成新度</v>
      </c>
      <c r="R37" s="3015" t="s">
        <v>3106</v>
      </c>
      <c r="S37" s="3016">
        <f t="shared" si="12"/>
        <v>100</v>
      </c>
      <c r="T37" s="3015" t="s">
        <v>3106</v>
      </c>
      <c r="U37" s="3016">
        <f t="shared" si="13"/>
        <v>100</v>
      </c>
      <c r="V37" s="3015" t="s">
        <v>3106</v>
      </c>
      <c r="W37" s="3016">
        <f t="shared" si="14"/>
        <v>100</v>
      </c>
      <c r="X37" s="3017"/>
      <c r="Y37" s="3708"/>
      <c r="Z37" s="3030" t="str">
        <f t="shared" si="18"/>
        <v>成新度</v>
      </c>
      <c r="AA37" s="3018">
        <f t="shared" si="15"/>
        <v>1</v>
      </c>
      <c r="AB37" s="3018">
        <f t="shared" si="16"/>
        <v>1</v>
      </c>
      <c r="AC37" s="3018">
        <f t="shared" si="17"/>
        <v>1</v>
      </c>
    </row>
    <row r="38" spans="1:29" ht="15">
      <c r="A38" s="3116"/>
      <c r="B38" s="3032" t="s">
        <v>2574</v>
      </c>
      <c r="C38" s="3095" t="s">
        <v>3129</v>
      </c>
      <c r="D38" s="3051">
        <v>100</v>
      </c>
      <c r="E38" s="3096" t="s">
        <v>3129</v>
      </c>
      <c r="F38" s="3106">
        <f>SUMIF(114:114,E38,115:115)-SUMIF(114:114,C38,115:115)+100</f>
        <v>100</v>
      </c>
      <c r="G38" s="3095" t="s">
        <v>3129</v>
      </c>
      <c r="H38" s="3051">
        <f>SUMIF(114:114,G38,115:115)-SUMIF(114:114,C38,115:115)+100</f>
        <v>100</v>
      </c>
      <c r="I38" s="3096" t="s">
        <v>3129</v>
      </c>
      <c r="J38" s="3051">
        <f>SUMIF(114:114,I38,115:115)-SUMIF(114:114,C38,115:115)+100</f>
        <v>100</v>
      </c>
      <c r="K38" s="3037">
        <v>1</v>
      </c>
      <c r="L38" s="3052"/>
      <c r="M38" s="2998"/>
      <c r="N38" s="2998"/>
      <c r="O38" s="2998"/>
      <c r="P38" s="3706" t="s">
        <v>3124</v>
      </c>
      <c r="Q38" s="3065" t="str">
        <f t="shared" si="11"/>
        <v>物业管理</v>
      </c>
      <c r="R38" s="3066" t="s">
        <v>3106</v>
      </c>
      <c r="S38" s="3067">
        <f t="shared" si="12"/>
        <v>100</v>
      </c>
      <c r="T38" s="3066" t="s">
        <v>3106</v>
      </c>
      <c r="U38" s="3067">
        <f t="shared" si="13"/>
        <v>100</v>
      </c>
      <c r="V38" s="3066" t="s">
        <v>3106</v>
      </c>
      <c r="W38" s="3067">
        <f t="shared" si="14"/>
        <v>100</v>
      </c>
      <c r="X38" s="2999"/>
      <c r="Y38" s="3708" t="s">
        <v>3124</v>
      </c>
      <c r="Z38" s="3068" t="str">
        <f t="shared" si="18"/>
        <v>物业管理</v>
      </c>
      <c r="AA38" s="3069">
        <f t="shared" si="15"/>
        <v>1</v>
      </c>
      <c r="AB38" s="3069">
        <f t="shared" si="16"/>
        <v>1</v>
      </c>
      <c r="AC38" s="3069">
        <f t="shared" si="17"/>
        <v>1</v>
      </c>
    </row>
    <row r="39" spans="1:29" ht="15">
      <c r="A39" s="3116"/>
      <c r="B39" s="3032" t="s">
        <v>3130</v>
      </c>
      <c r="C39" s="3095" t="s">
        <v>3120</v>
      </c>
      <c r="D39" s="3051">
        <v>100</v>
      </c>
      <c r="E39" s="3096" t="s">
        <v>3120</v>
      </c>
      <c r="F39" s="3106">
        <f>SUMIF(116:116,E39,117:117)-SUMIF(116:116,C39,117:117)+100</f>
        <v>100</v>
      </c>
      <c r="G39" s="3095" t="s">
        <v>3120</v>
      </c>
      <c r="H39" s="3051">
        <f>SUMIF(116:116,G39,117:117)-SUMIF(116:116,C39,117:117)+100</f>
        <v>100</v>
      </c>
      <c r="I39" s="3096" t="s">
        <v>3120</v>
      </c>
      <c r="J39" s="3051">
        <f>SUMIF(116:116,I39,117:117)-SUMIF(116:116,C39,117:117)+100</f>
        <v>100</v>
      </c>
      <c r="K39" s="3037">
        <v>1</v>
      </c>
      <c r="L39" s="3052"/>
      <c r="M39" s="2998"/>
      <c r="N39" s="2998"/>
      <c r="O39" s="2998"/>
      <c r="P39" s="3706"/>
      <c r="Q39" s="3065" t="str">
        <f t="shared" si="11"/>
        <v>市政基础设施</v>
      </c>
      <c r="R39" s="3066" t="s">
        <v>3106</v>
      </c>
      <c r="S39" s="3067">
        <f t="shared" si="12"/>
        <v>100</v>
      </c>
      <c r="T39" s="3066" t="s">
        <v>3106</v>
      </c>
      <c r="U39" s="3067">
        <f t="shared" si="13"/>
        <v>100</v>
      </c>
      <c r="V39" s="3066" t="s">
        <v>3106</v>
      </c>
      <c r="W39" s="3067">
        <f t="shared" si="14"/>
        <v>100</v>
      </c>
      <c r="X39" s="2999"/>
      <c r="Y39" s="3708"/>
      <c r="Z39" s="3068" t="str">
        <f t="shared" si="18"/>
        <v>市政基础设施</v>
      </c>
      <c r="AA39" s="3069">
        <f t="shared" si="15"/>
        <v>1</v>
      </c>
      <c r="AB39" s="3069">
        <f t="shared" si="16"/>
        <v>1</v>
      </c>
      <c r="AC39" s="3069">
        <f t="shared" si="17"/>
        <v>1</v>
      </c>
    </row>
    <row r="40" spans="1:29" ht="15">
      <c r="A40" s="3116"/>
      <c r="B40" s="3032" t="s">
        <v>2576</v>
      </c>
      <c r="C40" s="3095"/>
      <c r="D40" s="3051">
        <v>100</v>
      </c>
      <c r="E40" s="3096"/>
      <c r="F40" s="3106">
        <f>SUMIF(118:118,E40,119:119)-SUMIF(118:118,C40,119:119)+100</f>
        <v>100</v>
      </c>
      <c r="G40" s="3095"/>
      <c r="H40" s="3051">
        <f>SUMIF(118:118,G40,119:119)-SUMIF(118:118,C40,119:119)+100</f>
        <v>100</v>
      </c>
      <c r="I40" s="3096"/>
      <c r="J40" s="3051">
        <f>SUMIF(118:118,I40,119:119)-SUMIF(118:118,C40,119:119)+100</f>
        <v>100</v>
      </c>
      <c r="K40" s="3037">
        <v>2</v>
      </c>
      <c r="L40" s="3052"/>
      <c r="M40" s="2998"/>
      <c r="N40" s="2998"/>
      <c r="O40" s="2998"/>
      <c r="P40" s="3706"/>
      <c r="Q40" s="3065" t="str">
        <f t="shared" si="11"/>
        <v>房型</v>
      </c>
      <c r="R40" s="3066" t="s">
        <v>3106</v>
      </c>
      <c r="S40" s="3067">
        <f t="shared" si="12"/>
        <v>100</v>
      </c>
      <c r="T40" s="3066" t="s">
        <v>3106</v>
      </c>
      <c r="U40" s="3067">
        <f t="shared" si="13"/>
        <v>100</v>
      </c>
      <c r="V40" s="3066" t="s">
        <v>3106</v>
      </c>
      <c r="W40" s="3067">
        <f t="shared" si="14"/>
        <v>100</v>
      </c>
      <c r="X40" s="2999"/>
      <c r="Y40" s="3708"/>
      <c r="Z40" s="3068" t="str">
        <f t="shared" si="18"/>
        <v>房型</v>
      </c>
      <c r="AA40" s="3069">
        <f t="shared" si="15"/>
        <v>1</v>
      </c>
      <c r="AB40" s="3069">
        <f t="shared" si="16"/>
        <v>1</v>
      </c>
      <c r="AC40" s="3069">
        <f t="shared" si="17"/>
        <v>1</v>
      </c>
    </row>
    <row r="41" spans="1:29" s="3115" customFormat="1" ht="28.5">
      <c r="A41" s="3107"/>
      <c r="B41" s="3032" t="s">
        <v>3131</v>
      </c>
      <c r="C41" s="3108"/>
      <c r="D41" s="3034">
        <v>100</v>
      </c>
      <c r="E41" s="3043"/>
      <c r="F41" s="3036">
        <f>SUMIF(120:120,E41,121:121)-SUMIF(120:120,C41,121:121)+100</f>
        <v>100</v>
      </c>
      <c r="G41" s="3042"/>
      <c r="H41" s="3034">
        <f>SUMIF(120:120,G41,121:121)-SUMIF(120:120,C41,121:121)+100</f>
        <v>100</v>
      </c>
      <c r="I41" s="3123"/>
      <c r="J41" s="3051">
        <f>SUMIF(120:120,I41,121:121)-SUMIF(120:120,C41,121:121)+100</f>
        <v>100</v>
      </c>
      <c r="K41" s="3049"/>
      <c r="L41" s="3044"/>
      <c r="M41" s="3109"/>
      <c r="N41" s="3109"/>
      <c r="O41" s="3109"/>
      <c r="P41" s="3706"/>
      <c r="Q41" s="3110" t="str">
        <f t="shared" si="11"/>
        <v>单套/主力户型建筑面积</v>
      </c>
      <c r="R41" s="3111" t="s">
        <v>3106</v>
      </c>
      <c r="S41" s="3112">
        <f t="shared" si="12"/>
        <v>100</v>
      </c>
      <c r="T41" s="3111" t="s">
        <v>3106</v>
      </c>
      <c r="U41" s="3112">
        <f t="shared" si="13"/>
        <v>100</v>
      </c>
      <c r="V41" s="3111" t="s">
        <v>3106</v>
      </c>
      <c r="W41" s="3112">
        <f t="shared" si="14"/>
        <v>100</v>
      </c>
      <c r="X41" s="3113"/>
      <c r="Y41" s="3708"/>
      <c r="Z41" s="3114" t="str">
        <f t="shared" si="18"/>
        <v>单套/主力户型建筑面积</v>
      </c>
      <c r="AA41" s="3069">
        <f t="shared" si="15"/>
        <v>1</v>
      </c>
      <c r="AB41" s="3069">
        <f t="shared" si="16"/>
        <v>1</v>
      </c>
      <c r="AC41" s="3069">
        <f t="shared" si="17"/>
        <v>1</v>
      </c>
    </row>
    <row r="42" spans="1:29" ht="15">
      <c r="A42" s="3116"/>
      <c r="B42" s="3032" t="s">
        <v>2578</v>
      </c>
      <c r="C42" s="3095" t="s">
        <v>3128</v>
      </c>
      <c r="D42" s="3051">
        <v>100</v>
      </c>
      <c r="E42" s="3096" t="s">
        <v>3132</v>
      </c>
      <c r="F42" s="3106">
        <f>SUMIF(122:122,E42,123:123)-SUMIF(122:122,C42,123:123)+100</f>
        <v>94</v>
      </c>
      <c r="G42" s="3095" t="s">
        <v>3132</v>
      </c>
      <c r="H42" s="3051">
        <f>SUMIF(122:122,G42,123:123)-SUMIF(122:122,C42,123:123)+100</f>
        <v>94</v>
      </c>
      <c r="I42" s="3096" t="s">
        <v>3132</v>
      </c>
      <c r="J42" s="3051">
        <f>SUMIF(122:122,I42,123:123)-SUMIF(122:122,C42,123:123)+100</f>
        <v>94</v>
      </c>
      <c r="K42" s="3037">
        <v>2</v>
      </c>
      <c r="L42" s="3052"/>
      <c r="M42" s="2998"/>
      <c r="N42" s="2998"/>
      <c r="O42" s="2998"/>
      <c r="P42" s="3706"/>
      <c r="Q42" s="3065" t="str">
        <f t="shared" si="11"/>
        <v>内部装修</v>
      </c>
      <c r="R42" s="3066" t="s">
        <v>3106</v>
      </c>
      <c r="S42" s="3067">
        <f t="shared" si="12"/>
        <v>94</v>
      </c>
      <c r="T42" s="3066" t="s">
        <v>3106</v>
      </c>
      <c r="U42" s="3067">
        <f t="shared" si="13"/>
        <v>94</v>
      </c>
      <c r="V42" s="3066" t="s">
        <v>3106</v>
      </c>
      <c r="W42" s="3067">
        <f t="shared" si="14"/>
        <v>94</v>
      </c>
      <c r="X42" s="2999"/>
      <c r="Y42" s="3708"/>
      <c r="Z42" s="3068" t="str">
        <f t="shared" si="18"/>
        <v>内部装修</v>
      </c>
      <c r="AA42" s="3069">
        <f t="shared" si="15"/>
        <v>1.0638297872340425</v>
      </c>
      <c r="AB42" s="3069">
        <f t="shared" si="16"/>
        <v>1.0638297872340425</v>
      </c>
      <c r="AC42" s="3069">
        <f t="shared" si="17"/>
        <v>1.0638297872340425</v>
      </c>
    </row>
    <row r="43" spans="1:29" ht="15">
      <c r="A43" s="3116"/>
      <c r="B43" s="3032" t="s">
        <v>2579</v>
      </c>
      <c r="C43" s="3095" t="s">
        <v>3133</v>
      </c>
      <c r="D43" s="3051">
        <v>100</v>
      </c>
      <c r="E43" s="3096" t="s">
        <v>3133</v>
      </c>
      <c r="F43" s="3106">
        <f>SUMIF(124:124,E43,125:125)-SUMIF(124:124,C43,125:125)+100</f>
        <v>100</v>
      </c>
      <c r="G43" s="3095" t="s">
        <v>3133</v>
      </c>
      <c r="H43" s="3051">
        <f>SUMIF(124:124,G43,125:125)-SUMIF(124:124,C43,125:125)+100</f>
        <v>100</v>
      </c>
      <c r="I43" s="3096" t="s">
        <v>3133</v>
      </c>
      <c r="J43" s="3051">
        <f>SUMIF(124:124,I43,125:125)-SUMIF(124:124,C43,125:125)+100</f>
        <v>100</v>
      </c>
      <c r="K43" s="3037"/>
      <c r="L43" s="3052"/>
      <c r="M43" s="2998"/>
      <c r="N43" s="2998"/>
      <c r="O43" s="2998"/>
      <c r="P43" s="3706"/>
      <c r="Q43" s="3065" t="str">
        <f t="shared" si="11"/>
        <v>内部装修维护情况</v>
      </c>
      <c r="R43" s="3066" t="s">
        <v>3106</v>
      </c>
      <c r="S43" s="3067">
        <f t="shared" si="12"/>
        <v>100</v>
      </c>
      <c r="T43" s="3066" t="s">
        <v>3106</v>
      </c>
      <c r="U43" s="3067">
        <f t="shared" si="13"/>
        <v>100</v>
      </c>
      <c r="V43" s="3066" t="s">
        <v>3106</v>
      </c>
      <c r="W43" s="3067">
        <f t="shared" si="14"/>
        <v>100</v>
      </c>
      <c r="X43" s="2999"/>
      <c r="Y43" s="3708"/>
      <c r="Z43" s="3068" t="str">
        <f t="shared" si="18"/>
        <v>内部装修维护情况</v>
      </c>
      <c r="AA43" s="3069">
        <f t="shared" si="15"/>
        <v>1</v>
      </c>
      <c r="AB43" s="3069">
        <f t="shared" si="16"/>
        <v>1</v>
      </c>
      <c r="AC43" s="3069">
        <f t="shared" si="17"/>
        <v>1</v>
      </c>
    </row>
    <row r="44" spans="1:29" s="3019" customFormat="1" ht="15">
      <c r="A44" s="3119"/>
      <c r="B44" s="3097">
        <v>111</v>
      </c>
      <c r="C44" s="3108"/>
      <c r="D44" s="3034">
        <v>100</v>
      </c>
      <c r="E44" s="3108"/>
      <c r="F44" s="3036">
        <f>SUMIF(126:126,E44,127:127)-SUMIF(126:126,C44,127:127)+100</f>
        <v>100</v>
      </c>
      <c r="G44" s="3108"/>
      <c r="H44" s="3034">
        <f>SUMIF(126:126,G44,127:127)-SUMIF(126:126,C44,127:127)+100</f>
        <v>100</v>
      </c>
      <c r="I44" s="3108"/>
      <c r="J44" s="3034">
        <f>SUMIF(126:126,I44,127:127)-SUMIF(126:126,C44,127:127)+100</f>
        <v>100</v>
      </c>
      <c r="K44" s="3049"/>
      <c r="L44" s="3013"/>
      <c r="M44" s="3014"/>
      <c r="N44" s="3014"/>
      <c r="O44" s="3014"/>
      <c r="P44" s="3706"/>
      <c r="Q44" s="3029">
        <f t="shared" si="11"/>
        <v>111</v>
      </c>
      <c r="R44" s="3015" t="s">
        <v>3106</v>
      </c>
      <c r="S44" s="3016">
        <f t="shared" si="12"/>
        <v>100</v>
      </c>
      <c r="T44" s="3015" t="s">
        <v>3106</v>
      </c>
      <c r="U44" s="3016">
        <f t="shared" si="13"/>
        <v>100</v>
      </c>
      <c r="V44" s="3015" t="s">
        <v>3106</v>
      </c>
      <c r="W44" s="3016">
        <f t="shared" si="14"/>
        <v>100</v>
      </c>
      <c r="X44" s="3017"/>
      <c r="Y44" s="3708"/>
      <c r="Z44" s="3030">
        <f t="shared" si="18"/>
        <v>111</v>
      </c>
      <c r="AA44" s="3018">
        <f t="shared" si="15"/>
        <v>1</v>
      </c>
      <c r="AB44" s="3018">
        <f t="shared" si="16"/>
        <v>1</v>
      </c>
      <c r="AC44" s="3018">
        <f t="shared" si="17"/>
        <v>1</v>
      </c>
    </row>
    <row r="45" spans="1:29" ht="15">
      <c r="A45" s="3116"/>
      <c r="B45" s="3097">
        <v>111</v>
      </c>
      <c r="C45" s="3050"/>
      <c r="D45" s="3051">
        <v>100</v>
      </c>
      <c r="E45" s="3050"/>
      <c r="F45" s="3106">
        <f>SUMIF(128:128,E45,129:129)-SUMIF(128:128,C45,129:129)+100</f>
        <v>100</v>
      </c>
      <c r="G45" s="3050"/>
      <c r="H45" s="3051">
        <f>SUMIF(128:128,G45,129:129)-SUMIF(128:128,C45,129:129)+100</f>
        <v>100</v>
      </c>
      <c r="I45" s="3050"/>
      <c r="J45" s="3051">
        <f>SUMIF(128:128,I45,129:129)-SUMIF(128:128,C45,129:129)+100</f>
        <v>100</v>
      </c>
      <c r="K45" s="3049"/>
      <c r="L45" s="3052"/>
      <c r="M45" s="2998"/>
      <c r="N45" s="2998"/>
      <c r="O45" s="2998"/>
      <c r="P45" s="3706"/>
      <c r="Q45" s="3065">
        <f t="shared" si="11"/>
        <v>111</v>
      </c>
      <c r="R45" s="3066" t="s">
        <v>3106</v>
      </c>
      <c r="S45" s="3067">
        <f t="shared" si="12"/>
        <v>100</v>
      </c>
      <c r="T45" s="3066" t="s">
        <v>3106</v>
      </c>
      <c r="U45" s="3067">
        <f t="shared" si="13"/>
        <v>100</v>
      </c>
      <c r="V45" s="3066" t="s">
        <v>3106</v>
      </c>
      <c r="W45" s="3067">
        <f t="shared" si="14"/>
        <v>100</v>
      </c>
      <c r="X45" s="2999"/>
      <c r="Y45" s="3708"/>
      <c r="Z45" s="3068">
        <f t="shared" si="18"/>
        <v>111</v>
      </c>
      <c r="AA45" s="3069">
        <f t="shared" si="15"/>
        <v>1</v>
      </c>
      <c r="AB45" s="3069">
        <f t="shared" si="16"/>
        <v>1</v>
      </c>
      <c r="AC45" s="3069">
        <f t="shared" si="17"/>
        <v>1</v>
      </c>
    </row>
    <row r="46" spans="1:29" ht="15.75" thickBot="1">
      <c r="A46" s="3124"/>
      <c r="B46" s="3054">
        <v>111</v>
      </c>
      <c r="C46" s="3055"/>
      <c r="D46" s="3056">
        <v>100</v>
      </c>
      <c r="E46" s="3055"/>
      <c r="F46" s="3057">
        <f>SUMIF(130:130,E46,131:131)-SUMIF(130:130,C46,131:131)+100</f>
        <v>100</v>
      </c>
      <c r="G46" s="3055"/>
      <c r="H46" s="3056">
        <f>SUMIF(130:130,G46,131:131)-SUMIF(130:130,C46,131:131)+100</f>
        <v>100</v>
      </c>
      <c r="I46" s="3055"/>
      <c r="J46" s="3056">
        <f>SUMIF(130:130,I46,131:131)-SUMIF(130:130,C46,131:131)+100</f>
        <v>100</v>
      </c>
      <c r="K46" s="3049"/>
      <c r="L46" s="3052"/>
      <c r="M46" s="2998"/>
      <c r="N46" s="2998"/>
      <c r="O46" s="2998"/>
      <c r="P46" s="3707"/>
      <c r="Q46" s="3065">
        <f t="shared" si="11"/>
        <v>111</v>
      </c>
      <c r="R46" s="3066" t="s">
        <v>3106</v>
      </c>
      <c r="S46" s="3067">
        <f t="shared" si="12"/>
        <v>100</v>
      </c>
      <c r="T46" s="3066" t="s">
        <v>3106</v>
      </c>
      <c r="U46" s="3067">
        <f t="shared" si="13"/>
        <v>100</v>
      </c>
      <c r="V46" s="3066" t="s">
        <v>3106</v>
      </c>
      <c r="W46" s="3067">
        <f t="shared" si="14"/>
        <v>100</v>
      </c>
      <c r="X46" s="2999"/>
      <c r="Y46" s="3709"/>
      <c r="Z46" s="3068">
        <f t="shared" si="18"/>
        <v>111</v>
      </c>
      <c r="AA46" s="3069">
        <f t="shared" si="15"/>
        <v>1</v>
      </c>
      <c r="AB46" s="3069">
        <f t="shared" si="16"/>
        <v>1</v>
      </c>
      <c r="AC46" s="3069">
        <f t="shared" si="17"/>
        <v>1</v>
      </c>
    </row>
    <row r="47" spans="1:29" ht="15">
      <c r="A47" s="3125" t="s">
        <v>3134</v>
      </c>
      <c r="B47" s="3126"/>
      <c r="C47" s="3127" t="s">
        <v>3135</v>
      </c>
      <c r="D47" s="3128"/>
      <c r="E47" s="3129">
        <v>65000</v>
      </c>
      <c r="F47" s="3130"/>
      <c r="G47" s="3131">
        <v>60000</v>
      </c>
      <c r="H47" s="3132"/>
      <c r="I47" s="3129">
        <v>68000</v>
      </c>
      <c r="J47" s="3132"/>
      <c r="K47" s="3133"/>
      <c r="L47" s="3134"/>
      <c r="M47" s="3135"/>
      <c r="N47" s="2998"/>
      <c r="O47" s="3135"/>
      <c r="P47" s="3696" t="str">
        <f>A47</f>
        <v>成交单价（元/平方米）</v>
      </c>
      <c r="Q47" s="3696"/>
      <c r="R47" s="3697">
        <f>E47</f>
        <v>65000</v>
      </c>
      <c r="S47" s="3697"/>
      <c r="T47" s="3697">
        <f>G47</f>
        <v>60000</v>
      </c>
      <c r="U47" s="3697"/>
      <c r="V47" s="3697">
        <f>I47</f>
        <v>68000</v>
      </c>
      <c r="W47" s="3697"/>
      <c r="X47" s="3136"/>
      <c r="Y47" s="3137"/>
      <c r="Z47" s="3136"/>
      <c r="AA47" s="3136"/>
      <c r="AB47" s="3136"/>
      <c r="AC47" s="3136"/>
    </row>
    <row r="48" spans="1:29" ht="15.75" thickBot="1">
      <c r="A48" s="3138" t="s">
        <v>3136</v>
      </c>
      <c r="B48" s="3139"/>
      <c r="C48" s="3140">
        <f>R49</f>
        <v>69669</v>
      </c>
      <c r="D48" s="3141"/>
      <c r="E48" s="3142">
        <f>R48</f>
        <v>73470</v>
      </c>
      <c r="F48" s="3142"/>
      <c r="G48" s="3140">
        <f>T48</f>
        <v>63198</v>
      </c>
      <c r="H48" s="3141"/>
      <c r="I48" s="3142">
        <f>V48</f>
        <v>72340</v>
      </c>
      <c r="J48" s="3141"/>
      <c r="K48" s="3143"/>
      <c r="L48" s="3134"/>
      <c r="M48" s="3135"/>
      <c r="N48" s="3135"/>
      <c r="O48" s="3135"/>
      <c r="P48" s="3696" t="str">
        <f>A48</f>
        <v>比较价值（元/平方米）</v>
      </c>
      <c r="Q48" s="3696"/>
      <c r="R48" s="3697">
        <f>IF(F1="售价",ROUND(PRODUCT(R47,AA7:AA46),0),ROUND(PRODUCT(R47,AA7:AA46),1))</f>
        <v>73470</v>
      </c>
      <c r="S48" s="3697"/>
      <c r="T48" s="3697">
        <f>IF(F1="售价",ROUND(PRODUCT(T47,AB7:AB46),0),ROUND(PRODUCT(T47,AB7:AB46),1))</f>
        <v>63198</v>
      </c>
      <c r="U48" s="3697"/>
      <c r="V48" s="3697">
        <f>IF(F1="售价",ROUND(PRODUCT(V47,AC7:AC46),0),ROUND(PRODUCT(V47,AC7:AC46),1))</f>
        <v>72340</v>
      </c>
      <c r="W48" s="3697"/>
      <c r="X48" s="3136"/>
      <c r="Y48" s="3136"/>
      <c r="Z48" s="3136"/>
      <c r="AA48" s="3136"/>
      <c r="AB48" s="3136"/>
      <c r="AC48" s="3136"/>
    </row>
    <row r="49" spans="1:29" ht="15.75" thickBot="1">
      <c r="A49" s="3144" t="s">
        <v>3137</v>
      </c>
      <c r="B49" s="3145"/>
      <c r="C49" s="3146">
        <f>R49</f>
        <v>69669</v>
      </c>
      <c r="D49" s="3147"/>
      <c r="E49" s="3147"/>
      <c r="F49" s="3147"/>
      <c r="G49" s="3147"/>
      <c r="H49" s="3147"/>
      <c r="I49" s="3147"/>
      <c r="J49" s="3147"/>
      <c r="K49" s="3148"/>
      <c r="L49" s="3134"/>
      <c r="M49" s="3135"/>
      <c r="N49" s="3135"/>
      <c r="O49" s="3135"/>
      <c r="P49" s="3698" t="str">
        <f>A49</f>
        <v>估价对象XX用房的比较价值（楼面单价，元/平方米）</v>
      </c>
      <c r="Q49" s="3699"/>
      <c r="R49" s="3700">
        <f>IF(F1="售价",ROUND(AVERAGE(R48:V48),0),ROUND(AVERAGE(R48:V48),1))</f>
        <v>69669</v>
      </c>
      <c r="S49" s="3700"/>
      <c r="T49" s="3700"/>
      <c r="U49" s="3700"/>
      <c r="V49" s="3700"/>
      <c r="W49" s="3700"/>
      <c r="X49" s="3136"/>
      <c r="Y49" s="3136"/>
      <c r="Z49" s="3136"/>
      <c r="AA49" s="3136"/>
      <c r="AB49" s="3136"/>
      <c r="AC49" s="3136"/>
    </row>
    <row r="50" spans="1:29">
      <c r="A50" s="3135"/>
      <c r="B50" s="3135"/>
      <c r="C50" s="3135"/>
      <c r="D50" s="3135"/>
      <c r="E50" s="3135"/>
      <c r="F50" s="3135"/>
      <c r="G50" s="3149"/>
      <c r="H50" s="3135"/>
      <c r="I50" s="3135"/>
      <c r="J50" s="3135"/>
      <c r="K50" s="3150"/>
      <c r="L50" s="3151"/>
      <c r="M50" s="3135"/>
      <c r="N50" s="3135"/>
      <c r="O50" s="3135"/>
    </row>
    <row r="51" spans="1:29">
      <c r="A51" s="3135"/>
      <c r="B51" s="3135"/>
      <c r="C51" s="3135"/>
      <c r="D51" s="3135"/>
      <c r="E51" s="3135"/>
      <c r="F51" s="3135"/>
      <c r="G51" s="3135"/>
      <c r="H51" s="3135"/>
      <c r="I51" s="3135"/>
      <c r="J51" s="3135"/>
      <c r="K51" s="3150"/>
      <c r="L51" s="3151"/>
      <c r="M51" s="3135"/>
      <c r="N51" s="3135"/>
      <c r="O51" s="3135"/>
    </row>
    <row r="52" spans="1:29" ht="13.5" customHeight="1">
      <c r="A52" s="3135"/>
      <c r="B52" s="3135"/>
      <c r="C52" s="3153" t="s">
        <v>3138</v>
      </c>
      <c r="D52" s="3154"/>
      <c r="E52" s="3155">
        <f>IF(E47&lt;E48,E48/E47-1,E47/E48-1)</f>
        <v>0.13030769230769224</v>
      </c>
      <c r="F52" s="3156" t="str">
        <f>IF(OR(E52&gt;=0.3,E52&lt;=-0.3),"超过30%","")</f>
        <v/>
      </c>
      <c r="G52" s="3155">
        <f>IF(G47&lt;G48,G48/G47-1,G47/G48-1)</f>
        <v>5.3299999999999903E-2</v>
      </c>
      <c r="H52" s="3156" t="str">
        <f>IF(OR(G52&gt;=0.3,G52&lt;=-0.3),"超过30%","")</f>
        <v/>
      </c>
      <c r="I52" s="3155">
        <f>IF(I47&lt;I48,I48/I47-1,I47/I48-1)</f>
        <v>6.3823529411764612E-2</v>
      </c>
      <c r="J52" s="3156" t="str">
        <f>IF(OR(I52&gt;=0.3,I52&lt;=-0.3),"超过30%","")</f>
        <v/>
      </c>
      <c r="K52" s="3150"/>
      <c r="L52" s="3151"/>
      <c r="M52" s="3135"/>
      <c r="N52" s="3135"/>
      <c r="O52" s="3135"/>
    </row>
    <row r="53" spans="1:29" ht="13.5" customHeight="1">
      <c r="A53" s="3135"/>
      <c r="B53" s="3135"/>
      <c r="C53" s="3153" t="s">
        <v>3139</v>
      </c>
      <c r="D53" s="3157"/>
      <c r="E53" s="3155">
        <f>IF(E48&lt;G48,G48/E48-1,E48/G48-1)</f>
        <v>0.16253678913889691</v>
      </c>
      <c r="F53" s="3156" t="str">
        <f>IF(OR(E53&gt;=0.2,E53&lt;=-0.2),"超过20%","")</f>
        <v/>
      </c>
      <c r="G53" s="3155">
        <f>IF(G48&lt;I48,I48/G48-1,G48/I48-1)</f>
        <v>0.14465647647077429</v>
      </c>
      <c r="H53" s="3156" t="str">
        <f>IF(OR(G53&gt;=0.2,G53&lt;=-0.2),"超过20%","")</f>
        <v/>
      </c>
      <c r="I53" s="3155">
        <f>IF(I48&lt;E48,E48/I48-1,I48/E48-1)</f>
        <v>1.5620680121647856E-2</v>
      </c>
      <c r="J53" s="3156" t="str">
        <f>IF(OR(I53&gt;=0.2,I53&lt;=-0.2),"超过20%","")</f>
        <v/>
      </c>
      <c r="K53" s="3150"/>
      <c r="L53" s="3151"/>
      <c r="M53" s="3135"/>
      <c r="N53" s="3135"/>
      <c r="O53" s="3135"/>
    </row>
    <row r="54" spans="1:29" s="3162" customFormat="1" ht="13.5" customHeight="1">
      <c r="A54" s="3158"/>
      <c r="B54" s="3158"/>
      <c r="C54" s="3153" t="s">
        <v>3140</v>
      </c>
      <c r="D54" s="3157"/>
      <c r="E54" s="3155">
        <f>IF(E47&lt;G47,G47/E47-1,E47/G47-1)</f>
        <v>8.3333333333333259E-2</v>
      </c>
      <c r="F54" s="3156" t="str">
        <f>IF(OR(E54&gt;=0.3,E54&lt;=-0.3),"超过30%","")</f>
        <v/>
      </c>
      <c r="G54" s="3155">
        <f>IF(G47&lt;I47,I47/G47-1,G47/I47-1)</f>
        <v>0.1333333333333333</v>
      </c>
      <c r="H54" s="3156" t="str">
        <f>IF(OR(G54&gt;=0.3,G54&lt;=-0.3),"超过30%","")</f>
        <v/>
      </c>
      <c r="I54" s="3155">
        <f>IF(I47&lt;E47,E47/I47-1,I47/E47-1)</f>
        <v>4.6153846153846212E-2</v>
      </c>
      <c r="J54" s="3156" t="str">
        <f>IF(OR(I54&gt;=0.3,I54&lt;=-0.3),"超过30%","")</f>
        <v/>
      </c>
      <c r="K54" s="3159"/>
      <c r="L54" s="3160"/>
      <c r="M54" s="3158"/>
      <c r="N54" s="3158"/>
      <c r="O54" s="3158"/>
      <c r="P54" s="3161"/>
    </row>
    <row r="55" spans="1:29" s="3162" customFormat="1">
      <c r="A55" s="3158"/>
      <c r="B55" s="3163"/>
      <c r="C55" s="3164"/>
      <c r="D55" s="3158"/>
      <c r="E55" s="3158"/>
      <c r="F55" s="3158"/>
      <c r="G55" s="3158"/>
      <c r="H55" s="3158"/>
      <c r="I55" s="3158"/>
      <c r="J55" s="3158"/>
      <c r="K55" s="3159"/>
      <c r="L55" s="3160"/>
      <c r="M55" s="3158"/>
      <c r="N55" s="3158"/>
      <c r="O55" s="3158"/>
      <c r="P55" s="3161"/>
    </row>
    <row r="56" spans="1:29">
      <c r="A56" s="3135"/>
      <c r="B56" s="3163"/>
      <c r="C56" s="3164"/>
      <c r="D56" s="3135"/>
      <c r="E56" s="3135"/>
      <c r="F56" s="3135"/>
      <c r="G56" s="3135"/>
      <c r="H56" s="3135"/>
      <c r="I56" s="3135"/>
      <c r="J56" s="3135"/>
      <c r="K56" s="3150"/>
      <c r="L56" s="3151"/>
      <c r="M56" s="3135"/>
      <c r="N56" s="3135"/>
      <c r="O56" s="3135"/>
    </row>
    <row r="57" spans="1:29" ht="21.75" thickBot="1">
      <c r="A57" s="3165" t="s">
        <v>3141</v>
      </c>
      <c r="B57" s="3136"/>
      <c r="C57" s="3166"/>
      <c r="D57" s="3166"/>
      <c r="E57" s="3166"/>
      <c r="F57" s="3167"/>
      <c r="G57" s="3167"/>
      <c r="H57" s="3166"/>
      <c r="I57" s="3166"/>
      <c r="J57" s="3166"/>
      <c r="K57" s="3168"/>
      <c r="L57" s="3169"/>
      <c r="M57" s="3170"/>
      <c r="N57" s="3170"/>
      <c r="O57" s="3170"/>
      <c r="P57" s="3171"/>
      <c r="Q57" s="3172"/>
    </row>
    <row r="58" spans="1:29" s="3178" customFormat="1" ht="15">
      <c r="A58" s="3173" t="s">
        <v>3105</v>
      </c>
      <c r="B58" s="3174"/>
      <c r="C58" s="3175" t="str">
        <f>YEAR(C7)&amp;"-"&amp;MONTH(C7)</f>
        <v>2018-1</v>
      </c>
      <c r="D58" s="3176">
        <f>EDATE(C58,-1)</f>
        <v>43070</v>
      </c>
      <c r="E58" s="3176">
        <f>EDATE(D58,-1)</f>
        <v>43040</v>
      </c>
      <c r="F58" s="3176">
        <f t="shared" ref="F58:O58" si="19">EDATE(E58,-1)</f>
        <v>43009</v>
      </c>
      <c r="G58" s="3176">
        <f t="shared" si="19"/>
        <v>42979</v>
      </c>
      <c r="H58" s="3176">
        <f t="shared" si="19"/>
        <v>42948</v>
      </c>
      <c r="I58" s="3176">
        <f t="shared" si="19"/>
        <v>42917</v>
      </c>
      <c r="J58" s="3176">
        <f t="shared" si="19"/>
        <v>42887</v>
      </c>
      <c r="K58" s="3176">
        <f t="shared" si="19"/>
        <v>42856</v>
      </c>
      <c r="L58" s="3176">
        <f t="shared" si="19"/>
        <v>42826</v>
      </c>
      <c r="M58" s="3176">
        <f t="shared" si="19"/>
        <v>42795</v>
      </c>
      <c r="N58" s="3176">
        <f t="shared" si="19"/>
        <v>42767</v>
      </c>
      <c r="O58" s="3176">
        <f t="shared" si="19"/>
        <v>42736</v>
      </c>
      <c r="P58" s="3177"/>
    </row>
    <row r="59" spans="1:29" s="3019" customFormat="1" ht="15">
      <c r="A59" s="3179"/>
      <c r="B59" s="3180"/>
      <c r="C59" s="3181">
        <v>100</v>
      </c>
      <c r="D59" s="3182"/>
      <c r="E59" s="3183"/>
      <c r="F59" s="3183"/>
      <c r="G59" s="3183"/>
      <c r="H59" s="3183"/>
      <c r="I59" s="3183"/>
      <c r="J59" s="3183"/>
      <c r="K59" s="3183"/>
      <c r="L59" s="3183"/>
      <c r="M59" s="3184"/>
      <c r="N59" s="3183">
        <v>100</v>
      </c>
      <c r="O59" s="3184"/>
      <c r="P59" s="3185"/>
    </row>
    <row r="60" spans="1:29" s="3019" customFormat="1" ht="15.75" thickBot="1">
      <c r="A60" s="3186" t="s">
        <v>3142</v>
      </c>
      <c r="B60" s="3187"/>
      <c r="C60" s="3188"/>
      <c r="D60" s="3189"/>
      <c r="E60" s="3189"/>
      <c r="F60" s="3189"/>
      <c r="G60" s="3189"/>
      <c r="H60" s="3189"/>
      <c r="I60" s="3189"/>
      <c r="J60" s="3189"/>
      <c r="K60" s="3189"/>
      <c r="L60" s="3189"/>
      <c r="M60" s="3190"/>
      <c r="N60" s="3189"/>
      <c r="O60" s="3190"/>
      <c r="P60" s="3185"/>
      <c r="Q60" s="3172"/>
    </row>
    <row r="61" spans="1:29" s="3019" customFormat="1" ht="15">
      <c r="A61" s="3191" t="s">
        <v>3143</v>
      </c>
      <c r="B61" s="3192"/>
      <c r="C61" s="3193" t="s">
        <v>3144</v>
      </c>
      <c r="D61" s="3194"/>
      <c r="E61" s="3194"/>
      <c r="F61" s="3194"/>
      <c r="G61" s="3194"/>
      <c r="H61" s="3194"/>
      <c r="I61" s="3194"/>
      <c r="J61" s="3194"/>
      <c r="K61" s="3194"/>
      <c r="L61" s="3195"/>
      <c r="M61" s="3196"/>
      <c r="N61" s="3197"/>
      <c r="O61" s="3197"/>
      <c r="P61" s="3198"/>
      <c r="Q61" s="3172"/>
    </row>
    <row r="62" spans="1:29" s="3019" customFormat="1" ht="15.75" thickBot="1">
      <c r="A62" s="3191"/>
      <c r="B62" s="3192"/>
      <c r="C62" s="3182">
        <v>100</v>
      </c>
      <c r="D62" s="3183"/>
      <c r="E62" s="3183"/>
      <c r="F62" s="3183"/>
      <c r="G62" s="3183"/>
      <c r="H62" s="3183"/>
      <c r="I62" s="3183"/>
      <c r="J62" s="3183"/>
      <c r="K62" s="3183"/>
      <c r="L62" s="3183"/>
      <c r="M62" s="3199"/>
      <c r="N62" s="3197"/>
      <c r="O62" s="3197"/>
      <c r="P62" s="3185"/>
      <c r="Q62" s="3172"/>
    </row>
    <row r="63" spans="1:29">
      <c r="A63" s="3200" t="s">
        <v>3145</v>
      </c>
      <c r="B63" s="3201" t="s">
        <v>3146</v>
      </c>
      <c r="C63" s="3202" t="str">
        <f>C9</f>
        <v>住宅</v>
      </c>
      <c r="D63" s="3203"/>
      <c r="E63" s="3203"/>
      <c r="F63" s="3203"/>
      <c r="G63" s="3203"/>
      <c r="H63" s="3203"/>
      <c r="I63" s="3203"/>
      <c r="J63" s="3203"/>
      <c r="K63" s="3204"/>
      <c r="L63" s="3205"/>
      <c r="M63" s="3206"/>
      <c r="N63" s="3207"/>
      <c r="O63" s="3207"/>
      <c r="P63" s="3208"/>
      <c r="Q63" s="3172"/>
    </row>
    <row r="64" spans="1:29" ht="15.75" thickBot="1">
      <c r="A64" s="3209"/>
      <c r="B64" s="3210"/>
      <c r="C64" s="3211">
        <v>100</v>
      </c>
      <c r="D64" s="3211"/>
      <c r="E64" s="3211"/>
      <c r="F64" s="3211"/>
      <c r="G64" s="3211"/>
      <c r="H64" s="3211"/>
      <c r="I64" s="3211"/>
      <c r="J64" s="3211"/>
      <c r="K64" s="3211"/>
      <c r="L64" s="3211"/>
      <c r="M64" s="3212"/>
      <c r="N64" s="3213"/>
      <c r="O64" s="3213"/>
      <c r="P64" s="3208"/>
      <c r="Q64" s="3172"/>
    </row>
    <row r="65" spans="1:17" ht="27.75" thickTop="1">
      <c r="A65" s="3209"/>
      <c r="B65" s="3214" t="s">
        <v>3147</v>
      </c>
      <c r="C65" s="3215" t="s">
        <v>3148</v>
      </c>
      <c r="D65" s="3215" t="s">
        <v>3149</v>
      </c>
      <c r="E65" s="3215" t="s">
        <v>3150</v>
      </c>
      <c r="F65" s="3215" t="s">
        <v>3151</v>
      </c>
      <c r="G65" s="3215" t="s">
        <v>3152</v>
      </c>
      <c r="H65" s="3215" t="s">
        <v>3153</v>
      </c>
      <c r="I65" s="3215" t="s">
        <v>3154</v>
      </c>
      <c r="J65" s="3215"/>
      <c r="K65" s="3216"/>
      <c r="L65" s="3217"/>
      <c r="M65" s="3218"/>
      <c r="N65" s="3207"/>
      <c r="O65" s="3207"/>
      <c r="P65" s="3208"/>
      <c r="Q65" s="3172"/>
    </row>
    <row r="66" spans="1:17" ht="15.75" thickBot="1">
      <c r="A66" s="3209"/>
      <c r="B66" s="3219"/>
      <c r="C66" s="3220">
        <v>100</v>
      </c>
      <c r="D66" s="3220">
        <f t="shared" ref="D66:I66" si="20">C66-$K10</f>
        <v>100</v>
      </c>
      <c r="E66" s="3220">
        <f t="shared" si="20"/>
        <v>100</v>
      </c>
      <c r="F66" s="3220">
        <f t="shared" si="20"/>
        <v>100</v>
      </c>
      <c r="G66" s="3220">
        <f t="shared" si="20"/>
        <v>100</v>
      </c>
      <c r="H66" s="3220">
        <f t="shared" si="20"/>
        <v>100</v>
      </c>
      <c r="I66" s="3220">
        <f t="shared" si="20"/>
        <v>100</v>
      </c>
      <c r="J66" s="3220"/>
      <c r="K66" s="3220"/>
      <c r="L66" s="3220"/>
      <c r="M66" s="3221"/>
      <c r="N66" s="3213"/>
      <c r="O66" s="3213"/>
      <c r="P66" s="3208"/>
      <c r="Q66" s="3172"/>
    </row>
    <row r="67" spans="1:17" ht="15.75" thickTop="1">
      <c r="A67" s="3209"/>
      <c r="B67" s="3222" t="s">
        <v>2561</v>
      </c>
      <c r="C67" s="3223" t="str">
        <f>C68&amp;"（含）"&amp;"-"&amp;D68</f>
        <v>0（含）-1</v>
      </c>
      <c r="D67" s="3223" t="str">
        <f t="shared" ref="D67:L67" si="21">D68&amp;"（含）"&amp;"-"&amp;E68</f>
        <v>1（含）-2</v>
      </c>
      <c r="E67" s="3223" t="str">
        <f t="shared" si="21"/>
        <v>2（含）-3</v>
      </c>
      <c r="F67" s="3223" t="str">
        <f t="shared" si="21"/>
        <v>3（含）-4</v>
      </c>
      <c r="G67" s="3223" t="str">
        <f t="shared" si="21"/>
        <v>4（含）-</v>
      </c>
      <c r="H67" s="3223" t="str">
        <f t="shared" si="21"/>
        <v>（含）-</v>
      </c>
      <c r="I67" s="3223" t="str">
        <f t="shared" si="21"/>
        <v>（含）-</v>
      </c>
      <c r="J67" s="3223" t="str">
        <f t="shared" si="21"/>
        <v>（含）-</v>
      </c>
      <c r="K67" s="3223" t="str">
        <f>K68&amp;"（含）"&amp;"-"&amp;L68</f>
        <v>（含）-</v>
      </c>
      <c r="L67" s="3223" t="str">
        <f t="shared" si="21"/>
        <v>（含）-</v>
      </c>
      <c r="M67" s="3072" t="str">
        <f>M68&amp;"（含）"&amp;"-"&amp;P68</f>
        <v>（含）-</v>
      </c>
      <c r="N67" s="3213"/>
      <c r="O67" s="3213"/>
      <c r="P67" s="3208"/>
      <c r="Q67" s="3172"/>
    </row>
    <row r="68" spans="1:17" ht="15">
      <c r="A68" s="3209"/>
      <c r="B68" s="3224"/>
      <c r="C68" s="3225">
        <v>0</v>
      </c>
      <c r="D68" s="3225">
        <v>1</v>
      </c>
      <c r="E68" s="3225">
        <v>2</v>
      </c>
      <c r="F68" s="3225">
        <v>3</v>
      </c>
      <c r="G68" s="3225">
        <v>4</v>
      </c>
      <c r="H68" s="3225"/>
      <c r="I68" s="3225"/>
      <c r="J68" s="3225"/>
      <c r="K68" s="3226"/>
      <c r="L68" s="3227"/>
      <c r="M68" s="3228"/>
      <c r="N68" s="3207"/>
      <c r="O68" s="3207"/>
      <c r="P68" s="3208"/>
      <c r="Q68" s="3172"/>
    </row>
    <row r="69" spans="1:17" ht="15.75" thickBot="1">
      <c r="A69" s="3209"/>
      <c r="B69" s="3210"/>
      <c r="C69" s="3220">
        <v>100</v>
      </c>
      <c r="D69" s="3220">
        <f t="shared" ref="D69:M69" si="22">C69-$K11</f>
        <v>99</v>
      </c>
      <c r="E69" s="3220">
        <f t="shared" si="22"/>
        <v>98</v>
      </c>
      <c r="F69" s="3220">
        <f t="shared" si="22"/>
        <v>97</v>
      </c>
      <c r="G69" s="3220">
        <f t="shared" si="22"/>
        <v>96</v>
      </c>
      <c r="H69" s="3220">
        <f t="shared" si="22"/>
        <v>95</v>
      </c>
      <c r="I69" s="3220">
        <f t="shared" si="22"/>
        <v>94</v>
      </c>
      <c r="J69" s="3220">
        <f t="shared" si="22"/>
        <v>93</v>
      </c>
      <c r="K69" s="3220">
        <f t="shared" si="22"/>
        <v>92</v>
      </c>
      <c r="L69" s="3220">
        <f t="shared" si="22"/>
        <v>91</v>
      </c>
      <c r="M69" s="3221">
        <f t="shared" si="22"/>
        <v>90</v>
      </c>
      <c r="N69" s="3213"/>
      <c r="O69" s="3213"/>
      <c r="P69" s="3208"/>
      <c r="Q69" s="3172"/>
    </row>
    <row r="70" spans="1:17" s="3115" customFormat="1" ht="15.75" thickTop="1">
      <c r="A70" s="3229"/>
      <c r="B70" s="3214">
        <f>B12</f>
        <v>111</v>
      </c>
      <c r="C70" s="3230"/>
      <c r="D70" s="3230"/>
      <c r="E70" s="3230"/>
      <c r="F70" s="3230"/>
      <c r="G70" s="3230"/>
      <c r="H70" s="3231"/>
      <c r="I70" s="3231"/>
      <c r="J70" s="3231"/>
      <c r="K70" s="3231"/>
      <c r="L70" s="3232"/>
      <c r="M70" s="3233"/>
      <c r="N70" s="3234"/>
      <c r="O70" s="3234"/>
      <c r="P70" s="3235"/>
      <c r="Q70" s="3236"/>
    </row>
    <row r="71" spans="1:17" s="3115" customFormat="1" ht="15.75" thickBot="1">
      <c r="A71" s="3229"/>
      <c r="B71" s="3219"/>
      <c r="C71" s="3237"/>
      <c r="D71" s="3211"/>
      <c r="E71" s="3211"/>
      <c r="F71" s="3211"/>
      <c r="G71" s="3211"/>
      <c r="H71" s="3211"/>
      <c r="I71" s="3211"/>
      <c r="J71" s="3211"/>
      <c r="K71" s="3211"/>
      <c r="L71" s="3211"/>
      <c r="M71" s="3212"/>
      <c r="N71" s="3213"/>
      <c r="O71" s="3213"/>
      <c r="P71" s="3235"/>
      <c r="Q71" s="3236"/>
    </row>
    <row r="72" spans="1:17" s="3115" customFormat="1" ht="15.75" thickTop="1">
      <c r="A72" s="3229"/>
      <c r="B72" s="3214">
        <f>B13</f>
        <v>111</v>
      </c>
      <c r="C72" s="3230"/>
      <c r="D72" s="3230"/>
      <c r="E72" s="3230"/>
      <c r="F72" s="3230"/>
      <c r="G72" s="3230"/>
      <c r="H72" s="3231"/>
      <c r="I72" s="3231"/>
      <c r="J72" s="3231"/>
      <c r="K72" s="3231"/>
      <c r="L72" s="3232"/>
      <c r="M72" s="3233"/>
      <c r="N72" s="3234"/>
      <c r="O72" s="3234"/>
      <c r="P72" s="3238"/>
      <c r="Q72" s="3239"/>
    </row>
    <row r="73" spans="1:17" s="3115" customFormat="1" ht="15.75" thickBot="1">
      <c r="A73" s="3229"/>
      <c r="B73" s="3219"/>
      <c r="C73" s="3237"/>
      <c r="D73" s="3237"/>
      <c r="E73" s="3237"/>
      <c r="F73" s="3237"/>
      <c r="G73" s="3237"/>
      <c r="H73" s="3240"/>
      <c r="I73" s="3240"/>
      <c r="J73" s="3240"/>
      <c r="K73" s="3240"/>
      <c r="L73" s="3240"/>
      <c r="M73" s="3241"/>
      <c r="N73" s="3234"/>
      <c r="O73" s="3234"/>
      <c r="P73" s="3235"/>
      <c r="Q73" s="3236"/>
    </row>
    <row r="74" spans="1:17" s="3115" customFormat="1" ht="15.75" thickTop="1">
      <c r="A74" s="3229"/>
      <c r="B74" s="3222">
        <f>B14</f>
        <v>111</v>
      </c>
      <c r="C74" s="3230"/>
      <c r="D74" s="3230"/>
      <c r="E74" s="3230"/>
      <c r="F74" s="3230"/>
      <c r="G74" s="3194"/>
      <c r="H74" s="3242"/>
      <c r="I74" s="3242"/>
      <c r="J74" s="3242"/>
      <c r="K74" s="3242"/>
      <c r="L74" s="3243"/>
      <c r="M74" s="3244"/>
      <c r="N74" s="3234"/>
      <c r="O74" s="3234"/>
      <c r="P74" s="3245"/>
      <c r="Q74" s="3236"/>
    </row>
    <row r="75" spans="1:17" s="3115" customFormat="1" ht="15.75" thickBot="1">
      <c r="A75" s="3246"/>
      <c r="B75" s="3247"/>
      <c r="C75" s="3248"/>
      <c r="D75" s="3248"/>
      <c r="E75" s="3248"/>
      <c r="F75" s="3248"/>
      <c r="G75" s="3248"/>
      <c r="H75" s="3249"/>
      <c r="I75" s="3249"/>
      <c r="J75" s="3249"/>
      <c r="K75" s="3249"/>
      <c r="L75" s="3249"/>
      <c r="M75" s="3250"/>
      <c r="N75" s="3234"/>
      <c r="O75" s="3234"/>
      <c r="P75" s="3235"/>
      <c r="Q75" s="3236"/>
    </row>
    <row r="76" spans="1:17">
      <c r="A76" s="3200" t="s">
        <v>3114</v>
      </c>
      <c r="B76" s="3201" t="s">
        <v>3155</v>
      </c>
      <c r="C76" s="3251" t="s">
        <v>3156</v>
      </c>
      <c r="D76" s="3251" t="s">
        <v>3157</v>
      </c>
      <c r="E76" s="3251" t="s">
        <v>3158</v>
      </c>
      <c r="F76" s="3251" t="s">
        <v>3159</v>
      </c>
      <c r="G76" s="3251" t="s">
        <v>3160</v>
      </c>
      <c r="H76" s="3202"/>
      <c r="I76" s="3202"/>
      <c r="J76" s="3202"/>
      <c r="K76" s="3252"/>
      <c r="L76" s="3253"/>
      <c r="M76" s="3254"/>
      <c r="N76" s="3207"/>
      <c r="O76" s="3207"/>
      <c r="P76" s="3255"/>
      <c r="Q76" s="3172"/>
    </row>
    <row r="77" spans="1:17" ht="15.75" thickBot="1">
      <c r="A77" s="3209"/>
      <c r="B77" s="3219"/>
      <c r="C77" s="3220">
        <v>100</v>
      </c>
      <c r="D77" s="3220">
        <f>C77-$K15</f>
        <v>98</v>
      </c>
      <c r="E77" s="3220">
        <f>D77-$K15</f>
        <v>96</v>
      </c>
      <c r="F77" s="3220">
        <f>E77-$K15</f>
        <v>94</v>
      </c>
      <c r="G77" s="3220">
        <f>F77-$K15</f>
        <v>92</v>
      </c>
      <c r="H77" s="3220"/>
      <c r="I77" s="3220"/>
      <c r="J77" s="3220"/>
      <c r="K77" s="3220"/>
      <c r="L77" s="3220"/>
      <c r="M77" s="3221"/>
      <c r="N77" s="3213"/>
      <c r="O77" s="3213"/>
      <c r="P77" s="3208"/>
      <c r="Q77" s="3172"/>
    </row>
    <row r="78" spans="1:17" ht="15.75" thickTop="1">
      <c r="A78" s="3209"/>
      <c r="B78" s="3214" t="s">
        <v>3161</v>
      </c>
      <c r="C78" s="3256" t="s">
        <v>3156</v>
      </c>
      <c r="D78" s="3256" t="s">
        <v>3157</v>
      </c>
      <c r="E78" s="3256" t="s">
        <v>3158</v>
      </c>
      <c r="F78" s="3256" t="s">
        <v>3159</v>
      </c>
      <c r="G78" s="3256" t="s">
        <v>3160</v>
      </c>
      <c r="H78" s="3215"/>
      <c r="I78" s="3215"/>
      <c r="J78" s="3215"/>
      <c r="K78" s="3216"/>
      <c r="L78" s="3217"/>
      <c r="M78" s="3218"/>
      <c r="N78" s="3207"/>
      <c r="O78" s="3207"/>
      <c r="P78" s="3208"/>
      <c r="Q78" s="3172"/>
    </row>
    <row r="79" spans="1:17" ht="15.75" thickBot="1">
      <c r="A79" s="3209"/>
      <c r="B79" s="3219"/>
      <c r="C79" s="3220">
        <v>100</v>
      </c>
      <c r="D79" s="3220">
        <f>C79-$K17</f>
        <v>98</v>
      </c>
      <c r="E79" s="3220">
        <f>D79-$K17</f>
        <v>96</v>
      </c>
      <c r="F79" s="3220">
        <f>E79-$K17</f>
        <v>94</v>
      </c>
      <c r="G79" s="3220">
        <f>F79-$K17</f>
        <v>92</v>
      </c>
      <c r="H79" s="3220"/>
      <c r="I79" s="3220"/>
      <c r="J79" s="3220"/>
      <c r="K79" s="3220"/>
      <c r="L79" s="3220"/>
      <c r="M79" s="3221"/>
      <c r="N79" s="3213"/>
      <c r="O79" s="3213"/>
      <c r="P79" s="3208"/>
      <c r="Q79" s="3172"/>
    </row>
    <row r="80" spans="1:17" ht="15.75" thickTop="1">
      <c r="A80" s="3209"/>
      <c r="B80" s="3214" t="s">
        <v>3118</v>
      </c>
      <c r="C80" s="3256" t="s">
        <v>3156</v>
      </c>
      <c r="D80" s="3256" t="s">
        <v>3157</v>
      </c>
      <c r="E80" s="3256" t="s">
        <v>3158</v>
      </c>
      <c r="F80" s="3256" t="s">
        <v>3159</v>
      </c>
      <c r="G80" s="3256" t="s">
        <v>3160</v>
      </c>
      <c r="H80" s="3215"/>
      <c r="I80" s="3215"/>
      <c r="J80" s="3215"/>
      <c r="K80" s="3216"/>
      <c r="L80" s="3217"/>
      <c r="M80" s="3218"/>
      <c r="N80" s="3207"/>
      <c r="O80" s="3207"/>
      <c r="P80" s="3208"/>
      <c r="Q80" s="3172"/>
    </row>
    <row r="81" spans="1:17" ht="15.75" thickBot="1">
      <c r="A81" s="3209"/>
      <c r="B81" s="3219"/>
      <c r="C81" s="3220">
        <v>100</v>
      </c>
      <c r="D81" s="3220">
        <f>C81-$K19</f>
        <v>98</v>
      </c>
      <c r="E81" s="3220">
        <f>D81-$K19</f>
        <v>96</v>
      </c>
      <c r="F81" s="3220">
        <f>E81-$K19</f>
        <v>94</v>
      </c>
      <c r="G81" s="3220">
        <f>F81-$K19</f>
        <v>92</v>
      </c>
      <c r="H81" s="3220"/>
      <c r="I81" s="3220"/>
      <c r="J81" s="3220"/>
      <c r="K81" s="3220"/>
      <c r="L81" s="3220"/>
      <c r="M81" s="3221"/>
      <c r="N81" s="3213"/>
      <c r="O81" s="3213"/>
      <c r="P81" s="3208"/>
      <c r="Q81" s="3172"/>
    </row>
    <row r="82" spans="1:17" ht="15.75" thickTop="1">
      <c r="A82" s="3209"/>
      <c r="B82" s="3222" t="s">
        <v>3119</v>
      </c>
      <c r="C82" s="3215" t="s">
        <v>3162</v>
      </c>
      <c r="D82" s="3215" t="s">
        <v>3163</v>
      </c>
      <c r="E82" s="3215" t="s">
        <v>3164</v>
      </c>
      <c r="F82" s="3215" t="s">
        <v>3165</v>
      </c>
      <c r="G82" s="3215" t="s">
        <v>3166</v>
      </c>
      <c r="H82" s="3215"/>
      <c r="I82" s="3215"/>
      <c r="J82" s="3215"/>
      <c r="K82" s="3215"/>
      <c r="L82" s="3215"/>
      <c r="M82" s="3257"/>
      <c r="N82" s="3213"/>
      <c r="O82" s="3213"/>
      <c r="P82" s="3208"/>
      <c r="Q82" s="3172"/>
    </row>
    <row r="83" spans="1:17" ht="15.75" thickBot="1">
      <c r="A83" s="3209"/>
      <c r="B83" s="3222"/>
      <c r="C83" s="3258">
        <v>100</v>
      </c>
      <c r="D83" s="3258">
        <f>C83-$K21</f>
        <v>100</v>
      </c>
      <c r="E83" s="3258">
        <f t="shared" ref="E83:G83" si="23">D83-$K21</f>
        <v>100</v>
      </c>
      <c r="F83" s="3258">
        <f t="shared" si="23"/>
        <v>100</v>
      </c>
      <c r="G83" s="3258">
        <f t="shared" si="23"/>
        <v>100</v>
      </c>
      <c r="H83" s="3258"/>
      <c r="I83" s="3258"/>
      <c r="J83" s="3258"/>
      <c r="K83" s="3258"/>
      <c r="L83" s="3258"/>
      <c r="M83" s="3075"/>
      <c r="N83" s="3213"/>
      <c r="O83" s="3213"/>
      <c r="P83" s="3208"/>
      <c r="Q83" s="3172"/>
    </row>
    <row r="84" spans="1:17" ht="15.75" thickTop="1">
      <c r="A84" s="3209"/>
      <c r="B84" s="3214" t="s">
        <v>3167</v>
      </c>
      <c r="C84" s="3256" t="s">
        <v>2600</v>
      </c>
      <c r="D84" s="3256" t="s">
        <v>2601</v>
      </c>
      <c r="E84" s="3256" t="s">
        <v>2602</v>
      </c>
      <c r="F84" s="3256" t="s">
        <v>2603</v>
      </c>
      <c r="G84" s="3256" t="s">
        <v>2604</v>
      </c>
      <c r="H84" s="3215"/>
      <c r="I84" s="3215"/>
      <c r="J84" s="3215"/>
      <c r="K84" s="3216"/>
      <c r="L84" s="3217"/>
      <c r="M84" s="3218"/>
      <c r="N84" s="3207"/>
      <c r="O84" s="3207"/>
      <c r="P84" s="3208"/>
      <c r="Q84" s="3172"/>
    </row>
    <row r="85" spans="1:17" ht="15.75" thickBot="1">
      <c r="A85" s="3209"/>
      <c r="B85" s="3219"/>
      <c r="C85" s="3220">
        <v>100</v>
      </c>
      <c r="D85" s="3220">
        <f>C85-$K23</f>
        <v>98</v>
      </c>
      <c r="E85" s="3220">
        <f>D85-$K23</f>
        <v>96</v>
      </c>
      <c r="F85" s="3220">
        <f>E85-$K23</f>
        <v>94</v>
      </c>
      <c r="G85" s="3220">
        <f>F85-$K23</f>
        <v>92</v>
      </c>
      <c r="H85" s="3220"/>
      <c r="I85" s="3220"/>
      <c r="J85" s="3220"/>
      <c r="K85" s="3220"/>
      <c r="L85" s="3220"/>
      <c r="M85" s="3221"/>
      <c r="N85" s="3213"/>
      <c r="O85" s="3213"/>
      <c r="P85" s="3208"/>
      <c r="Q85" s="3172"/>
    </row>
    <row r="86" spans="1:17" s="3019" customFormat="1" ht="15.75" thickTop="1">
      <c r="A86" s="3259"/>
      <c r="B86" s="3214" t="s">
        <v>2613</v>
      </c>
      <c r="C86" s="3230"/>
      <c r="D86" s="3230"/>
      <c r="E86" s="3230"/>
      <c r="F86" s="3230"/>
      <c r="G86" s="3230"/>
      <c r="H86" s="3230"/>
      <c r="I86" s="3230"/>
      <c r="J86" s="3230"/>
      <c r="K86" s="3230"/>
      <c r="L86" s="3260"/>
      <c r="M86" s="3261"/>
      <c r="N86" s="3197"/>
      <c r="O86" s="3197"/>
      <c r="P86" s="3208"/>
      <c r="Q86" s="3172"/>
    </row>
    <row r="87" spans="1:17" s="3019" customFormat="1" ht="15.75" thickBot="1">
      <c r="A87" s="3259"/>
      <c r="B87" s="3219"/>
      <c r="C87" s="3262">
        <v>100</v>
      </c>
      <c r="D87" s="3220">
        <f t="shared" ref="D87:M87" si="24">$C$87-($C$86-D86)*$K$25</f>
        <v>100</v>
      </c>
      <c r="E87" s="3220">
        <f t="shared" si="24"/>
        <v>100</v>
      </c>
      <c r="F87" s="3220">
        <f t="shared" si="24"/>
        <v>100</v>
      </c>
      <c r="G87" s="3220">
        <f t="shared" si="24"/>
        <v>100</v>
      </c>
      <c r="H87" s="3220">
        <f t="shared" si="24"/>
        <v>100</v>
      </c>
      <c r="I87" s="3220">
        <f t="shared" si="24"/>
        <v>100</v>
      </c>
      <c r="J87" s="3220">
        <f t="shared" si="24"/>
        <v>100</v>
      </c>
      <c r="K87" s="3220">
        <f t="shared" si="24"/>
        <v>100</v>
      </c>
      <c r="L87" s="3220">
        <f t="shared" si="24"/>
        <v>100</v>
      </c>
      <c r="M87" s="3220">
        <f t="shared" si="24"/>
        <v>100</v>
      </c>
      <c r="N87" s="3213"/>
      <c r="O87" s="3213"/>
      <c r="P87" s="3208"/>
      <c r="Q87" s="3172"/>
    </row>
    <row r="88" spans="1:17" s="3019" customFormat="1" ht="15.75" thickTop="1">
      <c r="A88" s="3259"/>
      <c r="B88" s="3214" t="s">
        <v>2614</v>
      </c>
      <c r="C88" s="3230"/>
      <c r="D88" s="3230"/>
      <c r="E88" s="3230"/>
      <c r="F88" s="3263"/>
      <c r="G88" s="3230"/>
      <c r="H88" s="3230"/>
      <c r="I88" s="3230"/>
      <c r="J88" s="3230"/>
      <c r="K88" s="3230"/>
      <c r="L88" s="3230"/>
      <c r="M88" s="3261"/>
      <c r="N88" s="3197"/>
      <c r="O88" s="3197"/>
      <c r="P88" s="3208"/>
      <c r="Q88" s="3172"/>
    </row>
    <row r="89" spans="1:17" s="3019" customFormat="1" ht="15.75" thickBot="1">
      <c r="A89" s="3259"/>
      <c r="B89" s="3219"/>
      <c r="C89" s="3262">
        <v>100</v>
      </c>
      <c r="D89" s="3220">
        <f t="shared" ref="D89:M89" si="25">C89-$K26</f>
        <v>100</v>
      </c>
      <c r="E89" s="3220">
        <f t="shared" si="25"/>
        <v>100</v>
      </c>
      <c r="F89" s="3220">
        <f t="shared" si="25"/>
        <v>100</v>
      </c>
      <c r="G89" s="3220">
        <f t="shared" si="25"/>
        <v>100</v>
      </c>
      <c r="H89" s="3220">
        <f t="shared" si="25"/>
        <v>100</v>
      </c>
      <c r="I89" s="3220">
        <f t="shared" si="25"/>
        <v>100</v>
      </c>
      <c r="J89" s="3220">
        <f t="shared" si="25"/>
        <v>100</v>
      </c>
      <c r="K89" s="3220">
        <f t="shared" si="25"/>
        <v>100</v>
      </c>
      <c r="L89" s="3220">
        <f t="shared" si="25"/>
        <v>100</v>
      </c>
      <c r="M89" s="3220">
        <f t="shared" si="25"/>
        <v>100</v>
      </c>
      <c r="N89" s="3213"/>
      <c r="O89" s="3213"/>
      <c r="P89" s="3208"/>
      <c r="Q89" s="3172"/>
    </row>
    <row r="90" spans="1:17" s="3115" customFormat="1" ht="15.75" thickTop="1">
      <c r="A90" s="3229"/>
      <c r="B90" s="3214">
        <f>B27</f>
        <v>111</v>
      </c>
      <c r="C90" s="3230"/>
      <c r="D90" s="3230"/>
      <c r="E90" s="3230"/>
      <c r="F90" s="3230"/>
      <c r="G90" s="3230"/>
      <c r="H90" s="3231"/>
      <c r="I90" s="3231"/>
      <c r="J90" s="3231"/>
      <c r="K90" s="3231"/>
      <c r="L90" s="3232"/>
      <c r="M90" s="3233"/>
      <c r="N90" s="3234"/>
      <c r="O90" s="3234"/>
      <c r="P90" s="3235"/>
      <c r="Q90" s="3236"/>
    </row>
    <row r="91" spans="1:17" s="3115" customFormat="1" ht="15.75" thickBot="1">
      <c r="A91" s="3229"/>
      <c r="B91" s="3219"/>
      <c r="C91" s="3237"/>
      <c r="D91" s="3237"/>
      <c r="E91" s="3237"/>
      <c r="F91" s="3237"/>
      <c r="G91" s="3237"/>
      <c r="H91" s="3240"/>
      <c r="I91" s="3240"/>
      <c r="J91" s="3240"/>
      <c r="K91" s="3240"/>
      <c r="L91" s="3240"/>
      <c r="M91" s="3241"/>
      <c r="N91" s="3234"/>
      <c r="O91" s="3234"/>
      <c r="P91" s="3235"/>
      <c r="Q91" s="3236"/>
    </row>
    <row r="92" spans="1:17" ht="15.75" thickTop="1">
      <c r="A92" s="3209"/>
      <c r="B92" s="3214">
        <f>B28</f>
        <v>111</v>
      </c>
      <c r="C92" s="3230"/>
      <c r="D92" s="3230"/>
      <c r="E92" s="3230"/>
      <c r="F92" s="3230"/>
      <c r="G92" s="3264"/>
      <c r="H92" s="3264"/>
      <c r="I92" s="3264"/>
      <c r="J92" s="3264"/>
      <c r="K92" s="3265"/>
      <c r="L92" s="3266"/>
      <c r="M92" s="3267"/>
      <c r="N92" s="3207"/>
      <c r="O92" s="3207"/>
      <c r="P92" s="3208"/>
      <c r="Q92" s="3172"/>
    </row>
    <row r="93" spans="1:17" ht="15.75" thickBot="1">
      <c r="A93" s="3209"/>
      <c r="B93" s="3219"/>
      <c r="C93" s="3237"/>
      <c r="D93" s="3211"/>
      <c r="E93" s="3211"/>
      <c r="F93" s="3211"/>
      <c r="G93" s="3211"/>
      <c r="H93" s="3211"/>
      <c r="I93" s="3211"/>
      <c r="J93" s="3211"/>
      <c r="K93" s="3211"/>
      <c r="L93" s="3211"/>
      <c r="M93" s="3212"/>
      <c r="N93" s="3213"/>
      <c r="O93" s="3213"/>
      <c r="P93" s="3208"/>
      <c r="Q93" s="3172"/>
    </row>
    <row r="94" spans="1:17" ht="15.75" thickTop="1">
      <c r="A94" s="3209"/>
      <c r="B94" s="3214">
        <f>B29</f>
        <v>111</v>
      </c>
      <c r="C94" s="3230"/>
      <c r="D94" s="3230"/>
      <c r="E94" s="3230"/>
      <c r="F94" s="3230"/>
      <c r="G94" s="3264"/>
      <c r="H94" s="3264"/>
      <c r="I94" s="3264"/>
      <c r="J94" s="3264"/>
      <c r="K94" s="3265"/>
      <c r="L94" s="3266"/>
      <c r="M94" s="3267"/>
      <c r="N94" s="3207"/>
      <c r="O94" s="3207"/>
      <c r="P94" s="3208"/>
      <c r="Q94" s="3172"/>
    </row>
    <row r="95" spans="1:17" ht="15.75" thickBot="1">
      <c r="A95" s="3209"/>
      <c r="B95" s="3219"/>
      <c r="C95" s="3237"/>
      <c r="D95" s="3237"/>
      <c r="E95" s="3237"/>
      <c r="F95" s="3237"/>
      <c r="G95" s="3211"/>
      <c r="H95" s="3211"/>
      <c r="I95" s="3211"/>
      <c r="J95" s="3211"/>
      <c r="K95" s="3211"/>
      <c r="L95" s="3211"/>
      <c r="M95" s="3212"/>
      <c r="N95" s="3213"/>
      <c r="O95" s="3213"/>
      <c r="P95" s="3208"/>
      <c r="Q95" s="3172"/>
    </row>
    <row r="96" spans="1:17" ht="15.75" thickTop="1">
      <c r="A96" s="3209"/>
      <c r="B96" s="3214">
        <f>B30</f>
        <v>111</v>
      </c>
      <c r="C96" s="3230"/>
      <c r="D96" s="3230"/>
      <c r="E96" s="3230"/>
      <c r="F96" s="3230"/>
      <c r="G96" s="3264"/>
      <c r="H96" s="3264"/>
      <c r="I96" s="3264"/>
      <c r="J96" s="3264"/>
      <c r="K96" s="3265"/>
      <c r="L96" s="3266"/>
      <c r="M96" s="3267"/>
      <c r="N96" s="3207"/>
      <c r="O96" s="3207"/>
      <c r="P96" s="3208"/>
      <c r="Q96" s="3172"/>
    </row>
    <row r="97" spans="1:17" ht="15.75" thickBot="1">
      <c r="A97" s="3209"/>
      <c r="B97" s="3219"/>
      <c r="C97" s="3248"/>
      <c r="D97" s="3248"/>
      <c r="E97" s="3248"/>
      <c r="F97" s="3248"/>
      <c r="G97" s="3211"/>
      <c r="H97" s="3211"/>
      <c r="I97" s="3211"/>
      <c r="J97" s="3211"/>
      <c r="K97" s="3211"/>
      <c r="L97" s="3211"/>
      <c r="M97" s="3212"/>
      <c r="N97" s="3213"/>
      <c r="O97" s="3213"/>
      <c r="P97" s="3208"/>
      <c r="Q97" s="3172"/>
    </row>
    <row r="98" spans="1:17" ht="15.75" thickTop="1">
      <c r="A98" s="3209"/>
      <c r="B98" s="3222">
        <f>B31</f>
        <v>111</v>
      </c>
      <c r="C98" s="3268"/>
      <c r="D98" s="3268"/>
      <c r="E98" s="3268"/>
      <c r="F98" s="3268"/>
      <c r="G98" s="3268"/>
      <c r="H98" s="3268"/>
      <c r="I98" s="3268"/>
      <c r="J98" s="3268"/>
      <c r="K98" s="3269"/>
      <c r="L98" s="3270"/>
      <c r="M98" s="3271"/>
      <c r="N98" s="3207"/>
      <c r="O98" s="3207"/>
      <c r="P98" s="3208"/>
      <c r="Q98" s="3172"/>
    </row>
    <row r="99" spans="1:17" ht="15.75" thickBot="1">
      <c r="A99" s="3272"/>
      <c r="B99" s="3247"/>
      <c r="C99" s="3273"/>
      <c r="D99" s="3273"/>
      <c r="E99" s="3273"/>
      <c r="F99" s="3273"/>
      <c r="G99" s="3273"/>
      <c r="H99" s="3273"/>
      <c r="I99" s="3273"/>
      <c r="J99" s="3273"/>
      <c r="K99" s="3273"/>
      <c r="L99" s="3273"/>
      <c r="M99" s="3274"/>
      <c r="N99" s="3213"/>
      <c r="O99" s="3213"/>
      <c r="P99" s="3208"/>
      <c r="Q99" s="3172"/>
    </row>
    <row r="100" spans="1:17">
      <c r="A100" s="3200" t="s">
        <v>3122</v>
      </c>
      <c r="B100" s="3201" t="s">
        <v>3168</v>
      </c>
      <c r="C100" s="3275" t="s">
        <v>3169</v>
      </c>
      <c r="D100" s="3203"/>
      <c r="E100" s="3203"/>
      <c r="F100" s="3203"/>
      <c r="G100" s="3203"/>
      <c r="H100" s="3203"/>
      <c r="I100" s="3203"/>
      <c r="J100" s="3203"/>
      <c r="K100" s="3204"/>
      <c r="L100" s="3205"/>
      <c r="M100" s="3206"/>
      <c r="N100" s="3207"/>
      <c r="O100" s="3207"/>
      <c r="P100" s="3208"/>
      <c r="Q100" s="3172"/>
    </row>
    <row r="101" spans="1:17" ht="15.75" thickBot="1">
      <c r="A101" s="3209"/>
      <c r="B101" s="3219"/>
      <c r="C101" s="3220">
        <v>100</v>
      </c>
      <c r="D101" s="3220">
        <f t="shared" ref="D101:M101" si="26">C101-$K32</f>
        <v>99</v>
      </c>
      <c r="E101" s="3220">
        <f t="shared" si="26"/>
        <v>98</v>
      </c>
      <c r="F101" s="3220">
        <f t="shared" si="26"/>
        <v>97</v>
      </c>
      <c r="G101" s="3220">
        <f t="shared" si="26"/>
        <v>96</v>
      </c>
      <c r="H101" s="3220">
        <f t="shared" si="26"/>
        <v>95</v>
      </c>
      <c r="I101" s="3220">
        <f t="shared" si="26"/>
        <v>94</v>
      </c>
      <c r="J101" s="3220">
        <f t="shared" si="26"/>
        <v>93</v>
      </c>
      <c r="K101" s="3220">
        <f t="shared" si="26"/>
        <v>92</v>
      </c>
      <c r="L101" s="3220">
        <f t="shared" si="26"/>
        <v>91</v>
      </c>
      <c r="M101" s="3220">
        <f t="shared" si="26"/>
        <v>90</v>
      </c>
      <c r="N101" s="3213"/>
      <c r="O101" s="3213"/>
      <c r="P101" s="3208"/>
      <c r="Q101" s="3172"/>
    </row>
    <row r="102" spans="1:17" ht="15.75" thickTop="1">
      <c r="A102" s="3209"/>
      <c r="B102" s="3214" t="s">
        <v>3170</v>
      </c>
      <c r="C102" s="3256" t="str">
        <f>C103&amp;"(含)"&amp;"-"&amp;D103</f>
        <v>0(含)-100</v>
      </c>
      <c r="D102" s="3256" t="str">
        <f t="shared" ref="D102:L102" si="27">D103&amp;"(含)"&amp;"-"&amp;E103</f>
        <v>100(含)-200</v>
      </c>
      <c r="E102" s="3256" t="str">
        <f t="shared" si="27"/>
        <v>200(含)-300</v>
      </c>
      <c r="F102" s="3256" t="str">
        <f t="shared" si="27"/>
        <v>300(含)-400</v>
      </c>
      <c r="G102" s="3256" t="str">
        <f t="shared" si="27"/>
        <v>400(含)-500</v>
      </c>
      <c r="H102" s="3256" t="str">
        <f t="shared" si="27"/>
        <v>500(含)-</v>
      </c>
      <c r="I102" s="3256" t="str">
        <f t="shared" si="27"/>
        <v>(含)-</v>
      </c>
      <c r="J102" s="3256" t="str">
        <f t="shared" si="27"/>
        <v>(含)-</v>
      </c>
      <c r="K102" s="3256" t="str">
        <f>K103&amp;"(含)"&amp;"-"&amp;L103</f>
        <v>(含)-</v>
      </c>
      <c r="L102" s="3256" t="str">
        <f t="shared" si="27"/>
        <v>(含)-</v>
      </c>
      <c r="M102" s="3256" t="str">
        <f>M103&amp;"(含)"&amp;"-"&amp;P103</f>
        <v>(含)-</v>
      </c>
      <c r="N102" s="3197"/>
      <c r="O102" s="3197"/>
      <c r="P102" s="3208"/>
      <c r="Q102" s="3172"/>
    </row>
    <row r="103" spans="1:17" s="3115" customFormat="1">
      <c r="A103" s="3276"/>
      <c r="B103" s="3277"/>
      <c r="C103" s="3278">
        <v>0</v>
      </c>
      <c r="D103" s="3278">
        <v>100</v>
      </c>
      <c r="E103" s="3278">
        <v>200</v>
      </c>
      <c r="F103" s="3278">
        <v>300</v>
      </c>
      <c r="G103" s="3278">
        <v>400</v>
      </c>
      <c r="H103" s="3278">
        <v>500</v>
      </c>
      <c r="I103" s="3278"/>
      <c r="J103" s="3279"/>
      <c r="K103" s="3279"/>
      <c r="L103" s="3280"/>
      <c r="M103" s="3281"/>
      <c r="N103" s="3234"/>
      <c r="O103" s="3234"/>
      <c r="P103" s="3235"/>
      <c r="Q103" s="3236"/>
    </row>
    <row r="104" spans="1:17" s="3115" customFormat="1" ht="15.75" thickBot="1">
      <c r="A104" s="3229"/>
      <c r="B104" s="3219"/>
      <c r="C104" s="3237"/>
      <c r="D104" s="3211"/>
      <c r="E104" s="3211"/>
      <c r="F104" s="3211"/>
      <c r="G104" s="3211"/>
      <c r="H104" s="3211"/>
      <c r="I104" s="3211"/>
      <c r="J104" s="3211"/>
      <c r="K104" s="3211"/>
      <c r="L104" s="3211"/>
      <c r="M104" s="3211"/>
      <c r="N104" s="3213"/>
      <c r="O104" s="3213"/>
      <c r="P104" s="3235"/>
      <c r="Q104" s="3236"/>
    </row>
    <row r="105" spans="1:17" ht="15" thickTop="1">
      <c r="A105" s="3282"/>
      <c r="B105" s="3214" t="s">
        <v>3171</v>
      </c>
      <c r="C105" s="3283" t="s">
        <v>3172</v>
      </c>
      <c r="D105" s="3230"/>
      <c r="E105" s="3264"/>
      <c r="F105" s="3264"/>
      <c r="G105" s="3264"/>
      <c r="H105" s="3264"/>
      <c r="I105" s="3264"/>
      <c r="J105" s="3264"/>
      <c r="K105" s="3265"/>
      <c r="L105" s="3266"/>
      <c r="M105" s="3267"/>
      <c r="N105" s="3207"/>
      <c r="O105" s="3207"/>
      <c r="P105" s="3208"/>
      <c r="Q105" s="3172"/>
    </row>
    <row r="106" spans="1:17" ht="15.75" thickBot="1">
      <c r="A106" s="3209"/>
      <c r="B106" s="3219"/>
      <c r="C106" s="3220">
        <v>100</v>
      </c>
      <c r="D106" s="3220">
        <f t="shared" ref="D106:M106" si="28">C106-$K34</f>
        <v>98</v>
      </c>
      <c r="E106" s="3220">
        <f t="shared" si="28"/>
        <v>96</v>
      </c>
      <c r="F106" s="3220">
        <f t="shared" si="28"/>
        <v>94</v>
      </c>
      <c r="G106" s="3220">
        <f t="shared" si="28"/>
        <v>92</v>
      </c>
      <c r="H106" s="3220">
        <f t="shared" si="28"/>
        <v>90</v>
      </c>
      <c r="I106" s="3220">
        <f t="shared" si="28"/>
        <v>88</v>
      </c>
      <c r="J106" s="3220">
        <f t="shared" si="28"/>
        <v>86</v>
      </c>
      <c r="K106" s="3220">
        <f t="shared" si="28"/>
        <v>84</v>
      </c>
      <c r="L106" s="3220">
        <f t="shared" si="28"/>
        <v>82</v>
      </c>
      <c r="M106" s="3220">
        <f t="shared" si="28"/>
        <v>80</v>
      </c>
      <c r="N106" s="3213"/>
      <c r="O106" s="3213"/>
      <c r="P106" s="3208"/>
      <c r="Q106" s="3172"/>
    </row>
    <row r="107" spans="1:17" ht="15" thickTop="1">
      <c r="A107" s="3282"/>
      <c r="B107" s="3214" t="s">
        <v>3173</v>
      </c>
      <c r="C107" s="3284" t="s">
        <v>3174</v>
      </c>
      <c r="D107" s="3284" t="s">
        <v>3175</v>
      </c>
      <c r="E107" s="3264"/>
      <c r="F107" s="3264"/>
      <c r="G107" s="3264"/>
      <c r="H107" s="3264"/>
      <c r="I107" s="3264"/>
      <c r="J107" s="3264"/>
      <c r="K107" s="3265"/>
      <c r="L107" s="3266"/>
      <c r="M107" s="3267"/>
      <c r="N107" s="3207"/>
      <c r="O107" s="3207"/>
      <c r="P107" s="3208"/>
      <c r="Q107" s="3172"/>
    </row>
    <row r="108" spans="1:17" ht="15.75" thickBot="1">
      <c r="A108" s="3209"/>
      <c r="B108" s="3219"/>
      <c r="C108" s="3220">
        <v>100</v>
      </c>
      <c r="D108" s="3220">
        <f t="shared" ref="D108:M108" si="29">C108-$K35</f>
        <v>98</v>
      </c>
      <c r="E108" s="3220">
        <f t="shared" si="29"/>
        <v>96</v>
      </c>
      <c r="F108" s="3220">
        <f t="shared" si="29"/>
        <v>94</v>
      </c>
      <c r="G108" s="3220">
        <f t="shared" si="29"/>
        <v>92</v>
      </c>
      <c r="H108" s="3220">
        <f t="shared" si="29"/>
        <v>90</v>
      </c>
      <c r="I108" s="3220">
        <f t="shared" si="29"/>
        <v>88</v>
      </c>
      <c r="J108" s="3220">
        <f t="shared" si="29"/>
        <v>86</v>
      </c>
      <c r="K108" s="3220">
        <f t="shared" si="29"/>
        <v>84</v>
      </c>
      <c r="L108" s="3220">
        <f t="shared" si="29"/>
        <v>82</v>
      </c>
      <c r="M108" s="3220">
        <f t="shared" si="29"/>
        <v>80</v>
      </c>
      <c r="N108" s="3213"/>
      <c r="O108" s="3213"/>
      <c r="P108" s="3208"/>
      <c r="Q108" s="3172"/>
    </row>
    <row r="109" spans="1:17" ht="15" thickTop="1">
      <c r="A109" s="3282"/>
      <c r="B109" s="3214" t="s">
        <v>3176</v>
      </c>
      <c r="C109" s="3283" t="s">
        <v>3177</v>
      </c>
      <c r="D109" s="3230"/>
      <c r="E109" s="3230"/>
      <c r="F109" s="3264"/>
      <c r="G109" s="3264"/>
      <c r="H109" s="3264"/>
      <c r="I109" s="3264"/>
      <c r="J109" s="3264"/>
      <c r="K109" s="3265"/>
      <c r="L109" s="3266"/>
      <c r="M109" s="3267"/>
      <c r="N109" s="3207"/>
      <c r="O109" s="3207"/>
      <c r="P109" s="3208"/>
      <c r="Q109" s="3172"/>
    </row>
    <row r="110" spans="1:17" ht="15.75" thickBot="1">
      <c r="A110" s="3209"/>
      <c r="B110" s="3219"/>
      <c r="C110" s="3220">
        <v>100</v>
      </c>
      <c r="D110" s="3220">
        <f t="shared" ref="D110:M110" si="30">C110-$K36</f>
        <v>99</v>
      </c>
      <c r="E110" s="3220">
        <f t="shared" si="30"/>
        <v>98</v>
      </c>
      <c r="F110" s="3220">
        <f t="shared" si="30"/>
        <v>97</v>
      </c>
      <c r="G110" s="3220">
        <f t="shared" si="30"/>
        <v>96</v>
      </c>
      <c r="H110" s="3220">
        <f t="shared" si="30"/>
        <v>95</v>
      </c>
      <c r="I110" s="3220">
        <f t="shared" si="30"/>
        <v>94</v>
      </c>
      <c r="J110" s="3220">
        <f t="shared" si="30"/>
        <v>93</v>
      </c>
      <c r="K110" s="3220">
        <f t="shared" si="30"/>
        <v>92</v>
      </c>
      <c r="L110" s="3220">
        <f t="shared" si="30"/>
        <v>91</v>
      </c>
      <c r="M110" s="3220">
        <f t="shared" si="30"/>
        <v>90</v>
      </c>
      <c r="N110" s="3213"/>
      <c r="O110" s="3213"/>
      <c r="P110" s="3208"/>
      <c r="Q110" s="3172"/>
    </row>
    <row r="111" spans="1:17" s="3115" customFormat="1" ht="15" thickTop="1">
      <c r="A111" s="3276"/>
      <c r="B111" s="3214" t="s">
        <v>1997</v>
      </c>
      <c r="C111" s="3256" t="str">
        <f>C112&amp;"(含)"&amp;"-"&amp;D112</f>
        <v>0.5(含)-0.6</v>
      </c>
      <c r="D111" s="3256" t="str">
        <f>D112&amp;"(含)"&amp;"-"&amp;E112</f>
        <v>0.6(含)-0.7</v>
      </c>
      <c r="E111" s="3256" t="str">
        <f>E112&amp;"(含)"&amp;"-"&amp;F112</f>
        <v>0.7(含)-0.8</v>
      </c>
      <c r="F111" s="3256" t="str">
        <f>F112&amp;"(含)"&amp;"-"&amp;G112</f>
        <v>0.8(含)-0.9</v>
      </c>
      <c r="G111" s="3256" t="str">
        <f>G112&amp;"(含)"&amp;"-"&amp;ROUND(H112,0)&amp;"(含)"</f>
        <v>0.9(含)-1(含)</v>
      </c>
      <c r="H111" s="3256" t="str">
        <f>ROUND(H112,0)&amp;"(含)"&amp;"-"&amp;I112</f>
        <v>1(含)-</v>
      </c>
      <c r="I111" s="3256"/>
      <c r="J111" s="3285"/>
      <c r="K111" s="3285"/>
      <c r="L111" s="3286"/>
      <c r="M111" s="3287"/>
      <c r="N111" s="3234"/>
      <c r="O111" s="3234"/>
      <c r="P111" s="3235"/>
      <c r="Q111" s="3236"/>
    </row>
    <row r="112" spans="1:17" s="3115" customFormat="1">
      <c r="A112" s="3276"/>
      <c r="B112" s="3222"/>
      <c r="C112" s="3288">
        <v>0.5</v>
      </c>
      <c r="D112" s="3288">
        <v>0.6</v>
      </c>
      <c r="E112" s="3288">
        <v>0.7</v>
      </c>
      <c r="F112" s="3288">
        <v>0.8</v>
      </c>
      <c r="G112" s="3288">
        <v>0.9</v>
      </c>
      <c r="H112" s="3288">
        <v>1.0001</v>
      </c>
      <c r="I112" s="3288"/>
      <c r="J112" s="3289"/>
      <c r="K112" s="3289"/>
      <c r="L112" s="3290"/>
      <c r="M112" s="3291"/>
      <c r="N112" s="3234"/>
      <c r="O112" s="3234"/>
      <c r="P112" s="3235"/>
      <c r="Q112" s="3236"/>
    </row>
    <row r="113" spans="1:17" s="3115" customFormat="1" ht="15.75" thickBot="1">
      <c r="A113" s="3229"/>
      <c r="B113" s="3219"/>
      <c r="C113" s="3262">
        <v>100</v>
      </c>
      <c r="D113" s="3220">
        <f>C113+$K37</f>
        <v>102</v>
      </c>
      <c r="E113" s="3220">
        <f>D113+$K37</f>
        <v>104</v>
      </c>
      <c r="F113" s="3220">
        <f>E113+$K37</f>
        <v>106</v>
      </c>
      <c r="G113" s="3220">
        <f>F113+$K37</f>
        <v>108</v>
      </c>
      <c r="H113" s="3220">
        <f>G113+$K37</f>
        <v>110</v>
      </c>
      <c r="I113" s="3262"/>
      <c r="J113" s="3292"/>
      <c r="K113" s="3292"/>
      <c r="L113" s="3292"/>
      <c r="M113" s="3293"/>
      <c r="N113" s="3234"/>
      <c r="O113" s="3234"/>
      <c r="P113" s="3235"/>
      <c r="Q113" s="3236"/>
    </row>
    <row r="114" spans="1:17" ht="15" thickTop="1">
      <c r="A114" s="3282"/>
      <c r="B114" s="3214" t="s">
        <v>3178</v>
      </c>
      <c r="C114" s="3283" t="s">
        <v>3179</v>
      </c>
      <c r="D114" s="3283" t="s">
        <v>3180</v>
      </c>
      <c r="E114" s="3264"/>
      <c r="F114" s="3264"/>
      <c r="G114" s="3264"/>
      <c r="H114" s="3264"/>
      <c r="I114" s="3264"/>
      <c r="J114" s="3264"/>
      <c r="K114" s="3265"/>
      <c r="L114" s="3266"/>
      <c r="M114" s="3267"/>
      <c r="N114" s="3207"/>
      <c r="O114" s="3207"/>
      <c r="P114" s="3208"/>
      <c r="Q114" s="3172"/>
    </row>
    <row r="115" spans="1:17" ht="15.75" thickBot="1">
      <c r="A115" s="3209"/>
      <c r="B115" s="3219"/>
      <c r="C115" s="3220">
        <v>100</v>
      </c>
      <c r="D115" s="3220">
        <f t="shared" ref="D115:M115" si="31">C115-$K38</f>
        <v>99</v>
      </c>
      <c r="E115" s="3220">
        <f t="shared" si="31"/>
        <v>98</v>
      </c>
      <c r="F115" s="3220">
        <f t="shared" si="31"/>
        <v>97</v>
      </c>
      <c r="G115" s="3220">
        <f t="shared" si="31"/>
        <v>96</v>
      </c>
      <c r="H115" s="3220">
        <f t="shared" si="31"/>
        <v>95</v>
      </c>
      <c r="I115" s="3220">
        <f t="shared" si="31"/>
        <v>94</v>
      </c>
      <c r="J115" s="3220">
        <f t="shared" si="31"/>
        <v>93</v>
      </c>
      <c r="K115" s="3220">
        <f t="shared" si="31"/>
        <v>92</v>
      </c>
      <c r="L115" s="3220">
        <f t="shared" si="31"/>
        <v>91</v>
      </c>
      <c r="M115" s="3220">
        <f t="shared" si="31"/>
        <v>90</v>
      </c>
      <c r="N115" s="3213"/>
      <c r="O115" s="3213"/>
      <c r="P115" s="3208"/>
      <c r="Q115" s="3172"/>
    </row>
    <row r="116" spans="1:17" ht="15" thickTop="1">
      <c r="A116" s="3282"/>
      <c r="B116" s="3214" t="s">
        <v>2621</v>
      </c>
      <c r="C116" s="3283" t="s">
        <v>3181</v>
      </c>
      <c r="D116" s="3230"/>
      <c r="E116" s="3230"/>
      <c r="F116" s="3230"/>
      <c r="G116" s="3230"/>
      <c r="H116" s="3264"/>
      <c r="I116" s="3264"/>
      <c r="J116" s="3264"/>
      <c r="K116" s="3265"/>
      <c r="L116" s="3266"/>
      <c r="M116" s="3267"/>
      <c r="N116" s="3207"/>
      <c r="O116" s="3207"/>
      <c r="P116" s="3208"/>
      <c r="Q116" s="3172"/>
    </row>
    <row r="117" spans="1:17" ht="15.75" thickBot="1">
      <c r="A117" s="3209"/>
      <c r="B117" s="3219"/>
      <c r="C117" s="3220">
        <v>100</v>
      </c>
      <c r="D117" s="3220">
        <f>C117-$K39</f>
        <v>99</v>
      </c>
      <c r="E117" s="3220">
        <f>D117-$K39</f>
        <v>98</v>
      </c>
      <c r="F117" s="3220">
        <f>E117-$K39</f>
        <v>97</v>
      </c>
      <c r="G117" s="3220">
        <f>F117-$K39</f>
        <v>96</v>
      </c>
      <c r="H117" s="3220"/>
      <c r="I117" s="3220"/>
      <c r="J117" s="3220"/>
      <c r="K117" s="3220"/>
      <c r="L117" s="3220"/>
      <c r="M117" s="3221"/>
      <c r="N117" s="3213"/>
      <c r="O117" s="3213"/>
      <c r="P117" s="3208"/>
      <c r="Q117" s="3172"/>
    </row>
    <row r="118" spans="1:17" ht="15" thickTop="1">
      <c r="A118" s="3282"/>
      <c r="B118" s="3214" t="s">
        <v>2622</v>
      </c>
      <c r="C118" s="3264"/>
      <c r="D118" s="3264"/>
      <c r="E118" s="3264"/>
      <c r="F118" s="3264"/>
      <c r="G118" s="3264"/>
      <c r="H118" s="3264"/>
      <c r="I118" s="3264"/>
      <c r="J118" s="3264"/>
      <c r="K118" s="3265"/>
      <c r="L118" s="3266"/>
      <c r="M118" s="3267"/>
      <c r="N118" s="3207"/>
      <c r="O118" s="3207"/>
      <c r="P118" s="3208"/>
      <c r="Q118" s="3172"/>
    </row>
    <row r="119" spans="1:17" ht="15.75" thickBot="1">
      <c r="A119" s="3209"/>
      <c r="B119" s="3219"/>
      <c r="C119" s="3220">
        <v>100</v>
      </c>
      <c r="D119" s="3220">
        <f t="shared" ref="D119:M119" si="32">C119-$K40</f>
        <v>98</v>
      </c>
      <c r="E119" s="3220">
        <f t="shared" si="32"/>
        <v>96</v>
      </c>
      <c r="F119" s="3220">
        <f t="shared" si="32"/>
        <v>94</v>
      </c>
      <c r="G119" s="3220">
        <f t="shared" si="32"/>
        <v>92</v>
      </c>
      <c r="H119" s="3220">
        <f t="shared" si="32"/>
        <v>90</v>
      </c>
      <c r="I119" s="3220">
        <f t="shared" si="32"/>
        <v>88</v>
      </c>
      <c r="J119" s="3220">
        <f t="shared" si="32"/>
        <v>86</v>
      </c>
      <c r="K119" s="3220">
        <f t="shared" si="32"/>
        <v>84</v>
      </c>
      <c r="L119" s="3220">
        <f t="shared" si="32"/>
        <v>82</v>
      </c>
      <c r="M119" s="3220">
        <f t="shared" si="32"/>
        <v>80</v>
      </c>
      <c r="N119" s="3213"/>
      <c r="O119" s="3213"/>
      <c r="P119" s="3208"/>
      <c r="Q119" s="3172"/>
    </row>
    <row r="120" spans="1:17" s="3115" customFormat="1" ht="28.5" thickTop="1">
      <c r="A120" s="3276"/>
      <c r="B120" s="3214" t="s">
        <v>2577</v>
      </c>
      <c r="C120" s="3230"/>
      <c r="D120" s="3230"/>
      <c r="E120" s="3230"/>
      <c r="F120" s="3230"/>
      <c r="G120" s="3230"/>
      <c r="H120" s="3230"/>
      <c r="I120" s="3230"/>
      <c r="J120" s="3230"/>
      <c r="K120" s="3230"/>
      <c r="L120" s="3260"/>
      <c r="M120" s="3261"/>
      <c r="N120" s="3234"/>
      <c r="O120" s="3234"/>
      <c r="P120" s="3235"/>
      <c r="Q120" s="3236"/>
    </row>
    <row r="121" spans="1:17" s="3115" customFormat="1" ht="15.75" thickBot="1">
      <c r="A121" s="3229"/>
      <c r="B121" s="3210"/>
      <c r="C121" s="3237"/>
      <c r="D121" s="3211"/>
      <c r="E121" s="3211"/>
      <c r="F121" s="3211"/>
      <c r="G121" s="3211"/>
      <c r="H121" s="3211"/>
      <c r="I121" s="3211"/>
      <c r="J121" s="3211"/>
      <c r="K121" s="3211"/>
      <c r="L121" s="3211"/>
      <c r="M121" s="3211"/>
      <c r="N121" s="3234"/>
      <c r="O121" s="3234"/>
      <c r="P121" s="3235"/>
      <c r="Q121" s="3236"/>
    </row>
    <row r="122" spans="1:17" ht="15" thickTop="1">
      <c r="A122" s="3282"/>
      <c r="B122" s="3214" t="s">
        <v>2623</v>
      </c>
      <c r="C122" s="3283" t="s">
        <v>3177</v>
      </c>
      <c r="D122" s="3283" t="s">
        <v>3182</v>
      </c>
      <c r="E122" s="3283" t="s">
        <v>3183</v>
      </c>
      <c r="F122" s="3284" t="s">
        <v>3184</v>
      </c>
      <c r="G122" s="3264"/>
      <c r="H122" s="3264"/>
      <c r="I122" s="3264"/>
      <c r="J122" s="3264"/>
      <c r="K122" s="3265"/>
      <c r="L122" s="3266"/>
      <c r="M122" s="3267"/>
      <c r="N122" s="3207"/>
      <c r="O122" s="3207"/>
      <c r="P122" s="3208"/>
      <c r="Q122" s="3172"/>
    </row>
    <row r="123" spans="1:17" ht="15.75" thickBot="1">
      <c r="A123" s="3209"/>
      <c r="B123" s="3219"/>
      <c r="C123" s="3220">
        <v>100</v>
      </c>
      <c r="D123" s="3220">
        <f t="shared" ref="D123:M123" si="33">C123-$K42</f>
        <v>98</v>
      </c>
      <c r="E123" s="3220">
        <f t="shared" si="33"/>
        <v>96</v>
      </c>
      <c r="F123" s="3220">
        <f t="shared" si="33"/>
        <v>94</v>
      </c>
      <c r="G123" s="3220">
        <f t="shared" si="33"/>
        <v>92</v>
      </c>
      <c r="H123" s="3220">
        <f t="shared" si="33"/>
        <v>90</v>
      </c>
      <c r="I123" s="3220">
        <f t="shared" si="33"/>
        <v>88</v>
      </c>
      <c r="J123" s="3220">
        <f t="shared" si="33"/>
        <v>86</v>
      </c>
      <c r="K123" s="3220">
        <f t="shared" si="33"/>
        <v>84</v>
      </c>
      <c r="L123" s="3220">
        <f t="shared" si="33"/>
        <v>82</v>
      </c>
      <c r="M123" s="3220">
        <f t="shared" si="33"/>
        <v>80</v>
      </c>
      <c r="N123" s="3213"/>
      <c r="O123" s="3213"/>
      <c r="P123" s="3208"/>
      <c r="Q123" s="3172"/>
    </row>
    <row r="124" spans="1:17" ht="15" thickTop="1">
      <c r="A124" s="3282"/>
      <c r="B124" s="3214" t="s">
        <v>2624</v>
      </c>
      <c r="C124" s="3256" t="s">
        <v>2600</v>
      </c>
      <c r="D124" s="3256" t="s">
        <v>2601</v>
      </c>
      <c r="E124" s="3256" t="s">
        <v>2602</v>
      </c>
      <c r="F124" s="3256" t="s">
        <v>2603</v>
      </c>
      <c r="G124" s="3256" t="s">
        <v>2604</v>
      </c>
      <c r="H124" s="3215"/>
      <c r="I124" s="3215"/>
      <c r="J124" s="3215"/>
      <c r="K124" s="3216"/>
      <c r="L124" s="3217"/>
      <c r="M124" s="3218"/>
      <c r="N124" s="3207"/>
      <c r="O124" s="3207"/>
      <c r="P124" s="3235"/>
      <c r="Q124" s="3172"/>
    </row>
    <row r="125" spans="1:17" ht="15.75" thickBot="1">
      <c r="A125" s="3209"/>
      <c r="B125" s="3219"/>
      <c r="C125" s="3220">
        <v>100</v>
      </c>
      <c r="D125" s="3220">
        <f>C125-$K43</f>
        <v>100</v>
      </c>
      <c r="E125" s="3220">
        <f>D125-$K43</f>
        <v>100</v>
      </c>
      <c r="F125" s="3220">
        <f>E125-$K43</f>
        <v>100</v>
      </c>
      <c r="G125" s="3220">
        <f>F125-$K43</f>
        <v>100</v>
      </c>
      <c r="H125" s="3220"/>
      <c r="I125" s="3220"/>
      <c r="J125" s="3220"/>
      <c r="K125" s="3220"/>
      <c r="L125" s="3220"/>
      <c r="M125" s="3221"/>
      <c r="N125" s="3213"/>
      <c r="O125" s="3213"/>
      <c r="P125" s="3208"/>
      <c r="Q125" s="3172"/>
    </row>
    <row r="126" spans="1:17" s="3115" customFormat="1" ht="15" thickTop="1">
      <c r="A126" s="3276"/>
      <c r="B126" s="3214">
        <f>B44</f>
        <v>111</v>
      </c>
      <c r="C126" s="3230"/>
      <c r="D126" s="3230"/>
      <c r="E126" s="3230"/>
      <c r="F126" s="3230"/>
      <c r="G126" s="3230"/>
      <c r="H126" s="3231"/>
      <c r="I126" s="3231"/>
      <c r="J126" s="3231"/>
      <c r="K126" s="3231"/>
      <c r="L126" s="3232"/>
      <c r="M126" s="3233"/>
      <c r="N126" s="3234"/>
      <c r="O126" s="3234"/>
      <c r="P126" s="3235"/>
      <c r="Q126" s="3236"/>
    </row>
    <row r="127" spans="1:17" s="3115" customFormat="1" ht="15.75" thickBot="1">
      <c r="A127" s="3229"/>
      <c r="B127" s="3219"/>
      <c r="C127" s="3237"/>
      <c r="D127" s="3211"/>
      <c r="E127" s="3211"/>
      <c r="F127" s="3211"/>
      <c r="G127" s="3237"/>
      <c r="H127" s="3240"/>
      <c r="I127" s="3240"/>
      <c r="J127" s="3240"/>
      <c r="K127" s="3240"/>
      <c r="L127" s="3240"/>
      <c r="M127" s="3241"/>
      <c r="N127" s="3234"/>
      <c r="O127" s="3234"/>
      <c r="P127" s="3235"/>
      <c r="Q127" s="3236"/>
    </row>
    <row r="128" spans="1:17" ht="15" thickTop="1">
      <c r="A128" s="3282"/>
      <c r="B128" s="3214">
        <f>B45</f>
        <v>111</v>
      </c>
      <c r="C128" s="3230"/>
      <c r="D128" s="3230"/>
      <c r="E128" s="3230"/>
      <c r="F128" s="3230"/>
      <c r="G128" s="3264"/>
      <c r="H128" s="3264"/>
      <c r="I128" s="3264"/>
      <c r="J128" s="3264"/>
      <c r="K128" s="3265"/>
      <c r="L128" s="3266"/>
      <c r="M128" s="3267"/>
      <c r="N128" s="3207"/>
      <c r="O128" s="3207"/>
      <c r="P128" s="3208"/>
      <c r="Q128" s="3172"/>
    </row>
    <row r="129" spans="1:17" ht="15.75" thickBot="1">
      <c r="A129" s="3209"/>
      <c r="B129" s="3219"/>
      <c r="C129" s="3237"/>
      <c r="D129" s="3237"/>
      <c r="E129" s="3237"/>
      <c r="F129" s="3237"/>
      <c r="G129" s="3211"/>
      <c r="H129" s="3211"/>
      <c r="I129" s="3211"/>
      <c r="J129" s="3211"/>
      <c r="K129" s="3211"/>
      <c r="L129" s="3211"/>
      <c r="M129" s="3212"/>
      <c r="N129" s="3213"/>
      <c r="O129" s="3213"/>
      <c r="P129" s="3208"/>
      <c r="Q129" s="3172"/>
    </row>
    <row r="130" spans="1:17" ht="15" thickTop="1">
      <c r="A130" s="3282"/>
      <c r="B130" s="3222">
        <f>B46</f>
        <v>111</v>
      </c>
      <c r="C130" s="3230"/>
      <c r="D130" s="3230"/>
      <c r="E130" s="3230"/>
      <c r="F130" s="3230"/>
      <c r="G130" s="3268"/>
      <c r="H130" s="3268"/>
      <c r="I130" s="3268"/>
      <c r="J130" s="3268"/>
      <c r="K130" s="3194"/>
      <c r="L130" s="3195"/>
      <c r="M130" s="3271"/>
      <c r="N130" s="3207"/>
      <c r="O130" s="3207"/>
      <c r="P130" s="3208"/>
      <c r="Q130" s="3172"/>
    </row>
    <row r="131" spans="1:17" ht="15.75" thickBot="1">
      <c r="A131" s="3272"/>
      <c r="B131" s="3247"/>
      <c r="C131" s="3248"/>
      <c r="D131" s="3248"/>
      <c r="E131" s="3248"/>
      <c r="F131" s="3248"/>
      <c r="G131" s="3273"/>
      <c r="H131" s="3273"/>
      <c r="I131" s="3273"/>
      <c r="J131" s="3273"/>
      <c r="K131" s="3273"/>
      <c r="L131" s="3273"/>
      <c r="M131" s="3274"/>
      <c r="N131" s="3213"/>
      <c r="O131" s="3213"/>
      <c r="P131" s="3208"/>
      <c r="Q131" s="3172"/>
    </row>
    <row r="136" spans="1:17" ht="15" thickBot="1">
      <c r="B136" s="3294" t="s">
        <v>3185</v>
      </c>
    </row>
    <row r="137" spans="1:17" ht="15">
      <c r="B137" s="3297" t="s">
        <v>3186</v>
      </c>
      <c r="C137" s="3298"/>
      <c r="D137" s="3298"/>
      <c r="E137" s="3298"/>
      <c r="F137" s="3298"/>
      <c r="G137" s="3299"/>
      <c r="H137" s="3300"/>
      <c r="I137" s="3301" t="s">
        <v>3187</v>
      </c>
      <c r="J137" s="3298"/>
      <c r="K137" s="3302"/>
    </row>
    <row r="138" spans="1:17" ht="15">
      <c r="B138" s="3303"/>
      <c r="C138" s="3304" t="s">
        <v>3188</v>
      </c>
      <c r="D138" s="3304" t="s">
        <v>3189</v>
      </c>
      <c r="E138" s="3305" t="s">
        <v>3190</v>
      </c>
      <c r="F138" s="3306" t="s">
        <v>3191</v>
      </c>
      <c r="G138" s="3304" t="s">
        <v>3192</v>
      </c>
      <c r="H138" s="3307" t="s">
        <v>3190</v>
      </c>
      <c r="I138" s="3308"/>
      <c r="J138" s="3304" t="s">
        <v>3193</v>
      </c>
      <c r="K138" s="3307" t="s">
        <v>3194</v>
      </c>
    </row>
    <row r="139" spans="1:17" ht="15">
      <c r="B139" s="3309">
        <v>6</v>
      </c>
      <c r="C139" s="3310">
        <v>96</v>
      </c>
      <c r="D139" s="3311" t="s">
        <v>3195</v>
      </c>
      <c r="E139" s="3312">
        <v>100</v>
      </c>
      <c r="F139" s="3313">
        <v>102.5</v>
      </c>
      <c r="G139" s="3311" t="s">
        <v>3195</v>
      </c>
      <c r="H139" s="3314">
        <v>105</v>
      </c>
      <c r="I139" s="3315" t="s">
        <v>3196</v>
      </c>
      <c r="J139" s="3310">
        <v>20</v>
      </c>
      <c r="K139" s="3316">
        <f>C145/(J139-2)</f>
        <v>4.0555555555555553E-3</v>
      </c>
    </row>
    <row r="140" spans="1:17" ht="15">
      <c r="B140" s="3317">
        <v>5</v>
      </c>
      <c r="C140" s="3318">
        <v>100</v>
      </c>
      <c r="D140" s="3318"/>
      <c r="E140" s="3319"/>
      <c r="F140" s="3320">
        <v>102</v>
      </c>
      <c r="G140" s="3318"/>
      <c r="H140" s="3321"/>
      <c r="I140" s="3322" t="s">
        <v>3197</v>
      </c>
      <c r="J140" s="3323">
        <f>ROUNDUP((J139-1)/2,0)</f>
        <v>10</v>
      </c>
      <c r="K140" s="3324">
        <v>100</v>
      </c>
    </row>
    <row r="141" spans="1:17" ht="15">
      <c r="B141" s="3317">
        <v>4</v>
      </c>
      <c r="C141" s="3318">
        <v>102</v>
      </c>
      <c r="D141" s="3318"/>
      <c r="E141" s="3319"/>
      <c r="F141" s="3320">
        <v>101.5</v>
      </c>
      <c r="G141" s="3318"/>
      <c r="H141" s="3321"/>
      <c r="I141" s="3322" t="s">
        <v>3198</v>
      </c>
      <c r="J141" s="3323">
        <v>1</v>
      </c>
      <c r="K141" s="3325">
        <f>ROUND(100+(J141-J140)*K139*100,1)</f>
        <v>96.4</v>
      </c>
    </row>
    <row r="142" spans="1:17" ht="15">
      <c r="B142" s="3317">
        <v>3</v>
      </c>
      <c r="C142" s="3318">
        <v>103</v>
      </c>
      <c r="D142" s="3318"/>
      <c r="E142" s="3319"/>
      <c r="F142" s="3320">
        <v>101</v>
      </c>
      <c r="G142" s="3318"/>
      <c r="H142" s="3321"/>
      <c r="I142" s="3322" t="s">
        <v>3199</v>
      </c>
      <c r="J142" s="3323">
        <f>J139</f>
        <v>20</v>
      </c>
      <c r="K142" s="3326">
        <v>95</v>
      </c>
    </row>
    <row r="143" spans="1:17" ht="15">
      <c r="B143" s="3317">
        <v>2</v>
      </c>
      <c r="C143" s="3318">
        <v>100</v>
      </c>
      <c r="D143" s="3318"/>
      <c r="E143" s="3319"/>
      <c r="F143" s="3320">
        <v>100.5</v>
      </c>
      <c r="G143" s="3318"/>
      <c r="H143" s="3321"/>
      <c r="I143" s="3322" t="s">
        <v>3200</v>
      </c>
      <c r="J143" s="3318">
        <v>15</v>
      </c>
      <c r="K143" s="3325">
        <f>ROUND(100+(J143-J140)*K139*100,1)</f>
        <v>102</v>
      </c>
    </row>
    <row r="144" spans="1:17" ht="15">
      <c r="B144" s="3317">
        <v>1</v>
      </c>
      <c r="C144" s="3318">
        <v>98</v>
      </c>
      <c r="D144" s="3327" t="s">
        <v>3201</v>
      </c>
      <c r="E144" s="3319">
        <v>102</v>
      </c>
      <c r="F144" s="3328">
        <v>100</v>
      </c>
      <c r="G144" s="3327" t="s">
        <v>3201</v>
      </c>
      <c r="H144" s="3321">
        <v>105</v>
      </c>
      <c r="I144" s="3322" t="s">
        <v>3200</v>
      </c>
      <c r="J144" s="3318">
        <v>18</v>
      </c>
      <c r="K144" s="3325">
        <f>ROUND(100+(J144-J140)*K139*100,1)</f>
        <v>103.2</v>
      </c>
    </row>
    <row r="145" spans="2:11" ht="15.75" thickBot="1">
      <c r="B145" s="3329" t="s">
        <v>3202</v>
      </c>
      <c r="C145" s="3330">
        <f>ROUND(MAX(C139:C144)/MIN(C139:C144)-1,3)</f>
        <v>7.2999999999999995E-2</v>
      </c>
      <c r="D145" s="3331"/>
      <c r="E145" s="3331"/>
      <c r="F145" s="3332" t="s">
        <v>3203</v>
      </c>
      <c r="G145" s="3333"/>
      <c r="H145" s="3334"/>
      <c r="I145" s="3335" t="s">
        <v>3200</v>
      </c>
      <c r="J145" s="3336">
        <v>8</v>
      </c>
      <c r="K145" s="3337">
        <f>ROUND(100+(J145-J140)*K139*100,1)</f>
        <v>99.2</v>
      </c>
    </row>
    <row r="147" spans="2:11">
      <c r="B147" s="3294" t="s">
        <v>3204</v>
      </c>
    </row>
    <row r="148" spans="2:11">
      <c r="B148" s="3294" t="s">
        <v>3205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37" sqref="E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3064</v>
      </c>
      <c r="C1" s="241"/>
      <c r="D1" s="241"/>
      <c r="E1" s="241"/>
      <c r="F1" s="241"/>
      <c r="G1" s="1375">
        <f>MATCH(B1,'数据-取费表'!A6:A16,0)+5</f>
        <v>6</v>
      </c>
    </row>
    <row r="2" spans="1:9" s="243" customFormat="1" ht="18" customHeight="1">
      <c r="A2" s="244" t="s">
        <v>2330</v>
      </c>
      <c r="B2" s="245">
        <f ca="1">IF(D2="——",C52,C52-E2)</f>
        <v>21749</v>
      </c>
      <c r="C2" s="242" t="s">
        <v>2331</v>
      </c>
      <c r="D2" s="2546" t="s">
        <v>70</v>
      </c>
      <c r="E2" s="1436">
        <f ca="1">SUMIF(INDIRECT("'"&amp;G2&amp;"'"&amp;"!A:A"),"承租人权益价值",INDIRECT("'"&amp;G2&amp;"'"&amp;"!c:c"))</f>
        <v>0</v>
      </c>
      <c r="F2" s="2547" t="s">
        <v>2331</v>
      </c>
      <c r="G2" s="2548" t="s">
        <v>3207</v>
      </c>
    </row>
    <row r="3" spans="1:9" s="243" customFormat="1" ht="18" customHeight="1" thickBot="1">
      <c r="A3" s="246" t="s">
        <v>2332</v>
      </c>
      <c r="B3" s="247">
        <f ca="1">ROUND(B2*10000/(IF(B1="",'数据-汇总表'!E3,INDIRECT("'数据-取费表'!k"&amp;$G$1))),0)</f>
        <v>40978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9986</v>
      </c>
      <c r="D5" s="254" t="s">
        <v>2337</v>
      </c>
      <c r="E5" s="255" t="s">
        <v>2338</v>
      </c>
      <c r="F5" s="255" t="s">
        <v>2339</v>
      </c>
      <c r="G5" s="256"/>
    </row>
    <row r="6" spans="1:9" s="257" customFormat="1" ht="13.5" customHeight="1">
      <c r="A6" s="945" t="s">
        <v>2340</v>
      </c>
      <c r="B6" s="258" t="s">
        <v>2341</v>
      </c>
      <c r="C6" s="259">
        <f ca="1">基准地价修正住宅!C26</f>
        <v>9608</v>
      </c>
      <c r="D6" s="260"/>
      <c r="E6" s="261"/>
      <c r="F6" s="261"/>
      <c r="G6" s="262"/>
    </row>
    <row r="7" spans="1:9" s="257" customFormat="1" ht="13.5" customHeight="1">
      <c r="A7" s="945" t="s">
        <v>2342</v>
      </c>
      <c r="B7" s="258" t="s">
        <v>2343</v>
      </c>
      <c r="C7" s="263">
        <f ca="1">ROUND(C6*F7,0)</f>
        <v>293</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85</v>
      </c>
      <c r="D8" s="265"/>
      <c r="E8" s="263"/>
      <c r="F8" s="264"/>
      <c r="G8" s="2549" t="s">
        <v>3212</v>
      </c>
    </row>
    <row r="9" spans="1:9" s="257" customFormat="1" ht="13.5" customHeight="1">
      <c r="A9" s="946" t="s">
        <v>799</v>
      </c>
      <c r="B9" s="267" t="s">
        <v>2346</v>
      </c>
      <c r="C9" s="268">
        <f ca="1">ROUND(D9*E9/10000,0)</f>
        <v>85</v>
      </c>
      <c r="D9" s="1028">
        <f ca="1">IF(B1="",'数据-汇总表'!E5,IF(INDIRECT("'数据-取费表'!c"&amp;$G$1)="住宅",INDIRECT("'数据-取费表'!k"&amp;$G$1),0))</f>
        <v>5307.46</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2352</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2352</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5307.46</v>
      </c>
      <c r="E19" s="254">
        <f>'数据-取费表'!B31</f>
        <v>200</v>
      </c>
      <c r="F19" s="274"/>
      <c r="G19" s="2549" t="s">
        <v>3214</v>
      </c>
    </row>
    <row r="20" spans="1:7" s="257" customFormat="1" ht="13.5" customHeight="1">
      <c r="A20" s="298" t="s">
        <v>2361</v>
      </c>
      <c r="B20" s="253" t="s">
        <v>2362</v>
      </c>
      <c r="C20" s="275">
        <f ca="1">ROUND((C5+C19)*F20,0)</f>
        <v>300</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985</v>
      </c>
      <c r="D22" s="278">
        <f ca="1">C26</f>
        <v>1.4E-3</v>
      </c>
      <c r="E22" s="279" t="s">
        <v>2366</v>
      </c>
      <c r="F22" s="280">
        <f ca="1">'数据-取费表'!B40</f>
        <v>4.7500000000000001E-2</v>
      </c>
      <c r="G22" s="277" t="str">
        <f>IF('数据-取费表'!B22&lt;=1,"单利计息","复利计息")</f>
        <v>复利计息</v>
      </c>
    </row>
    <row r="23" spans="1:7" s="257" customFormat="1" ht="13.5" customHeight="1">
      <c r="A23" s="947" t="s">
        <v>2370</v>
      </c>
      <c r="B23" s="258" t="s">
        <v>2371</v>
      </c>
      <c r="C23" s="1351">
        <f ca="1">ROUND(IF('数据-取费表'!B22&lt;=1,C5*F22*'数据-取费表'!B23,C5*(POWER((1+F22),'数据-取费表'!B23)-1)),0)</f>
        <v>971</v>
      </c>
      <c r="D23" s="281"/>
      <c r="E23" s="281"/>
      <c r="F23" s="282"/>
      <c r="G23" s="283" t="s">
        <v>2372</v>
      </c>
    </row>
    <row r="24" spans="1:7" s="257" customFormat="1" ht="13.5" customHeight="1">
      <c r="A24" s="947" t="s">
        <v>2373</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2376</v>
      </c>
      <c r="B25" s="258" t="s">
        <v>2377</v>
      </c>
      <c r="C25" s="1351">
        <f ca="1">ROUND(IF('数据-取费表'!B22&lt;=1,C20*F22*'数据-取费表'!B23/2,C20*(POWER((1+F22),'数据-取费表'!B23/2)-1)),0)</f>
        <v>14</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3600</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3600</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16419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3530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3184</v>
      </c>
      <c r="D34" s="260"/>
      <c r="E34" s="263"/>
      <c r="F34" s="300">
        <f ca="1">IF('数据-取费表'!B24=0,1,IF(B1="",'数据-取费表'!N16,INDIRECT("'数据-取费表'!n"&amp;$G$1)))</f>
        <v>1</v>
      </c>
      <c r="G34" s="262" t="s">
        <v>2394</v>
      </c>
    </row>
    <row r="35" spans="1:7" ht="13.5" customHeight="1">
      <c r="A35" s="947" t="s">
        <v>795</v>
      </c>
      <c r="B35" s="258" t="s">
        <v>2395</v>
      </c>
      <c r="C35" s="263">
        <f ca="1">ROUND(C34*F35,0)</f>
        <v>96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96</v>
      </c>
      <c r="D36" s="263"/>
      <c r="E36" s="263"/>
      <c r="F36" s="302">
        <f>'数据-取费表'!B34</f>
        <v>0.03</v>
      </c>
      <c r="G36" s="303" t="s">
        <v>2398</v>
      </c>
    </row>
    <row r="37" spans="1:7" s="301" customFormat="1" ht="13.5" customHeight="1">
      <c r="A37" s="947" t="s">
        <v>797</v>
      </c>
      <c r="B37" s="258" t="s">
        <v>2399</v>
      </c>
      <c r="C37" s="292">
        <f ca="1">ROUND(E37*D37*F34/10000,0)</f>
        <v>106</v>
      </c>
      <c r="D37" s="260">
        <f ca="1">D19</f>
        <v>5307.46</v>
      </c>
      <c r="E37" s="292">
        <f>'数据-取费表'!B35</f>
        <v>200</v>
      </c>
      <c r="F37" s="302"/>
      <c r="G37" s="304" t="s">
        <v>2400</v>
      </c>
    </row>
    <row r="38" spans="1:7" ht="13.5" customHeight="1">
      <c r="A38" s="947" t="s">
        <v>798</v>
      </c>
      <c r="B38" s="258" t="s">
        <v>2401</v>
      </c>
      <c r="C38" s="263">
        <f ca="1">ROUND(C34*F38,0)</f>
        <v>48</v>
      </c>
      <c r="D38" s="263"/>
      <c r="E38" s="263"/>
      <c r="F38" s="302">
        <f>'数据-取费表'!B36</f>
        <v>1.4999999999999999E-2</v>
      </c>
      <c r="G38" s="262" t="s">
        <v>2396</v>
      </c>
    </row>
    <row r="39" spans="1:7" s="257" customFormat="1" ht="13.5" customHeight="1">
      <c r="A39" s="298" t="s">
        <v>2402</v>
      </c>
      <c r="B39" s="253" t="s">
        <v>2403</v>
      </c>
      <c r="C39" s="275">
        <f ca="1">ROUND(C33*F20,0)</f>
        <v>106</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173</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ROUND(IF('数据-取费表'!B22&lt;=1,C33*F22*'数据-取费表'!B21/2,C33*(POWER((1+F22),'数据-取费表'!B21/2)-1)),0)</f>
        <v>168</v>
      </c>
      <c r="D42" s="281"/>
      <c r="E42" s="281"/>
      <c r="F42" s="282"/>
      <c r="G42" s="3693" t="s">
        <v>2412</v>
      </c>
    </row>
    <row r="43" spans="1:7" ht="13.5" customHeight="1">
      <c r="A43" s="947" t="s">
        <v>791</v>
      </c>
      <c r="B43" s="258" t="s">
        <v>2413</v>
      </c>
      <c r="C43" s="281">
        <f ca="1">ROUND(IF('数据-取费表'!B22&lt;=1,C39*F22*'数据-取费表'!B21/2,C39*(POWER((1+F22),'数据-取费表'!B21/2)-1)),0)</f>
        <v>5</v>
      </c>
      <c r="D43" s="281"/>
      <c r="E43" s="281"/>
      <c r="F43" s="282"/>
      <c r="G43" s="3694"/>
    </row>
    <row r="44" spans="1:7" ht="13.5" customHeight="1">
      <c r="A44" s="947" t="s">
        <v>792</v>
      </c>
      <c r="B44" s="258" t="s">
        <v>2414</v>
      </c>
      <c r="C44" s="281">
        <f ca="1">ROUND(IF('数据-取费表'!B22&lt;=1,C40*F22*'数据-取费表'!B21/2,C40*(POWER((1+F22),'数据-取费表'!B21/2)-1)),4)</f>
        <v>1.4E-3</v>
      </c>
      <c r="D44" s="281"/>
      <c r="E44" s="281"/>
      <c r="F44" s="282"/>
      <c r="G44" s="3695"/>
    </row>
    <row r="45" spans="1:7" s="257" customFormat="1" ht="13.5" customHeight="1">
      <c r="A45" s="298" t="s">
        <v>2415</v>
      </c>
      <c r="B45" s="287" t="s">
        <v>2381</v>
      </c>
      <c r="C45" s="288">
        <f ca="1">C46</f>
        <v>1273</v>
      </c>
      <c r="D45" s="278">
        <f ca="1">C47</f>
        <v>1.0500000000000001E-2</v>
      </c>
      <c r="E45" s="279" t="s">
        <v>2407</v>
      </c>
      <c r="F45" s="289"/>
      <c r="G45" s="290" t="s">
        <v>2416</v>
      </c>
    </row>
    <row r="46" spans="1:7" s="257" customFormat="1" ht="13.5" customHeight="1">
      <c r="A46" s="947" t="s">
        <v>790</v>
      </c>
      <c r="B46" s="291" t="s">
        <v>2417</v>
      </c>
      <c r="C46" s="292">
        <f ca="1">ROUND((C33+C39)*F27,0)</f>
        <v>1273</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5611</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5330</v>
      </c>
      <c r="D51" s="275"/>
      <c r="E51" s="275"/>
      <c r="F51" s="307"/>
      <c r="G51" s="277" t="s">
        <v>2428</v>
      </c>
    </row>
    <row r="52" spans="1:7" s="251" customFormat="1" ht="16.5" thickBot="1">
      <c r="A52" s="308" t="s">
        <v>2429</v>
      </c>
      <c r="B52" s="309"/>
      <c r="C52" s="310">
        <f ca="1">C31+C51</f>
        <v>21749</v>
      </c>
      <c r="D52" s="309"/>
      <c r="E52" s="309"/>
      <c r="F52" s="309"/>
      <c r="G52" s="311"/>
    </row>
    <row r="55" spans="1:7" ht="15">
      <c r="B55" s="313" t="s">
        <v>2430</v>
      </c>
      <c r="C55" s="314"/>
    </row>
    <row r="56" spans="1:7">
      <c r="B56" s="316" t="s">
        <v>1512</v>
      </c>
      <c r="C56" s="318">
        <f ca="1">1-C57</f>
        <v>0.755</v>
      </c>
    </row>
    <row r="57" spans="1:7">
      <c r="B57" s="316" t="s">
        <v>1513</v>
      </c>
      <c r="C57" s="317">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77" sqref="C7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5307.46</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9608</v>
      </c>
      <c r="C2" s="2720" t="s">
        <v>2816</v>
      </c>
      <c r="D2" s="2721" t="s">
        <v>2817</v>
      </c>
      <c r="E2" s="2722" t="s">
        <v>3064</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38946</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18103</v>
      </c>
      <c r="C3" s="2720" t="s">
        <v>2822</v>
      </c>
      <c r="D3" s="2721" t="s">
        <v>2823</v>
      </c>
      <c r="E3" s="2726" t="s">
        <v>3073</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27956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54"/>
      <c r="B4" s="3755"/>
      <c r="C4" s="3755"/>
      <c r="D4" s="3756"/>
      <c r="E4" s="3756"/>
      <c r="F4" s="3756"/>
      <c r="G4" s="3756"/>
      <c r="H4" s="3756"/>
      <c r="I4" s="3756"/>
      <c r="J4" s="3757"/>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22553</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13068</v>
      </c>
      <c r="D5" s="1783">
        <f>ROUND(IF(E2="商业",IF(F16="增加",C6+C16,C6-C16)),0)</f>
        <v>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18096</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9900</v>
      </c>
      <c r="D6" s="2740" t="s">
        <v>2832</v>
      </c>
      <c r="E6" s="2741"/>
      <c r="F6" s="2741"/>
      <c r="G6" s="2742"/>
      <c r="H6" s="2742"/>
      <c r="I6" s="2742"/>
      <c r="J6" s="2743"/>
      <c r="K6" s="1838"/>
      <c r="L6" s="2725" t="s">
        <v>2833</v>
      </c>
      <c r="M6" s="1077">
        <f>SUMPRODUCT((区片价!B110:B157=I2)*(区片价!C3:F3=E2)*(区片价!C110:F157))</f>
        <v>9900</v>
      </c>
      <c r="N6" s="1079">
        <f>SUMPRODUCT((因素修正幅度!B110:B157=I2)*(因素修正幅度!C3:F3=E2)*(因素修正幅度!C110:F157))</f>
        <v>0.121</v>
      </c>
      <c r="O6" s="1366"/>
      <c r="P6" s="1366"/>
      <c r="Q6" s="1366"/>
      <c r="R6" s="1598">
        <v>5</v>
      </c>
      <c r="S6" s="1598">
        <f>ROUND(IF(G3&gt;1,IF(R6&lt;7,SUMPRODUCT((B93:B98=R6)*(C92:N92=G2)*(C93:N98)),SUMIF(C92:N92,G2,C100:N100)),IF(R6&lt;7,SUMPRODUCT((B102:B107=R6)*(C92:N92=G2)*(C102:N107)),SUMIF(C92:N92,G2,C109:N109))),4)</f>
        <v>0.73709999999999998</v>
      </c>
      <c r="T6" s="1598">
        <f t="shared" ca="1" si="0"/>
        <v>15410</v>
      </c>
      <c r="U6" s="1599"/>
      <c r="V6" s="1598">
        <f t="shared" ca="1" si="1"/>
        <v>0</v>
      </c>
      <c r="W6" s="1602"/>
      <c r="X6" s="1602"/>
      <c r="Y6" s="1602"/>
      <c r="Z6" s="1602"/>
      <c r="AA6" s="1602"/>
      <c r="AB6" s="1602"/>
      <c r="AC6" s="2734"/>
      <c r="AD6" s="2735"/>
      <c r="AE6" s="2735"/>
      <c r="AF6" s="2735"/>
      <c r="AG6" s="2735"/>
      <c r="AH6" s="2735"/>
      <c r="AI6" s="2735"/>
      <c r="AJ6" s="2736"/>
    </row>
    <row r="7" spans="1:36" ht="24">
      <c r="A7" s="3740" t="str">
        <f>IF(E2="商业",IF(C8="不临58条商业街","",2),"")</f>
        <v/>
      </c>
      <c r="B7" s="2744" t="s">
        <v>2834</v>
      </c>
      <c r="C7" s="912" t="e">
        <f>IF(C8="不临58条商业街",1,ROUND(1+(1.6*E8+1.2*E9+0.8*E10+0.4*E11)*C9,4))</f>
        <v>#DIV/0!</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13551</v>
      </c>
      <c r="U7" s="1599"/>
      <c r="V7" s="1598">
        <f t="shared" ca="1" si="1"/>
        <v>0</v>
      </c>
      <c r="W7" s="1812" t="s">
        <v>2837</v>
      </c>
      <c r="X7" s="1600" t="str">
        <f>G2</f>
        <v>六级</v>
      </c>
      <c r="Y7" s="1600" t="s">
        <v>2838</v>
      </c>
      <c r="Z7" s="1601">
        <f>G3</f>
        <v>4.5999999999999996</v>
      </c>
      <c r="AA7" s="1602"/>
      <c r="AB7" s="1602"/>
      <c r="AC7" s="1603"/>
      <c r="AD7" s="1604"/>
      <c r="AE7" s="1604"/>
      <c r="AF7" s="1604"/>
      <c r="AG7" s="1604"/>
      <c r="AH7" s="1604"/>
      <c r="AI7" s="1604"/>
      <c r="AJ7" s="1605"/>
    </row>
    <row r="8" spans="1:36" ht="15">
      <c r="A8" s="3741"/>
      <c r="B8" s="197" t="s">
        <v>2839</v>
      </c>
      <c r="C8" s="2749"/>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51" t="s">
        <v>2842</v>
      </c>
      <c r="X8" s="3752"/>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41"/>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53"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41"/>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5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41"/>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53" t="s">
        <v>2866</v>
      </c>
      <c r="X11" s="1610" t="s">
        <v>2867</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40"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53"/>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58"/>
      <c r="B13" s="2763" t="s">
        <v>2873</v>
      </c>
      <c r="C13" s="2764" t="s">
        <v>2874</v>
      </c>
      <c r="D13" s="1804" t="s">
        <v>2875</v>
      </c>
      <c r="E13" s="1804"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53"/>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58"/>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59"/>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40" t="s">
        <v>2885</v>
      </c>
      <c r="B16" s="2744" t="s">
        <v>2886</v>
      </c>
      <c r="C16" s="1797">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41"/>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1.4825999999999999</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423</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0.98219999999999996</v>
      </c>
      <c r="D20" s="2805" t="s">
        <v>2900</v>
      </c>
      <c r="E20" s="1764">
        <f ca="1">存贷款利率!D4/100</f>
        <v>4.3499999999999997E-2</v>
      </c>
      <c r="F20" s="2805" t="s">
        <v>2892</v>
      </c>
      <c r="G20" s="930">
        <f ca="1">SUMIF(M15:P15,E2,M17:P17)</f>
        <v>0.05</v>
      </c>
      <c r="H20" s="2805" t="s">
        <v>2901</v>
      </c>
      <c r="I20" s="931">
        <f>SUMIF('数据-取费表'!C6:C15,E2,'数据-取费表'!F6:F15)/COUNTIF('数据-取费表'!C6:C15,E2)</f>
        <v>61.36</v>
      </c>
      <c r="J20" s="932">
        <f>IF(E2="住宅",70,IF(E2="商业",40,50))</f>
        <v>70</v>
      </c>
      <c r="K20" s="1373"/>
      <c r="L20" s="2806" t="s">
        <v>2902</v>
      </c>
      <c r="M20" s="1731">
        <f>ROUND(SUMPRODUCT((地价!A4:A21=YEAR(G19)&amp;"-"&amp;ROUNDUP(MONTH(G19)/3,0))*(地价!B2:F2=E2)*(地价!B4:F21)),0)</f>
        <v>626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933">
        <f>IF(B21="容积率修正",IF(G3&lt;=10,D22,J22),C23)</f>
        <v>0.8659</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1806" t="s">
        <v>2909</v>
      </c>
      <c r="D22" s="1806">
        <f>IF(E22=G22,F22,IF(G3&lt;=10,ROUND(F22+(H22-F22)*(G3-E22)/(G22-E22),4),"——"))</f>
        <v>0.8659</v>
      </c>
      <c r="E22" s="909">
        <f>ROUNDDOWN(G3,1)</f>
        <v>4.5999999999999996</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9">
        <f>ROUNDUP(G3,1)</f>
        <v>4.5999999999999996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6"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1.0986</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9608</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18103</v>
      </c>
      <c r="D29" s="2844">
        <f>'数据-基础表'!I5</f>
        <v>5307.46</v>
      </c>
      <c r="E29" s="938">
        <f ca="1">ROUND(C29*D29/10000,0)</f>
        <v>9608</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4526</v>
      </c>
      <c r="D30" s="2850"/>
      <c r="E30" s="938">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48" t="s">
        <v>2932</v>
      </c>
      <c r="B33" s="2860" t="s">
        <v>2933</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49"/>
      <c r="B34" s="2764" t="s">
        <v>2934</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49"/>
      <c r="B35" s="2764" t="s">
        <v>2935</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50"/>
      <c r="B36" s="2764" t="s">
        <v>2936</v>
      </c>
      <c r="C36" s="205">
        <f ca="1">ROUND(D5*C19*C20*C24*F36,0)</f>
        <v>0</v>
      </c>
      <c r="D36" s="2844"/>
      <c r="E36" s="199">
        <f t="shared" ca="1" si="7"/>
        <v>0</v>
      </c>
      <c r="F36" s="199">
        <f>SUMIF(修正!A45:A56,G2,修正!E45:E56)</f>
        <v>0.25</v>
      </c>
      <c r="G36" s="199">
        <f t="shared" ca="1" si="6"/>
        <v>0</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5227</v>
      </c>
      <c r="D37" s="2844"/>
      <c r="E37" s="199">
        <f t="shared" ca="1" si="7"/>
        <v>0</v>
      </c>
      <c r="F37" s="205">
        <f>SUMIF(修正!A45:A56,G2,修正!F45:F56)</f>
        <v>0.25</v>
      </c>
      <c r="G37" s="199">
        <f t="shared" ca="1" si="6"/>
        <v>1307</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5227</v>
      </c>
      <c r="D38" s="2844"/>
      <c r="E38" s="199">
        <f t="shared" ca="1" si="7"/>
        <v>0</v>
      </c>
      <c r="F38" s="205">
        <f>SUMIF(修正!A45:A56,G2,修正!G45:G56)</f>
        <v>0.25</v>
      </c>
      <c r="G38" s="199">
        <f t="shared" ca="1" si="6"/>
        <v>1307</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4181</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1805" t="s">
        <v>2945</v>
      </c>
      <c r="C47" s="1805" t="s">
        <v>2946</v>
      </c>
      <c r="D47" s="1805" t="s">
        <v>2947</v>
      </c>
      <c r="E47" s="812" t="s">
        <v>2948</v>
      </c>
      <c r="F47" s="2878" t="s">
        <v>2949</v>
      </c>
      <c r="G47" s="1805" t="s">
        <v>754</v>
      </c>
      <c r="H47" s="2879" t="s">
        <v>2950</v>
      </c>
      <c r="I47" s="1805"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1805"/>
      <c r="C58" s="1805" t="s">
        <v>2946</v>
      </c>
      <c r="D58" s="1805" t="s">
        <v>2947</v>
      </c>
      <c r="E58" s="812" t="s">
        <v>2948</v>
      </c>
      <c r="F58" s="2878" t="s">
        <v>2964</v>
      </c>
      <c r="G58" s="1805" t="s">
        <v>754</v>
      </c>
      <c r="H58" s="2879" t="s">
        <v>2950</v>
      </c>
      <c r="I58" s="1805"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1.0986</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1805"/>
      <c r="C69" s="1805" t="s">
        <v>2946</v>
      </c>
      <c r="D69" s="1805" t="s">
        <v>2947</v>
      </c>
      <c r="E69" s="812" t="s">
        <v>2948</v>
      </c>
      <c r="F69" s="2878" t="s">
        <v>2964</v>
      </c>
      <c r="G69" s="1805" t="s">
        <v>754</v>
      </c>
      <c r="H69" s="2879" t="s">
        <v>2950</v>
      </c>
      <c r="I69" s="1805"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t="s">
        <v>3133</v>
      </c>
      <c r="D70" s="1282">
        <f t="shared" ref="D70:D78" si="20">SUMIF($J$69:$N$69,C70,J70:N70)</f>
        <v>1.6799999999999999E-2</v>
      </c>
      <c r="E70" s="814">
        <f>ROUND(SUM(D70:D78),4)</f>
        <v>9.8599999999999993E-2</v>
      </c>
      <c r="F70" s="2500">
        <f>IF(E2="住宅",SUMIF(L1:L12,G2,N1:N12),"——")</f>
        <v>0.121</v>
      </c>
      <c r="G70" s="1280">
        <v>8.3999999999999995E-3</v>
      </c>
      <c r="H70" s="1284">
        <f t="shared" ref="H70:H78" si="21">IFERROR(ROUNDDOWN($F$70*I70/2,4),"——")</f>
        <v>8.3999999999999995E-3</v>
      </c>
      <c r="I70" s="813">
        <v>0.14000000000000001</v>
      </c>
      <c r="J70" s="1281">
        <f t="shared" ref="J70:J78" si="22">K70+$G70</f>
        <v>1.6799999999999999E-2</v>
      </c>
      <c r="K70" s="1281">
        <f t="shared" ref="K70:K78" si="23">$L70+$G70</f>
        <v>8.3999999999999995E-3</v>
      </c>
      <c r="L70" s="1281">
        <v>0</v>
      </c>
      <c r="M70" s="1281">
        <f t="shared" ref="M70:N78" si="24">L70-$G70</f>
        <v>-8.3999999999999995E-3</v>
      </c>
      <c r="N70" s="1281">
        <f t="shared" si="24"/>
        <v>-1.6799999999999999E-2</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t="s">
        <v>3133</v>
      </c>
      <c r="D71" s="1282">
        <f t="shared" si="20"/>
        <v>3.6200000000000003E-2</v>
      </c>
      <c r="E71" s="819"/>
      <c r="F71" s="2500"/>
      <c r="G71" s="1280">
        <v>1.8100000000000002E-2</v>
      </c>
      <c r="H71" s="1284">
        <f t="shared" si="21"/>
        <v>1.8100000000000002E-2</v>
      </c>
      <c r="I71" s="813">
        <v>0.3</v>
      </c>
      <c r="J71" s="1281">
        <f t="shared" si="22"/>
        <v>3.6200000000000003E-2</v>
      </c>
      <c r="K71" s="1281">
        <f t="shared" si="23"/>
        <v>1.8100000000000002E-2</v>
      </c>
      <c r="L71" s="1281">
        <v>0</v>
      </c>
      <c r="M71" s="1281">
        <f t="shared" si="24"/>
        <v>-1.8100000000000002E-2</v>
      </c>
      <c r="N71" s="1281">
        <f t="shared" si="24"/>
        <v>-3.6200000000000003E-2</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t="s">
        <v>3116</v>
      </c>
      <c r="D72" s="1282">
        <f t="shared" si="20"/>
        <v>4.7999999999999996E-3</v>
      </c>
      <c r="E72" s="819"/>
      <c r="F72" s="2500"/>
      <c r="G72" s="1280">
        <v>4.7999999999999996E-3</v>
      </c>
      <c r="H72" s="1284">
        <f t="shared" si="21"/>
        <v>4.7999999999999996E-3</v>
      </c>
      <c r="I72" s="813">
        <v>0.08</v>
      </c>
      <c r="J72" s="1281">
        <f t="shared" si="22"/>
        <v>9.5999999999999992E-3</v>
      </c>
      <c r="K72" s="1281">
        <f t="shared" si="23"/>
        <v>4.7999999999999996E-3</v>
      </c>
      <c r="L72" s="1281">
        <v>0</v>
      </c>
      <c r="M72" s="1281">
        <f t="shared" si="24"/>
        <v>-4.7999999999999996E-3</v>
      </c>
      <c r="N72" s="1281">
        <f t="shared" si="24"/>
        <v>-9.5999999999999992E-3</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t="s">
        <v>3116</v>
      </c>
      <c r="D73" s="1282">
        <f t="shared" si="20"/>
        <v>2.3999999999999998E-3</v>
      </c>
      <c r="E73" s="819"/>
      <c r="F73" s="2500"/>
      <c r="G73" s="1280">
        <v>2.3999999999999998E-3</v>
      </c>
      <c r="H73" s="1284">
        <f t="shared" si="21"/>
        <v>2.3999999999999998E-3</v>
      </c>
      <c r="I73" s="813">
        <v>0.04</v>
      </c>
      <c r="J73" s="1281">
        <f t="shared" si="22"/>
        <v>4.7999999999999996E-3</v>
      </c>
      <c r="K73" s="1281">
        <f t="shared" si="23"/>
        <v>2.3999999999999998E-3</v>
      </c>
      <c r="L73" s="1281">
        <v>0</v>
      </c>
      <c r="M73" s="1281">
        <f t="shared" si="24"/>
        <v>-2.3999999999999998E-3</v>
      </c>
      <c r="N73" s="1281">
        <f t="shared" si="24"/>
        <v>-4.7999999999999996E-3</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t="s">
        <v>3133</v>
      </c>
      <c r="D74" s="1282">
        <f t="shared" si="20"/>
        <v>9.5999999999999992E-3</v>
      </c>
      <c r="E74" s="819"/>
      <c r="F74" s="2500"/>
      <c r="G74" s="1280">
        <v>4.7999999999999996E-3</v>
      </c>
      <c r="H74" s="1284">
        <f t="shared" si="21"/>
        <v>4.7999999999999996E-3</v>
      </c>
      <c r="I74" s="813">
        <v>0.08</v>
      </c>
      <c r="J74" s="1281">
        <f t="shared" si="22"/>
        <v>9.5999999999999992E-3</v>
      </c>
      <c r="K74" s="1281">
        <f t="shared" si="23"/>
        <v>4.7999999999999996E-3</v>
      </c>
      <c r="L74" s="1281">
        <v>0</v>
      </c>
      <c r="M74" s="1281">
        <f t="shared" si="24"/>
        <v>-4.7999999999999996E-3</v>
      </c>
      <c r="N74" s="1281">
        <f t="shared" si="24"/>
        <v>-9.5999999999999992E-3</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t="s">
        <v>3133</v>
      </c>
      <c r="D75" s="1282">
        <f t="shared" si="20"/>
        <v>1.44E-2</v>
      </c>
      <c r="E75" s="819"/>
      <c r="F75" s="2500"/>
      <c r="G75" s="1280">
        <v>7.1999999999999998E-3</v>
      </c>
      <c r="H75" s="1284">
        <f t="shared" si="21"/>
        <v>7.1999999999999998E-3</v>
      </c>
      <c r="I75" s="813">
        <v>0.12</v>
      </c>
      <c r="J75" s="1281">
        <f t="shared" si="22"/>
        <v>1.44E-2</v>
      </c>
      <c r="K75" s="1281">
        <f t="shared" si="23"/>
        <v>7.1999999999999998E-3</v>
      </c>
      <c r="L75" s="1281">
        <v>0</v>
      </c>
      <c r="M75" s="1281">
        <f t="shared" si="24"/>
        <v>-7.1999999999999998E-3</v>
      </c>
      <c r="N75" s="1281">
        <f t="shared" si="24"/>
        <v>-1.44E-2</v>
      </c>
      <c r="AA75" s="1367"/>
      <c r="AB75" s="1367"/>
      <c r="AC75" s="1367"/>
      <c r="AD75" s="1367"/>
      <c r="AE75" s="1367"/>
      <c r="AF75" s="1367"/>
      <c r="AG75" s="1367"/>
      <c r="AH75" s="1367"/>
      <c r="AI75" s="1367"/>
      <c r="AJ75" s="1367"/>
      <c r="AK75" s="1367"/>
    </row>
    <row r="76" spans="1:37" s="2718" customFormat="1" ht="24">
      <c r="A76" s="2877" t="s">
        <v>2958</v>
      </c>
      <c r="B76" s="2883" t="s">
        <v>2959</v>
      </c>
      <c r="C76" s="2769" t="s">
        <v>3116</v>
      </c>
      <c r="D76" s="1282">
        <f t="shared" si="20"/>
        <v>3.0000000000000001E-3</v>
      </c>
      <c r="E76" s="819"/>
      <c r="F76" s="2500"/>
      <c r="G76" s="1280">
        <v>3.0000000000000001E-3</v>
      </c>
      <c r="H76" s="1284">
        <f t="shared" si="21"/>
        <v>3.0000000000000001E-3</v>
      </c>
      <c r="I76" s="813">
        <v>0.05</v>
      </c>
      <c r="J76" s="1281">
        <f t="shared" si="22"/>
        <v>6.0000000000000001E-3</v>
      </c>
      <c r="K76" s="1281">
        <f t="shared" si="23"/>
        <v>3.0000000000000001E-3</v>
      </c>
      <c r="L76" s="1281">
        <v>0</v>
      </c>
      <c r="M76" s="1281">
        <f t="shared" si="24"/>
        <v>-3.0000000000000001E-3</v>
      </c>
      <c r="N76" s="1281">
        <f t="shared" si="24"/>
        <v>-6.0000000000000001E-3</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t="s">
        <v>3116</v>
      </c>
      <c r="D77" s="1282">
        <f t="shared" si="20"/>
        <v>8.9999999999999993E-3</v>
      </c>
      <c r="E77" s="819"/>
      <c r="F77" s="2500"/>
      <c r="G77" s="1280">
        <v>8.9999999999999993E-3</v>
      </c>
      <c r="H77" s="1284">
        <f t="shared" si="21"/>
        <v>8.9999999999999993E-3</v>
      </c>
      <c r="I77" s="813">
        <v>0.15</v>
      </c>
      <c r="J77" s="1281">
        <f t="shared" si="22"/>
        <v>1.7999999999999999E-2</v>
      </c>
      <c r="K77" s="1281">
        <f t="shared" si="23"/>
        <v>8.9999999999999993E-3</v>
      </c>
      <c r="L77" s="1281">
        <v>0</v>
      </c>
      <c r="M77" s="1281">
        <f t="shared" si="24"/>
        <v>-8.9999999999999993E-3</v>
      </c>
      <c r="N77" s="1281">
        <f t="shared" si="24"/>
        <v>-1.7999999999999999E-2</v>
      </c>
      <c r="Z77" s="2719"/>
      <c r="AA77" s="2795"/>
      <c r="AG77" s="1368"/>
      <c r="AK77" s="2795"/>
    </row>
    <row r="78" spans="1:37" ht="24.75" thickBot="1">
      <c r="A78" s="2885" t="s">
        <v>2969</v>
      </c>
      <c r="B78" s="2889"/>
      <c r="C78" s="2769" t="s">
        <v>3116</v>
      </c>
      <c r="D78" s="1282">
        <f t="shared" si="20"/>
        <v>2.3999999999999998E-3</v>
      </c>
      <c r="E78" s="820"/>
      <c r="F78" s="2500"/>
      <c r="G78" s="1280">
        <v>2.3999999999999998E-3</v>
      </c>
      <c r="H78" s="1284">
        <f t="shared" si="21"/>
        <v>2.3999999999999998E-3</v>
      </c>
      <c r="I78" s="817">
        <v>0.04</v>
      </c>
      <c r="J78" s="1281">
        <f t="shared" si="22"/>
        <v>4.7999999999999996E-3</v>
      </c>
      <c r="K78" s="1281">
        <f t="shared" si="23"/>
        <v>2.3999999999999998E-3</v>
      </c>
      <c r="L78" s="1281">
        <v>0</v>
      </c>
      <c r="M78" s="1281">
        <f t="shared" si="24"/>
        <v>-2.3999999999999998E-3</v>
      </c>
      <c r="N78" s="1281">
        <f t="shared" si="24"/>
        <v>-4.7999999999999996E-3</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1805"/>
      <c r="C80" s="1805" t="s">
        <v>2946</v>
      </c>
      <c r="D80" s="1805" t="s">
        <v>2947</v>
      </c>
      <c r="E80" s="812" t="s">
        <v>2948</v>
      </c>
      <c r="F80" s="2878" t="s">
        <v>2964</v>
      </c>
      <c r="G80" s="1805" t="s">
        <v>754</v>
      </c>
      <c r="H80" s="2879" t="s">
        <v>2950</v>
      </c>
      <c r="I80" s="1805"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42" t="s">
        <v>2974</v>
      </c>
      <c r="B90" s="3742"/>
      <c r="C90" s="3742"/>
      <c r="D90" s="3742"/>
      <c r="E90" s="3742"/>
      <c r="F90" s="3742"/>
      <c r="G90" s="3742"/>
      <c r="H90" s="3742"/>
      <c r="I90" s="3742"/>
      <c r="J90" s="3742"/>
      <c r="K90" s="2891"/>
      <c r="L90" s="2891"/>
      <c r="M90" s="2891"/>
      <c r="N90" s="2891"/>
    </row>
    <row r="91" spans="1:37">
      <c r="A91" s="3744" t="s">
        <v>2975</v>
      </c>
      <c r="B91" s="3744" t="s">
        <v>2976</v>
      </c>
      <c r="C91" s="2845" t="s">
        <v>2977</v>
      </c>
      <c r="D91" s="2846"/>
      <c r="E91" s="2846"/>
      <c r="F91" s="2846"/>
      <c r="G91" s="2846"/>
      <c r="H91" s="2846"/>
      <c r="I91" s="2846"/>
      <c r="J91" s="2892"/>
      <c r="K91" s="2893"/>
      <c r="L91" s="2893"/>
      <c r="M91" s="2893"/>
      <c r="N91" s="2893"/>
    </row>
    <row r="92" spans="1:37">
      <c r="A92" s="3744"/>
      <c r="B92" s="3744"/>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745"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4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4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4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4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4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46"/>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4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45"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46"/>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46"/>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46"/>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46"/>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46"/>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46"/>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46"/>
      <c r="B108" s="3579"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47"/>
      <c r="B109" s="3580"/>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43" t="s">
        <v>2982</v>
      </c>
      <c r="B110" s="3743"/>
      <c r="C110" s="3743"/>
      <c r="D110" s="3743"/>
      <c r="E110" s="3743"/>
      <c r="F110" s="3743"/>
      <c r="G110" s="3743"/>
      <c r="H110" s="3743"/>
      <c r="I110" s="3743"/>
      <c r="J110" s="3743"/>
      <c r="K110" s="2900"/>
      <c r="L110" s="2900"/>
      <c r="M110" s="2900"/>
      <c r="N110" s="2900"/>
    </row>
    <row r="112" spans="1:14" ht="13.5" thickBot="1"/>
    <row r="113" spans="1:13" ht="25.5" thickBot="1">
      <c r="A113" s="896" t="s">
        <v>2983</v>
      </c>
      <c r="B113" s="1283">
        <f>G3</f>
        <v>4.5999999999999996</v>
      </c>
      <c r="C113" s="897" t="s">
        <v>2984</v>
      </c>
      <c r="D113" s="898">
        <f>SUMPRODUCT((A115:A118=F113)*(B114:M114=H113)*B115:M118)</f>
        <v>0.83799999999999997</v>
      </c>
      <c r="E113" s="2723" t="s">
        <v>2817</v>
      </c>
      <c r="F113" s="2902" t="str">
        <f>E2</f>
        <v>住宅</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1376</v>
      </c>
      <c r="D1" s="2415"/>
      <c r="E1" s="2415"/>
      <c r="F1" s="2417" t="s">
        <v>2121</v>
      </c>
      <c r="G1" s="2067" t="s">
        <v>3052</v>
      </c>
      <c r="H1" s="2418" t="str">
        <f>IF(G1="现房","——","估价对象范围")</f>
        <v>——</v>
      </c>
      <c r="I1" s="2419" t="s">
        <v>3216</v>
      </c>
    </row>
    <row r="2" spans="1:12" ht="21.75" customHeight="1" thickBot="1">
      <c r="A2" s="3624" t="str">
        <f>项目基本情况!S2</f>
        <v>北京市房地产</v>
      </c>
      <c r="B2" s="3625"/>
      <c r="C2" s="3625"/>
      <c r="D2" s="3625"/>
      <c r="E2" s="3625"/>
      <c r="F2" s="3625"/>
      <c r="G2" s="3625"/>
      <c r="H2" s="3625"/>
      <c r="I2" s="3626"/>
    </row>
    <row r="3" spans="1:12" ht="12.75">
      <c r="A3" s="3627" t="s">
        <v>2122</v>
      </c>
      <c r="B3" s="3628"/>
      <c r="C3" s="3628"/>
      <c r="D3" s="3628"/>
      <c r="E3" s="3628"/>
      <c r="F3" s="3628"/>
      <c r="G3" s="3628"/>
      <c r="H3" s="3628"/>
      <c r="I3" s="3628"/>
    </row>
    <row r="4" spans="1:12" ht="14.25">
      <c r="A4" s="2422" t="s">
        <v>2123</v>
      </c>
      <c r="B4" s="2423" t="s">
        <v>2124</v>
      </c>
      <c r="C4" s="2424" t="s">
        <v>3393</v>
      </c>
      <c r="D4" s="2424" t="s">
        <v>3364</v>
      </c>
      <c r="E4" s="3608" t="s">
        <v>2125</v>
      </c>
      <c r="F4" s="3621"/>
      <c r="G4" s="3621"/>
      <c r="H4" s="3621"/>
      <c r="I4" s="3609"/>
      <c r="K4" s="2425" t="str">
        <f>IF(ISNUMBER(FIND("比较法",结果表商业!C4)),"比较法",IF(ISNUMBER(FIND("成本法",结果表商业!C4)),"成本法",IF(ISNUMBER(FIND("假设开发法",结果表商业!C4)),"假设开发法",IF(ISNUMBER(FIND("收益法",结果表商业!C4)),"收益法","基准地价系数修正法"))))</f>
        <v>比较法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99" t="s">
        <v>2126</v>
      </c>
      <c r="B5" s="3525">
        <v>25</v>
      </c>
      <c r="C5" s="3629"/>
      <c r="D5" s="3617"/>
      <c r="E5" s="139" t="s">
        <v>2127</v>
      </c>
      <c r="F5" s="2426"/>
      <c r="G5" s="2426"/>
      <c r="H5" s="2426"/>
      <c r="I5" s="1827"/>
    </row>
    <row r="6" spans="1:12" ht="12.75">
      <c r="A6" s="3599"/>
      <c r="B6" s="3525"/>
      <c r="C6" s="3631"/>
      <c r="D6" s="3617"/>
      <c r="E6" s="139" t="s">
        <v>2128</v>
      </c>
      <c r="F6" s="2426"/>
      <c r="G6" s="2426"/>
      <c r="H6" s="2426"/>
      <c r="I6" s="1827"/>
    </row>
    <row r="7" spans="1:12" ht="12.75">
      <c r="A7" s="3599"/>
      <c r="B7" s="3525"/>
      <c r="C7" s="3630"/>
      <c r="D7" s="3617"/>
      <c r="E7" s="139" t="s">
        <v>2129</v>
      </c>
      <c r="F7" s="2426"/>
      <c r="G7" s="2426"/>
      <c r="H7" s="2426"/>
      <c r="I7" s="1827"/>
    </row>
    <row r="8" spans="1:12" ht="12.75">
      <c r="A8" s="3599" t="s">
        <v>2130</v>
      </c>
      <c r="B8" s="3525">
        <v>15</v>
      </c>
      <c r="C8" s="3629"/>
      <c r="D8" s="3617"/>
      <c r="E8" s="139" t="s">
        <v>2131</v>
      </c>
      <c r="F8" s="2426"/>
      <c r="G8" s="2426"/>
      <c r="H8" s="2426"/>
      <c r="I8" s="1827"/>
    </row>
    <row r="9" spans="1:12" ht="12.75">
      <c r="A9" s="3599"/>
      <c r="B9" s="3525"/>
      <c r="C9" s="3630"/>
      <c r="D9" s="3617"/>
      <c r="E9" s="139" t="s">
        <v>2132</v>
      </c>
      <c r="F9" s="2426"/>
      <c r="G9" s="2426"/>
      <c r="H9" s="2426"/>
      <c r="I9" s="1827"/>
    </row>
    <row r="10" spans="1:12" ht="12.75">
      <c r="A10" s="3599" t="s">
        <v>2133</v>
      </c>
      <c r="B10" s="3525">
        <v>15</v>
      </c>
      <c r="C10" s="3629"/>
      <c r="D10" s="3617"/>
      <c r="E10" s="139" t="s">
        <v>2134</v>
      </c>
      <c r="F10" s="2426"/>
      <c r="G10" s="2426"/>
      <c r="H10" s="2426"/>
      <c r="I10" s="1827"/>
    </row>
    <row r="11" spans="1:12" ht="12.75">
      <c r="A11" s="3599"/>
      <c r="B11" s="3525"/>
      <c r="C11" s="3630"/>
      <c r="D11" s="3617"/>
      <c r="E11" s="139" t="s">
        <v>2135</v>
      </c>
      <c r="F11" s="2426"/>
      <c r="G11" s="2426"/>
      <c r="H11" s="2426"/>
      <c r="I11" s="1827"/>
    </row>
    <row r="12" spans="1:12" ht="12.75">
      <c r="A12" s="3599" t="s">
        <v>2136</v>
      </c>
      <c r="B12" s="3525">
        <v>15</v>
      </c>
      <c r="C12" s="3629"/>
      <c r="D12" s="3617"/>
      <c r="E12" s="139" t="s">
        <v>2137</v>
      </c>
      <c r="F12" s="2426"/>
      <c r="G12" s="2426"/>
      <c r="H12" s="2426"/>
      <c r="I12" s="1827"/>
    </row>
    <row r="13" spans="1:12" ht="12.75">
      <c r="A13" s="3599"/>
      <c r="B13" s="3525"/>
      <c r="C13" s="3630"/>
      <c r="D13" s="3617"/>
      <c r="E13" s="139" t="s">
        <v>2138</v>
      </c>
      <c r="F13" s="2426"/>
      <c r="G13" s="2426"/>
      <c r="H13" s="2426"/>
      <c r="I13" s="1827"/>
    </row>
    <row r="14" spans="1:12" ht="12.75">
      <c r="A14" s="3599" t="s">
        <v>2139</v>
      </c>
      <c r="B14" s="3525">
        <v>30</v>
      </c>
      <c r="C14" s="3629">
        <v>0.5</v>
      </c>
      <c r="D14" s="3617">
        <f>1-C14</f>
        <v>0.5</v>
      </c>
      <c r="E14" s="139" t="s">
        <v>2140</v>
      </c>
      <c r="F14" s="2426"/>
      <c r="G14" s="2426"/>
      <c r="H14" s="2426"/>
      <c r="I14" s="1827"/>
    </row>
    <row r="15" spans="1:12" ht="12.75">
      <c r="A15" s="3599"/>
      <c r="B15" s="3525"/>
      <c r="C15" s="3631"/>
      <c r="D15" s="3617"/>
      <c r="E15" s="139" t="s">
        <v>2141</v>
      </c>
      <c r="F15" s="2426"/>
      <c r="G15" s="2426"/>
      <c r="H15" s="2426"/>
      <c r="I15" s="1827"/>
    </row>
    <row r="16" spans="1:12" ht="12.75">
      <c r="A16" s="3599"/>
      <c r="B16" s="3525"/>
      <c r="C16" s="3630"/>
      <c r="D16" s="3617"/>
      <c r="E16" s="139" t="s">
        <v>2142</v>
      </c>
      <c r="F16" s="2426"/>
      <c r="G16" s="2426"/>
      <c r="H16" s="2426"/>
      <c r="I16" s="1827"/>
    </row>
    <row r="17" spans="1:35" ht="15">
      <c r="A17" s="2427" t="s">
        <v>2143</v>
      </c>
      <c r="B17" s="64"/>
      <c r="C17" s="140">
        <f>SUM(C5:C16)</f>
        <v>0.5</v>
      </c>
      <c r="D17" s="140">
        <f>SUM(D5:D16)</f>
        <v>0.5</v>
      </c>
      <c r="E17" s="137"/>
      <c r="F17" s="137"/>
      <c r="G17" s="137"/>
      <c r="H17" s="137"/>
      <c r="I17" s="137"/>
      <c r="K17" s="2425"/>
      <c r="L17" s="2428" t="s">
        <v>2144</v>
      </c>
      <c r="M17" s="2428" t="s">
        <v>2145</v>
      </c>
    </row>
    <row r="18" spans="1:35" ht="15.75" thickBot="1">
      <c r="A18" s="2429" t="s">
        <v>2146</v>
      </c>
      <c r="B18" s="2430"/>
      <c r="C18" s="141">
        <f>ROUND(C17/SUM(C17:D17),2)</f>
        <v>0.5</v>
      </c>
      <c r="D18" s="141">
        <f>1-C18</f>
        <v>0.5</v>
      </c>
      <c r="E18" s="137"/>
      <c r="F18" s="137"/>
      <c r="G18" s="137"/>
      <c r="H18" s="137"/>
      <c r="I18" s="137"/>
      <c r="K18" s="2425" t="s">
        <v>2147</v>
      </c>
      <c r="L18" s="2425">
        <f>IF(C1="",'数据-汇总表'!E3,SUMIF(项目类型,C1,'数据-汇总表'!E17:E26)+SUMIF(项目类型,C1,'数据-汇总表'!I17:I26))</f>
        <v>656.26</v>
      </c>
      <c r="M18" s="2425">
        <f>IF(C1="",'数据-汇总表'!E3,SUMIF(项目类型,C1,'数据-汇总表'!E17:E26))</f>
        <v>656.26</v>
      </c>
    </row>
    <row r="19" spans="1:35" ht="15">
      <c r="A19" s="2431" t="s">
        <v>2148</v>
      </c>
      <c r="B19" s="2432" t="s">
        <v>2149</v>
      </c>
      <c r="C19" s="142">
        <f ca="1">SUMIF(INDIRECT("'"&amp;C4&amp;"'"&amp;"!A:A"),结果表商业!B19,INDIRECT("'"&amp;C4&amp;"'"&amp;"!B:B"))</f>
        <v>3678</v>
      </c>
      <c r="D19" s="143">
        <f ca="1">SUMIF(INDIRECT("'"&amp;D4&amp;"'"&amp;"!A:A"),结果表商业!B19,INDIRECT("'"&amp;D4&amp;"'"&amp;"!B:B"))</f>
        <v>3090</v>
      </c>
      <c r="E19" s="2431" t="s">
        <v>2150</v>
      </c>
      <c r="F19" s="2432" t="s">
        <v>2149</v>
      </c>
      <c r="G19" s="144">
        <f ca="1">ROUND(C19*$C$18+D19*$D$18,0)</f>
        <v>3384</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SUMIF(INDIRECT("'"&amp;C4&amp;"'"&amp;"!A:A"),结果表商业!B20,INDIRECT("'"&amp;C4&amp;"'"&amp;"!B:B"))</f>
        <v>56043</v>
      </c>
      <c r="D20" s="146">
        <f ca="1">SUMIF(INDIRECT("'"&amp;D4&amp;"'"&amp;"!A:A"),结果表商业!B20,INDIRECT("'"&amp;D4&amp;"'"&amp;"!B:B"))</f>
        <v>47085</v>
      </c>
      <c r="E20" s="2434"/>
      <c r="F20" s="1243" t="s">
        <v>2153</v>
      </c>
      <c r="G20" s="147">
        <f ca="1">ROUND(C20*$C$18+D20*$D$18,0)</f>
        <v>51564</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0.19029126213592229</v>
      </c>
      <c r="E22" s="137"/>
      <c r="F22" s="137"/>
      <c r="G22" s="137"/>
      <c r="H22" s="137"/>
      <c r="I22" s="137"/>
    </row>
    <row r="23" spans="1:35" ht="13.5" thickBot="1">
      <c r="A23" s="2415"/>
      <c r="B23" s="2415"/>
      <c r="C23" s="2415"/>
      <c r="D23" s="2415"/>
      <c r="E23" s="137"/>
      <c r="F23" s="137"/>
      <c r="G23" s="137"/>
      <c r="H23" s="137"/>
      <c r="I23" s="137"/>
    </row>
    <row r="24" spans="1:35" ht="14.25">
      <c r="A24" s="3638" t="s">
        <v>2157</v>
      </c>
      <c r="B24" s="2432" t="s">
        <v>2149</v>
      </c>
      <c r="C24" s="144">
        <f>IF(B30=0,0,D30)</f>
        <v>0</v>
      </c>
      <c r="D24" s="2439"/>
      <c r="E24" s="137"/>
      <c r="F24" s="137"/>
      <c r="G24" s="137"/>
      <c r="H24" s="137"/>
      <c r="I24" s="137"/>
    </row>
    <row r="25" spans="1:35" ht="14.25">
      <c r="A25" s="3639"/>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3384</v>
      </c>
      <c r="D32" s="2446" t="s">
        <v>2164</v>
      </c>
      <c r="E32" s="137"/>
      <c r="F32" s="137"/>
      <c r="G32" s="137"/>
      <c r="H32" s="137"/>
      <c r="I32" s="137"/>
    </row>
    <row r="33" spans="1:15" ht="15">
      <c r="A33" s="953" t="s">
        <v>2165</v>
      </c>
      <c r="B33" s="2447"/>
      <c r="C33" s="2448"/>
      <c r="D33" s="2449"/>
      <c r="E33" s="2450" t="s">
        <v>2166</v>
      </c>
      <c r="F33" s="2948"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618" t="s">
        <v>2171</v>
      </c>
      <c r="B36" s="2458" t="s">
        <v>2172</v>
      </c>
      <c r="C36" s="153"/>
      <c r="D36" s="2459"/>
      <c r="E36" s="2460"/>
      <c r="F36" s="2461"/>
      <c r="G36" s="137"/>
      <c r="H36" s="137"/>
      <c r="I36" s="137"/>
    </row>
    <row r="37" spans="1:15" ht="15.75" thickBot="1">
      <c r="A37" s="3619"/>
      <c r="B37" s="2263" t="s">
        <v>2173</v>
      </c>
      <c r="C37" s="155"/>
      <c r="D37" s="1388"/>
      <c r="E37" s="1388"/>
      <c r="F37" s="2461"/>
      <c r="G37" s="137"/>
      <c r="H37" s="137"/>
      <c r="I37" s="137"/>
    </row>
    <row r="38" spans="1:15" ht="15.75" thickBot="1">
      <c r="A38" s="3620"/>
      <c r="B38" s="2462" t="s">
        <v>2174</v>
      </c>
      <c r="C38" s="723"/>
      <c r="D38" s="2463" t="s">
        <v>2175</v>
      </c>
      <c r="E38" s="1388"/>
      <c r="F38" s="2461"/>
      <c r="G38" s="137"/>
      <c r="H38" s="137"/>
      <c r="I38" s="137"/>
    </row>
    <row r="39" spans="1:15" ht="15">
      <c r="A39" s="2434" t="s">
        <v>2176</v>
      </c>
      <c r="B39" s="2464" t="s">
        <v>2159</v>
      </c>
      <c r="C39" s="2465" t="s">
        <v>2160</v>
      </c>
      <c r="D39" s="2465" t="s">
        <v>2179</v>
      </c>
      <c r="E39" s="2466" t="s">
        <v>2161</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635" t="s">
        <v>2185</v>
      </c>
      <c r="B45" s="3636"/>
      <c r="C45" s="3637"/>
      <c r="D45" s="163">
        <f ca="1">ROUND(H101*F45,0)</f>
        <v>3384</v>
      </c>
      <c r="E45" s="164" t="s">
        <v>2186</v>
      </c>
      <c r="F45" s="165">
        <v>1</v>
      </c>
      <c r="G45" s="166" t="s">
        <v>2187</v>
      </c>
      <c r="H45" s="137"/>
      <c r="I45" s="137"/>
      <c r="J45" s="3554" t="s">
        <v>2188</v>
      </c>
      <c r="K45" s="3554"/>
      <c r="L45" s="3554"/>
      <c r="M45" s="3554"/>
      <c r="N45" s="3554"/>
      <c r="O45" s="3554"/>
    </row>
    <row r="46" spans="1:15" ht="14.25" customHeight="1">
      <c r="A46" s="3632" t="s">
        <v>2189</v>
      </c>
      <c r="B46" s="3633"/>
      <c r="C46" s="3633"/>
      <c r="D46" s="3633"/>
      <c r="E46" s="3633"/>
      <c r="F46" s="3633"/>
      <c r="G46" s="3634"/>
      <c r="H46" s="2477"/>
      <c r="I46" s="167"/>
      <c r="J46" s="2958">
        <v>1</v>
      </c>
      <c r="K46" s="3554" t="s">
        <v>2190</v>
      </c>
      <c r="L46" s="3554"/>
      <c r="M46" s="3555"/>
      <c r="N46" s="3555"/>
      <c r="O46" s="3555"/>
    </row>
    <row r="47" spans="1:15" ht="12" customHeight="1">
      <c r="A47" s="168" t="s">
        <v>2191</v>
      </c>
      <c r="B47" s="169"/>
      <c r="C47" s="170"/>
      <c r="D47" s="171" t="s">
        <v>2192</v>
      </c>
      <c r="E47" s="24" t="s">
        <v>2193</v>
      </c>
      <c r="F47" s="172" t="s">
        <v>2194</v>
      </c>
      <c r="G47" s="173" t="s">
        <v>2195</v>
      </c>
      <c r="H47" s="2477"/>
      <c r="I47" s="167"/>
      <c r="J47" s="2958">
        <v>2</v>
      </c>
      <c r="K47" s="3554" t="s">
        <v>2196</v>
      </c>
      <c r="L47" s="3554"/>
      <c r="M47" s="3556">
        <f>'数据-取费表'!B2</f>
        <v>43155</v>
      </c>
      <c r="N47" s="3556"/>
      <c r="O47" s="3556"/>
    </row>
    <row r="48" spans="1:15" ht="25.5">
      <c r="A48" s="3622" t="s">
        <v>2197</v>
      </c>
      <c r="B48" s="3623"/>
      <c r="C48" s="3623"/>
      <c r="D48" s="139">
        <f>IF(H48="情况1",0,IF(H48="情况2",D52,IF(H48="情况3",D53,IF(H48="情况4",D54))))</f>
        <v>0</v>
      </c>
      <c r="E48" s="2952" t="str">
        <f>IF(H48="情况4","(销售额-原购置价)×税（费）率","销售额×税（费）率")</f>
        <v>销售额×税（费）率</v>
      </c>
      <c r="F48" s="174" t="str">
        <f>IF(H48="情况1","免征",'数据-取费表'!B41)</f>
        <v>免征</v>
      </c>
      <c r="G48" s="2478" t="s">
        <v>2198</v>
      </c>
      <c r="H48" s="2479" t="s">
        <v>2199</v>
      </c>
      <c r="I48" s="2477"/>
      <c r="J48" s="2958">
        <v>3</v>
      </c>
      <c r="K48" s="3554" t="s">
        <v>2200</v>
      </c>
      <c r="L48" s="3554"/>
      <c r="M48" s="3557">
        <f ca="1">H101</f>
        <v>3384</v>
      </c>
      <c r="N48" s="3557"/>
      <c r="O48" s="3557"/>
    </row>
    <row r="49" spans="1:35" ht="25.5" customHeight="1">
      <c r="A49" s="175" t="s">
        <v>2201</v>
      </c>
      <c r="B49" s="3602" t="s">
        <v>2202</v>
      </c>
      <c r="C49" s="3602"/>
      <c r="D49" s="176">
        <v>0</v>
      </c>
      <c r="E49" s="23" t="s">
        <v>2203</v>
      </c>
      <c r="F49" s="28" t="s">
        <v>34</v>
      </c>
      <c r="G49" s="3583"/>
      <c r="H49" s="137"/>
      <c r="I49" s="2480"/>
      <c r="J49" s="2958">
        <v>4</v>
      </c>
      <c r="K49" s="3554" t="str">
        <f>IF(项目基本情况!E8="房地产抵押价值","房地产抵押价值","抵押担保权已注销时的房地产抵押价值")</f>
        <v>房地产抵押价值</v>
      </c>
      <c r="L49" s="3554"/>
      <c r="M49" s="3557">
        <f ca="1">IF(项目基本情况!E8="房地产抵押价值",H107,H109)</f>
        <v>3384</v>
      </c>
      <c r="N49" s="3557"/>
      <c r="O49" s="3557"/>
    </row>
    <row r="50" spans="1:35" ht="25.5" customHeight="1">
      <c r="A50" s="177"/>
      <c r="B50" s="3602" t="s">
        <v>2204</v>
      </c>
      <c r="C50" s="3602"/>
      <c r="D50" s="178"/>
      <c r="E50" s="31"/>
      <c r="F50" s="179"/>
      <c r="G50" s="3584"/>
      <c r="H50" s="137"/>
      <c r="I50" s="2480"/>
      <c r="J50" s="3554" t="s">
        <v>2205</v>
      </c>
      <c r="K50" s="3554"/>
      <c r="L50" s="3554"/>
      <c r="M50" s="3554"/>
      <c r="N50" s="3554"/>
      <c r="O50" s="3554"/>
    </row>
    <row r="51" spans="1:35" ht="12" customHeight="1">
      <c r="A51" s="180"/>
      <c r="B51" s="3602" t="s">
        <v>2206</v>
      </c>
      <c r="C51" s="3602"/>
      <c r="D51" s="181"/>
      <c r="E51" s="30"/>
      <c r="F51" s="179"/>
      <c r="G51" s="3585"/>
      <c r="H51" s="137"/>
      <c r="I51" s="2480"/>
      <c r="J51" s="2957" t="s">
        <v>2207</v>
      </c>
      <c r="K51" s="3554" t="s">
        <v>2208</v>
      </c>
      <c r="L51" s="3554"/>
      <c r="M51" s="2957" t="s">
        <v>2209</v>
      </c>
      <c r="N51" s="2957" t="s">
        <v>2210</v>
      </c>
      <c r="O51" s="2957" t="s">
        <v>2211</v>
      </c>
    </row>
    <row r="52" spans="1:35" ht="24" customHeight="1">
      <c r="A52" s="182" t="s">
        <v>2212</v>
      </c>
      <c r="B52" s="3602" t="s">
        <v>2213</v>
      </c>
      <c r="C52" s="3602"/>
      <c r="D52" s="181">
        <f ca="1">ROUND(D45*'数据-取费表'!B41/(1+'数据-取费表'!C42),0)</f>
        <v>177</v>
      </c>
      <c r="E52" s="11" t="s">
        <v>2214</v>
      </c>
      <c r="F52" s="183">
        <f>'数据-取费表'!B41</f>
        <v>5.5000000000000007E-2</v>
      </c>
      <c r="G52" s="2482"/>
      <c r="H52" s="137"/>
      <c r="I52" s="2480"/>
      <c r="J52" s="2958">
        <v>1</v>
      </c>
      <c r="K52" s="3577" t="s">
        <v>2215</v>
      </c>
      <c r="L52" s="3577"/>
      <c r="M52" s="1747">
        <f>D48</f>
        <v>0</v>
      </c>
      <c r="N52" s="2958" t="str">
        <f>E48</f>
        <v>销售额×税（费）率</v>
      </c>
      <c r="O52" s="1748" t="str">
        <f>F48</f>
        <v>免征</v>
      </c>
    </row>
    <row r="53" spans="1:35" ht="12" customHeight="1">
      <c r="A53" s="182" t="s">
        <v>2216</v>
      </c>
      <c r="B53" s="3603" t="s">
        <v>2217</v>
      </c>
      <c r="C53" s="3604"/>
      <c r="D53" s="181">
        <f ca="1">ROUND(D45*'数据-取费表'!B41/(1+'数据-取费表'!C42),0)</f>
        <v>177</v>
      </c>
      <c r="E53" s="11" t="s">
        <v>2214</v>
      </c>
      <c r="F53" s="183">
        <f>'数据-取费表'!B41</f>
        <v>5.5000000000000007E-2</v>
      </c>
      <c r="G53" s="2482"/>
      <c r="H53" s="137"/>
      <c r="I53" s="2480"/>
      <c r="J53" s="2958">
        <v>2</v>
      </c>
      <c r="K53" s="3577" t="s">
        <v>2218</v>
      </c>
      <c r="L53" s="3577"/>
      <c r="M53" s="1747">
        <f t="shared" ref="M53:O54" ca="1" si="0">D55</f>
        <v>2</v>
      </c>
      <c r="N53" s="2958" t="str">
        <f t="shared" si="0"/>
        <v>销售额×税（费）率</v>
      </c>
      <c r="O53" s="1748">
        <f t="shared" si="0"/>
        <v>5.0000000000000001E-4</v>
      </c>
    </row>
    <row r="54" spans="1:35" ht="12" customHeight="1">
      <c r="A54" s="182" t="s">
        <v>2219</v>
      </c>
      <c r="B54" s="3603" t="s">
        <v>2220</v>
      </c>
      <c r="C54" s="3604"/>
      <c r="D54" s="181">
        <f ca="1">C68</f>
        <v>177</v>
      </c>
      <c r="E54" s="30" t="s">
        <v>2221</v>
      </c>
      <c r="F54" s="183">
        <f>'数据-取费表'!B41</f>
        <v>5.5000000000000007E-2</v>
      </c>
      <c r="G54" s="2482"/>
      <c r="H54" s="2483"/>
      <c r="I54" s="2480"/>
      <c r="J54" s="2958">
        <v>3</v>
      </c>
      <c r="K54" s="3577" t="s">
        <v>2222</v>
      </c>
      <c r="L54" s="3577"/>
      <c r="M54" s="1747">
        <f t="shared" ca="1" si="0"/>
        <v>1919</v>
      </c>
      <c r="N54" s="2958" t="str">
        <f t="shared" si="0"/>
        <v>增值额×税（费）率</v>
      </c>
      <c r="O54" s="1749" t="str">
        <f t="shared" si="0"/>
        <v>——</v>
      </c>
    </row>
    <row r="55" spans="1:35" ht="24" customHeight="1">
      <c r="A55" s="3641" t="s">
        <v>2223</v>
      </c>
      <c r="B55" s="3623"/>
      <c r="C55" s="3623"/>
      <c r="D55" s="184">
        <f ca="1">IF(H55="个人住宅",0,ROUND(D45*I55,0))</f>
        <v>2</v>
      </c>
      <c r="E55" s="11" t="s">
        <v>2224</v>
      </c>
      <c r="F55" s="183">
        <f>IF(H55="正常",I55,"免征")</f>
        <v>5.0000000000000001E-4</v>
      </c>
      <c r="G55" s="2482"/>
      <c r="H55" s="2479" t="s">
        <v>2225</v>
      </c>
      <c r="I55" s="185">
        <f>'数据-取费表'!B49</f>
        <v>5.0000000000000001E-4</v>
      </c>
      <c r="J55" s="2958" t="str">
        <f>IF(H59="非个人房产","",4)</f>
        <v/>
      </c>
      <c r="K55" s="3577" t="str">
        <f>IF(H59="非个人房产","——","个人所得税")</f>
        <v>——</v>
      </c>
      <c r="L55" s="3577"/>
      <c r="M55" s="1750" t="str">
        <f>D59</f>
        <v>——</v>
      </c>
      <c r="N55" s="2959" t="str">
        <f>E59</f>
        <v>——</v>
      </c>
      <c r="O55" s="1751" t="str">
        <f>F59</f>
        <v>——</v>
      </c>
    </row>
    <row r="56" spans="1:35" ht="24.75">
      <c r="A56" s="3641" t="s">
        <v>2226</v>
      </c>
      <c r="B56" s="3623"/>
      <c r="C56" s="3623"/>
      <c r="D56" s="184">
        <f ca="1">IF(H56="个人住宅",D57,D58)</f>
        <v>1919</v>
      </c>
      <c r="E56" s="11" t="s">
        <v>2227</v>
      </c>
      <c r="F56" s="183" t="str">
        <f>IF(H56="正常",F58,"免征")</f>
        <v>——</v>
      </c>
      <c r="G56" s="2484" t="s">
        <v>2228</v>
      </c>
      <c r="H56" s="2485" t="s">
        <v>2225</v>
      </c>
      <c r="I56" s="2486"/>
      <c r="J56" s="2958" t="str">
        <f>IF(项目基本情况!K6="上海银行",IF(J55="",4,J55+1),"")</f>
        <v/>
      </c>
      <c r="K56" s="3560" t="str">
        <f>IF(项目基本情况!K6="上海银行","其他处置费用","")</f>
        <v/>
      </c>
      <c r="L56" s="3561"/>
      <c r="M56" s="1747" t="str">
        <f>IF(项目基本情况!K6="上海银行",M69,"")</f>
        <v/>
      </c>
      <c r="N56" s="3563" t="str">
        <f>IF(项目基本情况!K6="上海银行","包含处置中涉及的律师、诉讼、拍卖、评估等费用","")</f>
        <v/>
      </c>
      <c r="O56" s="3564"/>
    </row>
    <row r="57" spans="1:35" ht="12.75">
      <c r="A57" s="182" t="s">
        <v>2201</v>
      </c>
      <c r="B57" s="3608" t="s">
        <v>2229</v>
      </c>
      <c r="C57" s="3609"/>
      <c r="D57" s="186">
        <v>0</v>
      </c>
      <c r="E57" s="23" t="s">
        <v>2203</v>
      </c>
      <c r="F57" s="154"/>
      <c r="G57" s="2482"/>
      <c r="H57" s="2486"/>
      <c r="I57" s="2486"/>
      <c r="J57" s="3577">
        <f>IF(AND(J55="",J56=""),4,IF(项目基本情况!K6="上海银行",结果表商业!J56+1,结果表商业!J55+1))</f>
        <v>4</v>
      </c>
      <c r="K57" s="3577" t="s">
        <v>2230</v>
      </c>
      <c r="L57" s="2487" t="s">
        <v>2231</v>
      </c>
      <c r="M57" s="1752"/>
      <c r="N57" s="1753">
        <f ca="1">SUMIF(M52:M56,"&lt;9e307")</f>
        <v>1921</v>
      </c>
      <c r="O57" s="2488"/>
      <c r="P57" s="1746">
        <f ca="1">N57/M49</f>
        <v>0.56767139479905437</v>
      </c>
    </row>
    <row r="58" spans="1:35" ht="24.75">
      <c r="A58" s="182" t="s">
        <v>2212</v>
      </c>
      <c r="B58" s="3608" t="s">
        <v>2232</v>
      </c>
      <c r="C58" s="3621"/>
      <c r="D58" s="184">
        <f ca="1">IF(H58="转让取得",C81,C97)</f>
        <v>1919</v>
      </c>
      <c r="E58" s="11" t="s">
        <v>2227</v>
      </c>
      <c r="F58" s="24" t="s">
        <v>34</v>
      </c>
      <c r="G58" s="2482"/>
      <c r="H58" s="2485" t="s">
        <v>2233</v>
      </c>
      <c r="I58" s="2486"/>
      <c r="J58" s="3577"/>
      <c r="K58" s="3577"/>
      <c r="L58" s="2487" t="s">
        <v>2234</v>
      </c>
      <c r="M58" s="1754"/>
      <c r="N58" s="2489" t="str">
        <f ca="1">NUMBERSTRING(INT(N57*10000),2)&amp;"元整"</f>
        <v>壹仟玖佰贰拾壹万元整</v>
      </c>
      <c r="O58" s="2490"/>
    </row>
    <row r="59" spans="1:35" ht="24.75" thickBot="1">
      <c r="A59" s="3581" t="s">
        <v>2235</v>
      </c>
      <c r="B59" s="3582"/>
      <c r="C59" s="3582"/>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579">
        <f>J57+1</f>
        <v>5</v>
      </c>
      <c r="K59" s="3577" t="s">
        <v>2237</v>
      </c>
      <c r="L59" s="2958" t="s">
        <v>2231</v>
      </c>
      <c r="M59" s="1755"/>
      <c r="N59" s="1756">
        <f ca="1">M49-N57</f>
        <v>1463</v>
      </c>
      <c r="O59" s="2492"/>
    </row>
    <row r="60" spans="1:35" ht="12" customHeight="1">
      <c r="A60" s="2493"/>
      <c r="B60" s="2415"/>
      <c r="C60" s="2415"/>
      <c r="D60" s="2415"/>
      <c r="E60" s="2163"/>
      <c r="F60" s="2486"/>
      <c r="G60" s="2486"/>
      <c r="H60" s="2494"/>
      <c r="I60" s="137"/>
      <c r="J60" s="3580"/>
      <c r="K60" s="3577"/>
      <c r="L60" s="2487" t="s">
        <v>2234</v>
      </c>
      <c r="M60" s="1754"/>
      <c r="N60" s="2489" t="str">
        <f ca="1">NUMBERSTRING(INT(N59*10000),2)&amp;"元整"</f>
        <v>壹仟肆佰陆拾叁万元整</v>
      </c>
      <c r="O60" s="2490"/>
    </row>
    <row r="61" spans="1:35" ht="13.5" thickBot="1">
      <c r="A61" s="3640" t="s">
        <v>2238</v>
      </c>
      <c r="B61" s="3640"/>
      <c r="C61" s="3640"/>
      <c r="D61" s="3640"/>
      <c r="E61" s="3640"/>
      <c r="F61" s="2486"/>
      <c r="G61" s="2486"/>
      <c r="H61" s="2494"/>
      <c r="I61" s="137"/>
      <c r="J61" s="2958">
        <f>J59+1</f>
        <v>6</v>
      </c>
      <c r="K61" s="3577" t="s">
        <v>2239</v>
      </c>
      <c r="L61" s="3577"/>
      <c r="M61" s="1757"/>
      <c r="N61" s="1758">
        <f ca="1">ROUND(N59*10000/'数据-汇总表'!E3,0)</f>
        <v>2453</v>
      </c>
      <c r="O61" s="2495"/>
    </row>
    <row r="62" spans="1:35" ht="12.75">
      <c r="A62" s="3597" t="s">
        <v>2240</v>
      </c>
      <c r="B62" s="3598"/>
      <c r="C62" s="2955"/>
      <c r="D62" s="2955" t="s">
        <v>2241</v>
      </c>
      <c r="E62" s="191" t="s">
        <v>2242</v>
      </c>
      <c r="F62" s="2486"/>
      <c r="G62" s="2486"/>
      <c r="H62" s="2494"/>
      <c r="I62" s="137"/>
    </row>
    <row r="63" spans="1:35" ht="12.75">
      <c r="A63" s="202" t="s">
        <v>774</v>
      </c>
      <c r="B63" s="192" t="s">
        <v>2243</v>
      </c>
      <c r="C63" s="193">
        <f ca="1">ROUND((C64+C65)/(1+'数据-取费表'!C42),0)</f>
        <v>3223</v>
      </c>
      <c r="D63" s="194"/>
      <c r="E63" s="195"/>
      <c r="F63" s="2486"/>
      <c r="G63" s="2486"/>
      <c r="H63" s="2494"/>
      <c r="I63" s="137"/>
      <c r="J63" s="3562" t="s">
        <v>2244</v>
      </c>
      <c r="K63" s="2960" t="s">
        <v>2245</v>
      </c>
      <c r="L63" s="1745">
        <f ca="1">IF(M49&gt;10000,M49*0.5%,IF(AND(M49&gt;1000,M49&lt;=10000),M49*1%,IF(AND(M49&gt;100,M49&lt;=1000),M49*3%,IF(AND(M49&gt;10,M49&lt;=100),M49*5%,M49*8%))))</f>
        <v>33.840000000000003</v>
      </c>
      <c r="M63" s="24">
        <f ca="1">ROUND(L63,1)</f>
        <v>33.799999999999997</v>
      </c>
      <c r="Z63" s="2420"/>
      <c r="AI63" s="2421"/>
    </row>
    <row r="64" spans="1:35" ht="14.25" customHeight="1">
      <c r="A64" s="196" t="s">
        <v>769</v>
      </c>
      <c r="B64" s="197" t="s">
        <v>2246</v>
      </c>
      <c r="C64" s="198">
        <f ca="1">D45</f>
        <v>3384</v>
      </c>
      <c r="D64" s="199" t="s">
        <v>32</v>
      </c>
      <c r="E64" s="200"/>
      <c r="F64" s="2486"/>
      <c r="G64" s="2486"/>
      <c r="H64" s="2494"/>
      <c r="I64" s="137"/>
      <c r="J64" s="3562"/>
      <c r="K64" s="2960" t="s">
        <v>2247</v>
      </c>
      <c r="L64" s="1745">
        <f ca="1">IF(M49&gt;2000,M49*0.5%,IF(AND(M49&gt;1000,M49&lt;=2000),M49*0.6%,IF(AND(M49&gt;500,M49&lt;=1000),M49*0.7%,IF(AND(M49&gt;200,M49&lt;=500),M49*0.8%,IF(AND(M49&gt;100,M49&lt;=200),M49*0.9%,IF(AND(M49&gt;50,M49&lt;=100),M49*1%,IF(AND(M49&gt;20,M49&lt;=50),M49*1.5%,IF(AND(M49&gt;10,M49&lt;=20),M49*2%,IF(AND(M49&gt;1,M49&lt;=10),M49*2.5%)))))))))</f>
        <v>16.920000000000002</v>
      </c>
      <c r="M64" s="24">
        <f t="shared" ref="M64:M65" ca="1" si="1">ROUND(L64,1)</f>
        <v>16.899999999999999</v>
      </c>
      <c r="N64" s="137" t="s">
        <v>2248</v>
      </c>
      <c r="Z64" s="2420"/>
      <c r="AI64" s="2421"/>
    </row>
    <row r="65" spans="1:35" ht="14.25" customHeight="1">
      <c r="A65" s="196" t="s">
        <v>770</v>
      </c>
      <c r="B65" s="197" t="s">
        <v>2249</v>
      </c>
      <c r="C65" s="201"/>
      <c r="D65" s="199"/>
      <c r="E65" s="200"/>
      <c r="F65" s="2486"/>
      <c r="G65" s="2486"/>
      <c r="H65" s="2494"/>
      <c r="I65" s="137"/>
      <c r="J65" s="3562"/>
      <c r="K65" s="2960" t="s">
        <v>2250</v>
      </c>
      <c r="L65" s="1745">
        <f ca="1">IF(M49&gt;1000,M49*0.1%,IF(AND(M49&gt;500,M49&lt;=1000),M49*0.5%,IF(AND(M49&gt;50,M49&lt;=500),M49*1%,IF(AND(M49&gt;1,M49&lt;=50),M49*1.5%))))</f>
        <v>3.3839999999999999</v>
      </c>
      <c r="M65" s="24">
        <f t="shared" ca="1" si="1"/>
        <v>3.4</v>
      </c>
      <c r="N65" s="137" t="s">
        <v>2248</v>
      </c>
      <c r="Z65" s="2420"/>
      <c r="AI65" s="2421"/>
    </row>
    <row r="66" spans="1:35" ht="14.25" customHeight="1">
      <c r="A66" s="202" t="s">
        <v>771</v>
      </c>
      <c r="B66" s="203" t="s">
        <v>2251</v>
      </c>
      <c r="C66" s="204"/>
      <c r="D66" s="205" t="s">
        <v>32</v>
      </c>
      <c r="E66" s="1769" t="s">
        <v>1370</v>
      </c>
      <c r="F66" s="2486"/>
      <c r="G66" s="2486"/>
      <c r="H66" s="2494"/>
      <c r="I66" s="137"/>
      <c r="J66" s="3562"/>
      <c r="K66" s="2960" t="s">
        <v>2252</v>
      </c>
      <c r="L66" s="1745">
        <f ca="1">M49*0.5%</f>
        <v>16.920000000000002</v>
      </c>
      <c r="M66" s="24">
        <f ca="1">IF(L66&gt;0.5,0.5,ROUND(L66,0))</f>
        <v>0.5</v>
      </c>
      <c r="N66" s="137" t="s">
        <v>2253</v>
      </c>
      <c r="Z66" s="2420"/>
      <c r="AI66" s="2421"/>
    </row>
    <row r="67" spans="1:35" ht="14.25" customHeight="1">
      <c r="A67" s="202" t="s">
        <v>772</v>
      </c>
      <c r="B67" s="203" t="s">
        <v>2254</v>
      </c>
      <c r="C67" s="206">
        <f ca="1">C63-C66</f>
        <v>3223</v>
      </c>
      <c r="D67" s="199" t="s">
        <v>32</v>
      </c>
      <c r="E67" s="200"/>
      <c r="F67" s="2486"/>
      <c r="G67" s="2486"/>
      <c r="H67" s="2494"/>
      <c r="I67" s="137"/>
      <c r="J67" s="3562"/>
      <c r="K67" s="2960" t="s">
        <v>2255</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773</v>
      </c>
      <c r="B68" s="208" t="s">
        <v>2256</v>
      </c>
      <c r="C68" s="209">
        <f ca="1">IF(C67&lt;=0,0,ROUND(C67*D68,0))</f>
        <v>177</v>
      </c>
      <c r="D68" s="210">
        <f>'数据-取费表'!B41</f>
        <v>5.5000000000000007E-2</v>
      </c>
      <c r="E68" s="211"/>
      <c r="F68" s="2486"/>
      <c r="G68" s="2486"/>
      <c r="H68" s="2494"/>
      <c r="I68" s="137"/>
      <c r="J68" s="3562"/>
      <c r="K68" s="2960" t="s">
        <v>2257</v>
      </c>
      <c r="L68" s="1745">
        <f ca="1">IF(M49&gt;10000,M49*0.5%,IF(AND(M49&gt;5000,M49&lt;=10000),M49*1%,IF(AND(M49&gt;1000,M49&lt;=5000),M49*2%,IF(AND(M49&gt;200,M49&lt;=1000),M49*3%,M49*5%))))</f>
        <v>67.680000000000007</v>
      </c>
      <c r="M68" s="24">
        <f ca="1">ROUND(L68,1)</f>
        <v>67.7</v>
      </c>
      <c r="Z68" s="2420"/>
      <c r="AI68" s="2421"/>
    </row>
    <row r="69" spans="1:35" s="2443" customFormat="1" ht="16.5" customHeight="1">
      <c r="A69" s="2497"/>
      <c r="B69" s="2498"/>
      <c r="C69" s="2499"/>
      <c r="D69" s="2500"/>
      <c r="E69" s="2501"/>
      <c r="F69" s="2163"/>
      <c r="G69" s="2163"/>
      <c r="H69" s="2162"/>
      <c r="I69" s="2415"/>
      <c r="J69" s="3562"/>
      <c r="K69" s="2960" t="s">
        <v>2258</v>
      </c>
      <c r="L69" s="2502"/>
      <c r="M69" s="24">
        <f ca="1">ROUND(SUM(M63:M68),0)</f>
        <v>125</v>
      </c>
      <c r="N69" s="1746">
        <f ca="1">M69/M49</f>
        <v>3.6938534278959809E-2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06" t="s">
        <v>2259</v>
      </c>
      <c r="B70" s="3607"/>
      <c r="C70" s="3607"/>
      <c r="D70" s="3607"/>
      <c r="E70" s="3607"/>
      <c r="F70" s="3607"/>
      <c r="G70" s="3607"/>
      <c r="H70" s="360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97" t="s">
        <v>2240</v>
      </c>
      <c r="B71" s="3598"/>
      <c r="C71" s="2955"/>
      <c r="D71" s="2955"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3223</v>
      </c>
      <c r="D72" s="199" t="s">
        <v>32</v>
      </c>
      <c r="E72" s="2954"/>
      <c r="F72" s="2949"/>
      <c r="G72" s="294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v>
      </c>
      <c r="D73" s="199" t="s">
        <v>32</v>
      </c>
      <c r="E73" s="2954"/>
      <c r="F73" s="2949"/>
      <c r="G73" s="294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2954"/>
      <c r="F74" s="2949"/>
      <c r="G74" s="294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603" t="s">
        <v>2268</v>
      </c>
      <c r="F76" s="3602"/>
      <c r="G76" s="3602"/>
      <c r="H76" s="360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2961" t="s">
        <v>2270</v>
      </c>
      <c r="F77" s="223"/>
      <c r="G77" s="2510" t="s">
        <v>2271</v>
      </c>
      <c r="H77" s="295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v>
      </c>
      <c r="D78" s="225">
        <f>'数据-取费表'!B43</f>
        <v>5.000000000000001E-3</v>
      </c>
      <c r="E78" s="3594" t="s">
        <v>2273</v>
      </c>
      <c r="F78" s="3595"/>
      <c r="G78" s="3595"/>
      <c r="H78" s="359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3207</v>
      </c>
      <c r="D79" s="199" t="s">
        <v>32</v>
      </c>
      <c r="E79" s="2954"/>
      <c r="F79" s="2949"/>
      <c r="G79" s="294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200.4375</v>
      </c>
      <c r="D80" s="199"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06" t="s">
        <v>2277</v>
      </c>
      <c r="B83" s="3607"/>
      <c r="C83" s="3607"/>
      <c r="D83" s="3607"/>
      <c r="E83" s="3607"/>
      <c r="F83" s="3607"/>
      <c r="G83" s="3607"/>
      <c r="H83" s="360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97" t="s">
        <v>2240</v>
      </c>
      <c r="B84" s="3598"/>
      <c r="C84" s="2955"/>
      <c r="D84" s="2955"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3223</v>
      </c>
      <c r="D85" s="199" t="s">
        <v>32</v>
      </c>
      <c r="E85" s="2954"/>
      <c r="F85" s="2949"/>
      <c r="G85" s="294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v>
      </c>
      <c r="D86" s="234"/>
      <c r="E86" s="2954"/>
      <c r="F86" s="2949"/>
      <c r="G86" s="294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2950"/>
      <c r="F87" s="2951"/>
      <c r="G87" s="2951"/>
      <c r="H87" s="2953"/>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2951"/>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2951"/>
      <c r="G89" s="2951"/>
      <c r="H89" s="2953"/>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2951"/>
      <c r="G90" s="2951"/>
      <c r="H90" s="2953"/>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94" t="s">
        <v>2286</v>
      </c>
      <c r="F91" s="3595"/>
      <c r="G91" s="3595"/>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94" t="s">
        <v>2290</v>
      </c>
      <c r="F92" s="3595"/>
      <c r="G92" s="3595"/>
      <c r="H92" s="359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v>
      </c>
      <c r="D93" s="225">
        <f>'数据-取费表'!B43</f>
        <v>5.000000000000001E-3</v>
      </c>
      <c r="E93" s="3594" t="s">
        <v>2273</v>
      </c>
      <c r="F93" s="3595"/>
      <c r="G93" s="3595"/>
      <c r="H93" s="359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642" t="s">
        <v>2294</v>
      </c>
      <c r="F94" s="3643"/>
      <c r="G94" s="3643"/>
      <c r="H94" s="364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3207</v>
      </c>
      <c r="D95" s="199" t="s">
        <v>32</v>
      </c>
      <c r="E95" s="2954"/>
      <c r="F95" s="2949"/>
      <c r="G95" s="294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200.4375</v>
      </c>
      <c r="D96" s="199"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46" t="s">
        <v>2296</v>
      </c>
      <c r="B100" s="3547"/>
      <c r="C100" s="3547"/>
      <c r="D100" s="3578"/>
      <c r="E100" s="3547" t="s">
        <v>2297</v>
      </c>
      <c r="F100" s="3547"/>
      <c r="G100" s="3547"/>
      <c r="H100" s="3578"/>
      <c r="I100" s="137"/>
    </row>
    <row r="101" spans="1:35" ht="18.75" customHeight="1">
      <c r="A101" s="3586" t="s">
        <v>2298</v>
      </c>
      <c r="B101" s="3587"/>
      <c r="C101" s="732" t="str">
        <f>C4</f>
        <v>比较法-商业</v>
      </c>
      <c r="D101" s="733" t="str">
        <f>D4</f>
        <v>收益法 (未出租)</v>
      </c>
      <c r="E101" s="3558" t="s">
        <v>2299</v>
      </c>
      <c r="F101" s="3559"/>
      <c r="G101" s="2517" t="s">
        <v>2300</v>
      </c>
      <c r="H101" s="1041">
        <f ca="1">H118</f>
        <v>3384</v>
      </c>
      <c r="I101" s="137"/>
    </row>
    <row r="102" spans="1:35" ht="18.75" customHeight="1">
      <c r="A102" s="3588" t="s">
        <v>2301</v>
      </c>
      <c r="B102" s="2517" t="s">
        <v>2300</v>
      </c>
      <c r="C102" s="732">
        <f ca="1">C19</f>
        <v>3678</v>
      </c>
      <c r="D102" s="733">
        <f ca="1">D19</f>
        <v>3090</v>
      </c>
      <c r="E102" s="3558"/>
      <c r="F102" s="3559"/>
      <c r="G102" s="2517" t="s">
        <v>2302</v>
      </c>
      <c r="H102" s="370">
        <f ca="1">I118</f>
        <v>51565</v>
      </c>
      <c r="I102" s="137"/>
    </row>
    <row r="103" spans="1:35" ht="42.75" customHeight="1">
      <c r="A103" s="3588"/>
      <c r="B103" s="2517" t="s">
        <v>2302</v>
      </c>
      <c r="C103" s="734">
        <f ca="1">C20</f>
        <v>56043</v>
      </c>
      <c r="D103" s="735">
        <f ca="1">D20</f>
        <v>47085</v>
      </c>
      <c r="E103" s="3552" t="s">
        <v>2303</v>
      </c>
      <c r="F103" s="3553"/>
      <c r="G103" s="2518" t="s">
        <v>2304</v>
      </c>
      <c r="H103" s="1041">
        <f>IF(D36="正常操作",H104+H105+H106,H105+H106)</f>
        <v>0</v>
      </c>
      <c r="I103" s="137"/>
    </row>
    <row r="104" spans="1:35" ht="18.75" customHeight="1">
      <c r="A104" s="3588" t="s">
        <v>2305</v>
      </c>
      <c r="B104" s="2519" t="s">
        <v>2300</v>
      </c>
      <c r="C104" s="736">
        <f ca="1">H118</f>
        <v>3384</v>
      </c>
      <c r="D104" s="737"/>
      <c r="E104" s="2263" t="s">
        <v>2306</v>
      </c>
      <c r="F104" s="2255"/>
      <c r="G104" s="2518" t="s">
        <v>2304</v>
      </c>
      <c r="H104" s="1042">
        <f>IF(D36="同一抵押权人同一抵押物续贷",C36&amp;"（未扣减，详见特别提示）",C36)</f>
        <v>0</v>
      </c>
      <c r="I104" s="137"/>
    </row>
    <row r="105" spans="1:35" ht="18.75" customHeight="1" thickBot="1">
      <c r="A105" s="3600"/>
      <c r="B105" s="2520" t="s">
        <v>2302</v>
      </c>
      <c r="C105" s="738">
        <f ca="1">I118</f>
        <v>51565</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89" t="str">
        <f>IF(项目基本情况!E8="已注销","——","3.房地产抵押价值")</f>
        <v>3.房地产抵押价值</v>
      </c>
      <c r="F107" s="3559"/>
      <c r="G107" s="2517" t="s">
        <v>2300</v>
      </c>
      <c r="H107" s="1041">
        <f ca="1">IF(E107="——","——",H101-H103)</f>
        <v>3384</v>
      </c>
      <c r="I107" s="137"/>
    </row>
    <row r="108" spans="1:35" ht="18.75" customHeight="1">
      <c r="A108" s="137"/>
      <c r="B108" s="137"/>
      <c r="C108" s="137"/>
      <c r="D108" s="137"/>
      <c r="E108" s="3589"/>
      <c r="F108" s="3559"/>
      <c r="G108" s="2517" t="s">
        <v>2302</v>
      </c>
      <c r="H108" s="370">
        <f ca="1">ROUND(H107*10000/'数据-汇总表'!E3,0)</f>
        <v>5674</v>
      </c>
      <c r="I108" s="137"/>
    </row>
    <row r="109" spans="1:35" ht="18.75" customHeight="1">
      <c r="A109" s="137"/>
      <c r="B109" s="137"/>
      <c r="C109" s="137"/>
      <c r="D109" s="137"/>
      <c r="E109" s="3589" t="str">
        <f>IF(项目基本情况!E8="已注销及未注销","4.抵押担保权已注销时的房地产抵押价值",IF(项目基本情况!E8="已注销","3.抵押担保权已注销时的房地产抵押价值","——"))</f>
        <v>——</v>
      </c>
      <c r="F109" s="3559"/>
      <c r="G109" s="2517" t="s">
        <v>2300</v>
      </c>
      <c r="H109" s="347" t="str">
        <f>IF(E109="——","——",H101-H105-H106)</f>
        <v>——</v>
      </c>
      <c r="I109" s="137"/>
    </row>
    <row r="110" spans="1:35" ht="18.75" customHeight="1">
      <c r="A110" s="137"/>
      <c r="B110" s="137"/>
      <c r="C110" s="137"/>
      <c r="D110" s="137"/>
      <c r="E110" s="3589"/>
      <c r="F110" s="3559"/>
      <c r="G110" s="2517" t="s">
        <v>2302</v>
      </c>
      <c r="H110" s="370" t="str">
        <f>IF(H109="——","——",ROUND(H109*10000/'数据-汇总表'!E3,0))</f>
        <v>——</v>
      </c>
      <c r="I110" s="137"/>
    </row>
    <row r="111" spans="1:35" ht="18.75" customHeight="1">
      <c r="A111" s="137"/>
      <c r="B111" s="137"/>
      <c r="C111" s="137"/>
      <c r="D111" s="137"/>
      <c r="E111" s="3590" t="str">
        <f>IF(项目基本情况!E9="抵押净值",IF(OR(项目基本情况!E8="已注销",项目基本情况!E8="房地产抵押价值"),"4.抵押净值","5.抵押净值"),"——")</f>
        <v>——</v>
      </c>
      <c r="F111" s="3591"/>
      <c r="G111" s="2517" t="s">
        <v>2300</v>
      </c>
      <c r="H111" s="1041" t="str">
        <f>IF(E111="——","——",N59)</f>
        <v>——</v>
      </c>
      <c r="I111" s="137"/>
    </row>
    <row r="112" spans="1:35" ht="18.75" customHeight="1" thickBot="1">
      <c r="A112" s="137"/>
      <c r="B112" s="137"/>
      <c r="C112" s="137"/>
      <c r="D112" s="137"/>
      <c r="E112" s="3592"/>
      <c r="F112" s="3593"/>
      <c r="G112" s="2522" t="s">
        <v>2302</v>
      </c>
      <c r="H112" s="786" t="str">
        <f>IF(E111="——","——",N61)</f>
        <v>——</v>
      </c>
      <c r="I112" s="137"/>
    </row>
    <row r="113" spans="1:11" ht="18.75" customHeight="1">
      <c r="A113" s="137"/>
      <c r="B113" s="137"/>
      <c r="C113" s="137"/>
      <c r="D113" s="137"/>
      <c r="E113" s="3601" t="s">
        <v>2308</v>
      </c>
      <c r="F113" s="3601"/>
      <c r="G113" s="3601"/>
      <c r="H113" s="3601"/>
      <c r="I113" s="137"/>
    </row>
    <row r="114" spans="1:11" ht="3.75" customHeight="1">
      <c r="A114" s="2415"/>
      <c r="B114" s="2415"/>
      <c r="C114" s="2415"/>
      <c r="D114" s="2415"/>
      <c r="E114" s="2493"/>
      <c r="F114" s="2493"/>
      <c r="G114" s="2493"/>
      <c r="H114" s="2493"/>
      <c r="I114" s="2415"/>
    </row>
    <row r="115" spans="1:11" ht="18.75" customHeight="1">
      <c r="A115" s="3614" t="s">
        <v>2310</v>
      </c>
      <c r="B115" s="3615"/>
      <c r="C115" s="3615"/>
      <c r="D115" s="3615"/>
      <c r="E115" s="3615"/>
      <c r="F115" s="3615"/>
      <c r="G115" s="3615"/>
      <c r="H115" s="3615"/>
      <c r="I115" s="3616"/>
    </row>
    <row r="116" spans="1:11" ht="27" customHeight="1">
      <c r="A116" s="3525" t="s">
        <v>2311</v>
      </c>
      <c r="B116" s="3568" t="s">
        <v>2312</v>
      </c>
      <c r="C116" s="3568" t="s">
        <v>2313</v>
      </c>
      <c r="D116" s="3574" t="s">
        <v>2314</v>
      </c>
      <c r="E116" s="3575"/>
      <c r="F116" s="3610" t="s">
        <v>2315</v>
      </c>
      <c r="G116" s="3610"/>
      <c r="H116" s="3525" t="s">
        <v>2316</v>
      </c>
      <c r="I116" s="3525"/>
    </row>
    <row r="117" spans="1:11" ht="18.75" customHeight="1">
      <c r="A117" s="3525"/>
      <c r="B117" s="3569"/>
      <c r="C117" s="3569"/>
      <c r="D117" s="2947" t="s">
        <v>2317</v>
      </c>
      <c r="E117" s="2947" t="s">
        <v>2318</v>
      </c>
      <c r="F117" s="2947" t="s">
        <v>2317</v>
      </c>
      <c r="G117" s="2947" t="s">
        <v>2319</v>
      </c>
      <c r="H117" s="2947" t="s">
        <v>2317</v>
      </c>
      <c r="I117" s="2947" t="s">
        <v>2319</v>
      </c>
    </row>
    <row r="118" spans="1:11" ht="24.75" customHeight="1">
      <c r="A118" s="2523" t="str">
        <f>项目基本情况!S2</f>
        <v>北京市房地产</v>
      </c>
      <c r="B118" s="2947">
        <f>M18</f>
        <v>656.26</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3384</v>
      </c>
      <c r="I118" s="2947">
        <f ca="1">ROUND(IF(D32="楼面单价",C32,H118*10000/B118),0)</f>
        <v>51565</v>
      </c>
    </row>
    <row r="119" spans="1:11" ht="18.75" customHeight="1">
      <c r="A119" s="3525" t="s">
        <v>2320</v>
      </c>
      <c r="B119" s="3525"/>
      <c r="C119" s="3525"/>
      <c r="D119" s="3570" t="e">
        <f ca="1">NUMBERSTRING(INT(D118*10000),2)&amp;"元整"</f>
        <v>#REF!</v>
      </c>
      <c r="E119" s="3571"/>
      <c r="F119" s="3570" t="e">
        <f ca="1">NUMBERSTRING(INT(F118*10000),2)&amp;"元整"</f>
        <v>#REF!</v>
      </c>
      <c r="G119" s="3571"/>
      <c r="H119" s="3570" t="str">
        <f ca="1">NUMBERSTRING(INT(H118*10000),2)&amp;"元整"</f>
        <v>叁仟叁佰捌拾肆万元整</v>
      </c>
      <c r="I119" s="3571"/>
    </row>
    <row r="120" spans="1:11" ht="18.75" customHeight="1">
      <c r="A120" s="3565" t="str">
        <f>IF(项目基本情况!B9="房地产市场价值","",MID(E103,3,LEN(E103)-2))</f>
        <v>估价师知悉的法定优先受偿款</v>
      </c>
      <c r="B120" s="3566"/>
      <c r="C120" s="3567"/>
      <c r="D120" s="3565">
        <f>H103</f>
        <v>0</v>
      </c>
      <c r="E120" s="3566"/>
      <c r="F120" s="3566"/>
      <c r="G120" s="3566"/>
      <c r="H120" s="3566"/>
      <c r="I120" s="3567"/>
      <c r="K120" s="2420" t="str">
        <f>IF(D120=0,"故，本次评估不存在"&amp;A120,"故，本次评估"&amp;A120&amp;"为人民币"&amp;D120&amp;"万元整。")</f>
        <v>故，本次评估不存在估价师知悉的法定优先受偿款</v>
      </c>
    </row>
    <row r="121" spans="1:11" ht="18.75" customHeight="1">
      <c r="A121" s="3611" t="s">
        <v>2320</v>
      </c>
      <c r="B121" s="3612"/>
      <c r="C121" s="3613"/>
      <c r="D121" s="3570" t="str">
        <f>IF(D120=0,"零元整",NUMBERSTRING(INT(D120*10000),2)&amp;"元整")</f>
        <v>零元整</v>
      </c>
      <c r="E121" s="3572"/>
      <c r="F121" s="3572"/>
      <c r="G121" s="3572"/>
      <c r="H121" s="3572"/>
      <c r="I121" s="3571"/>
    </row>
    <row r="122" spans="1:11" ht="18.75" customHeight="1">
      <c r="A122" s="3576" t="str">
        <f>IF(项目基本情况!B9="房地产市场价值","",MID(E107,3,LEN(E107)-2))</f>
        <v>房地产抵押价值</v>
      </c>
      <c r="B122" s="3576"/>
      <c r="C122" s="3576"/>
      <c r="D122" s="3565">
        <f ca="1">H107</f>
        <v>3384</v>
      </c>
      <c r="E122" s="3566"/>
      <c r="F122" s="3566"/>
      <c r="G122" s="3566"/>
      <c r="H122" s="3566"/>
      <c r="I122" s="3567"/>
    </row>
    <row r="123" spans="1:11" ht="18.75" customHeight="1">
      <c r="A123" s="3525" t="s">
        <v>2320</v>
      </c>
      <c r="B123" s="3525"/>
      <c r="C123" s="3525"/>
      <c r="D123" s="3570" t="str">
        <f ca="1">NUMBERSTRING(INT(D122*10000),2)&amp;"元整"</f>
        <v>叁仟叁佰捌拾肆万元整</v>
      </c>
      <c r="E123" s="3572"/>
      <c r="F123" s="3572"/>
      <c r="G123" s="3572"/>
      <c r="H123" s="3572"/>
      <c r="I123" s="3571"/>
    </row>
    <row r="124" spans="1:11" ht="18.75" customHeight="1">
      <c r="A124" s="3576" t="str">
        <f>IF(项目基本情况!B9="房地产市场价值","",MID(E109,3,LEN(E109)-2))</f>
        <v/>
      </c>
      <c r="B124" s="3576"/>
      <c r="C124" s="3576"/>
      <c r="D124" s="3565" t="str">
        <f>H109</f>
        <v>——</v>
      </c>
      <c r="E124" s="3566"/>
      <c r="F124" s="3566"/>
      <c r="G124" s="3566"/>
      <c r="H124" s="3566"/>
      <c r="I124" s="3567"/>
    </row>
    <row r="125" spans="1:11" ht="18.75" customHeight="1">
      <c r="A125" s="3525" t="s">
        <v>2320</v>
      </c>
      <c r="B125" s="3525"/>
      <c r="C125" s="3525"/>
      <c r="D125" s="3570" t="e">
        <f>NUMBERSTRING(INT(D124*10000),2)&amp;"元整"</f>
        <v>#VALUE!</v>
      </c>
      <c r="E125" s="3572"/>
      <c r="F125" s="3572"/>
      <c r="G125" s="3572"/>
      <c r="H125" s="3572"/>
      <c r="I125" s="3571"/>
    </row>
    <row r="126" spans="1:11" ht="18.75" customHeight="1">
      <c r="A126" s="3576" t="str">
        <f>IF(项目基本情况!B9="房地产市场价值","",MID(E111,3,LEN(E111)-2))</f>
        <v/>
      </c>
      <c r="B126" s="3576"/>
      <c r="C126" s="3576"/>
      <c r="D126" s="3565" t="str">
        <f>H111</f>
        <v>——</v>
      </c>
      <c r="E126" s="3566"/>
      <c r="F126" s="3566"/>
      <c r="G126" s="3566"/>
      <c r="H126" s="3566"/>
      <c r="I126" s="3567"/>
    </row>
    <row r="127" spans="1:11" ht="18.75" customHeight="1">
      <c r="A127" s="3525" t="s">
        <v>2320</v>
      </c>
      <c r="B127" s="3525"/>
      <c r="C127" s="3525"/>
      <c r="D127" s="3570" t="e">
        <f>NUMBERSTRING(INT(D126*10000),2)&amp;"元整"</f>
        <v>#VALUE!</v>
      </c>
      <c r="E127" s="3572"/>
      <c r="F127" s="3572"/>
      <c r="G127" s="3572"/>
      <c r="H127" s="3572"/>
      <c r="I127" s="3571"/>
    </row>
    <row r="128" spans="1:11" ht="21.75" customHeight="1">
      <c r="A128" s="3573" t="s">
        <v>2321</v>
      </c>
      <c r="B128" s="3573"/>
      <c r="C128" s="3573"/>
      <c r="D128" s="3573"/>
      <c r="E128" s="3573"/>
      <c r="F128" s="3573"/>
      <c r="G128" s="3573"/>
      <c r="H128" s="3573"/>
      <c r="I128" s="3573"/>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M36" sqref="M3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3086</v>
      </c>
      <c r="G1" s="1627" t="s">
        <v>2646</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2330</v>
      </c>
      <c r="B2" s="1414">
        <f>IF(C2="——",ROUND(C49*D3/10000,0),ROUND(C49*D3/10000,0)-D2)</f>
        <v>3678</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2332</v>
      </c>
      <c r="B3" s="608">
        <f>IF(C2="——",C49,ROUND(B2*10000/D3,0))</f>
        <v>56043</v>
      </c>
      <c r="C3" s="399" t="s">
        <v>2647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2648</v>
      </c>
      <c r="B4" s="401"/>
      <c r="C4" s="3665" t="s">
        <v>2649</v>
      </c>
      <c r="D4" s="3666"/>
      <c r="E4" s="3667" t="s">
        <v>2650</v>
      </c>
      <c r="F4" s="3668"/>
      <c r="G4" s="3665" t="s">
        <v>2651</v>
      </c>
      <c r="H4" s="3666"/>
      <c r="I4" s="3665" t="s">
        <v>2652</v>
      </c>
      <c r="J4" s="3666"/>
      <c r="K4" s="609" t="s">
        <v>2653</v>
      </c>
      <c r="L4" s="1126"/>
      <c r="M4" s="1127"/>
      <c r="N4" s="1127"/>
      <c r="O4" s="1127"/>
      <c r="P4" s="3669" t="s">
        <v>2654</v>
      </c>
      <c r="Q4" s="3670"/>
      <c r="R4" s="3650" t="s">
        <v>2650</v>
      </c>
      <c r="S4" s="3651"/>
      <c r="T4" s="3650" t="s">
        <v>2651</v>
      </c>
      <c r="U4" s="3651"/>
      <c r="V4" s="3677" t="s">
        <v>2652</v>
      </c>
      <c r="W4" s="3677"/>
      <c r="X4" s="1809"/>
      <c r="Y4" s="3650" t="s">
        <v>2654</v>
      </c>
      <c r="Z4" s="3651"/>
      <c r="AA4" s="3645" t="s">
        <v>2650</v>
      </c>
      <c r="AB4" s="3677" t="s">
        <v>2651</v>
      </c>
      <c r="AC4" s="3645" t="s">
        <v>2652</v>
      </c>
    </row>
    <row r="5" spans="1:29" ht="15">
      <c r="A5" s="403"/>
      <c r="B5" s="404"/>
      <c r="C5" s="3656" t="s">
        <v>2545</v>
      </c>
      <c r="D5" s="3657"/>
      <c r="E5" s="3760" t="s">
        <v>3219</v>
      </c>
      <c r="F5" s="3761"/>
      <c r="G5" s="3762" t="s">
        <v>3220</v>
      </c>
      <c r="H5" s="3657"/>
      <c r="I5" s="3762" t="s">
        <v>3221</v>
      </c>
      <c r="J5" s="3657"/>
      <c r="K5" s="609"/>
      <c r="L5" s="1126"/>
      <c r="M5" s="1127"/>
      <c r="N5" s="1127"/>
      <c r="O5" s="1127"/>
      <c r="P5" s="3671"/>
      <c r="Q5" s="3672"/>
      <c r="R5" s="3652"/>
      <c r="S5" s="3653"/>
      <c r="T5" s="3652"/>
      <c r="U5" s="3653"/>
      <c r="V5" s="3677"/>
      <c r="W5" s="3677"/>
      <c r="X5" s="1809"/>
      <c r="Y5" s="3652"/>
      <c r="Z5" s="3653"/>
      <c r="AA5" s="3646"/>
      <c r="AB5" s="3677"/>
      <c r="AC5" s="3646"/>
    </row>
    <row r="6" spans="1:29" ht="15.75" thickBot="1">
      <c r="A6" s="405"/>
      <c r="B6" s="406"/>
      <c r="C6" s="3658" t="s">
        <v>2549</v>
      </c>
      <c r="D6" s="3659"/>
      <c r="E6" s="3763" t="s">
        <v>3222</v>
      </c>
      <c r="F6" s="3663"/>
      <c r="G6" s="3764" t="s">
        <v>3223</v>
      </c>
      <c r="H6" s="3659"/>
      <c r="I6" s="3764" t="s">
        <v>3224</v>
      </c>
      <c r="J6" s="3659"/>
      <c r="K6" s="609" t="s">
        <v>2550</v>
      </c>
      <c r="L6" s="1126"/>
      <c r="M6" s="1127"/>
      <c r="N6" s="1127"/>
      <c r="O6" s="1127"/>
      <c r="P6" s="3673"/>
      <c r="Q6" s="3674"/>
      <c r="R6" s="3652"/>
      <c r="S6" s="3653"/>
      <c r="T6" s="3675"/>
      <c r="U6" s="3676"/>
      <c r="V6" s="3677"/>
      <c r="W6" s="3677"/>
      <c r="X6" s="1809"/>
      <c r="Y6" s="3675"/>
      <c r="Z6" s="3676"/>
      <c r="AA6" s="3647"/>
      <c r="AB6" s="3677"/>
      <c r="AC6" s="3647"/>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48" t="s">
        <v>2552</v>
      </c>
      <c r="Q7" s="3678"/>
      <c r="R7" s="766" t="s">
        <v>17</v>
      </c>
      <c r="S7" s="767">
        <f t="shared" ref="S7:S15" si="0">F7</f>
        <v>100</v>
      </c>
      <c r="T7" s="766" t="s">
        <v>17</v>
      </c>
      <c r="U7" s="767">
        <f t="shared" ref="U7:U15" si="1">H7</f>
        <v>100</v>
      </c>
      <c r="V7" s="766" t="s">
        <v>17</v>
      </c>
      <c r="W7" s="767">
        <f t="shared" ref="W7:W15" si="2">J7</f>
        <v>100</v>
      </c>
      <c r="X7" s="768"/>
      <c r="Y7" s="3648" t="s">
        <v>2552</v>
      </c>
      <c r="Z7" s="3649"/>
      <c r="AA7" s="769">
        <f>D7/F7</f>
        <v>1</v>
      </c>
      <c r="AB7" s="769">
        <f>D7/H7</f>
        <v>1</v>
      </c>
      <c r="AC7" s="769">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48" t="s">
        <v>2555</v>
      </c>
      <c r="Q8" s="3649"/>
      <c r="R8" s="766" t="s">
        <v>17</v>
      </c>
      <c r="S8" s="767">
        <f t="shared" si="0"/>
        <v>100</v>
      </c>
      <c r="T8" s="766" t="s">
        <v>17</v>
      </c>
      <c r="U8" s="767">
        <f t="shared" si="1"/>
        <v>100</v>
      </c>
      <c r="V8" s="766" t="s">
        <v>17</v>
      </c>
      <c r="W8" s="767">
        <f t="shared" si="2"/>
        <v>100</v>
      </c>
      <c r="X8" s="768"/>
      <c r="Y8" s="3648" t="s">
        <v>2555</v>
      </c>
      <c r="Z8" s="3649"/>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64" t="s">
        <v>2558</v>
      </c>
      <c r="Q9" s="1791" t="str">
        <f t="shared" ref="Q9:Q15" si="6">B9</f>
        <v>用途</v>
      </c>
      <c r="R9" s="766" t="s">
        <v>17</v>
      </c>
      <c r="S9" s="767">
        <f t="shared" si="0"/>
        <v>100</v>
      </c>
      <c r="T9" s="766" t="s">
        <v>17</v>
      </c>
      <c r="U9" s="767">
        <f t="shared" si="1"/>
        <v>100</v>
      </c>
      <c r="V9" s="766" t="s">
        <v>17</v>
      </c>
      <c r="W9" s="767">
        <f t="shared" si="2"/>
        <v>100</v>
      </c>
      <c r="X9" s="768"/>
      <c r="Y9" s="3525" t="s">
        <v>2559</v>
      </c>
      <c r="Z9" s="55" t="str">
        <f t="shared" ref="Z9:Z15" si="7">Q9</f>
        <v>用途</v>
      </c>
      <c r="AA9" s="769">
        <f t="shared" si="3"/>
        <v>1</v>
      </c>
      <c r="AB9" s="769">
        <f t="shared" si="4"/>
        <v>1</v>
      </c>
      <c r="AC9" s="769">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64"/>
      <c r="Q10" s="1791" t="str">
        <f t="shared" si="6"/>
        <v>土地使用年限（年）</v>
      </c>
      <c r="R10" s="766" t="s">
        <v>17</v>
      </c>
      <c r="S10" s="767">
        <f t="shared" si="0"/>
        <v>100</v>
      </c>
      <c r="T10" s="766" t="s">
        <v>17</v>
      </c>
      <c r="U10" s="767">
        <f t="shared" si="1"/>
        <v>100</v>
      </c>
      <c r="V10" s="766" t="s">
        <v>17</v>
      </c>
      <c r="W10" s="767">
        <f t="shared" si="2"/>
        <v>100</v>
      </c>
      <c r="X10" s="768"/>
      <c r="Y10" s="3525"/>
      <c r="Z10" s="55" t="str">
        <f t="shared" si="7"/>
        <v>土地使用年限（年）</v>
      </c>
      <c r="AA10" s="769">
        <f t="shared" si="3"/>
        <v>1</v>
      </c>
      <c r="AB10" s="769">
        <f t="shared" si="4"/>
        <v>1</v>
      </c>
      <c r="AC10" s="769">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64"/>
      <c r="Q11" s="1791" t="str">
        <f t="shared" si="6"/>
        <v>容积率</v>
      </c>
      <c r="R11" s="766" t="s">
        <v>17</v>
      </c>
      <c r="S11" s="767">
        <f t="shared" si="0"/>
        <v>100</v>
      </c>
      <c r="T11" s="766" t="s">
        <v>17</v>
      </c>
      <c r="U11" s="767">
        <f t="shared" si="1"/>
        <v>100</v>
      </c>
      <c r="V11" s="766" t="s">
        <v>17</v>
      </c>
      <c r="W11" s="767">
        <f t="shared" si="2"/>
        <v>100</v>
      </c>
      <c r="X11" s="768"/>
      <c r="Y11" s="3525"/>
      <c r="Z11" s="55" t="str">
        <f t="shared" si="7"/>
        <v>容积率</v>
      </c>
      <c r="AA11" s="769">
        <f t="shared" si="3"/>
        <v>1</v>
      </c>
      <c r="AB11" s="769">
        <f t="shared" si="4"/>
        <v>1</v>
      </c>
      <c r="AC11" s="769">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64"/>
      <c r="Q12" s="1791">
        <f t="shared" si="6"/>
        <v>111</v>
      </c>
      <c r="R12" s="766" t="s">
        <v>17</v>
      </c>
      <c r="S12" s="767">
        <f t="shared" si="0"/>
        <v>100</v>
      </c>
      <c r="T12" s="766" t="s">
        <v>17</v>
      </c>
      <c r="U12" s="767">
        <f t="shared" si="1"/>
        <v>100</v>
      </c>
      <c r="V12" s="766" t="s">
        <v>17</v>
      </c>
      <c r="W12" s="767">
        <f t="shared" si="2"/>
        <v>100</v>
      </c>
      <c r="X12" s="768"/>
      <c r="Y12" s="3525"/>
      <c r="Z12" s="55">
        <f t="shared" si="7"/>
        <v>111</v>
      </c>
      <c r="AA12" s="769">
        <f>D12/F12</f>
        <v>1</v>
      </c>
      <c r="AB12" s="769">
        <f>D12/H12</f>
        <v>1</v>
      </c>
      <c r="AC12" s="769">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64"/>
      <c r="Q13" s="1791">
        <f t="shared" si="6"/>
        <v>111</v>
      </c>
      <c r="R13" s="766" t="s">
        <v>17</v>
      </c>
      <c r="S13" s="767">
        <f t="shared" si="0"/>
        <v>100</v>
      </c>
      <c r="T13" s="766" t="s">
        <v>17</v>
      </c>
      <c r="U13" s="767">
        <f t="shared" si="1"/>
        <v>100</v>
      </c>
      <c r="V13" s="766" t="s">
        <v>17</v>
      </c>
      <c r="W13" s="767">
        <f t="shared" si="2"/>
        <v>100</v>
      </c>
      <c r="X13" s="768"/>
      <c r="Y13" s="3525"/>
      <c r="Z13" s="55">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64"/>
      <c r="Q14" s="1791">
        <f t="shared" si="6"/>
        <v>111</v>
      </c>
      <c r="R14" s="766" t="s">
        <v>17</v>
      </c>
      <c r="S14" s="767">
        <f t="shared" si="0"/>
        <v>100</v>
      </c>
      <c r="T14" s="766" t="s">
        <v>17</v>
      </c>
      <c r="U14" s="767">
        <f t="shared" si="1"/>
        <v>100</v>
      </c>
      <c r="V14" s="766" t="s">
        <v>17</v>
      </c>
      <c r="W14" s="767">
        <f t="shared" si="2"/>
        <v>100</v>
      </c>
      <c r="X14" s="768"/>
      <c r="Y14" s="3525"/>
      <c r="Z14" s="55">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91" t="s">
        <v>2563</v>
      </c>
      <c r="Q15" s="1806" t="str">
        <f t="shared" si="6"/>
        <v>商业繁华度</v>
      </c>
      <c r="R15" s="770" t="s">
        <v>17</v>
      </c>
      <c r="S15" s="771">
        <f t="shared" si="0"/>
        <v>95</v>
      </c>
      <c r="T15" s="770" t="s">
        <v>17</v>
      </c>
      <c r="U15" s="771">
        <f t="shared" si="1"/>
        <v>95</v>
      </c>
      <c r="V15" s="770" t="s">
        <v>17</v>
      </c>
      <c r="W15" s="771">
        <f t="shared" si="2"/>
        <v>95</v>
      </c>
      <c r="X15" s="1809"/>
      <c r="Y15" s="3684" t="s">
        <v>2563</v>
      </c>
      <c r="Z15" s="1810" t="str">
        <f t="shared" si="7"/>
        <v>商业繁华度</v>
      </c>
      <c r="AA15" s="1807">
        <f t="shared" si="3"/>
        <v>1.0526315789473684</v>
      </c>
      <c r="AB15" s="1807">
        <f t="shared" si="4"/>
        <v>1.0526315789473684</v>
      </c>
      <c r="AC15" s="1807">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92"/>
      <c r="Q16" s="1806"/>
      <c r="R16" s="770"/>
      <c r="S16" s="771"/>
      <c r="T16" s="770"/>
      <c r="U16" s="771"/>
      <c r="V16" s="770"/>
      <c r="W16" s="771"/>
      <c r="X16" s="1809"/>
      <c r="Y16" s="3685"/>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36"/>
      <c r="M17" s="1127"/>
      <c r="N17" s="1127"/>
      <c r="O17" s="1127"/>
      <c r="P17" s="3692"/>
      <c r="Q17" s="1806" t="str">
        <f>B17</f>
        <v>交通便捷度</v>
      </c>
      <c r="R17" s="770" t="s">
        <v>17</v>
      </c>
      <c r="S17" s="771">
        <f>F17</f>
        <v>97</v>
      </c>
      <c r="T17" s="770" t="s">
        <v>17</v>
      </c>
      <c r="U17" s="771">
        <f>H17</f>
        <v>97</v>
      </c>
      <c r="V17" s="770" t="s">
        <v>17</v>
      </c>
      <c r="W17" s="771">
        <f>J17</f>
        <v>97</v>
      </c>
      <c r="X17" s="1809"/>
      <c r="Y17" s="3685"/>
      <c r="Z17" s="1810" t="str">
        <f>Q17</f>
        <v>交通便捷度</v>
      </c>
      <c r="AA17" s="1807">
        <f t="shared" si="3"/>
        <v>1.0309278350515463</v>
      </c>
      <c r="AB17" s="1807">
        <f t="shared" si="4"/>
        <v>1.0309278350515463</v>
      </c>
      <c r="AC17" s="1807">
        <f t="shared" si="5"/>
        <v>1.0309278350515463</v>
      </c>
    </row>
    <row r="18" spans="1:29" ht="15">
      <c r="A18" s="427"/>
      <c r="B18" s="455"/>
      <c r="C18" s="2607" t="s">
        <v>3133</v>
      </c>
      <c r="D18" s="449"/>
      <c r="E18" s="2609" t="s">
        <v>3116</v>
      </c>
      <c r="F18" s="452"/>
      <c r="G18" s="2608" t="s">
        <v>3116</v>
      </c>
      <c r="H18" s="447"/>
      <c r="I18" s="2609" t="s">
        <v>3116</v>
      </c>
      <c r="J18" s="447"/>
      <c r="K18" s="614"/>
      <c r="L18" s="1136"/>
      <c r="M18" s="1127"/>
      <c r="N18" s="1127"/>
      <c r="O18" s="1127"/>
      <c r="P18" s="3692"/>
      <c r="Q18" s="1806"/>
      <c r="R18" s="770"/>
      <c r="S18" s="771"/>
      <c r="T18" s="770"/>
      <c r="U18" s="771"/>
      <c r="V18" s="770"/>
      <c r="W18" s="771"/>
      <c r="X18" s="1809"/>
      <c r="Y18" s="3685"/>
      <c r="Z18" s="1810"/>
      <c r="AA18" s="1807">
        <v>1</v>
      </c>
      <c r="AB18" s="1807">
        <v>1</v>
      </c>
      <c r="AC18" s="1807">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92"/>
      <c r="Q19" s="1806" t="str">
        <f>B19</f>
        <v>公共配套设施</v>
      </c>
      <c r="R19" s="770" t="s">
        <v>17</v>
      </c>
      <c r="S19" s="771">
        <f>F19</f>
        <v>100</v>
      </c>
      <c r="T19" s="770" t="s">
        <v>17</v>
      </c>
      <c r="U19" s="771">
        <f>H19</f>
        <v>100</v>
      </c>
      <c r="V19" s="770" t="s">
        <v>17</v>
      </c>
      <c r="W19" s="771">
        <f>J19</f>
        <v>100</v>
      </c>
      <c r="X19" s="1809"/>
      <c r="Y19" s="3685"/>
      <c r="Z19" s="1810" t="str">
        <f>Q19</f>
        <v>公共配套设施</v>
      </c>
      <c r="AA19" s="1807">
        <f t="shared" si="3"/>
        <v>1</v>
      </c>
      <c r="AB19" s="1807">
        <f t="shared" si="4"/>
        <v>1</v>
      </c>
      <c r="AC19" s="1807">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92"/>
      <c r="Q20" s="1806"/>
      <c r="R20" s="770"/>
      <c r="S20" s="771"/>
      <c r="T20" s="770"/>
      <c r="U20" s="771"/>
      <c r="V20" s="770"/>
      <c r="W20" s="771"/>
      <c r="X20" s="1809"/>
      <c r="Y20" s="3685"/>
      <c r="Z20" s="1810"/>
      <c r="AA20" s="1807">
        <v>1</v>
      </c>
      <c r="AB20" s="1807">
        <v>1</v>
      </c>
      <c r="AC20" s="1807">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92"/>
      <c r="Q21" s="1806" t="str">
        <f>B21</f>
        <v>基础设施水平</v>
      </c>
      <c r="R21" s="770" t="s">
        <v>17</v>
      </c>
      <c r="S21" s="771">
        <f>F21</f>
        <v>100</v>
      </c>
      <c r="T21" s="770" t="s">
        <v>17</v>
      </c>
      <c r="U21" s="771">
        <f>H21</f>
        <v>100</v>
      </c>
      <c r="V21" s="770" t="s">
        <v>17</v>
      </c>
      <c r="W21" s="771">
        <f>J21</f>
        <v>100</v>
      </c>
      <c r="X21" s="1809"/>
      <c r="Y21" s="3685"/>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92"/>
      <c r="Q22" s="1806"/>
      <c r="R22" s="770"/>
      <c r="S22" s="771"/>
      <c r="T22" s="770"/>
      <c r="U22" s="771"/>
      <c r="V22" s="770"/>
      <c r="W22" s="771"/>
      <c r="X22" s="1809"/>
      <c r="Y22" s="3685"/>
      <c r="Z22" s="1810"/>
      <c r="AA22" s="1807">
        <v>1</v>
      </c>
      <c r="AB22" s="1807">
        <v>1</v>
      </c>
      <c r="AC22" s="1807">
        <v>1</v>
      </c>
    </row>
    <row r="23" spans="1:29" ht="57">
      <c r="A23" s="427"/>
      <c r="B23" s="450" t="s">
        <v>2104</v>
      </c>
      <c r="C23" s="2663"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6"/>
      <c r="M23" s="1127"/>
      <c r="N23" s="1127"/>
      <c r="O23" s="1127"/>
      <c r="P23" s="3692"/>
      <c r="Q23" s="1806" t="str">
        <f>B23</f>
        <v>自然及人文环境</v>
      </c>
      <c r="R23" s="770" t="s">
        <v>17</v>
      </c>
      <c r="S23" s="771">
        <f>F23</f>
        <v>97</v>
      </c>
      <c r="T23" s="770" t="s">
        <v>17</v>
      </c>
      <c r="U23" s="771">
        <f>H23</f>
        <v>97</v>
      </c>
      <c r="V23" s="770" t="s">
        <v>17</v>
      </c>
      <c r="W23" s="771">
        <f>J23</f>
        <v>97</v>
      </c>
      <c r="X23" s="1809"/>
      <c r="Y23" s="3685"/>
      <c r="Z23" s="1810" t="str">
        <f>Q23</f>
        <v>自然及人文环境</v>
      </c>
      <c r="AA23" s="1807">
        <f t="shared" si="3"/>
        <v>1.0309278350515463</v>
      </c>
      <c r="AB23" s="1807">
        <f t="shared" si="4"/>
        <v>1.0309278350515463</v>
      </c>
      <c r="AC23" s="1807">
        <f t="shared" si="5"/>
        <v>1.0309278350515463</v>
      </c>
    </row>
    <row r="24" spans="1:29" ht="15">
      <c r="A24" s="427"/>
      <c r="B24" s="455"/>
      <c r="C24" s="446" t="s">
        <v>3133</v>
      </c>
      <c r="D24" s="447"/>
      <c r="E24" s="2604" t="s">
        <v>3116</v>
      </c>
      <c r="F24" s="448"/>
      <c r="G24" s="2603" t="s">
        <v>3116</v>
      </c>
      <c r="H24" s="447"/>
      <c r="I24" s="2604" t="s">
        <v>3116</v>
      </c>
      <c r="J24" s="447"/>
      <c r="K24" s="614"/>
      <c r="L24" s="1136"/>
      <c r="M24" s="1127"/>
      <c r="N24" s="1127"/>
      <c r="O24" s="1127"/>
      <c r="P24" s="3692"/>
      <c r="Q24" s="1806"/>
      <c r="R24" s="770"/>
      <c r="S24" s="771"/>
      <c r="T24" s="770"/>
      <c r="U24" s="771"/>
      <c r="V24" s="770"/>
      <c r="W24" s="771"/>
      <c r="X24" s="1809"/>
      <c r="Y24" s="3685"/>
      <c r="Z24" s="1810"/>
      <c r="AA24" s="1807">
        <v>1</v>
      </c>
      <c r="AB24" s="1807">
        <v>1</v>
      </c>
      <c r="AC24" s="1807">
        <v>1</v>
      </c>
    </row>
    <row r="25" spans="1:29" ht="15">
      <c r="A25" s="427"/>
      <c r="B25" s="421" t="s">
        <v>2659</v>
      </c>
      <c r="C25" s="615" t="s">
        <v>3254</v>
      </c>
      <c r="D25" s="434">
        <v>100</v>
      </c>
      <c r="E25" s="615" t="s">
        <v>3408</v>
      </c>
      <c r="F25" s="460">
        <f>SUMIF(86:86,E25,87:87)-SUMIF(86:86,C25,87:87)+100</f>
        <v>102</v>
      </c>
      <c r="G25" s="615" t="s">
        <v>3254</v>
      </c>
      <c r="H25" s="434">
        <f>SUMIF(86:86,G25,87:87)-SUMIF(86:86,C25,87:87)+100</f>
        <v>100</v>
      </c>
      <c r="I25" s="615" t="s">
        <v>3254</v>
      </c>
      <c r="J25" s="434">
        <f>SUMIF(86:86,I25,87:87)-SUMIF(86:86,C25,87:87)+100</f>
        <v>100</v>
      </c>
      <c r="K25" s="611">
        <v>2</v>
      </c>
      <c r="L25" s="1136"/>
      <c r="M25" s="1127"/>
      <c r="N25" s="1127"/>
      <c r="O25" s="1127"/>
      <c r="P25" s="3692"/>
      <c r="Q25" s="1806" t="str">
        <f t="shared" ref="Q25:Q46" si="11">B25</f>
        <v>临街状况</v>
      </c>
      <c r="R25" s="770" t="s">
        <v>17</v>
      </c>
      <c r="S25" s="771">
        <f>F25</f>
        <v>102</v>
      </c>
      <c r="T25" s="770" t="s">
        <v>17</v>
      </c>
      <c r="U25" s="771">
        <f>H25</f>
        <v>100</v>
      </c>
      <c r="V25" s="770" t="s">
        <v>17</v>
      </c>
      <c r="W25" s="771">
        <f>J25</f>
        <v>100</v>
      </c>
      <c r="X25" s="1809"/>
      <c r="Y25" s="3685"/>
      <c r="Z25" s="1810" t="str">
        <f>Q25</f>
        <v>临街状况</v>
      </c>
      <c r="AA25" s="1807">
        <f t="shared" si="3"/>
        <v>0.98039215686274506</v>
      </c>
      <c r="AB25" s="1807">
        <f t="shared" si="4"/>
        <v>1</v>
      </c>
      <c r="AC25" s="1807">
        <f t="shared" si="5"/>
        <v>1</v>
      </c>
    </row>
    <row r="26" spans="1:29" ht="15">
      <c r="A26" s="427"/>
      <c r="B26" s="1382" t="s">
        <v>2660</v>
      </c>
      <c r="C26" s="3345" t="s">
        <v>3255</v>
      </c>
      <c r="D26" s="434">
        <v>100</v>
      </c>
      <c r="E26" s="3345" t="s">
        <v>3256</v>
      </c>
      <c r="F26" s="460">
        <f>SUMIF(88:88,E26,89:89)-SUMIF(88:88,C26,89:89)+100</f>
        <v>100</v>
      </c>
      <c r="G26" s="3345" t="s">
        <v>3256</v>
      </c>
      <c r="H26" s="434">
        <f>SUMIF(88:88,G26,89:89)-SUMIF(88:88,C26,89:89)+100</f>
        <v>100</v>
      </c>
      <c r="I26" s="3345" t="s">
        <v>3256</v>
      </c>
      <c r="J26" s="434">
        <f>SUMIF(88:88,I26,89:89)-SUMIF(88:88,C26,89:89)+100</f>
        <v>100</v>
      </c>
      <c r="K26" s="612"/>
      <c r="L26" s="1136"/>
      <c r="M26" s="1127"/>
      <c r="N26" s="1127"/>
      <c r="O26" s="1127"/>
      <c r="P26" s="3692"/>
      <c r="Q26" s="1806" t="str">
        <f t="shared" si="11"/>
        <v>平面位置/可视性</v>
      </c>
      <c r="R26" s="770" t="s">
        <v>17</v>
      </c>
      <c r="S26" s="771">
        <f>F26</f>
        <v>100</v>
      </c>
      <c r="T26" s="770" t="s">
        <v>17</v>
      </c>
      <c r="U26" s="771">
        <f>H26</f>
        <v>100</v>
      </c>
      <c r="V26" s="770" t="s">
        <v>17</v>
      </c>
      <c r="W26" s="771">
        <f>J26</f>
        <v>100</v>
      </c>
      <c r="X26" s="1809"/>
      <c r="Y26" s="3685"/>
      <c r="Z26" s="1810" t="str">
        <f>Q26</f>
        <v>平面位置/可视性</v>
      </c>
      <c r="AA26" s="1807">
        <f t="shared" si="3"/>
        <v>1</v>
      </c>
      <c r="AB26" s="1807">
        <f t="shared" si="4"/>
        <v>1</v>
      </c>
      <c r="AC26" s="1807">
        <f t="shared" si="5"/>
        <v>1</v>
      </c>
    </row>
    <row r="27" spans="1:29" s="116" customFormat="1" ht="15">
      <c r="A27" s="430"/>
      <c r="B27" s="450" t="s">
        <v>2661</v>
      </c>
      <c r="C27" s="2664" t="s">
        <v>3258</v>
      </c>
      <c r="D27" s="461">
        <v>100</v>
      </c>
      <c r="E27" s="2664" t="s">
        <v>3258</v>
      </c>
      <c r="F27" s="463">
        <f>SUMIF(90:90,E27,91:91)-SUMIF(90:90,C27,91:91)+100</f>
        <v>100</v>
      </c>
      <c r="G27" s="2664" t="s">
        <v>3257</v>
      </c>
      <c r="H27" s="461">
        <f>SUMIF(90:90,G27,91:91)-SUMIF(90:90,C27,91:91)+100</f>
        <v>97</v>
      </c>
      <c r="I27" s="2664" t="s">
        <v>3257</v>
      </c>
      <c r="J27" s="461">
        <f>SUMIF(90:90,I27,91:91)-SUMIF(90:90,C27,91:91)+100</f>
        <v>97</v>
      </c>
      <c r="K27" s="611">
        <v>3</v>
      </c>
      <c r="L27" s="1128"/>
      <c r="M27" s="1129"/>
      <c r="N27" s="1129"/>
      <c r="O27" s="1129"/>
      <c r="P27" s="3692"/>
      <c r="Q27" s="1791" t="str">
        <f t="shared" si="11"/>
        <v>人流量</v>
      </c>
      <c r="R27" s="766" t="s">
        <v>17</v>
      </c>
      <c r="S27" s="767">
        <f>F27</f>
        <v>100</v>
      </c>
      <c r="T27" s="766" t="s">
        <v>17</v>
      </c>
      <c r="U27" s="767">
        <f>H27</f>
        <v>97</v>
      </c>
      <c r="V27" s="766" t="s">
        <v>17</v>
      </c>
      <c r="W27" s="767">
        <f>J27</f>
        <v>97</v>
      </c>
      <c r="X27" s="768"/>
      <c r="Y27" s="3685"/>
      <c r="Z27" s="55" t="str">
        <f>Q27</f>
        <v>人流量</v>
      </c>
      <c r="AA27" s="1807">
        <f>D27/F27</f>
        <v>1</v>
      </c>
      <c r="AB27" s="1807">
        <f>D27/H27</f>
        <v>1.0309278350515463</v>
      </c>
      <c r="AC27" s="1807">
        <f>D27/J27</f>
        <v>1.0309278350515463</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92"/>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685"/>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92"/>
      <c r="Q29" s="1806">
        <f t="shared" si="11"/>
        <v>111</v>
      </c>
      <c r="R29" s="770" t="s">
        <v>17</v>
      </c>
      <c r="S29" s="771">
        <f t="shared" si="12"/>
        <v>100</v>
      </c>
      <c r="T29" s="770" t="s">
        <v>17</v>
      </c>
      <c r="U29" s="771">
        <f t="shared" si="13"/>
        <v>100</v>
      </c>
      <c r="V29" s="770" t="s">
        <v>17</v>
      </c>
      <c r="W29" s="771">
        <f t="shared" si="14"/>
        <v>100</v>
      </c>
      <c r="X29" s="1809"/>
      <c r="Y29" s="3685"/>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92"/>
      <c r="Q30" s="1806">
        <f t="shared" si="11"/>
        <v>111</v>
      </c>
      <c r="R30" s="770" t="s">
        <v>17</v>
      </c>
      <c r="S30" s="771">
        <f t="shared" si="12"/>
        <v>100</v>
      </c>
      <c r="T30" s="770" t="s">
        <v>17</v>
      </c>
      <c r="U30" s="771">
        <f t="shared" si="13"/>
        <v>100</v>
      </c>
      <c r="V30" s="770" t="s">
        <v>17</v>
      </c>
      <c r="W30" s="771">
        <f t="shared" si="14"/>
        <v>100</v>
      </c>
      <c r="X30" s="1809"/>
      <c r="Y30" s="3685"/>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92"/>
      <c r="Q31" s="1806">
        <f t="shared" si="11"/>
        <v>111</v>
      </c>
      <c r="R31" s="770" t="s">
        <v>17</v>
      </c>
      <c r="S31" s="771">
        <f t="shared" si="12"/>
        <v>100</v>
      </c>
      <c r="T31" s="770" t="s">
        <v>17</v>
      </c>
      <c r="U31" s="771">
        <f t="shared" si="13"/>
        <v>100</v>
      </c>
      <c r="V31" s="770" t="s">
        <v>17</v>
      </c>
      <c r="W31" s="771">
        <f t="shared" si="14"/>
        <v>100</v>
      </c>
      <c r="X31" s="1809"/>
      <c r="Y31" s="3685"/>
      <c r="Z31" s="1810">
        <f t="shared" si="15"/>
        <v>111</v>
      </c>
      <c r="AA31" s="1807">
        <f t="shared" si="3"/>
        <v>1</v>
      </c>
      <c r="AB31" s="1807">
        <f t="shared" si="4"/>
        <v>1</v>
      </c>
      <c r="AC31" s="1807">
        <f t="shared" si="5"/>
        <v>1</v>
      </c>
    </row>
    <row r="32" spans="1:29" ht="15">
      <c r="A32" s="439" t="s">
        <v>2566</v>
      </c>
      <c r="B32" s="71" t="s">
        <v>2663</v>
      </c>
      <c r="C32" s="2616" t="s">
        <v>3260</v>
      </c>
      <c r="D32" s="466">
        <v>100</v>
      </c>
      <c r="E32" s="2616" t="s">
        <v>3406</v>
      </c>
      <c r="F32" s="460">
        <f>SUMIF(100:100,E32,101:101)-SUMIF(100:100,C32,101:101)+100</f>
        <v>104</v>
      </c>
      <c r="G32" s="2616" t="s">
        <v>3260</v>
      </c>
      <c r="H32" s="434">
        <f>SUMIF(100:100,G32,101:101)-SUMIF(100:100,C32,101:101)+100</f>
        <v>100</v>
      </c>
      <c r="I32" s="2616" t="s">
        <v>3261</v>
      </c>
      <c r="J32" s="466">
        <f>SUMIF(100:100,I32,101:101)-SUMIF(100:100,C32,101:101)+100</f>
        <v>102</v>
      </c>
      <c r="K32" s="611">
        <v>2</v>
      </c>
      <c r="L32" s="1136"/>
      <c r="M32" s="1127"/>
      <c r="N32" s="1127"/>
      <c r="O32" s="1127"/>
      <c r="P32" s="3686" t="s">
        <v>2568</v>
      </c>
      <c r="Q32" s="1806" t="str">
        <f t="shared" si="11"/>
        <v>商业类型</v>
      </c>
      <c r="R32" s="770" t="s">
        <v>17</v>
      </c>
      <c r="S32" s="771">
        <f t="shared" si="12"/>
        <v>104</v>
      </c>
      <c r="T32" s="770" t="s">
        <v>17</v>
      </c>
      <c r="U32" s="771">
        <f t="shared" si="13"/>
        <v>100</v>
      </c>
      <c r="V32" s="770" t="s">
        <v>17</v>
      </c>
      <c r="W32" s="771">
        <f t="shared" si="14"/>
        <v>102</v>
      </c>
      <c r="X32" s="1809"/>
      <c r="Y32" s="3689" t="s">
        <v>2568</v>
      </c>
      <c r="Z32" s="1810" t="str">
        <f t="shared" si="15"/>
        <v>商业类型</v>
      </c>
      <c r="AA32" s="1807">
        <f t="shared" si="3"/>
        <v>0.96153846153846156</v>
      </c>
      <c r="AB32" s="1807">
        <f t="shared" si="4"/>
        <v>1</v>
      </c>
      <c r="AC32" s="1807">
        <f t="shared" si="5"/>
        <v>0.98039215686274506</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4"/>
      <c r="M33" s="1137"/>
      <c r="N33" s="1137"/>
      <c r="O33" s="1137"/>
      <c r="P33" s="3687"/>
      <c r="Q33" s="772" t="str">
        <f t="shared" si="11"/>
        <v>项目建筑规模</v>
      </c>
      <c r="R33" s="773" t="s">
        <v>17</v>
      </c>
      <c r="S33" s="774">
        <f t="shared" si="12"/>
        <v>106</v>
      </c>
      <c r="T33" s="773" t="s">
        <v>17</v>
      </c>
      <c r="U33" s="774">
        <f t="shared" si="13"/>
        <v>106</v>
      </c>
      <c r="V33" s="773" t="s">
        <v>17</v>
      </c>
      <c r="W33" s="774">
        <f t="shared" si="14"/>
        <v>106</v>
      </c>
      <c r="X33" s="775"/>
      <c r="Y33" s="3689"/>
      <c r="Z33" s="776" t="str">
        <f t="shared" si="15"/>
        <v>项目建筑规模</v>
      </c>
      <c r="AA33" s="1807">
        <f t="shared" si="3"/>
        <v>0.94339622641509435</v>
      </c>
      <c r="AB33" s="1807">
        <f t="shared" si="4"/>
        <v>0.94339622641509435</v>
      </c>
      <c r="AC33" s="1807">
        <f t="shared" si="5"/>
        <v>0.94339622641509435</v>
      </c>
    </row>
    <row r="34" spans="1:29" ht="15">
      <c r="A34" s="471"/>
      <c r="B34" s="421"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87"/>
      <c r="Q34" s="1806" t="str">
        <f t="shared" si="11"/>
        <v>建筑结构</v>
      </c>
      <c r="R34" s="770" t="s">
        <v>17</v>
      </c>
      <c r="S34" s="771">
        <f t="shared" si="12"/>
        <v>100</v>
      </c>
      <c r="T34" s="770" t="s">
        <v>17</v>
      </c>
      <c r="U34" s="771">
        <f t="shared" si="13"/>
        <v>100</v>
      </c>
      <c r="V34" s="770" t="s">
        <v>17</v>
      </c>
      <c r="W34" s="771">
        <f t="shared" si="14"/>
        <v>100</v>
      </c>
      <c r="X34" s="1809"/>
      <c r="Y34" s="3689"/>
      <c r="Z34" s="1810" t="str">
        <f t="shared" si="15"/>
        <v>建筑结构</v>
      </c>
      <c r="AA34" s="1807">
        <f t="shared" si="3"/>
        <v>1</v>
      </c>
      <c r="AB34" s="1807">
        <f t="shared" si="4"/>
        <v>1</v>
      </c>
      <c r="AC34" s="1807">
        <f t="shared" si="5"/>
        <v>1</v>
      </c>
    </row>
    <row r="35" spans="1:29" ht="15">
      <c r="A35" s="471"/>
      <c r="B35" s="421"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87"/>
      <c r="Q35" s="1806" t="str">
        <f t="shared" si="11"/>
        <v>公共部分装修</v>
      </c>
      <c r="R35" s="770" t="s">
        <v>17</v>
      </c>
      <c r="S35" s="771">
        <f t="shared" si="12"/>
        <v>100</v>
      </c>
      <c r="T35" s="770" t="s">
        <v>17</v>
      </c>
      <c r="U35" s="771">
        <f t="shared" si="13"/>
        <v>100</v>
      </c>
      <c r="V35" s="770" t="s">
        <v>17</v>
      </c>
      <c r="W35" s="771">
        <f t="shared" si="14"/>
        <v>100</v>
      </c>
      <c r="X35" s="1809"/>
      <c r="Y35" s="3689"/>
      <c r="Z35" s="1810" t="str">
        <f t="shared" si="15"/>
        <v>公共部分装修</v>
      </c>
      <c r="AA35" s="1807">
        <f t="shared" si="3"/>
        <v>1</v>
      </c>
      <c r="AB35" s="1807">
        <f t="shared" si="4"/>
        <v>1</v>
      </c>
      <c r="AC35" s="1807">
        <f t="shared" si="5"/>
        <v>1</v>
      </c>
    </row>
    <row r="36" spans="1:29" ht="15">
      <c r="A36" s="471"/>
      <c r="B36" s="421" t="s">
        <v>2665</v>
      </c>
      <c r="C36" s="473">
        <v>0.95</v>
      </c>
      <c r="D36" s="434">
        <v>100</v>
      </c>
      <c r="E36" s="473">
        <v>0.8</v>
      </c>
      <c r="F36" s="460">
        <f>LOOKUP(E36,110:110,111:111)-LOOKUP(C36,110:110,111:111)+100</f>
        <v>97</v>
      </c>
      <c r="G36" s="473">
        <v>0.8</v>
      </c>
      <c r="H36" s="460">
        <f>LOOKUP(G36,110:110,111:111)-LOOKUP(C36,110:110,111:111)+100</f>
        <v>97</v>
      </c>
      <c r="I36" s="473">
        <v>0.8</v>
      </c>
      <c r="J36" s="434">
        <f>LOOKUP(I36,110:110,111:111)-LOOKUP(C36,110:110,111:111)+100</f>
        <v>97</v>
      </c>
      <c r="K36" s="611">
        <v>3</v>
      </c>
      <c r="L36" s="1136"/>
      <c r="M36" s="1127"/>
      <c r="N36" s="1127"/>
      <c r="O36" s="1127"/>
      <c r="P36" s="3687"/>
      <c r="Q36" s="1806" t="str">
        <f t="shared" si="11"/>
        <v>成新度</v>
      </c>
      <c r="R36" s="770" t="s">
        <v>17</v>
      </c>
      <c r="S36" s="771">
        <f t="shared" si="12"/>
        <v>97</v>
      </c>
      <c r="T36" s="770" t="s">
        <v>17</v>
      </c>
      <c r="U36" s="771">
        <f t="shared" si="13"/>
        <v>97</v>
      </c>
      <c r="V36" s="770" t="s">
        <v>17</v>
      </c>
      <c r="W36" s="771">
        <f t="shared" si="14"/>
        <v>97</v>
      </c>
      <c r="X36" s="1809"/>
      <c r="Y36" s="3689"/>
      <c r="Z36" s="1810" t="str">
        <f t="shared" si="15"/>
        <v>成新度</v>
      </c>
      <c r="AA36" s="1807">
        <f t="shared" si="3"/>
        <v>1.0309278350515463</v>
      </c>
      <c r="AB36" s="1807">
        <f t="shared" si="4"/>
        <v>1.0309278350515463</v>
      </c>
      <c r="AC36" s="1807">
        <f t="shared" si="5"/>
        <v>1.0309278350515463</v>
      </c>
    </row>
    <row r="37" spans="1:29" s="116" customFormat="1" ht="15">
      <c r="A37" s="472"/>
      <c r="B37" s="421"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87"/>
      <c r="Q37" s="1791" t="str">
        <f t="shared" si="11"/>
        <v>市政基础设施</v>
      </c>
      <c r="R37" s="766" t="s">
        <v>17</v>
      </c>
      <c r="S37" s="767">
        <f t="shared" si="12"/>
        <v>100</v>
      </c>
      <c r="T37" s="766" t="s">
        <v>17</v>
      </c>
      <c r="U37" s="767">
        <f t="shared" si="13"/>
        <v>100</v>
      </c>
      <c r="V37" s="766" t="s">
        <v>17</v>
      </c>
      <c r="W37" s="767">
        <f t="shared" si="14"/>
        <v>100</v>
      </c>
      <c r="X37" s="768"/>
      <c r="Y37" s="3689"/>
      <c r="Z37" s="55" t="str">
        <f t="shared" si="15"/>
        <v>市政基础设施</v>
      </c>
      <c r="AA37" s="769">
        <f t="shared" si="3"/>
        <v>1</v>
      </c>
      <c r="AB37" s="769">
        <f t="shared" si="4"/>
        <v>1</v>
      </c>
      <c r="AC37" s="769">
        <f t="shared" si="5"/>
        <v>1</v>
      </c>
    </row>
    <row r="38" spans="1:29" ht="15">
      <c r="A38" s="471"/>
      <c r="B38" s="421"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5</v>
      </c>
      <c r="L38" s="1136"/>
      <c r="M38" s="1127"/>
      <c r="N38" s="1127"/>
      <c r="O38" s="1127"/>
      <c r="P38" s="3687" t="s">
        <v>2568</v>
      </c>
      <c r="Q38" s="1806" t="str">
        <f t="shared" si="11"/>
        <v>业态</v>
      </c>
      <c r="R38" s="770" t="s">
        <v>17</v>
      </c>
      <c r="S38" s="771">
        <f t="shared" si="12"/>
        <v>100</v>
      </c>
      <c r="T38" s="770" t="s">
        <v>17</v>
      </c>
      <c r="U38" s="771">
        <f t="shared" si="13"/>
        <v>100</v>
      </c>
      <c r="V38" s="770" t="s">
        <v>17</v>
      </c>
      <c r="W38" s="771">
        <f t="shared" si="14"/>
        <v>100</v>
      </c>
      <c r="X38" s="1809"/>
      <c r="Y38" s="3689" t="s">
        <v>2568</v>
      </c>
      <c r="Z38" s="1810" t="str">
        <f t="shared" si="15"/>
        <v>业态</v>
      </c>
      <c r="AA38" s="1807">
        <f t="shared" si="3"/>
        <v>1</v>
      </c>
      <c r="AB38" s="1807">
        <f t="shared" si="4"/>
        <v>1</v>
      </c>
      <c r="AC38" s="1807">
        <f t="shared" si="5"/>
        <v>1</v>
      </c>
    </row>
    <row r="39" spans="1:29" ht="15">
      <c r="A39" s="471"/>
      <c r="B39" s="421"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87"/>
      <c r="Q39" s="1806" t="str">
        <f t="shared" si="11"/>
        <v>层高</v>
      </c>
      <c r="R39" s="770" t="s">
        <v>17</v>
      </c>
      <c r="S39" s="771">
        <f t="shared" si="12"/>
        <v>95</v>
      </c>
      <c r="T39" s="770" t="s">
        <v>17</v>
      </c>
      <c r="U39" s="771">
        <f t="shared" si="13"/>
        <v>95</v>
      </c>
      <c r="V39" s="770" t="s">
        <v>17</v>
      </c>
      <c r="W39" s="771">
        <f t="shared" si="14"/>
        <v>95</v>
      </c>
      <c r="X39" s="1809"/>
      <c r="Y39" s="3689"/>
      <c r="Z39" s="1810" t="str">
        <f t="shared" si="15"/>
        <v>层高</v>
      </c>
      <c r="AA39" s="1807">
        <f t="shared" si="3"/>
        <v>1.0526315789473684</v>
      </c>
      <c r="AB39" s="1807">
        <f t="shared" si="4"/>
        <v>1.0526315789473684</v>
      </c>
      <c r="AC39" s="1807">
        <f t="shared" si="5"/>
        <v>1.0526315789473684</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87"/>
      <c r="Q40" s="1806" t="str">
        <f t="shared" si="11"/>
        <v>单套建筑面积</v>
      </c>
      <c r="R40" s="770" t="s">
        <v>17</v>
      </c>
      <c r="S40" s="771">
        <f t="shared" si="12"/>
        <v>100</v>
      </c>
      <c r="T40" s="770" t="s">
        <v>17</v>
      </c>
      <c r="U40" s="771">
        <f t="shared" si="13"/>
        <v>100</v>
      </c>
      <c r="V40" s="770" t="s">
        <v>17</v>
      </c>
      <c r="W40" s="771">
        <f t="shared" si="14"/>
        <v>100</v>
      </c>
      <c r="X40" s="1809"/>
      <c r="Y40" s="3689"/>
      <c r="Z40" s="1810" t="str">
        <f t="shared" si="15"/>
        <v>单套建筑面积</v>
      </c>
      <c r="AA40" s="1807">
        <f t="shared" si="3"/>
        <v>1</v>
      </c>
      <c r="AB40" s="1807">
        <f t="shared" si="4"/>
        <v>1</v>
      </c>
      <c r="AC40" s="1807">
        <f t="shared" si="5"/>
        <v>1</v>
      </c>
    </row>
    <row r="41" spans="1:29" s="470" customFormat="1" ht="15">
      <c r="A41" s="467"/>
      <c r="B41" s="180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87"/>
      <c r="Q41" s="772" t="str">
        <f t="shared" si="11"/>
        <v>进深比</v>
      </c>
      <c r="R41" s="773" t="s">
        <v>17</v>
      </c>
      <c r="S41" s="774">
        <f t="shared" si="12"/>
        <v>100</v>
      </c>
      <c r="T41" s="773" t="s">
        <v>17</v>
      </c>
      <c r="U41" s="774">
        <f t="shared" si="13"/>
        <v>100</v>
      </c>
      <c r="V41" s="773" t="s">
        <v>17</v>
      </c>
      <c r="W41" s="774">
        <f t="shared" si="14"/>
        <v>100</v>
      </c>
      <c r="X41" s="775"/>
      <c r="Y41" s="3689"/>
      <c r="Z41" s="776" t="str">
        <f t="shared" si="15"/>
        <v>进深比</v>
      </c>
      <c r="AA41" s="1807">
        <f t="shared" si="3"/>
        <v>1</v>
      </c>
      <c r="AB41" s="1807">
        <f t="shared" si="4"/>
        <v>1</v>
      </c>
      <c r="AC41" s="1807">
        <f t="shared" si="5"/>
        <v>1</v>
      </c>
    </row>
    <row r="42" spans="1:29" ht="15">
      <c r="A42" s="471"/>
      <c r="B42" s="421" t="s">
        <v>2671</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v>3</v>
      </c>
      <c r="L42" s="1136"/>
      <c r="M42" s="1127"/>
      <c r="N42" s="1127"/>
      <c r="O42" s="1127"/>
      <c r="P42" s="3687"/>
      <c r="Q42" s="1806" t="str">
        <f t="shared" si="11"/>
        <v>内部装修</v>
      </c>
      <c r="R42" s="770" t="s">
        <v>17</v>
      </c>
      <c r="S42" s="771">
        <f t="shared" si="12"/>
        <v>100</v>
      </c>
      <c r="T42" s="770" t="s">
        <v>17</v>
      </c>
      <c r="U42" s="771">
        <f t="shared" si="13"/>
        <v>100</v>
      </c>
      <c r="V42" s="770" t="s">
        <v>17</v>
      </c>
      <c r="W42" s="771">
        <f t="shared" si="14"/>
        <v>100</v>
      </c>
      <c r="X42" s="1809"/>
      <c r="Y42" s="3689"/>
      <c r="Z42" s="1810" t="str">
        <f t="shared" si="15"/>
        <v>内部装修</v>
      </c>
      <c r="AA42" s="1807">
        <f t="shared" si="3"/>
        <v>1</v>
      </c>
      <c r="AB42" s="1807">
        <f t="shared" si="4"/>
        <v>1</v>
      </c>
      <c r="AC42" s="1807">
        <f t="shared" si="5"/>
        <v>1</v>
      </c>
    </row>
    <row r="43" spans="1:29" ht="15">
      <c r="A43" s="471"/>
      <c r="B43" s="421"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87"/>
      <c r="Q43" s="1806" t="str">
        <f t="shared" si="11"/>
        <v>内部装修维护情况</v>
      </c>
      <c r="R43" s="770" t="s">
        <v>17</v>
      </c>
      <c r="S43" s="771">
        <f t="shared" si="12"/>
        <v>100</v>
      </c>
      <c r="T43" s="770" t="s">
        <v>17</v>
      </c>
      <c r="U43" s="771">
        <f t="shared" si="13"/>
        <v>100</v>
      </c>
      <c r="V43" s="770" t="s">
        <v>17</v>
      </c>
      <c r="W43" s="771">
        <f t="shared" si="14"/>
        <v>100</v>
      </c>
      <c r="X43" s="1809"/>
      <c r="Y43" s="3689"/>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87"/>
      <c r="Q44" s="1791">
        <f t="shared" si="11"/>
        <v>111</v>
      </c>
      <c r="R44" s="766" t="s">
        <v>17</v>
      </c>
      <c r="S44" s="767">
        <f t="shared" si="12"/>
        <v>100</v>
      </c>
      <c r="T44" s="766" t="s">
        <v>17</v>
      </c>
      <c r="U44" s="767">
        <f t="shared" si="13"/>
        <v>100</v>
      </c>
      <c r="V44" s="766" t="s">
        <v>17</v>
      </c>
      <c r="W44" s="767">
        <f t="shared" si="14"/>
        <v>100</v>
      </c>
      <c r="X44" s="768"/>
      <c r="Y44" s="3689"/>
      <c r="Z44" s="55">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87"/>
      <c r="Q45" s="1806">
        <f t="shared" si="11"/>
        <v>111</v>
      </c>
      <c r="R45" s="770" t="s">
        <v>17</v>
      </c>
      <c r="S45" s="771">
        <f t="shared" si="12"/>
        <v>100</v>
      </c>
      <c r="T45" s="770" t="s">
        <v>17</v>
      </c>
      <c r="U45" s="771">
        <f t="shared" si="13"/>
        <v>100</v>
      </c>
      <c r="V45" s="770" t="s">
        <v>17</v>
      </c>
      <c r="W45" s="771">
        <f t="shared" si="14"/>
        <v>100</v>
      </c>
      <c r="X45" s="1809"/>
      <c r="Y45" s="3689"/>
      <c r="Z45" s="1810">
        <f t="shared" si="15"/>
        <v>111</v>
      </c>
      <c r="AA45" s="1807">
        <f t="shared" si="3"/>
        <v>1</v>
      </c>
      <c r="AB45" s="1807">
        <f t="shared" si="4"/>
        <v>1</v>
      </c>
      <c r="AC45" s="1807">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88"/>
      <c r="Q46" s="1806">
        <f t="shared" si="11"/>
        <v>111</v>
      </c>
      <c r="R46" s="770" t="s">
        <v>17</v>
      </c>
      <c r="S46" s="771">
        <f t="shared" si="12"/>
        <v>100</v>
      </c>
      <c r="T46" s="770" t="s">
        <v>17</v>
      </c>
      <c r="U46" s="771">
        <f t="shared" si="13"/>
        <v>100</v>
      </c>
      <c r="V46" s="770" t="s">
        <v>17</v>
      </c>
      <c r="W46" s="771">
        <f t="shared" si="14"/>
        <v>100</v>
      </c>
      <c r="X46" s="1809"/>
      <c r="Y46" s="3690"/>
      <c r="Z46" s="1810">
        <f t="shared" si="15"/>
        <v>111</v>
      </c>
      <c r="AA46" s="1807">
        <f t="shared" si="3"/>
        <v>1</v>
      </c>
      <c r="AB46" s="1807">
        <f t="shared" si="4"/>
        <v>1</v>
      </c>
      <c r="AC46" s="1807">
        <f t="shared" si="5"/>
        <v>1</v>
      </c>
    </row>
    <row r="47" spans="1:29" ht="15">
      <c r="A47" s="478" t="s">
        <v>2580</v>
      </c>
      <c r="B47" s="479"/>
      <c r="C47" s="1403" t="s">
        <v>1</v>
      </c>
      <c r="D47" s="1404"/>
      <c r="E47" s="1405">
        <v>52500</v>
      </c>
      <c r="F47" s="1406"/>
      <c r="G47" s="1407">
        <v>47000</v>
      </c>
      <c r="H47" s="1408"/>
      <c r="I47" s="1405">
        <v>48333</v>
      </c>
      <c r="J47" s="1408"/>
      <c r="K47" s="779"/>
      <c r="L47" s="1139"/>
      <c r="M47" s="1140"/>
      <c r="N47" s="1127"/>
      <c r="O47" s="1140"/>
      <c r="P47" s="3682" t="str">
        <f>A47</f>
        <v>成交单价（元/平方米）</v>
      </c>
      <c r="Q47" s="3682"/>
      <c r="R47" s="3677">
        <f>E47</f>
        <v>52500</v>
      </c>
      <c r="S47" s="3677"/>
      <c r="T47" s="3677">
        <f>G47</f>
        <v>47000</v>
      </c>
      <c r="U47" s="3677"/>
      <c r="V47" s="3677">
        <f>I47</f>
        <v>48333</v>
      </c>
      <c r="W47" s="3677"/>
      <c r="X47" s="755"/>
      <c r="Y47" s="777"/>
      <c r="Z47" s="755"/>
      <c r="AA47" s="755"/>
      <c r="AB47" s="755"/>
      <c r="AC47" s="755"/>
    </row>
    <row r="48" spans="1:29" ht="15.75" thickBot="1">
      <c r="A48" s="485" t="s">
        <v>2672</v>
      </c>
      <c r="B48" s="486"/>
      <c r="C48" s="1409">
        <f>R49</f>
        <v>56043</v>
      </c>
      <c r="D48" s="1410"/>
      <c r="E48" s="1411">
        <f>R48</f>
        <v>56684</v>
      </c>
      <c r="F48" s="1411"/>
      <c r="G48" s="1409">
        <f>T48</f>
        <v>55496</v>
      </c>
      <c r="H48" s="1410"/>
      <c r="I48" s="1411">
        <f>V48</f>
        <v>55950</v>
      </c>
      <c r="J48" s="1410"/>
      <c r="K48" s="780"/>
      <c r="L48" s="1139"/>
      <c r="M48" s="1140"/>
      <c r="N48" s="1127"/>
      <c r="O48" s="1140"/>
      <c r="P48" s="3682" t="str">
        <f>A48</f>
        <v>比较价值（元/平方米）</v>
      </c>
      <c r="Q48" s="3682"/>
      <c r="R48" s="3683">
        <f>IF(F1="售价",ROUND(PRODUCT(R47,AA7:AA46),0),ROUND(PRODUCT(R47,AA7:AA46),1))</f>
        <v>56684</v>
      </c>
      <c r="S48" s="3683"/>
      <c r="T48" s="3683">
        <f>IF(F1="售价",ROUND(PRODUCT(T47,AB7:AB46),0),ROUND(PRODUCT(T47,AB7:AB46),1))</f>
        <v>55496</v>
      </c>
      <c r="U48" s="3683"/>
      <c r="V48" s="3683">
        <f>IF(F1="售价",ROUND(PRODUCT(V47,AC7:AC46),0),ROUND(PRODUCT(V47,AC7:AC46),1))</f>
        <v>55950</v>
      </c>
      <c r="W48" s="3683"/>
      <c r="X48" s="755"/>
      <c r="Y48" s="755"/>
      <c r="Z48" s="755"/>
      <c r="AA48" s="755"/>
      <c r="AB48" s="755"/>
      <c r="AC48" s="755"/>
    </row>
    <row r="49" spans="1:29" ht="15.75" thickBot="1">
      <c r="A49" s="491" t="s">
        <v>2673</v>
      </c>
      <c r="B49" s="492"/>
      <c r="C49" s="1413">
        <f>R49</f>
        <v>56043</v>
      </c>
      <c r="D49" s="1413"/>
      <c r="E49" s="1413"/>
      <c r="F49" s="1413"/>
      <c r="G49" s="1413"/>
      <c r="H49" s="1413"/>
      <c r="I49" s="1413"/>
      <c r="J49" s="1413"/>
      <c r="K49" s="781"/>
      <c r="L49" s="1139"/>
      <c r="M49" s="1140"/>
      <c r="N49" s="1127"/>
      <c r="O49" s="1140"/>
      <c r="P49" s="3679" t="str">
        <f>A49</f>
        <v>估价对象XX用房的比较价值（楼面单价，元/平方米）</v>
      </c>
      <c r="Q49" s="3680"/>
      <c r="R49" s="3681">
        <f>IF(F1="售价",ROUND(AVERAGE(R48:V48),0),ROUND(AVERAGE(R48:V48),1))</f>
        <v>56043</v>
      </c>
      <c r="S49" s="3681"/>
      <c r="T49" s="3681"/>
      <c r="U49" s="3681"/>
      <c r="V49" s="3681"/>
      <c r="W49" s="36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2674</v>
      </c>
      <c r="D52" s="497"/>
      <c r="E52" s="498">
        <f>IF(E47&lt;E48,E48/E47-1,E47/E48-1)</f>
        <v>7.9695238095238041E-2</v>
      </c>
      <c r="F52" s="499" t="str">
        <f>IF(OR(E52&gt;=0.3,E52&lt;=-0.3),"超过30%","")</f>
        <v/>
      </c>
      <c r="G52" s="498">
        <f>IF(G47&lt;G48,G48/G47-1,G47/G48-1)</f>
        <v>0.18076595744680857</v>
      </c>
      <c r="H52" s="499" t="str">
        <f>IF(OR(G52&gt;=0.3,G52&lt;=-0.3),"超过30%","")</f>
        <v/>
      </c>
      <c r="I52" s="498">
        <f>IF(I47&lt;I48,I48/I47-1,I47/I48-1)</f>
        <v>0.15759419030476063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2675</v>
      </c>
      <c r="D53" s="500"/>
      <c r="E53" s="498">
        <f>IF(E48&lt;G48,G48/E48-1,E48/G48-1)</f>
        <v>2.1406948248522406E-2</v>
      </c>
      <c r="F53" s="499" t="str">
        <f>IF(OR(E53&gt;=0.2,E53&lt;=-0.2),"超过20%","")</f>
        <v/>
      </c>
      <c r="G53" s="498">
        <f>IF(G48&lt;I48,I48/G48-1,G48/I48-1)</f>
        <v>8.1807697852096517E-3</v>
      </c>
      <c r="H53" s="499" t="str">
        <f>IF(OR(G53&gt;=0.2,G53&lt;=-0.2),"超过20%","")</f>
        <v/>
      </c>
      <c r="I53" s="498">
        <f>IF(I48&lt;E48,E48/I48-1,I48/E48-1)</f>
        <v>1.3118856121537181E-2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2677</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2655</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3236</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8"/>
      <c r="O92" s="1148"/>
      <c r="P92" s="2629"/>
      <c r="Q92" s="503"/>
    </row>
    <row r="93" spans="1:17" ht="15.75" thickBot="1">
      <c r="A93" s="533"/>
      <c r="B93" s="542"/>
      <c r="C93" s="535">
        <v>100</v>
      </c>
      <c r="D93" s="535"/>
      <c r="E93" s="535"/>
      <c r="F93" s="535">
        <v>95</v>
      </c>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3407</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3244</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3245</v>
      </c>
      <c r="D107" s="3341" t="s">
        <v>3246</v>
      </c>
      <c r="E107" s="3341" t="s">
        <v>3247</v>
      </c>
      <c r="F107" s="3344" t="s">
        <v>3248</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9"/>
      <c r="O111" s="1149"/>
      <c r="P111" s="2629"/>
      <c r="Q111" s="503"/>
    </row>
    <row r="112" spans="1:17" s="470" customFormat="1" ht="15" thickTop="1">
      <c r="A112" s="592"/>
      <c r="B112" s="537" t="s">
        <v>2621</v>
      </c>
      <c r="C112" s="3341" t="s">
        <v>3249</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9"/>
      <c r="O115" s="1149"/>
      <c r="P115" s="2629"/>
      <c r="Q115" s="503"/>
    </row>
    <row r="116" spans="1:17" ht="15" thickTop="1">
      <c r="A116" s="598"/>
      <c r="B116" s="537" t="s">
        <v>2686</v>
      </c>
      <c r="C116" s="3341" t="s">
        <v>3252</v>
      </c>
      <c r="D116" s="3341" t="s">
        <v>3253</v>
      </c>
      <c r="E116" s="3341" t="s">
        <v>3376</v>
      </c>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553"/>
      <c r="D122" s="553"/>
      <c r="E122" s="553"/>
      <c r="F122" s="582"/>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2" sqref="F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1376</v>
      </c>
      <c r="D1" s="1816" t="s">
        <v>70</v>
      </c>
      <c r="E1" s="1817" t="s">
        <v>1386</v>
      </c>
      <c r="F1" s="1279">
        <f ca="1">J53</f>
        <v>31.34</v>
      </c>
      <c r="G1" s="1832">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3090</v>
      </c>
      <c r="C2" s="1841" t="s">
        <v>1515</v>
      </c>
      <c r="D2" s="1841"/>
      <c r="E2" s="1842"/>
      <c r="F2" s="1843"/>
      <c r="G2" s="1844"/>
      <c r="H2" s="1836"/>
      <c r="I2" s="1836"/>
      <c r="J2" s="1836"/>
      <c r="K2" s="1837"/>
      <c r="L2" s="1836"/>
      <c r="M2" s="1836"/>
    </row>
    <row r="3" spans="1:37" ht="18" customHeight="1" thickBot="1">
      <c r="A3" s="1845" t="s">
        <v>1516</v>
      </c>
      <c r="B3" s="1846">
        <f ca="1">IF(ISERROR(B2*10000/F43),0,ROUND(B2*10000/F43,0))</f>
        <v>47085</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156</v>
      </c>
      <c r="D5" s="1818" t="s">
        <v>1401</v>
      </c>
      <c r="E5" s="1289"/>
      <c r="F5" s="1290"/>
      <c r="G5" s="1847"/>
      <c r="H5" s="343">
        <v>1</v>
      </c>
      <c r="I5" s="344" t="s">
        <v>1400</v>
      </c>
      <c r="J5" s="1288">
        <f ca="1">J6+J10+J12</f>
        <v>0</v>
      </c>
      <c r="K5" s="1818" t="s">
        <v>1401</v>
      </c>
      <c r="L5" s="1289"/>
      <c r="M5" s="1290"/>
    </row>
    <row r="6" spans="1:37" ht="18" customHeight="1">
      <c r="A6" s="1287" t="s">
        <v>1034</v>
      </c>
      <c r="B6" s="3765" t="s">
        <v>1402</v>
      </c>
      <c r="C6" s="1292">
        <f ca="1">ROUND(F6*F8*F7*(1-F9)/10000,0)</f>
        <v>155</v>
      </c>
      <c r="D6" s="163" t="s">
        <v>3032</v>
      </c>
      <c r="E6" s="346" t="s">
        <v>1404</v>
      </c>
      <c r="F6" s="347">
        <f ca="1">INDIRECT("'数据-取费表'!u"&amp;$G$1)</f>
        <v>7.2</v>
      </c>
      <c r="G6" s="1847"/>
      <c r="H6" s="1287" t="s">
        <v>1034</v>
      </c>
      <c r="I6" s="3765" t="s">
        <v>1402</v>
      </c>
      <c r="J6" s="345">
        <f ca="1">ROUND(M6*M8*M7*(1-M9)/10000,0)</f>
        <v>0</v>
      </c>
      <c r="K6" s="163" t="s">
        <v>3031</v>
      </c>
      <c r="L6" s="346" t="s">
        <v>1404</v>
      </c>
      <c r="M6" s="347">
        <f ca="1">INDIRECT("'数据-取费表'!z"&amp;$G$1)</f>
        <v>0</v>
      </c>
    </row>
    <row r="7" spans="1:37" ht="18" customHeight="1">
      <c r="A7" s="1291"/>
      <c r="B7" s="3766"/>
      <c r="C7" s="1293"/>
      <c r="D7" s="351"/>
      <c r="E7" s="3374" t="s">
        <v>1405</v>
      </c>
      <c r="F7" s="347">
        <f ca="1">IF(INDIRECT("'数据-取费表'!ah"&amp;$G$1)="",INDIRECT("'数据-取费表'!k"&amp;$G$1),INDIRECT("'数据-取费表'!ah"&amp;$G$1))</f>
        <v>656.26</v>
      </c>
      <c r="G7" s="1847"/>
      <c r="H7" s="348"/>
      <c r="I7" s="3766"/>
      <c r="J7" s="350"/>
      <c r="K7" s="351"/>
      <c r="L7" s="346" t="s">
        <v>1405</v>
      </c>
      <c r="M7" s="347">
        <f ca="1">F7</f>
        <v>656.26</v>
      </c>
    </row>
    <row r="8" spans="1:37" ht="18" customHeight="1">
      <c r="A8" s="348"/>
      <c r="B8" s="3766"/>
      <c r="C8" s="350"/>
      <c r="D8" s="351"/>
      <c r="E8" s="346" t="s">
        <v>1406</v>
      </c>
      <c r="F8" s="347">
        <f ca="1">INDIRECT("'数据-取费表'!ai"&amp;$G$1)</f>
        <v>365</v>
      </c>
      <c r="G8" s="1847"/>
      <c r="H8" s="348"/>
      <c r="I8" s="3766"/>
      <c r="J8" s="350"/>
      <c r="K8" s="351"/>
      <c r="L8" s="346" t="s">
        <v>1406</v>
      </c>
      <c r="M8" s="347">
        <f ca="1">INDIRECT("'数据-取费表'!ai"&amp;$G$1)</f>
        <v>365</v>
      </c>
    </row>
    <row r="9" spans="1:37" ht="18" customHeight="1">
      <c r="A9" s="348"/>
      <c r="B9" s="3767"/>
      <c r="C9" s="350"/>
      <c r="D9" s="351"/>
      <c r="E9" s="346" t="s">
        <v>1407</v>
      </c>
      <c r="F9" s="356">
        <f ca="1">INDIRECT("'数据-取费表'!w"&amp;$G$1)</f>
        <v>0.1</v>
      </c>
      <c r="G9" s="1847"/>
      <c r="H9" s="348"/>
      <c r="I9" s="3767"/>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ROUND(IF(F10="押一",F6*F8*F7/12*F11,IF(F10="押二",F6*F8*F7/12*2*F11,IF(F10="押三",F6*F8*F7/12*3*F11,C11*F11)))/10000,0)</f>
        <v>1</v>
      </c>
      <c r="D10" s="1820" t="s">
        <v>3028</v>
      </c>
      <c r="E10" s="357" t="s">
        <v>1410</v>
      </c>
      <c r="F10" s="1362" t="s">
        <v>3382</v>
      </c>
      <c r="G10" s="1847"/>
      <c r="H10" s="1287" t="s">
        <v>1038</v>
      </c>
      <c r="I10" s="1819" t="s">
        <v>1408</v>
      </c>
      <c r="J10" s="345">
        <f ca="1">ROUND(IF(M10="押一",M6*M8*M7/12*M11,IF(M10="押二",M6*M8*M7/12*2*M11,IF(M10="押三",M6*M8*M7/12*3*M11,J11*M11)))/10000,0)</f>
        <v>0</v>
      </c>
      <c r="K10" s="1820" t="s">
        <v>3028</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331</v>
      </c>
      <c r="D13" s="1327" t="s">
        <v>1414</v>
      </c>
      <c r="E13" s="1327" t="s">
        <v>1415</v>
      </c>
      <c r="F13" s="1328">
        <f ca="1">INDIRECT("'数据-取费表'!y"&amp;$G$1)</f>
        <v>0.95</v>
      </c>
      <c r="G13" s="1847"/>
      <c r="H13" s="1325">
        <v>2</v>
      </c>
      <c r="I13" s="1326" t="s">
        <v>1413</v>
      </c>
      <c r="J13" s="1286">
        <f ca="1">ROUND(J14*J15,0)</f>
        <v>0</v>
      </c>
      <c r="K13" s="1333" t="s">
        <v>1414</v>
      </c>
      <c r="L13" s="1848"/>
      <c r="M13" s="1849"/>
    </row>
    <row r="14" spans="1:37" ht="18" customHeight="1">
      <c r="A14" s="1197" t="s">
        <v>1033</v>
      </c>
      <c r="B14" s="346" t="s">
        <v>1416</v>
      </c>
      <c r="C14" s="362">
        <f ca="1">INDIRECT("'数据-取费表'!m"&amp;$G$1)+INDIRECT("'数据-取费表'!t"&amp;$G$1)</f>
        <v>197</v>
      </c>
      <c r="D14" s="3368" t="s">
        <v>1417</v>
      </c>
      <c r="E14" s="3366"/>
      <c r="F14" s="363"/>
      <c r="G14" s="1847"/>
      <c r="H14" s="1197" t="s">
        <v>1034</v>
      </c>
      <c r="I14" s="346" t="s">
        <v>1418</v>
      </c>
      <c r="J14" s="24">
        <f ca="1">C29</f>
        <v>348</v>
      </c>
      <c r="K14" s="3373"/>
      <c r="L14" s="975"/>
      <c r="M14" s="976"/>
    </row>
    <row r="15" spans="1:37" s="1854" customFormat="1" ht="18" customHeight="1" thickBot="1">
      <c r="A15" s="1197" t="s">
        <v>1035</v>
      </c>
      <c r="B15" s="346" t="s">
        <v>1419</v>
      </c>
      <c r="C15" s="24">
        <f ca="1">ROUND(C14*F15,0)</f>
        <v>6</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8</v>
      </c>
      <c r="K16" s="1333" t="s">
        <v>1424</v>
      </c>
      <c r="L16" s="3369"/>
      <c r="M16" s="1290"/>
    </row>
    <row r="17" spans="1:37" s="1854" customFormat="1" ht="18" customHeight="1">
      <c r="A17" s="1197" t="s">
        <v>1389</v>
      </c>
      <c r="B17" s="346" t="s">
        <v>1425</v>
      </c>
      <c r="C17" s="24">
        <f ca="1">ROUND(F17*(F43+INDIRECT("'数据-取费表'!S"&amp;$G$1))/10000,0)</f>
        <v>13</v>
      </c>
      <c r="D17" s="346" t="s">
        <v>1426</v>
      </c>
      <c r="E17" s="346" t="s">
        <v>1427</v>
      </c>
      <c r="F17" s="26">
        <f>'数据-取费表'!B35</f>
        <v>200</v>
      </c>
      <c r="G17" s="1850"/>
      <c r="H17" s="1197" t="s">
        <v>1034</v>
      </c>
      <c r="I17" s="346" t="s">
        <v>1428</v>
      </c>
      <c r="J17" s="24">
        <f ca="1">ROUND(IF(项目基本情况!B11="自然人",J5*M17,J18+J19+J20),1)</f>
        <v>2.9</v>
      </c>
      <c r="K17" s="3368" t="s">
        <v>1429</v>
      </c>
      <c r="L17" s="3367"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3</v>
      </c>
      <c r="D18" s="346" t="s">
        <v>1420</v>
      </c>
      <c r="E18" s="346" t="s">
        <v>1421</v>
      </c>
      <c r="F18" s="366">
        <f>'数据-取费表'!B36</f>
        <v>1.4999999999999999E-2</v>
      </c>
      <c r="G18" s="1850"/>
      <c r="H18" s="1197" t="s">
        <v>1033</v>
      </c>
      <c r="I18" s="346" t="s">
        <v>1432</v>
      </c>
      <c r="J18" s="24">
        <f ca="1">ROUND(J5*M18/(1+'数据-取费表'!C42),2)</f>
        <v>0</v>
      </c>
      <c r="K18" s="3367"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219</v>
      </c>
      <c r="D19" s="139" t="s">
        <v>1435</v>
      </c>
      <c r="E19" s="3372"/>
      <c r="F19" s="26"/>
      <c r="G19" s="1847"/>
      <c r="H19" s="1197" t="s">
        <v>1035</v>
      </c>
      <c r="I19" s="346" t="s">
        <v>1436</v>
      </c>
      <c r="J19" s="24">
        <f ca="1">IF(K19="按租金收入计税",ROUND(J5*M19,2),ROUND(C29*M19*0.7,2))</f>
        <v>2.92</v>
      </c>
      <c r="K19" s="1824" t="s">
        <v>1437</v>
      </c>
      <c r="L19" s="346" t="s">
        <v>1421</v>
      </c>
      <c r="M19" s="366">
        <f>IF(K19="按租金收入计税",'数据-取费表'!B51,'数据-取费表'!B50)</f>
        <v>1.2E-2</v>
      </c>
    </row>
    <row r="20" spans="1:37" s="1854" customFormat="1" ht="18" customHeight="1">
      <c r="A20" s="1197" t="s">
        <v>1038</v>
      </c>
      <c r="B20" s="346" t="s">
        <v>1438</v>
      </c>
      <c r="C20" s="24">
        <f ca="1">ROUND(C19*F20,0)</f>
        <v>7</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3372"/>
      <c r="F22" s="26"/>
      <c r="G22" s="1847"/>
      <c r="H22" s="1197" t="s">
        <v>1038</v>
      </c>
      <c r="I22" s="346" t="s">
        <v>1448</v>
      </c>
      <c r="J22" s="24">
        <f ca="1">ROUND(J14*M22,1)</f>
        <v>5.2</v>
      </c>
      <c r="K22" s="3367"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0</v>
      </c>
      <c r="K23" s="3367"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0</v>
      </c>
      <c r="K24" s="1338" t="s">
        <v>1458</v>
      </c>
      <c r="L24" s="1336" t="s">
        <v>1421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3372"/>
      <c r="F25" s="26"/>
      <c r="G25" s="1847"/>
      <c r="H25" s="1325" t="s">
        <v>1030</v>
      </c>
      <c r="I25" s="1340" t="s">
        <v>1462</v>
      </c>
      <c r="J25" s="354">
        <f ca="1">J5-J16</f>
        <v>-8</v>
      </c>
      <c r="K25" s="1341" t="s">
        <v>1463</v>
      </c>
      <c r="L25" s="1342"/>
      <c r="M25" s="1343"/>
    </row>
    <row r="26" spans="1:37">
      <c r="A26" s="1197" t="s">
        <v>1033</v>
      </c>
      <c r="B26" s="346" t="s">
        <v>1464</v>
      </c>
      <c r="C26" s="24">
        <f ca="1">ROUND((C19+C20)*F26,0)</f>
        <v>79</v>
      </c>
      <c r="D26" s="368" t="s">
        <v>1465</v>
      </c>
      <c r="E26" s="357" t="s">
        <v>1466</v>
      </c>
      <c r="F26" s="356">
        <f ca="1">INDIRECT("'数据-取费表'!q"&amp;$G$1)</f>
        <v>0.35</v>
      </c>
      <c r="G26" s="1847"/>
      <c r="H26" s="343" t="s">
        <v>1031</v>
      </c>
      <c r="I26" s="344" t="s">
        <v>1467</v>
      </c>
      <c r="J26" s="345">
        <f ca="1">IF(J5&lt;&gt;0,ROUND(J25*(1-((1+M28)/(1+M26))^M27)/(M26-M28),0),0)</f>
        <v>0</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348</v>
      </c>
      <c r="D29" s="1338"/>
      <c r="E29" s="1336"/>
      <c r="F29" s="1339"/>
      <c r="G29" s="1850"/>
      <c r="H29" s="379" t="s">
        <v>1032</v>
      </c>
      <c r="I29" s="380" t="s">
        <v>1478</v>
      </c>
      <c r="J29" s="381">
        <f ca="1">ROUND(J26/(1+F40)^F41,0)</f>
        <v>0</v>
      </c>
      <c r="K29" s="382" t="s">
        <v>1479</v>
      </c>
      <c r="L29" s="383"/>
      <c r="M29" s="384">
        <f ca="1">INDIRECT("'数据-取费表'!k"&amp;$G$1)</f>
        <v>656.26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19</v>
      </c>
      <c r="D30" s="1333" t="s">
        <v>1424</v>
      </c>
      <c r="E30" s="3369"/>
      <c r="F30" s="1290"/>
      <c r="G30" s="1847"/>
      <c r="H30" s="741"/>
      <c r="I30" s="742"/>
      <c r="J30" s="743"/>
      <c r="K30" s="744"/>
      <c r="L30" s="745"/>
      <c r="M30" s="746"/>
    </row>
    <row r="31" spans="1:37" ht="18" customHeight="1">
      <c r="A31" s="1197" t="s">
        <v>1034</v>
      </c>
      <c r="B31" s="346" t="s">
        <v>1428</v>
      </c>
      <c r="C31" s="24">
        <f ca="1">ROUND(IF(项目基本情况!B11="自然人",C5*F31,C32+C33+C34),1)</f>
        <v>11.1</v>
      </c>
      <c r="D31" s="3368" t="s">
        <v>1429</v>
      </c>
      <c r="E31" s="3367"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8.17</v>
      </c>
      <c r="D32" s="3367"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2.92</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5.2</v>
      </c>
      <c r="D36" s="3367"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0.5</v>
      </c>
      <c r="D37" s="3367" t="s">
        <v>1453</v>
      </c>
      <c r="E37" s="346" t="s">
        <v>1421</v>
      </c>
      <c r="F37" s="375">
        <f ca="1">INDIRECT("'数据-取费表'!Al"&amp;$G$1)</f>
        <v>1.5E-3</v>
      </c>
      <c r="G37" s="1847"/>
      <c r="H37" s="1855"/>
      <c r="I37" s="1856"/>
      <c r="J37" s="1857"/>
      <c r="K37" s="747"/>
      <c r="L37" s="1855"/>
      <c r="M37" s="1855"/>
    </row>
    <row r="38" spans="1:18" ht="18" customHeight="1" thickBot="1">
      <c r="A38" s="1335" t="s">
        <v>1391</v>
      </c>
      <c r="B38" s="1336" t="s">
        <v>1438</v>
      </c>
      <c r="C38" s="1337">
        <f ca="1">ROUND(C5*F38,1)</f>
        <v>2.2999999999999998</v>
      </c>
      <c r="D38" s="1338" t="s">
        <v>1458</v>
      </c>
      <c r="E38" s="1336" t="s">
        <v>1421</v>
      </c>
      <c r="F38" s="1332">
        <f ca="1">INDIRECT("'数据-取费表'!Am"&amp;$G$1)</f>
        <v>1.4999999999999999E-2</v>
      </c>
      <c r="G38" s="1847"/>
      <c r="H38" s="1855"/>
      <c r="I38" s="1856"/>
      <c r="J38" s="1857"/>
      <c r="K38" s="1861"/>
      <c r="L38" s="1855"/>
      <c r="M38" s="1855"/>
    </row>
    <row r="39" spans="1:18" ht="24.6" customHeight="1" thickTop="1">
      <c r="A39" s="1325" t="s">
        <v>1030</v>
      </c>
      <c r="B39" s="1340" t="s">
        <v>1462</v>
      </c>
      <c r="C39" s="354">
        <f ca="1">C5-C30</f>
        <v>137</v>
      </c>
      <c r="D39" s="1341" t="s">
        <v>1463</v>
      </c>
      <c r="E39" s="1342"/>
      <c r="F39" s="1343"/>
      <c r="G39" s="1847"/>
      <c r="H39" s="1855"/>
      <c r="I39" s="1856"/>
      <c r="J39" s="1857"/>
      <c r="K39" s="1861"/>
      <c r="L39" s="1855"/>
      <c r="M39" s="1855"/>
    </row>
    <row r="40" spans="1:18" ht="18" customHeight="1">
      <c r="A40" s="343" t="s">
        <v>1031</v>
      </c>
      <c r="B40" s="344" t="s">
        <v>1484</v>
      </c>
      <c r="C40" s="345">
        <f ca="1">ROUND(C39*(1-((1+F42)/(1+F40))^F41)/(F40-F42),0)</f>
        <v>3090</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31.34</v>
      </c>
      <c r="G41" s="1847"/>
      <c r="H41" s="728"/>
      <c r="I41" s="1856"/>
      <c r="J41" s="1857"/>
      <c r="K41" s="747"/>
      <c r="L41" s="728"/>
      <c r="M41" s="728"/>
    </row>
    <row r="42" spans="1:18" ht="18" customHeight="1">
      <c r="A42" s="352"/>
      <c r="B42" s="353"/>
      <c r="C42" s="354"/>
      <c r="D42" s="372"/>
      <c r="E42" s="346" t="s">
        <v>1476</v>
      </c>
      <c r="F42" s="356">
        <f ca="1">INDIRECT("'数据-取费表'!v"&amp;$G$1)</f>
        <v>3.5000000000000003E-2</v>
      </c>
      <c r="G42" s="1847"/>
      <c r="H42" s="728"/>
      <c r="I42" s="1856"/>
      <c r="J42" s="1857"/>
      <c r="K42" s="747"/>
      <c r="L42" s="728"/>
      <c r="M42" s="728"/>
    </row>
    <row r="43" spans="1:18" ht="18" customHeight="1" thickBot="1">
      <c r="A43" s="379" t="s">
        <v>1032</v>
      </c>
      <c r="B43" s="380" t="s">
        <v>1486</v>
      </c>
      <c r="C43" s="381">
        <f ca="1">ROUND(C40*10000/F43,0)</f>
        <v>47085</v>
      </c>
      <c r="D43" s="382" t="s">
        <v>1487</v>
      </c>
      <c r="E43" s="383" t="s">
        <v>1488</v>
      </c>
      <c r="F43" s="384">
        <f ca="1">INDIRECT("'数据-取费表'!k"&amp;$G$1)</f>
        <v>656.26</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-3223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3090</v>
      </c>
      <c r="R47" s="1882" t="s">
        <v>1528</v>
      </c>
    </row>
    <row r="48" spans="1:18" s="1838" customFormat="1" ht="28.5" thickBot="1">
      <c r="A48" s="1356" t="s">
        <v>1134</v>
      </c>
      <c r="B48" s="344" t="s">
        <v>1400</v>
      </c>
      <c r="C48" s="3371">
        <f ca="1">C49+C53+C55</f>
        <v>0</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3031</v>
      </c>
      <c r="E49" s="1826" t="s">
        <v>1490</v>
      </c>
      <c r="F49" s="1277"/>
      <c r="G49" s="1887"/>
      <c r="H49" s="789"/>
      <c r="I49" s="1883" t="s">
        <v>1533</v>
      </c>
      <c r="J49" s="1888">
        <v>2015</v>
      </c>
      <c r="K49" s="1885" t="s">
        <v>1534</v>
      </c>
      <c r="L49" s="1889"/>
      <c r="O49" s="1890" t="s">
        <v>1041</v>
      </c>
      <c r="P49" s="1881" t="s">
        <v>1535</v>
      </c>
      <c r="Q49" s="1882">
        <f ca="1">C29</f>
        <v>348</v>
      </c>
      <c r="R49" s="1882" t="s">
        <v>1528</v>
      </c>
    </row>
    <row r="50" spans="1:18" s="1838" customFormat="1" ht="13.5" thickBot="1">
      <c r="A50" s="1191"/>
      <c r="B50" s="1194"/>
      <c r="C50" s="1364"/>
      <c r="D50" s="1168"/>
      <c r="E50" s="1273" t="s">
        <v>1405</v>
      </c>
      <c r="F50" s="1274">
        <f ca="1">F7</f>
        <v>656.26</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1705</v>
      </c>
      <c r="M51" s="1898"/>
      <c r="O51" s="1890" t="s">
        <v>1043</v>
      </c>
      <c r="P51" s="1881" t="s">
        <v>1541</v>
      </c>
      <c r="Q51" s="1893">
        <f>J52</f>
        <v>0.09</v>
      </c>
      <c r="R51" s="1882"/>
    </row>
    <row r="52" spans="1:18" s="1838" customFormat="1" ht="13.5" thickBot="1">
      <c r="A52" s="1192"/>
      <c r="B52" s="1194"/>
      <c r="C52" s="1195"/>
      <c r="D52" s="1168"/>
      <c r="E52" s="1196" t="s">
        <v>1407</v>
      </c>
      <c r="F52" s="1271"/>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0</v>
      </c>
      <c r="D53" s="1820" t="s">
        <v>3028</v>
      </c>
      <c r="E53" s="357" t="s">
        <v>1410</v>
      </c>
      <c r="F53" s="1362"/>
      <c r="I53" s="1901" t="s">
        <v>1546</v>
      </c>
      <c r="J53" s="1902">
        <f ca="1">IF(M47="住宅",J51,IF(D1="——",MIN(J51,L48),IF(D1="在建（套用方法）",MIN(J51,L48-'数据-取费表'!B24),IF(D1="土地（套用方法）",MIN(J51,L48-'数据-取费表'!B20)))))</f>
        <v>31.34</v>
      </c>
      <c r="K53" s="3768" t="s">
        <v>1547</v>
      </c>
      <c r="L53" s="3769"/>
      <c r="O53" s="1880" t="s">
        <v>1045</v>
      </c>
      <c r="P53" s="1881" t="s">
        <v>1548</v>
      </c>
      <c r="Q53" s="1882">
        <f ca="1">Q47+Q48</f>
        <v>3090</v>
      </c>
      <c r="R53" s="1882" t="s">
        <v>1046</v>
      </c>
    </row>
    <row r="54" spans="1:18" s="1838" customFormat="1" ht="13.5" thickBot="1">
      <c r="A54" s="1402"/>
      <c r="B54" s="1821" t="s">
        <v>1387</v>
      </c>
      <c r="C54" s="1174"/>
      <c r="D54" s="1820"/>
      <c r="E54" s="337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3370"/>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331</v>
      </c>
      <c r="D56" s="1910"/>
      <c r="E56" s="1911"/>
      <c r="F56" s="1903"/>
      <c r="I56" s="1912" t="s">
        <v>1553</v>
      </c>
      <c r="J56" s="1913" t="s">
        <v>3061</v>
      </c>
      <c r="K56" s="1883" t="s">
        <v>1554</v>
      </c>
      <c r="L56" s="1886" t="str">
        <f ca="1">IF(L48&lt;J51,"——",L48-J53)</f>
        <v>——</v>
      </c>
      <c r="O56" s="1880" t="s">
        <v>1039</v>
      </c>
      <c r="P56" s="1881" t="s">
        <v>1527</v>
      </c>
      <c r="Q56" s="1882">
        <f ca="1">C40+J29</f>
        <v>3090</v>
      </c>
      <c r="R56" s="1882" t="s">
        <v>1528</v>
      </c>
    </row>
    <row r="57" spans="1:18" s="1838" customFormat="1" ht="24.75" thickBot="1">
      <c r="A57" s="1914"/>
      <c r="B57" s="1165" t="s">
        <v>1477</v>
      </c>
      <c r="C57" s="281">
        <f ca="1">C29</f>
        <v>348</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9</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2.9</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2.92</v>
      </c>
      <c r="D61" s="1824" t="s">
        <v>1437</v>
      </c>
      <c r="E61" s="1165" t="s">
        <v>1421</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0">
        <f t="shared" si="0"/>
        <v>3</v>
      </c>
      <c r="I62" s="1925" t="s">
        <v>1569</v>
      </c>
      <c r="J62" s="1926" t="s">
        <v>1570</v>
      </c>
      <c r="K62" s="1926" t="s">
        <v>1571</v>
      </c>
      <c r="L62" s="1926" t="s">
        <v>1572</v>
      </c>
      <c r="M62" s="1927" t="s">
        <v>1573</v>
      </c>
      <c r="O62" s="1880" t="s">
        <v>1045</v>
      </c>
      <c r="P62" s="1881" t="s">
        <v>1548</v>
      </c>
      <c r="Q62" s="1882">
        <f ca="1">Q56+Q57</f>
        <v>3090</v>
      </c>
      <c r="R62" s="1882" t="s">
        <v>1046</v>
      </c>
    </row>
    <row r="63" spans="1:18" s="1838" customFormat="1" ht="13.5" thickBot="1">
      <c r="A63" s="371"/>
      <c r="B63" s="1171"/>
      <c r="C63" s="29"/>
      <c r="D63" s="1181"/>
      <c r="E63" s="1165" t="s">
        <v>1446</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5.2</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0.5</v>
      </c>
      <c r="D65" s="1179" t="s">
        <v>1453</v>
      </c>
      <c r="E65" s="1165" t="s">
        <v>1421</v>
      </c>
      <c r="F65" s="375">
        <f t="shared" ca="1" si="0"/>
        <v>1.5E-3</v>
      </c>
      <c r="I65" s="1925" t="s">
        <v>1578</v>
      </c>
      <c r="J65" s="1926">
        <v>40</v>
      </c>
      <c r="K65" s="1926">
        <v>30</v>
      </c>
      <c r="L65" s="1926">
        <v>50</v>
      </c>
      <c r="M65" s="1928">
        <v>0.02</v>
      </c>
      <c r="O65" s="1880" t="s">
        <v>1039</v>
      </c>
      <c r="P65" s="1881" t="s">
        <v>1527</v>
      </c>
      <c r="Q65" s="1882">
        <f ca="1">C40+J29</f>
        <v>3090</v>
      </c>
      <c r="R65" s="1882" t="s">
        <v>1528</v>
      </c>
    </row>
    <row r="66" spans="1:18" s="1838" customFormat="1" ht="16.5" thickBot="1">
      <c r="A66" s="1197" t="s">
        <v>1503</v>
      </c>
      <c r="B66" s="1165" t="s">
        <v>1438</v>
      </c>
      <c r="C66" s="24">
        <f ca="1">ROUND(C48*F66,1)</f>
        <v>0</v>
      </c>
      <c r="D66" s="1179" t="s">
        <v>1458</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-9</v>
      </c>
      <c r="D67" s="1178" t="s">
        <v>1463</v>
      </c>
      <c r="E67" s="1183"/>
      <c r="F67" s="1184"/>
      <c r="O67" s="1890" t="s">
        <v>1041</v>
      </c>
      <c r="P67" s="1881" t="s">
        <v>1561</v>
      </c>
      <c r="Q67" s="1929">
        <f ca="1">L51</f>
        <v>1705</v>
      </c>
      <c r="R67" s="1882" t="s">
        <v>1581</v>
      </c>
    </row>
    <row r="68" spans="1:18" s="1838" customFormat="1" ht="16.5" thickBot="1">
      <c r="A68" s="1162" t="s">
        <v>1031</v>
      </c>
      <c r="B68" s="1163" t="s">
        <v>1484</v>
      </c>
      <c r="C68" s="345">
        <f ca="1">ROUND(C67*(1-((1+F70)/(1+F68))^F69)/(F68-F70),0)</f>
        <v>-133</v>
      </c>
      <c r="D68" s="1180" t="s">
        <v>1468</v>
      </c>
      <c r="E68" s="1165" t="s">
        <v>1469</v>
      </c>
      <c r="F68" s="356">
        <f ca="1">F40</f>
        <v>5.5E-2</v>
      </c>
      <c r="O68" s="1890" t="s">
        <v>1042</v>
      </c>
      <c r="P68" s="1930" t="s">
        <v>1582</v>
      </c>
      <c r="Q68" s="1882">
        <f ca="1">ROUND(Q69-Q70*Q71,0)</f>
        <v>109</v>
      </c>
      <c r="R68" s="1882" t="s">
        <v>1050</v>
      </c>
    </row>
    <row r="69" spans="1:18" s="1838" customFormat="1" ht="13.5" thickBot="1">
      <c r="A69" s="1166"/>
      <c r="B69" s="1167"/>
      <c r="C69" s="350"/>
      <c r="D69" s="1185" t="s">
        <v>1472</v>
      </c>
      <c r="E69" s="1165" t="s">
        <v>1473</v>
      </c>
      <c r="F69" s="378">
        <f ca="1">F41</f>
        <v>31.34</v>
      </c>
      <c r="O69" s="1890" t="s">
        <v>1047</v>
      </c>
      <c r="P69" s="1930" t="s">
        <v>1583</v>
      </c>
      <c r="Q69" s="1882">
        <f ca="1">C39</f>
        <v>137</v>
      </c>
      <c r="R69" s="1882" t="s">
        <v>1528</v>
      </c>
    </row>
    <row r="70" spans="1:18" s="1838" customFormat="1" ht="13.5" thickBot="1">
      <c r="A70" s="1169"/>
      <c r="B70" s="1170"/>
      <c r="C70" s="354"/>
      <c r="D70" s="1181"/>
      <c r="E70" s="1165" t="s">
        <v>1476</v>
      </c>
      <c r="F70" s="1271"/>
      <c r="O70" s="1890" t="s">
        <v>1048</v>
      </c>
      <c r="P70" s="1930" t="s">
        <v>1584</v>
      </c>
      <c r="Q70" s="1882">
        <f ca="1">C13</f>
        <v>331</v>
      </c>
      <c r="R70" s="1882" t="s">
        <v>1528</v>
      </c>
    </row>
    <row r="71" spans="1:18" s="1838" customFormat="1" ht="13.5" thickBot="1">
      <c r="A71" s="1186" t="s">
        <v>1032</v>
      </c>
      <c r="B71" s="1187" t="s">
        <v>1486</v>
      </c>
      <c r="C71" s="381">
        <f ca="1">ROUND(C68*10000/F71,0)</f>
        <v>-2027</v>
      </c>
      <c r="D71" s="1188" t="s">
        <v>1487</v>
      </c>
      <c r="E71" s="1189" t="s">
        <v>1488</v>
      </c>
      <c r="F71" s="384">
        <f ca="1">F43</f>
        <v>656.26</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28</v>
      </c>
      <c r="D75" s="1838"/>
      <c r="E75" s="1838"/>
      <c r="F75" s="1838"/>
      <c r="K75" s="1864"/>
      <c r="L75" s="1838"/>
      <c r="O75" s="1880" t="s">
        <v>1045</v>
      </c>
      <c r="P75" s="1881" t="s">
        <v>1548</v>
      </c>
      <c r="Q75" s="1882">
        <f ca="1">Q65+Q66</f>
        <v>3090</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0.79600000000000004</v>
      </c>
    </row>
    <row r="80" spans="1:18">
      <c r="B80" s="385" t="s">
        <v>1510</v>
      </c>
      <c r="C80" s="317">
        <f ca="1">ROUND(C75/C39,3)</f>
        <v>0.20399999999999999</v>
      </c>
    </row>
    <row r="81" spans="2:3">
      <c r="B81" s="313" t="s">
        <v>1511</v>
      </c>
      <c r="C81" s="281"/>
    </row>
    <row r="82" spans="2:3">
      <c r="B82" s="316" t="s">
        <v>1512</v>
      </c>
      <c r="C82" s="318">
        <f ca="1">1-C83</f>
        <v>0.89300000000000002</v>
      </c>
    </row>
    <row r="83" spans="2:3">
      <c r="B83" s="316" t="s">
        <v>1513</v>
      </c>
      <c r="C83" s="317">
        <f ca="1">ROUND(C13/C40,3)</f>
        <v>0.107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K37" sqref="K3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3322</v>
      </c>
      <c r="G1" s="1627" t="s">
        <v>2535</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1393</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1394</v>
      </c>
      <c r="B3" s="608">
        <f>IF(C2="——",C49,ROUND(B2*10000/D3,0))</f>
        <v>7.2</v>
      </c>
      <c r="C3" s="399" t="s">
        <v>2537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2538</v>
      </c>
      <c r="B4" s="401"/>
      <c r="C4" s="3665" t="s">
        <v>2539</v>
      </c>
      <c r="D4" s="3666"/>
      <c r="E4" s="3667" t="s">
        <v>2540</v>
      </c>
      <c r="F4" s="3668"/>
      <c r="G4" s="3665" t="s">
        <v>2541</v>
      </c>
      <c r="H4" s="3666"/>
      <c r="I4" s="3665" t="s">
        <v>2542</v>
      </c>
      <c r="J4" s="3666"/>
      <c r="K4" s="609" t="s">
        <v>2543</v>
      </c>
      <c r="L4" s="1126"/>
      <c r="M4" s="1127"/>
      <c r="N4" s="1127"/>
      <c r="O4" s="1127"/>
      <c r="P4" s="3669" t="s">
        <v>2544</v>
      </c>
      <c r="Q4" s="3670"/>
      <c r="R4" s="3650" t="s">
        <v>2540</v>
      </c>
      <c r="S4" s="3651"/>
      <c r="T4" s="3650" t="s">
        <v>2541</v>
      </c>
      <c r="U4" s="3651"/>
      <c r="V4" s="3677" t="s">
        <v>2542</v>
      </c>
      <c r="W4" s="3677"/>
      <c r="X4" s="3352"/>
      <c r="Y4" s="3650" t="s">
        <v>2544</v>
      </c>
      <c r="Z4" s="3651"/>
      <c r="AA4" s="3645" t="s">
        <v>2540</v>
      </c>
      <c r="AB4" s="3677" t="s">
        <v>2541</v>
      </c>
      <c r="AC4" s="3645" t="s">
        <v>2542</v>
      </c>
    </row>
    <row r="5" spans="1:29" ht="15">
      <c r="A5" s="403"/>
      <c r="B5" s="404"/>
      <c r="C5" s="3656" t="s">
        <v>2545</v>
      </c>
      <c r="D5" s="3657"/>
      <c r="E5" s="3760" t="s">
        <v>3323</v>
      </c>
      <c r="F5" s="3761"/>
      <c r="G5" s="3762" t="s">
        <v>3324</v>
      </c>
      <c r="H5" s="3657"/>
      <c r="I5" s="3762" t="s">
        <v>3325</v>
      </c>
      <c r="J5" s="3657"/>
      <c r="K5" s="609"/>
      <c r="L5" s="1126"/>
      <c r="M5" s="1127"/>
      <c r="N5" s="1127"/>
      <c r="O5" s="1127"/>
      <c r="P5" s="3671"/>
      <c r="Q5" s="3672"/>
      <c r="R5" s="3652"/>
      <c r="S5" s="3653"/>
      <c r="T5" s="3652"/>
      <c r="U5" s="3653"/>
      <c r="V5" s="3677"/>
      <c r="W5" s="3677"/>
      <c r="X5" s="3352"/>
      <c r="Y5" s="3652"/>
      <c r="Z5" s="3653"/>
      <c r="AA5" s="3646"/>
      <c r="AB5" s="3677"/>
      <c r="AC5" s="3646"/>
    </row>
    <row r="6" spans="1:29" ht="15.75" thickBot="1">
      <c r="A6" s="405"/>
      <c r="B6" s="406"/>
      <c r="C6" s="3658" t="s">
        <v>2549</v>
      </c>
      <c r="D6" s="3659"/>
      <c r="E6" s="3763"/>
      <c r="F6" s="3663"/>
      <c r="G6" s="3764"/>
      <c r="H6" s="3659"/>
      <c r="I6" s="3764"/>
      <c r="J6" s="3659"/>
      <c r="K6" s="609" t="s">
        <v>2550</v>
      </c>
      <c r="L6" s="1126"/>
      <c r="M6" s="1127"/>
      <c r="N6" s="1127"/>
      <c r="O6" s="1127"/>
      <c r="P6" s="3673"/>
      <c r="Q6" s="3674"/>
      <c r="R6" s="3652"/>
      <c r="S6" s="3653"/>
      <c r="T6" s="3675"/>
      <c r="U6" s="3676"/>
      <c r="V6" s="3677"/>
      <c r="W6" s="3677"/>
      <c r="X6" s="3352"/>
      <c r="Y6" s="3675"/>
      <c r="Z6" s="3676"/>
      <c r="AA6" s="3647"/>
      <c r="AB6" s="3677"/>
      <c r="AC6" s="3647"/>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48" t="s">
        <v>2552</v>
      </c>
      <c r="Q7" s="3678"/>
      <c r="R7" s="766" t="s">
        <v>17</v>
      </c>
      <c r="S7" s="767">
        <f t="shared" ref="S7:S15" si="0">F7</f>
        <v>100</v>
      </c>
      <c r="T7" s="766" t="s">
        <v>17</v>
      </c>
      <c r="U7" s="767">
        <f t="shared" ref="U7:U15" si="1">H7</f>
        <v>100</v>
      </c>
      <c r="V7" s="766" t="s">
        <v>17</v>
      </c>
      <c r="W7" s="767">
        <f t="shared" ref="W7:W15" si="2">J7</f>
        <v>100</v>
      </c>
      <c r="X7" s="768"/>
      <c r="Y7" s="3648" t="s">
        <v>2552</v>
      </c>
      <c r="Z7" s="3649"/>
      <c r="AA7" s="769">
        <f>D7/F7</f>
        <v>1</v>
      </c>
      <c r="AB7" s="769">
        <f>D7/H7</f>
        <v>1</v>
      </c>
      <c r="AC7" s="769">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48" t="s">
        <v>2555</v>
      </c>
      <c r="Q8" s="3649"/>
      <c r="R8" s="766" t="s">
        <v>17</v>
      </c>
      <c r="S8" s="767">
        <f t="shared" si="0"/>
        <v>100</v>
      </c>
      <c r="T8" s="766" t="s">
        <v>17</v>
      </c>
      <c r="U8" s="767">
        <f t="shared" si="1"/>
        <v>100</v>
      </c>
      <c r="V8" s="766" t="s">
        <v>17</v>
      </c>
      <c r="W8" s="767">
        <f t="shared" si="2"/>
        <v>100</v>
      </c>
      <c r="X8" s="768"/>
      <c r="Y8" s="3648" t="s">
        <v>2555</v>
      </c>
      <c r="Z8" s="3649"/>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64" t="s">
        <v>2558</v>
      </c>
      <c r="Q9" s="3346" t="str">
        <f t="shared" ref="Q9:Q15" si="6">B9</f>
        <v>用途</v>
      </c>
      <c r="R9" s="766" t="s">
        <v>17</v>
      </c>
      <c r="S9" s="767">
        <f t="shared" si="0"/>
        <v>100</v>
      </c>
      <c r="T9" s="766" t="s">
        <v>17</v>
      </c>
      <c r="U9" s="767">
        <f t="shared" si="1"/>
        <v>100</v>
      </c>
      <c r="V9" s="766" t="s">
        <v>17</v>
      </c>
      <c r="W9" s="767">
        <f t="shared" si="2"/>
        <v>100</v>
      </c>
      <c r="X9" s="768"/>
      <c r="Y9" s="3525" t="s">
        <v>2559</v>
      </c>
      <c r="Z9" s="3347" t="str">
        <f t="shared" ref="Z9:Z15" si="7">Q9</f>
        <v>用途</v>
      </c>
      <c r="AA9" s="769">
        <f t="shared" si="3"/>
        <v>1</v>
      </c>
      <c r="AB9" s="769">
        <f t="shared" si="4"/>
        <v>1</v>
      </c>
      <c r="AC9" s="769">
        <f t="shared" si="5"/>
        <v>1</v>
      </c>
    </row>
    <row r="10" spans="1:29" s="426" customFormat="1" ht="27.75" thickBot="1">
      <c r="A10" s="420"/>
      <c r="B10" s="3348"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64"/>
      <c r="Q10" s="3346" t="str">
        <f t="shared" si="6"/>
        <v>土地使用年限（年）</v>
      </c>
      <c r="R10" s="766" t="s">
        <v>17</v>
      </c>
      <c r="S10" s="767">
        <f t="shared" si="0"/>
        <v>100</v>
      </c>
      <c r="T10" s="766" t="s">
        <v>17</v>
      </c>
      <c r="U10" s="767">
        <f t="shared" si="1"/>
        <v>100</v>
      </c>
      <c r="V10" s="766" t="s">
        <v>17</v>
      </c>
      <c r="W10" s="767">
        <f t="shared" si="2"/>
        <v>100</v>
      </c>
      <c r="X10" s="768"/>
      <c r="Y10" s="3525"/>
      <c r="Z10" s="3347" t="str">
        <f t="shared" si="7"/>
        <v>土地使用年限（年）</v>
      </c>
      <c r="AA10" s="769">
        <f t="shared" si="3"/>
        <v>1</v>
      </c>
      <c r="AB10" s="769">
        <f t="shared" si="4"/>
        <v>1</v>
      </c>
      <c r="AC10" s="769">
        <f t="shared" si="5"/>
        <v>1</v>
      </c>
    </row>
    <row r="11" spans="1:29" ht="14.25" hidden="1" customHeight="1">
      <c r="A11" s="427"/>
      <c r="B11" s="3348"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64"/>
      <c r="Q11" s="3346" t="str">
        <f t="shared" si="6"/>
        <v>容积率</v>
      </c>
      <c r="R11" s="766" t="s">
        <v>17</v>
      </c>
      <c r="S11" s="767">
        <f t="shared" si="0"/>
        <v>100</v>
      </c>
      <c r="T11" s="766" t="s">
        <v>17</v>
      </c>
      <c r="U11" s="767">
        <f t="shared" si="1"/>
        <v>100</v>
      </c>
      <c r="V11" s="766" t="s">
        <v>17</v>
      </c>
      <c r="W11" s="767">
        <f t="shared" si="2"/>
        <v>100</v>
      </c>
      <c r="X11" s="768"/>
      <c r="Y11" s="3525"/>
      <c r="Z11" s="3347" t="str">
        <f t="shared" si="7"/>
        <v>容积率</v>
      </c>
      <c r="AA11" s="769">
        <f t="shared" si="3"/>
        <v>1</v>
      </c>
      <c r="AB11" s="769">
        <f t="shared" si="4"/>
        <v>1</v>
      </c>
      <c r="AC11" s="769">
        <f t="shared" si="5"/>
        <v>1</v>
      </c>
    </row>
    <row r="12" spans="1:29" s="116" customFormat="1" ht="15.75" hidden="1" thickBot="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64"/>
      <c r="Q12" s="3346">
        <f t="shared" si="6"/>
        <v>111</v>
      </c>
      <c r="R12" s="766" t="s">
        <v>17</v>
      </c>
      <c r="S12" s="767">
        <f t="shared" si="0"/>
        <v>100</v>
      </c>
      <c r="T12" s="766" t="s">
        <v>17</v>
      </c>
      <c r="U12" s="767">
        <f t="shared" si="1"/>
        <v>100</v>
      </c>
      <c r="V12" s="766" t="s">
        <v>17</v>
      </c>
      <c r="W12" s="767">
        <f t="shared" si="2"/>
        <v>100</v>
      </c>
      <c r="X12" s="768"/>
      <c r="Y12" s="3525"/>
      <c r="Z12" s="3347">
        <f t="shared" si="7"/>
        <v>111</v>
      </c>
      <c r="AA12" s="769">
        <f>D12/F12</f>
        <v>1</v>
      </c>
      <c r="AB12" s="769">
        <f>D12/H12</f>
        <v>1</v>
      </c>
      <c r="AC12" s="769">
        <f>D12/J12</f>
        <v>1</v>
      </c>
    </row>
    <row r="13" spans="1:29" ht="15.75" hidden="1" thickBot="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64"/>
      <c r="Q13" s="3346">
        <f t="shared" si="6"/>
        <v>111</v>
      </c>
      <c r="R13" s="766" t="s">
        <v>17</v>
      </c>
      <c r="S13" s="767">
        <f t="shared" si="0"/>
        <v>100</v>
      </c>
      <c r="T13" s="766" t="s">
        <v>17</v>
      </c>
      <c r="U13" s="767">
        <f t="shared" si="1"/>
        <v>100</v>
      </c>
      <c r="V13" s="766" t="s">
        <v>17</v>
      </c>
      <c r="W13" s="767">
        <f t="shared" si="2"/>
        <v>100</v>
      </c>
      <c r="X13" s="768"/>
      <c r="Y13" s="3525"/>
      <c r="Z13" s="3347">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64"/>
      <c r="Q14" s="3346">
        <f t="shared" si="6"/>
        <v>111</v>
      </c>
      <c r="R14" s="766" t="s">
        <v>17</v>
      </c>
      <c r="S14" s="767">
        <f t="shared" si="0"/>
        <v>100</v>
      </c>
      <c r="T14" s="766" t="s">
        <v>17</v>
      </c>
      <c r="U14" s="767">
        <f t="shared" si="1"/>
        <v>100</v>
      </c>
      <c r="V14" s="766" t="s">
        <v>17</v>
      </c>
      <c r="W14" s="767">
        <f t="shared" si="2"/>
        <v>100</v>
      </c>
      <c r="X14" s="768"/>
      <c r="Y14" s="3525"/>
      <c r="Z14" s="3347">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91" t="s">
        <v>2563</v>
      </c>
      <c r="Q15" s="3350" t="str">
        <f t="shared" si="6"/>
        <v>商业繁华度</v>
      </c>
      <c r="R15" s="770" t="s">
        <v>17</v>
      </c>
      <c r="S15" s="771">
        <f t="shared" si="0"/>
        <v>95</v>
      </c>
      <c r="T15" s="770" t="s">
        <v>17</v>
      </c>
      <c r="U15" s="771">
        <f t="shared" si="1"/>
        <v>95</v>
      </c>
      <c r="V15" s="770" t="s">
        <v>17</v>
      </c>
      <c r="W15" s="771">
        <f t="shared" si="2"/>
        <v>95</v>
      </c>
      <c r="X15" s="3352"/>
      <c r="Y15" s="3684" t="s">
        <v>2563</v>
      </c>
      <c r="Z15" s="3353" t="str">
        <f t="shared" si="7"/>
        <v>商业繁华度</v>
      </c>
      <c r="AA15" s="3351">
        <f t="shared" si="3"/>
        <v>1.0526315789473684</v>
      </c>
      <c r="AB15" s="3351">
        <f t="shared" si="4"/>
        <v>1.0526315789473684</v>
      </c>
      <c r="AC15" s="3351">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92"/>
      <c r="Q16" s="3350"/>
      <c r="R16" s="770"/>
      <c r="S16" s="771"/>
      <c r="T16" s="770"/>
      <c r="U16" s="771"/>
      <c r="V16" s="770"/>
      <c r="W16" s="771"/>
      <c r="X16" s="3352"/>
      <c r="Y16" s="3685"/>
      <c r="Z16" s="3353"/>
      <c r="AA16" s="3351">
        <v>1</v>
      </c>
      <c r="AB16" s="3351">
        <v>1</v>
      </c>
      <c r="AC16" s="3351">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92"/>
      <c r="Q17" s="3350" t="str">
        <f>B17</f>
        <v>交通便捷度</v>
      </c>
      <c r="R17" s="770" t="s">
        <v>17</v>
      </c>
      <c r="S17" s="771">
        <f>F17</f>
        <v>95</v>
      </c>
      <c r="T17" s="770" t="s">
        <v>17</v>
      </c>
      <c r="U17" s="771">
        <f>H17</f>
        <v>95</v>
      </c>
      <c r="V17" s="770" t="s">
        <v>17</v>
      </c>
      <c r="W17" s="771">
        <f>J17</f>
        <v>95</v>
      </c>
      <c r="X17" s="3352"/>
      <c r="Y17" s="3685"/>
      <c r="Z17" s="3353" t="str">
        <f>Q17</f>
        <v>交通便捷度</v>
      </c>
      <c r="AA17" s="3351">
        <f t="shared" si="3"/>
        <v>1.0526315789473684</v>
      </c>
      <c r="AB17" s="3351">
        <f t="shared" si="4"/>
        <v>1.0526315789473684</v>
      </c>
      <c r="AC17" s="3351">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92"/>
      <c r="Q18" s="3350"/>
      <c r="R18" s="770"/>
      <c r="S18" s="771"/>
      <c r="T18" s="770"/>
      <c r="U18" s="771"/>
      <c r="V18" s="770"/>
      <c r="W18" s="771"/>
      <c r="X18" s="3352"/>
      <c r="Y18" s="3685"/>
      <c r="Z18" s="3353"/>
      <c r="AA18" s="3351">
        <v>1</v>
      </c>
      <c r="AB18" s="3351">
        <v>1</v>
      </c>
      <c r="AC18" s="3351">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92"/>
      <c r="Q19" s="3350" t="str">
        <f>B19</f>
        <v>公共配套设施</v>
      </c>
      <c r="R19" s="770" t="s">
        <v>17</v>
      </c>
      <c r="S19" s="771">
        <f>F19</f>
        <v>100</v>
      </c>
      <c r="T19" s="770" t="s">
        <v>17</v>
      </c>
      <c r="U19" s="771">
        <f>H19</f>
        <v>100</v>
      </c>
      <c r="V19" s="770" t="s">
        <v>17</v>
      </c>
      <c r="W19" s="771">
        <f>J19</f>
        <v>100</v>
      </c>
      <c r="X19" s="3352"/>
      <c r="Y19" s="3685"/>
      <c r="Z19" s="3353" t="str">
        <f>Q19</f>
        <v>公共配套设施</v>
      </c>
      <c r="AA19" s="3351">
        <f t="shared" si="3"/>
        <v>1</v>
      </c>
      <c r="AB19" s="3351">
        <f t="shared" si="4"/>
        <v>1</v>
      </c>
      <c r="AC19" s="3351">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92"/>
      <c r="Q20" s="3350"/>
      <c r="R20" s="770"/>
      <c r="S20" s="771"/>
      <c r="T20" s="770"/>
      <c r="U20" s="771"/>
      <c r="V20" s="770"/>
      <c r="W20" s="771"/>
      <c r="X20" s="3352"/>
      <c r="Y20" s="3685"/>
      <c r="Z20" s="3353"/>
      <c r="AA20" s="3351">
        <v>1</v>
      </c>
      <c r="AB20" s="3351">
        <v>1</v>
      </c>
      <c r="AC20" s="3351">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92"/>
      <c r="Q21" s="3350" t="str">
        <f>B21</f>
        <v>基础设施水平</v>
      </c>
      <c r="R21" s="770" t="s">
        <v>17</v>
      </c>
      <c r="S21" s="771">
        <f>F21</f>
        <v>100</v>
      </c>
      <c r="T21" s="770" t="s">
        <v>17</v>
      </c>
      <c r="U21" s="771">
        <f>H21</f>
        <v>100</v>
      </c>
      <c r="V21" s="770" t="s">
        <v>17</v>
      </c>
      <c r="W21" s="771">
        <f>J21</f>
        <v>100</v>
      </c>
      <c r="X21" s="3352"/>
      <c r="Y21" s="3685"/>
      <c r="Z21" s="3353" t="str">
        <f>Q21</f>
        <v>基础设施水平</v>
      </c>
      <c r="AA21" s="3351">
        <f t="shared" ref="AA21" si="8">D21/F21</f>
        <v>1</v>
      </c>
      <c r="AB21" s="3351">
        <f t="shared" ref="AB21" si="9">D21/H21</f>
        <v>1</v>
      </c>
      <c r="AC21" s="3351">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92"/>
      <c r="Q22" s="3350"/>
      <c r="R22" s="770"/>
      <c r="S22" s="771"/>
      <c r="T22" s="770"/>
      <c r="U22" s="771"/>
      <c r="V22" s="770"/>
      <c r="W22" s="771"/>
      <c r="X22" s="3352"/>
      <c r="Y22" s="3685"/>
      <c r="Z22" s="3353"/>
      <c r="AA22" s="3351">
        <v>1</v>
      </c>
      <c r="AB22" s="3351">
        <v>1</v>
      </c>
      <c r="AC22" s="3351">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6"/>
      <c r="M23" s="1127"/>
      <c r="N23" s="1127"/>
      <c r="O23" s="1127"/>
      <c r="P23" s="3692"/>
      <c r="Q23" s="3350" t="str">
        <f>B23</f>
        <v>自然及人文环境</v>
      </c>
      <c r="R23" s="770" t="s">
        <v>17</v>
      </c>
      <c r="S23" s="771">
        <f>F23</f>
        <v>100</v>
      </c>
      <c r="T23" s="770" t="s">
        <v>17</v>
      </c>
      <c r="U23" s="771">
        <f>H23</f>
        <v>100</v>
      </c>
      <c r="V23" s="770" t="s">
        <v>17</v>
      </c>
      <c r="W23" s="771">
        <f>J23</f>
        <v>100</v>
      </c>
      <c r="X23" s="3352"/>
      <c r="Y23" s="3685"/>
      <c r="Z23" s="3353" t="str">
        <f>Q23</f>
        <v>自然及人文环境</v>
      </c>
      <c r="AA23" s="3351">
        <f t="shared" si="3"/>
        <v>1</v>
      </c>
      <c r="AB23" s="3351">
        <f t="shared" si="4"/>
        <v>1</v>
      </c>
      <c r="AC23" s="3351">
        <f t="shared" si="5"/>
        <v>1</v>
      </c>
    </row>
    <row r="24" spans="1:29" ht="15">
      <c r="A24" s="427"/>
      <c r="B24" s="455"/>
      <c r="C24" s="446" t="s">
        <v>3133</v>
      </c>
      <c r="D24" s="447"/>
      <c r="E24" s="2604" t="s">
        <v>3133</v>
      </c>
      <c r="F24" s="448"/>
      <c r="G24" s="2603" t="s">
        <v>3133</v>
      </c>
      <c r="H24" s="447"/>
      <c r="I24" s="2604" t="s">
        <v>3133</v>
      </c>
      <c r="J24" s="447"/>
      <c r="K24" s="614"/>
      <c r="L24" s="1136"/>
      <c r="M24" s="1127"/>
      <c r="N24" s="1127"/>
      <c r="O24" s="1127"/>
      <c r="P24" s="3692"/>
      <c r="Q24" s="3350"/>
      <c r="R24" s="770"/>
      <c r="S24" s="771"/>
      <c r="T24" s="770"/>
      <c r="U24" s="771"/>
      <c r="V24" s="770"/>
      <c r="W24" s="771"/>
      <c r="X24" s="3352"/>
      <c r="Y24" s="3685"/>
      <c r="Z24" s="3353"/>
      <c r="AA24" s="3351">
        <v>1</v>
      </c>
      <c r="AB24" s="3351">
        <v>1</v>
      </c>
      <c r="AC24" s="3351">
        <v>1</v>
      </c>
    </row>
    <row r="25" spans="1:29" ht="15">
      <c r="A25" s="427"/>
      <c r="B25" s="3348"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92"/>
      <c r="Q25" s="3350" t="str">
        <f t="shared" ref="Q25:Q46" si="11">B25</f>
        <v>临街状况</v>
      </c>
      <c r="R25" s="770" t="s">
        <v>17</v>
      </c>
      <c r="S25" s="771">
        <f>F25</f>
        <v>100</v>
      </c>
      <c r="T25" s="770" t="s">
        <v>17</v>
      </c>
      <c r="U25" s="771">
        <f>H25</f>
        <v>100</v>
      </c>
      <c r="V25" s="770" t="s">
        <v>17</v>
      </c>
      <c r="W25" s="771">
        <f>J25</f>
        <v>100</v>
      </c>
      <c r="X25" s="3352"/>
      <c r="Y25" s="3685"/>
      <c r="Z25" s="3353" t="str">
        <f>Q25</f>
        <v>临街状况</v>
      </c>
      <c r="AA25" s="3351">
        <f t="shared" si="3"/>
        <v>1</v>
      </c>
      <c r="AB25" s="3351">
        <f t="shared" si="4"/>
        <v>1</v>
      </c>
      <c r="AC25" s="3351">
        <f t="shared" si="5"/>
        <v>1</v>
      </c>
    </row>
    <row r="26" spans="1:29" ht="15">
      <c r="A26" s="427"/>
      <c r="B26" s="1382" t="s">
        <v>2660</v>
      </c>
      <c r="C26" s="3345" t="s">
        <v>3255</v>
      </c>
      <c r="D26" s="434">
        <v>100</v>
      </c>
      <c r="E26" s="3345" t="s">
        <v>3255</v>
      </c>
      <c r="F26" s="460">
        <f>SUMIF(88:88,E26,89:89)-SUMIF(88:88,C26,89:89)+100</f>
        <v>100</v>
      </c>
      <c r="G26" s="3345" t="s">
        <v>3255</v>
      </c>
      <c r="H26" s="434">
        <f>SUMIF(88:88,G26,89:89)-SUMIF(88:88,C26,89:89)+100</f>
        <v>100</v>
      </c>
      <c r="I26" s="3345" t="s">
        <v>3255</v>
      </c>
      <c r="J26" s="434">
        <f>SUMIF(88:88,I26,89:89)-SUMIF(88:88,C26,89:89)+100</f>
        <v>100</v>
      </c>
      <c r="K26" s="612"/>
      <c r="L26" s="1136"/>
      <c r="M26" s="1127"/>
      <c r="N26" s="1127"/>
      <c r="O26" s="1127"/>
      <c r="P26" s="3692"/>
      <c r="Q26" s="3350" t="str">
        <f t="shared" si="11"/>
        <v>平面位置/可视性</v>
      </c>
      <c r="R26" s="770" t="s">
        <v>17</v>
      </c>
      <c r="S26" s="771">
        <f>F26</f>
        <v>100</v>
      </c>
      <c r="T26" s="770" t="s">
        <v>17</v>
      </c>
      <c r="U26" s="771">
        <f>H26</f>
        <v>100</v>
      </c>
      <c r="V26" s="770" t="s">
        <v>17</v>
      </c>
      <c r="W26" s="771">
        <f>J26</f>
        <v>100</v>
      </c>
      <c r="X26" s="3352"/>
      <c r="Y26" s="3685"/>
      <c r="Z26" s="3353" t="str">
        <f>Q26</f>
        <v>平面位置/可视性</v>
      </c>
      <c r="AA26" s="3351">
        <f t="shared" si="3"/>
        <v>1</v>
      </c>
      <c r="AB26" s="3351">
        <f t="shared" si="4"/>
        <v>1</v>
      </c>
      <c r="AC26" s="3351">
        <f t="shared" si="5"/>
        <v>1</v>
      </c>
    </row>
    <row r="27" spans="1:29" s="116" customFormat="1" ht="15">
      <c r="A27" s="430"/>
      <c r="B27" s="450" t="s">
        <v>2661</v>
      </c>
      <c r="C27" s="2664" t="s">
        <v>3258</v>
      </c>
      <c r="D27" s="461">
        <v>100</v>
      </c>
      <c r="E27" s="2664" t="s">
        <v>3257</v>
      </c>
      <c r="F27" s="463">
        <f>SUMIF(90:90,E27,91:91)-SUMIF(90:90,C27,91:91)+100</f>
        <v>97</v>
      </c>
      <c r="G27" s="2664" t="s">
        <v>3257</v>
      </c>
      <c r="H27" s="461">
        <f>SUMIF(90:90,G27,91:91)-SUMIF(90:90,C27,91:91)+100</f>
        <v>97</v>
      </c>
      <c r="I27" s="2664" t="s">
        <v>3257</v>
      </c>
      <c r="J27" s="461">
        <f>SUMIF(90:90,I27,91:91)-SUMIF(90:90,C27,91:91)+100</f>
        <v>97</v>
      </c>
      <c r="K27" s="611">
        <v>3</v>
      </c>
      <c r="L27" s="1128"/>
      <c r="M27" s="1129"/>
      <c r="N27" s="1129"/>
      <c r="O27" s="1129"/>
      <c r="P27" s="3692"/>
      <c r="Q27" s="3346" t="str">
        <f t="shared" si="11"/>
        <v>人流量</v>
      </c>
      <c r="R27" s="766" t="s">
        <v>17</v>
      </c>
      <c r="S27" s="767">
        <f>F27</f>
        <v>97</v>
      </c>
      <c r="T27" s="766" t="s">
        <v>17</v>
      </c>
      <c r="U27" s="767">
        <f>H27</f>
        <v>97</v>
      </c>
      <c r="V27" s="766" t="s">
        <v>17</v>
      </c>
      <c r="W27" s="767">
        <f>J27</f>
        <v>97</v>
      </c>
      <c r="X27" s="768"/>
      <c r="Y27" s="3685"/>
      <c r="Z27" s="3347" t="str">
        <f>Q27</f>
        <v>人流量</v>
      </c>
      <c r="AA27" s="3351">
        <f>D27/F27</f>
        <v>1.0309278350515463</v>
      </c>
      <c r="AB27" s="3351">
        <f>D27/H27</f>
        <v>1.0309278350515463</v>
      </c>
      <c r="AC27" s="3351">
        <f>D27/J27</f>
        <v>1.0309278350515463</v>
      </c>
    </row>
    <row r="28" spans="1:29" ht="15">
      <c r="A28" s="427"/>
      <c r="B28" s="3348"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92"/>
      <c r="Q28" s="3350" t="str">
        <f t="shared" si="11"/>
        <v>楼层</v>
      </c>
      <c r="R28" s="770" t="s">
        <v>17</v>
      </c>
      <c r="S28" s="771">
        <f t="shared" ref="S28:S46" si="12">F28</f>
        <v>100</v>
      </c>
      <c r="T28" s="770" t="s">
        <v>17</v>
      </c>
      <c r="U28" s="771">
        <f t="shared" ref="U28:U46" si="13">H28</f>
        <v>100</v>
      </c>
      <c r="V28" s="770" t="s">
        <v>17</v>
      </c>
      <c r="W28" s="771">
        <f t="shared" ref="W28:W46" si="14">J28</f>
        <v>100</v>
      </c>
      <c r="X28" s="3352"/>
      <c r="Y28" s="3685"/>
      <c r="Z28" s="3353" t="str">
        <f t="shared" ref="Z28:Z46" si="15">Q28</f>
        <v>楼层</v>
      </c>
      <c r="AA28" s="3351">
        <f t="shared" si="3"/>
        <v>1</v>
      </c>
      <c r="AB28" s="3351">
        <f t="shared" si="4"/>
        <v>1</v>
      </c>
      <c r="AC28" s="3351">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92"/>
      <c r="Q29" s="3350">
        <f t="shared" si="11"/>
        <v>111</v>
      </c>
      <c r="R29" s="770" t="s">
        <v>17</v>
      </c>
      <c r="S29" s="771">
        <f t="shared" si="12"/>
        <v>100</v>
      </c>
      <c r="T29" s="770" t="s">
        <v>17</v>
      </c>
      <c r="U29" s="771">
        <f t="shared" si="13"/>
        <v>100</v>
      </c>
      <c r="V29" s="770" t="s">
        <v>17</v>
      </c>
      <c r="W29" s="771">
        <f t="shared" si="14"/>
        <v>100</v>
      </c>
      <c r="X29" s="3352"/>
      <c r="Y29" s="3685"/>
      <c r="Z29" s="3353">
        <f t="shared" si="15"/>
        <v>111</v>
      </c>
      <c r="AA29" s="3351">
        <f t="shared" si="3"/>
        <v>1</v>
      </c>
      <c r="AB29" s="3351">
        <f t="shared" si="4"/>
        <v>1</v>
      </c>
      <c r="AC29" s="3351">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92"/>
      <c r="Q30" s="3350">
        <f t="shared" si="11"/>
        <v>111</v>
      </c>
      <c r="R30" s="770" t="s">
        <v>17</v>
      </c>
      <c r="S30" s="771">
        <f t="shared" si="12"/>
        <v>100</v>
      </c>
      <c r="T30" s="770" t="s">
        <v>17</v>
      </c>
      <c r="U30" s="771">
        <f t="shared" si="13"/>
        <v>100</v>
      </c>
      <c r="V30" s="770" t="s">
        <v>17</v>
      </c>
      <c r="W30" s="771">
        <f t="shared" si="14"/>
        <v>100</v>
      </c>
      <c r="X30" s="3352"/>
      <c r="Y30" s="3685"/>
      <c r="Z30" s="3353">
        <f t="shared" si="15"/>
        <v>111</v>
      </c>
      <c r="AA30" s="3351">
        <f t="shared" si="3"/>
        <v>1</v>
      </c>
      <c r="AB30" s="3351">
        <f t="shared" si="4"/>
        <v>1</v>
      </c>
      <c r="AC30" s="3351">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92"/>
      <c r="Q31" s="3350">
        <f t="shared" si="11"/>
        <v>111</v>
      </c>
      <c r="R31" s="770" t="s">
        <v>17</v>
      </c>
      <c r="S31" s="771">
        <f t="shared" si="12"/>
        <v>100</v>
      </c>
      <c r="T31" s="770" t="s">
        <v>17</v>
      </c>
      <c r="U31" s="771">
        <f t="shared" si="13"/>
        <v>100</v>
      </c>
      <c r="V31" s="770" t="s">
        <v>17</v>
      </c>
      <c r="W31" s="771">
        <f t="shared" si="14"/>
        <v>100</v>
      </c>
      <c r="X31" s="3352"/>
      <c r="Y31" s="3685"/>
      <c r="Z31" s="3353">
        <f t="shared" si="15"/>
        <v>111</v>
      </c>
      <c r="AA31" s="3351">
        <f t="shared" si="3"/>
        <v>1</v>
      </c>
      <c r="AB31" s="3351">
        <f t="shared" si="4"/>
        <v>1</v>
      </c>
      <c r="AC31" s="3351">
        <f t="shared" si="5"/>
        <v>1</v>
      </c>
    </row>
    <row r="32" spans="1:29" ht="15">
      <c r="A32" s="439" t="s">
        <v>2566</v>
      </c>
      <c r="B32" s="71" t="s">
        <v>2663</v>
      </c>
      <c r="C32" s="2616" t="s">
        <v>3260</v>
      </c>
      <c r="D32" s="466">
        <v>100</v>
      </c>
      <c r="E32" s="2616" t="s">
        <v>3260</v>
      </c>
      <c r="F32" s="460">
        <f>SUMIF(100:100,E32,101:101)-SUMIF(100:100,C32,101:101)+100</f>
        <v>100</v>
      </c>
      <c r="G32" s="2616" t="s">
        <v>3261</v>
      </c>
      <c r="H32" s="434">
        <f>SUMIF(100:100,G32,101:101)-SUMIF(100:100,C32,101:101)+100</f>
        <v>101</v>
      </c>
      <c r="I32" s="2616" t="s">
        <v>3260</v>
      </c>
      <c r="J32" s="466">
        <f>SUMIF(100:100,I32,101:101)-SUMIF(100:100,C32,101:101)+100</f>
        <v>100</v>
      </c>
      <c r="K32" s="611">
        <v>1</v>
      </c>
      <c r="L32" s="1136"/>
      <c r="M32" s="1127"/>
      <c r="N32" s="1127"/>
      <c r="O32" s="1127"/>
      <c r="P32" s="3686" t="s">
        <v>2568</v>
      </c>
      <c r="Q32" s="3350" t="str">
        <f t="shared" si="11"/>
        <v>商业类型</v>
      </c>
      <c r="R32" s="770" t="s">
        <v>17</v>
      </c>
      <c r="S32" s="771">
        <f t="shared" si="12"/>
        <v>100</v>
      </c>
      <c r="T32" s="770" t="s">
        <v>17</v>
      </c>
      <c r="U32" s="771">
        <f t="shared" si="13"/>
        <v>101</v>
      </c>
      <c r="V32" s="770" t="s">
        <v>17</v>
      </c>
      <c r="W32" s="771">
        <f t="shared" si="14"/>
        <v>100</v>
      </c>
      <c r="X32" s="3352"/>
      <c r="Y32" s="3689" t="s">
        <v>2568</v>
      </c>
      <c r="Z32" s="3353" t="str">
        <f t="shared" si="15"/>
        <v>商业类型</v>
      </c>
      <c r="AA32" s="3351">
        <f t="shared" si="3"/>
        <v>1</v>
      </c>
      <c r="AB32" s="3351">
        <f t="shared" si="4"/>
        <v>0.99009900990099009</v>
      </c>
      <c r="AC32" s="3351">
        <f t="shared" si="5"/>
        <v>1</v>
      </c>
    </row>
    <row r="33" spans="1:29" s="470" customFormat="1" ht="15">
      <c r="A33" s="467"/>
      <c r="B33" s="3348"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4"/>
      <c r="M33" s="1137"/>
      <c r="N33" s="1137"/>
      <c r="O33" s="1137"/>
      <c r="P33" s="3687"/>
      <c r="Q33" s="772" t="str">
        <f t="shared" si="11"/>
        <v>项目建筑规模</v>
      </c>
      <c r="R33" s="773" t="s">
        <v>17</v>
      </c>
      <c r="S33" s="774">
        <f t="shared" si="12"/>
        <v>102</v>
      </c>
      <c r="T33" s="773" t="s">
        <v>17</v>
      </c>
      <c r="U33" s="774">
        <f t="shared" si="13"/>
        <v>102</v>
      </c>
      <c r="V33" s="773" t="s">
        <v>17</v>
      </c>
      <c r="W33" s="774">
        <f t="shared" si="14"/>
        <v>102</v>
      </c>
      <c r="X33" s="775"/>
      <c r="Y33" s="3689"/>
      <c r="Z33" s="776" t="str">
        <f t="shared" si="15"/>
        <v>项目建筑规模</v>
      </c>
      <c r="AA33" s="3351">
        <f t="shared" si="3"/>
        <v>0.98039215686274506</v>
      </c>
      <c r="AB33" s="3351">
        <f t="shared" si="4"/>
        <v>0.98039215686274506</v>
      </c>
      <c r="AC33" s="3351">
        <f t="shared" si="5"/>
        <v>0.98039215686274506</v>
      </c>
    </row>
    <row r="34" spans="1:29" ht="15">
      <c r="A34" s="471"/>
      <c r="B34" s="3348"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87"/>
      <c r="Q34" s="3350" t="str">
        <f t="shared" si="11"/>
        <v>建筑结构</v>
      </c>
      <c r="R34" s="770" t="s">
        <v>17</v>
      </c>
      <c r="S34" s="771">
        <f t="shared" si="12"/>
        <v>100</v>
      </c>
      <c r="T34" s="770" t="s">
        <v>17</v>
      </c>
      <c r="U34" s="771">
        <f t="shared" si="13"/>
        <v>100</v>
      </c>
      <c r="V34" s="770" t="s">
        <v>17</v>
      </c>
      <c r="W34" s="771">
        <f t="shared" si="14"/>
        <v>100</v>
      </c>
      <c r="X34" s="3352"/>
      <c r="Y34" s="3689"/>
      <c r="Z34" s="3353" t="str">
        <f t="shared" si="15"/>
        <v>建筑结构</v>
      </c>
      <c r="AA34" s="3351">
        <f t="shared" si="3"/>
        <v>1</v>
      </c>
      <c r="AB34" s="3351">
        <f t="shared" si="4"/>
        <v>1</v>
      </c>
      <c r="AC34" s="3351">
        <f t="shared" si="5"/>
        <v>1</v>
      </c>
    </row>
    <row r="35" spans="1:29" ht="15">
      <c r="A35" s="471"/>
      <c r="B35" s="3348"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87"/>
      <c r="Q35" s="3350" t="str">
        <f t="shared" si="11"/>
        <v>公共部分装修</v>
      </c>
      <c r="R35" s="770" t="s">
        <v>17</v>
      </c>
      <c r="S35" s="771">
        <f t="shared" si="12"/>
        <v>100</v>
      </c>
      <c r="T35" s="770" t="s">
        <v>17</v>
      </c>
      <c r="U35" s="771">
        <f t="shared" si="13"/>
        <v>100</v>
      </c>
      <c r="V35" s="770" t="s">
        <v>17</v>
      </c>
      <c r="W35" s="771">
        <f t="shared" si="14"/>
        <v>100</v>
      </c>
      <c r="X35" s="3352"/>
      <c r="Y35" s="3689"/>
      <c r="Z35" s="3353" t="str">
        <f t="shared" si="15"/>
        <v>公共部分装修</v>
      </c>
      <c r="AA35" s="3351">
        <f t="shared" si="3"/>
        <v>1</v>
      </c>
      <c r="AB35" s="3351">
        <f t="shared" si="4"/>
        <v>1</v>
      </c>
      <c r="AC35" s="3351">
        <f t="shared" si="5"/>
        <v>1</v>
      </c>
    </row>
    <row r="36" spans="1:29" ht="15">
      <c r="A36" s="471"/>
      <c r="B36" s="3348"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6"/>
      <c r="M36" s="1127"/>
      <c r="N36" s="1127"/>
      <c r="O36" s="1127"/>
      <c r="P36" s="3687"/>
      <c r="Q36" s="3350" t="str">
        <f t="shared" si="11"/>
        <v>成新度</v>
      </c>
      <c r="R36" s="770" t="s">
        <v>17</v>
      </c>
      <c r="S36" s="771">
        <f t="shared" si="12"/>
        <v>98</v>
      </c>
      <c r="T36" s="770" t="s">
        <v>17</v>
      </c>
      <c r="U36" s="771">
        <f t="shared" si="13"/>
        <v>98</v>
      </c>
      <c r="V36" s="770" t="s">
        <v>17</v>
      </c>
      <c r="W36" s="771">
        <f t="shared" si="14"/>
        <v>98</v>
      </c>
      <c r="X36" s="3352"/>
      <c r="Y36" s="3689"/>
      <c r="Z36" s="3353" t="str">
        <f t="shared" si="15"/>
        <v>成新度</v>
      </c>
      <c r="AA36" s="3351">
        <f t="shared" si="3"/>
        <v>1.0204081632653061</v>
      </c>
      <c r="AB36" s="3351">
        <f t="shared" si="4"/>
        <v>1.0204081632653061</v>
      </c>
      <c r="AC36" s="3351">
        <f t="shared" si="5"/>
        <v>1.0204081632653061</v>
      </c>
    </row>
    <row r="37" spans="1:29" s="116" customFormat="1" ht="15">
      <c r="A37" s="472"/>
      <c r="B37" s="3348"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87"/>
      <c r="Q37" s="3346" t="str">
        <f t="shared" si="11"/>
        <v>市政基础设施</v>
      </c>
      <c r="R37" s="766" t="s">
        <v>17</v>
      </c>
      <c r="S37" s="767">
        <f t="shared" si="12"/>
        <v>100</v>
      </c>
      <c r="T37" s="766" t="s">
        <v>17</v>
      </c>
      <c r="U37" s="767">
        <f t="shared" si="13"/>
        <v>100</v>
      </c>
      <c r="V37" s="766" t="s">
        <v>17</v>
      </c>
      <c r="W37" s="767">
        <f t="shared" si="14"/>
        <v>100</v>
      </c>
      <c r="X37" s="768"/>
      <c r="Y37" s="3689"/>
      <c r="Z37" s="3347" t="str">
        <f t="shared" si="15"/>
        <v>市政基础设施</v>
      </c>
      <c r="AA37" s="769">
        <f t="shared" si="3"/>
        <v>1</v>
      </c>
      <c r="AB37" s="769">
        <f t="shared" si="4"/>
        <v>1</v>
      </c>
      <c r="AC37" s="769">
        <f t="shared" si="5"/>
        <v>1</v>
      </c>
    </row>
    <row r="38" spans="1:29" ht="15">
      <c r="A38" s="471"/>
      <c r="B38" s="3348"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2</v>
      </c>
      <c r="L38" s="1136"/>
      <c r="M38" s="1127"/>
      <c r="N38" s="1127"/>
      <c r="O38" s="1127"/>
      <c r="P38" s="3687" t="s">
        <v>2568</v>
      </c>
      <c r="Q38" s="3350" t="str">
        <f t="shared" si="11"/>
        <v>业态</v>
      </c>
      <c r="R38" s="770" t="s">
        <v>17</v>
      </c>
      <c r="S38" s="771">
        <f t="shared" si="12"/>
        <v>100</v>
      </c>
      <c r="T38" s="770" t="s">
        <v>17</v>
      </c>
      <c r="U38" s="771">
        <f t="shared" si="13"/>
        <v>100</v>
      </c>
      <c r="V38" s="770" t="s">
        <v>17</v>
      </c>
      <c r="W38" s="771">
        <f t="shared" si="14"/>
        <v>100</v>
      </c>
      <c r="X38" s="3352"/>
      <c r="Y38" s="3689" t="s">
        <v>2568</v>
      </c>
      <c r="Z38" s="3353" t="str">
        <f t="shared" si="15"/>
        <v>业态</v>
      </c>
      <c r="AA38" s="3351">
        <f t="shared" si="3"/>
        <v>1</v>
      </c>
      <c r="AB38" s="3351">
        <f t="shared" si="4"/>
        <v>1</v>
      </c>
      <c r="AC38" s="3351">
        <f t="shared" si="5"/>
        <v>1</v>
      </c>
    </row>
    <row r="39" spans="1:29" ht="15">
      <c r="A39" s="471"/>
      <c r="B39" s="3348"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87"/>
      <c r="Q39" s="3350" t="str">
        <f t="shared" si="11"/>
        <v>层高</v>
      </c>
      <c r="R39" s="770" t="s">
        <v>17</v>
      </c>
      <c r="S39" s="771">
        <f t="shared" si="12"/>
        <v>95</v>
      </c>
      <c r="T39" s="770" t="s">
        <v>17</v>
      </c>
      <c r="U39" s="771">
        <f t="shared" si="13"/>
        <v>95</v>
      </c>
      <c r="V39" s="770" t="s">
        <v>17</v>
      </c>
      <c r="W39" s="771">
        <f t="shared" si="14"/>
        <v>95</v>
      </c>
      <c r="X39" s="3352"/>
      <c r="Y39" s="3689"/>
      <c r="Z39" s="3353" t="str">
        <f t="shared" si="15"/>
        <v>层高</v>
      </c>
      <c r="AA39" s="3351">
        <f t="shared" si="3"/>
        <v>1.0526315789473684</v>
      </c>
      <c r="AB39" s="3351">
        <f t="shared" si="4"/>
        <v>1.0526315789473684</v>
      </c>
      <c r="AC39" s="3351">
        <f t="shared" si="5"/>
        <v>1.0526315789473684</v>
      </c>
    </row>
    <row r="40" spans="1:29" ht="15">
      <c r="A40" s="471"/>
      <c r="B40" s="3348"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87"/>
      <c r="Q40" s="3350" t="str">
        <f t="shared" si="11"/>
        <v>单套建筑面积</v>
      </c>
      <c r="R40" s="770" t="s">
        <v>17</v>
      </c>
      <c r="S40" s="771">
        <f t="shared" si="12"/>
        <v>100</v>
      </c>
      <c r="T40" s="770" t="s">
        <v>17</v>
      </c>
      <c r="U40" s="771">
        <f t="shared" si="13"/>
        <v>100</v>
      </c>
      <c r="V40" s="770" t="s">
        <v>17</v>
      </c>
      <c r="W40" s="771">
        <f t="shared" si="14"/>
        <v>100</v>
      </c>
      <c r="X40" s="3352"/>
      <c r="Y40" s="3689"/>
      <c r="Z40" s="3353" t="str">
        <f t="shared" si="15"/>
        <v>单套建筑面积</v>
      </c>
      <c r="AA40" s="3351">
        <f t="shared" si="3"/>
        <v>1</v>
      </c>
      <c r="AB40" s="3351">
        <f t="shared" si="4"/>
        <v>1</v>
      </c>
      <c r="AC40" s="3351">
        <f t="shared" si="5"/>
        <v>1</v>
      </c>
    </row>
    <row r="41" spans="1:29" s="470" customFormat="1" ht="15">
      <c r="A41" s="467"/>
      <c r="B41" s="3349"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87"/>
      <c r="Q41" s="772" t="str">
        <f t="shared" si="11"/>
        <v>进深比</v>
      </c>
      <c r="R41" s="773" t="s">
        <v>17</v>
      </c>
      <c r="S41" s="774">
        <f t="shared" si="12"/>
        <v>100</v>
      </c>
      <c r="T41" s="773" t="s">
        <v>17</v>
      </c>
      <c r="U41" s="774">
        <f t="shared" si="13"/>
        <v>100</v>
      </c>
      <c r="V41" s="773" t="s">
        <v>17</v>
      </c>
      <c r="W41" s="774">
        <f t="shared" si="14"/>
        <v>100</v>
      </c>
      <c r="X41" s="775"/>
      <c r="Y41" s="3689"/>
      <c r="Z41" s="776" t="str">
        <f t="shared" si="15"/>
        <v>进深比</v>
      </c>
      <c r="AA41" s="3351">
        <f t="shared" si="3"/>
        <v>1</v>
      </c>
      <c r="AB41" s="3351">
        <f t="shared" si="4"/>
        <v>1</v>
      </c>
      <c r="AC41" s="3351">
        <f t="shared" si="5"/>
        <v>1</v>
      </c>
    </row>
    <row r="42" spans="1:29" ht="15">
      <c r="A42" s="471"/>
      <c r="B42" s="3348"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87"/>
      <c r="Q42" s="3350" t="str">
        <f t="shared" si="11"/>
        <v>内部装修</v>
      </c>
      <c r="R42" s="770" t="s">
        <v>17</v>
      </c>
      <c r="S42" s="771">
        <f t="shared" si="12"/>
        <v>100</v>
      </c>
      <c r="T42" s="770" t="s">
        <v>17</v>
      </c>
      <c r="U42" s="771">
        <f t="shared" si="13"/>
        <v>100</v>
      </c>
      <c r="V42" s="770" t="s">
        <v>17</v>
      </c>
      <c r="W42" s="771">
        <f t="shared" si="14"/>
        <v>100</v>
      </c>
      <c r="X42" s="3352"/>
      <c r="Y42" s="3689"/>
      <c r="Z42" s="3353" t="str">
        <f t="shared" si="15"/>
        <v>内部装修</v>
      </c>
      <c r="AA42" s="3351">
        <f t="shared" si="3"/>
        <v>1</v>
      </c>
      <c r="AB42" s="3351">
        <f t="shared" si="4"/>
        <v>1</v>
      </c>
      <c r="AC42" s="3351">
        <f t="shared" si="5"/>
        <v>1</v>
      </c>
    </row>
    <row r="43" spans="1:29" ht="15">
      <c r="A43" s="471"/>
      <c r="B43" s="3348"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87"/>
      <c r="Q43" s="3350" t="str">
        <f t="shared" si="11"/>
        <v>内部装修维护情况</v>
      </c>
      <c r="R43" s="770" t="s">
        <v>17</v>
      </c>
      <c r="S43" s="771">
        <f t="shared" si="12"/>
        <v>100</v>
      </c>
      <c r="T43" s="770" t="s">
        <v>17</v>
      </c>
      <c r="U43" s="771">
        <f t="shared" si="13"/>
        <v>100</v>
      </c>
      <c r="V43" s="770" t="s">
        <v>17</v>
      </c>
      <c r="W43" s="771">
        <f t="shared" si="14"/>
        <v>100</v>
      </c>
      <c r="X43" s="3352"/>
      <c r="Y43" s="3689"/>
      <c r="Z43" s="3353" t="str">
        <f t="shared" si="15"/>
        <v>内部装修维护情况</v>
      </c>
      <c r="AA43" s="3351">
        <f t="shared" si="3"/>
        <v>1</v>
      </c>
      <c r="AB43" s="3351">
        <f t="shared" si="4"/>
        <v>1</v>
      </c>
      <c r="AC43" s="3351">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87"/>
      <c r="Q44" s="3346">
        <f t="shared" si="11"/>
        <v>111</v>
      </c>
      <c r="R44" s="766" t="s">
        <v>17</v>
      </c>
      <c r="S44" s="767">
        <f t="shared" si="12"/>
        <v>100</v>
      </c>
      <c r="T44" s="766" t="s">
        <v>17</v>
      </c>
      <c r="U44" s="767">
        <f t="shared" si="13"/>
        <v>100</v>
      </c>
      <c r="V44" s="766" t="s">
        <v>17</v>
      </c>
      <c r="W44" s="767">
        <f t="shared" si="14"/>
        <v>100</v>
      </c>
      <c r="X44" s="768"/>
      <c r="Y44" s="3689"/>
      <c r="Z44" s="3347">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87"/>
      <c r="Q45" s="3350">
        <f t="shared" si="11"/>
        <v>111</v>
      </c>
      <c r="R45" s="770" t="s">
        <v>17</v>
      </c>
      <c r="S45" s="771">
        <f t="shared" si="12"/>
        <v>100</v>
      </c>
      <c r="T45" s="770" t="s">
        <v>17</v>
      </c>
      <c r="U45" s="771">
        <f t="shared" si="13"/>
        <v>100</v>
      </c>
      <c r="V45" s="770" t="s">
        <v>17</v>
      </c>
      <c r="W45" s="771">
        <f t="shared" si="14"/>
        <v>100</v>
      </c>
      <c r="X45" s="3352"/>
      <c r="Y45" s="3689"/>
      <c r="Z45" s="3353">
        <f t="shared" si="15"/>
        <v>111</v>
      </c>
      <c r="AA45" s="3351">
        <f t="shared" si="3"/>
        <v>1</v>
      </c>
      <c r="AB45" s="3351">
        <f t="shared" si="4"/>
        <v>1</v>
      </c>
      <c r="AC45" s="335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88"/>
      <c r="Q46" s="3350">
        <f t="shared" si="11"/>
        <v>111</v>
      </c>
      <c r="R46" s="770" t="s">
        <v>17</v>
      </c>
      <c r="S46" s="771">
        <f t="shared" si="12"/>
        <v>100</v>
      </c>
      <c r="T46" s="770" t="s">
        <v>17</v>
      </c>
      <c r="U46" s="771">
        <f t="shared" si="13"/>
        <v>100</v>
      </c>
      <c r="V46" s="770" t="s">
        <v>17</v>
      </c>
      <c r="W46" s="771">
        <f t="shared" si="14"/>
        <v>100</v>
      </c>
      <c r="X46" s="3352"/>
      <c r="Y46" s="3690"/>
      <c r="Z46" s="3353">
        <f t="shared" si="15"/>
        <v>111</v>
      </c>
      <c r="AA46" s="3351">
        <f t="shared" si="3"/>
        <v>1</v>
      </c>
      <c r="AB46" s="3351">
        <f t="shared" si="4"/>
        <v>1</v>
      </c>
      <c r="AC46" s="3351">
        <f t="shared" si="5"/>
        <v>1</v>
      </c>
    </row>
    <row r="47" spans="1:29" ht="15">
      <c r="A47" s="478" t="s">
        <v>2580</v>
      </c>
      <c r="B47" s="479"/>
      <c r="C47" s="1403" t="s">
        <v>1</v>
      </c>
      <c r="D47" s="1404"/>
      <c r="E47" s="1405">
        <v>6</v>
      </c>
      <c r="F47" s="1406"/>
      <c r="G47" s="1407">
        <v>6</v>
      </c>
      <c r="H47" s="1408"/>
      <c r="I47" s="1405">
        <v>6.1</v>
      </c>
      <c r="J47" s="1408"/>
      <c r="K47" s="779"/>
      <c r="L47" s="1139"/>
      <c r="M47" s="1140"/>
      <c r="N47" s="1127"/>
      <c r="O47" s="1140"/>
      <c r="P47" s="3682" t="str">
        <f>A47</f>
        <v>成交单价（元/平方米）</v>
      </c>
      <c r="Q47" s="3682"/>
      <c r="R47" s="3677">
        <f>E47</f>
        <v>6</v>
      </c>
      <c r="S47" s="3677"/>
      <c r="T47" s="3677">
        <f>G47</f>
        <v>6</v>
      </c>
      <c r="U47" s="3677"/>
      <c r="V47" s="3677">
        <f>I47</f>
        <v>6.1</v>
      </c>
      <c r="W47" s="3677"/>
      <c r="X47" s="755"/>
      <c r="Y47" s="777"/>
      <c r="Z47" s="755"/>
      <c r="AA47" s="755"/>
      <c r="AB47" s="755"/>
      <c r="AC47" s="755"/>
    </row>
    <row r="48" spans="1:29" ht="15.75" thickBot="1">
      <c r="A48" s="485" t="s">
        <v>2581</v>
      </c>
      <c r="B48" s="486"/>
      <c r="C48" s="1409">
        <f>R49</f>
        <v>7.2</v>
      </c>
      <c r="D48" s="1410"/>
      <c r="E48" s="1411">
        <f>R48</f>
        <v>7.2</v>
      </c>
      <c r="F48" s="1411"/>
      <c r="G48" s="1409">
        <f>T48</f>
        <v>7.1</v>
      </c>
      <c r="H48" s="1410"/>
      <c r="I48" s="1411">
        <f>V48</f>
        <v>7.3</v>
      </c>
      <c r="J48" s="1410"/>
      <c r="K48" s="780"/>
      <c r="L48" s="1139"/>
      <c r="M48" s="1140"/>
      <c r="N48" s="1127"/>
      <c r="O48" s="1140"/>
      <c r="P48" s="3682" t="str">
        <f>A48</f>
        <v>比较价值（元/平方米）</v>
      </c>
      <c r="Q48" s="3682"/>
      <c r="R48" s="3683">
        <f>IF(F1="售价",ROUND(PRODUCT(R47,AA7:AA46),0),ROUND(PRODUCT(R47,AA7:AA46),1))</f>
        <v>7.2</v>
      </c>
      <c r="S48" s="3683"/>
      <c r="T48" s="3683">
        <f>IF(F1="售价",ROUND(PRODUCT(T47,AB7:AB46),0),ROUND(PRODUCT(T47,AB7:AB46),1))</f>
        <v>7.1</v>
      </c>
      <c r="U48" s="3683"/>
      <c r="V48" s="3683">
        <f>IF(F1="售价",ROUND(PRODUCT(V47,AC7:AC46),0),ROUND(PRODUCT(V47,AC7:AC46),1))</f>
        <v>7.3</v>
      </c>
      <c r="W48" s="3683"/>
      <c r="X48" s="755"/>
      <c r="Y48" s="755"/>
      <c r="Z48" s="755"/>
      <c r="AA48" s="755"/>
      <c r="AB48" s="755"/>
      <c r="AC48" s="755"/>
    </row>
    <row r="49" spans="1:29" ht="15.75" thickBot="1">
      <c r="A49" s="491" t="s">
        <v>2582</v>
      </c>
      <c r="B49" s="492"/>
      <c r="C49" s="1413">
        <f>R49</f>
        <v>7.2</v>
      </c>
      <c r="D49" s="1413"/>
      <c r="E49" s="1413"/>
      <c r="F49" s="1413"/>
      <c r="G49" s="1413"/>
      <c r="H49" s="1413"/>
      <c r="I49" s="1413"/>
      <c r="J49" s="1413"/>
      <c r="K49" s="781"/>
      <c r="L49" s="1139"/>
      <c r="M49" s="1140"/>
      <c r="N49" s="1127"/>
      <c r="O49" s="1140"/>
      <c r="P49" s="3679" t="str">
        <f>A49</f>
        <v>估价对象XX用房的比较价值（楼面单价，元/平方米）</v>
      </c>
      <c r="Q49" s="3680"/>
      <c r="R49" s="3681">
        <f>IF(F1="售价",ROUND(AVERAGE(R48:V48),0),ROUND(AVERAGE(R48:V48),1))</f>
        <v>7.2</v>
      </c>
      <c r="S49" s="3681"/>
      <c r="T49" s="3681"/>
      <c r="U49" s="3681"/>
      <c r="V49" s="3681"/>
      <c r="W49" s="36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2583</v>
      </c>
      <c r="D52" s="497"/>
      <c r="E52" s="498">
        <f>IF(E47&lt;E48,E48/E47-1,E47/E48-1)</f>
        <v>0.19999999999999996</v>
      </c>
      <c r="F52" s="499" t="str">
        <f>IF(OR(E52&gt;=0.3,E52&lt;=-0.3),"超过30%","")</f>
        <v/>
      </c>
      <c r="G52" s="498">
        <f>IF(G47&lt;G48,G48/G47-1,G47/G48-1)</f>
        <v>0.18333333333333335</v>
      </c>
      <c r="H52" s="499" t="str">
        <f>IF(OR(G52&gt;=0.3,G52&lt;=-0.3),"超过30%","")</f>
        <v/>
      </c>
      <c r="I52" s="498">
        <f>IF(I47&lt;I48,I48/I47-1,I47/I48-1)</f>
        <v>0.19672131147540983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2584</v>
      </c>
      <c r="D53" s="500"/>
      <c r="E53" s="498">
        <f>IF(E48&lt;G48,G48/E48-1,E48/G48-1)</f>
        <v>1.4084507042253502E-2</v>
      </c>
      <c r="F53" s="499" t="str">
        <f>IF(OR(E53&gt;=0.2,E53&lt;=-0.2),"超过20%","")</f>
        <v/>
      </c>
      <c r="G53" s="498">
        <f>IF(G48&lt;I48,I48/G48-1,G48/I48-1)</f>
        <v>2.8169014084507005E-2</v>
      </c>
      <c r="H53" s="499" t="str">
        <f>IF(OR(G53&gt;=0.2,G53&lt;=-0.2),"超过20%","")</f>
        <v/>
      </c>
      <c r="I53" s="498">
        <f>IF(I48&lt;E48,E48/I48-1,I48/E48-1)</f>
        <v>1.388888888888884E-2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2586</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1105</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c r="E92" s="553"/>
      <c r="F92" s="553"/>
      <c r="G92" s="553"/>
      <c r="H92" s="553"/>
      <c r="I92" s="553"/>
      <c r="J92" s="553"/>
      <c r="K92" s="553"/>
      <c r="L92" s="579"/>
      <c r="M92" s="580"/>
      <c r="N92" s="1148"/>
      <c r="O92" s="1148"/>
      <c r="P92" s="2629"/>
      <c r="Q92" s="503"/>
    </row>
    <row r="93" spans="1:17" ht="15.75" thickBot="1">
      <c r="A93" s="533"/>
      <c r="B93" s="542"/>
      <c r="C93" s="535"/>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3177</v>
      </c>
      <c r="D107" s="3341" t="s">
        <v>3182</v>
      </c>
      <c r="E107" s="3341" t="s">
        <v>3183</v>
      </c>
      <c r="F107" s="3344" t="s">
        <v>3184</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9"/>
      <c r="O111" s="1149"/>
      <c r="P111" s="2629"/>
      <c r="Q111" s="503"/>
    </row>
    <row r="112" spans="1:17" s="470" customFormat="1" ht="15" thickTop="1">
      <c r="A112" s="592"/>
      <c r="B112" s="537" t="s">
        <v>2621</v>
      </c>
      <c r="C112" s="3341" t="s">
        <v>3181</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9"/>
      <c r="O115" s="1149"/>
      <c r="P115" s="2629"/>
      <c r="Q115" s="503"/>
    </row>
    <row r="116" spans="1:17" ht="15" thickTop="1">
      <c r="A116" s="598"/>
      <c r="B116" s="537" t="s">
        <v>2686</v>
      </c>
      <c r="C116" s="3341" t="s">
        <v>3252</v>
      </c>
      <c r="D116" s="3341" t="s">
        <v>3253</v>
      </c>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3177</v>
      </c>
      <c r="D122" s="3341" t="s">
        <v>3182</v>
      </c>
      <c r="E122" s="3341" t="s">
        <v>3183</v>
      </c>
      <c r="F122" s="334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154"/>
      <c r="B1" s="1200" t="s">
        <v>3007</v>
      </c>
      <c r="C1" s="3771" t="s">
        <v>3008</v>
      </c>
      <c r="D1" s="3772"/>
      <c r="E1" s="3772"/>
      <c r="F1" s="3772"/>
      <c r="G1" s="3772"/>
      <c r="H1" s="3772"/>
      <c r="I1" s="3772"/>
      <c r="J1" s="3772"/>
      <c r="K1" s="3772"/>
      <c r="L1" s="3772"/>
      <c r="M1" s="3772"/>
      <c r="N1" s="3772"/>
      <c r="O1" s="3772"/>
      <c r="P1" s="3772"/>
      <c r="Q1" s="3772"/>
      <c r="R1" s="3772"/>
      <c r="S1" s="3773"/>
      <c r="T1" s="1200" t="s">
        <v>3009</v>
      </c>
    </row>
    <row r="2" spans="1:45" s="706" customFormat="1" ht="38.25">
      <c r="A2" s="1201"/>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v>1000</v>
      </c>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100</v>
      </c>
      <c r="D4" s="535">
        <v>98</v>
      </c>
      <c r="E4" s="535">
        <v>96</v>
      </c>
      <c r="F4" s="535">
        <v>94</v>
      </c>
      <c r="G4" s="535">
        <v>92</v>
      </c>
      <c r="H4" s="535">
        <v>90</v>
      </c>
      <c r="I4" s="1704">
        <v>88</v>
      </c>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75" thickTop="1">
      <c r="A5" s="1211"/>
      <c r="B5" s="3431" t="s">
        <v>3372</v>
      </c>
      <c r="C5" s="3432" t="s">
        <v>3373</v>
      </c>
      <c r="D5" s="3433" t="s">
        <v>3374</v>
      </c>
      <c r="E5" s="1213"/>
      <c r="F5" s="1707"/>
      <c r="G5" s="1707"/>
      <c r="H5" s="1707"/>
      <c r="I5" s="1707"/>
      <c r="J5" s="1707"/>
      <c r="K5" s="1707"/>
      <c r="L5" s="1708"/>
      <c r="M5" s="1709"/>
      <c r="N5" s="1709"/>
      <c r="O5" s="1707"/>
      <c r="P5" s="1707"/>
      <c r="Q5" s="1707"/>
      <c r="R5" s="1707"/>
      <c r="S5" s="1710"/>
      <c r="T5" s="1215">
        <f>'比较法-商业'!K38</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3434" t="s">
        <v>3375</v>
      </c>
      <c r="C7" s="3435"/>
      <c r="D7" s="3436"/>
      <c r="E7" s="3436"/>
      <c r="F7" s="1712"/>
      <c r="G7" s="1712"/>
      <c r="H7" s="1712"/>
      <c r="I7" s="1712"/>
      <c r="J7" s="1712"/>
      <c r="K7" s="1712"/>
      <c r="L7" s="1712"/>
      <c r="M7" s="1713"/>
      <c r="N7" s="1714"/>
      <c r="O7" s="1715"/>
      <c r="P7" s="1716"/>
      <c r="Q7" s="1717"/>
      <c r="R7" s="1718"/>
      <c r="S7" s="1719"/>
      <c r="T7" s="710">
        <f>'比较法-商业'!K39</f>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5" t="s">
        <v>3015</v>
      </c>
      <c r="B17" s="2916" t="s">
        <v>3016</v>
      </c>
      <c r="C17" s="1227" t="s">
        <v>3386</v>
      </c>
      <c r="D17" s="1228" t="s">
        <v>3401</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80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17" t="s">
        <v>3017</v>
      </c>
      <c r="E19" s="1788"/>
      <c r="F19" s="1788"/>
      <c r="G19" s="1788"/>
      <c r="H19" s="1276"/>
      <c r="I19" s="167"/>
      <c r="J19" s="167"/>
      <c r="K19" s="167"/>
      <c r="L19" s="167"/>
      <c r="M19" s="167"/>
      <c r="N19" s="167"/>
      <c r="O19" s="167"/>
      <c r="P19" s="167"/>
      <c r="Q19" s="167"/>
      <c r="R19" s="784"/>
      <c r="S19" s="137"/>
    </row>
    <row r="20" spans="1:45" ht="16.5" thickBot="1">
      <c r="A20" s="712" t="s">
        <v>3018</v>
      </c>
      <c r="B20" s="337">
        <f>IF(D20="——",S22,S22-F20)</f>
        <v>49556</v>
      </c>
      <c r="C20" s="167"/>
      <c r="D20" s="2918" t="s">
        <v>70</v>
      </c>
      <c r="E20" s="1789"/>
      <c r="F20" s="1200" t="e">
        <f ca="1">SUMIF(INDIRECT("'"&amp;H20&amp;"'"&amp;"!A:A"),"承租人权益价值",INDIRECT("'"&amp;H20&amp;"'"&amp;"!c:c"))</f>
        <v>#REF!</v>
      </c>
      <c r="G20" s="1200" t="s">
        <v>3019</v>
      </c>
      <c r="H20" s="2919" t="s">
        <v>3403</v>
      </c>
      <c r="I20" s="167"/>
      <c r="J20" s="167"/>
      <c r="K20" s="167"/>
      <c r="L20" s="167"/>
      <c r="M20" s="167"/>
      <c r="N20" s="167"/>
      <c r="O20" s="167"/>
      <c r="P20" s="167"/>
      <c r="Q20" s="167"/>
      <c r="R20" s="784"/>
      <c r="S20" s="137"/>
    </row>
    <row r="21" spans="1:45" ht="15.75">
      <c r="A21" s="712" t="s">
        <v>3020</v>
      </c>
      <c r="B21" s="337">
        <f>R22</f>
        <v>52710</v>
      </c>
      <c r="C21" s="167"/>
      <c r="D21" s="167"/>
      <c r="E21" s="167"/>
      <c r="F21" s="167"/>
      <c r="G21" s="167"/>
      <c r="H21" s="167"/>
      <c r="I21" s="167"/>
      <c r="J21" s="167"/>
      <c r="K21" s="167"/>
      <c r="L21" s="167"/>
      <c r="M21" s="167"/>
      <c r="N21" s="167"/>
      <c r="O21" s="167"/>
      <c r="P21" s="167"/>
      <c r="Q21" s="167"/>
      <c r="R21" s="784"/>
      <c r="S21" s="137"/>
    </row>
    <row r="22" spans="1:45">
      <c r="A22" s="360" t="s">
        <v>3021</v>
      </c>
      <c r="B22" s="24">
        <f>SUM(B24:B10000)</f>
        <v>9401.5500000000011</v>
      </c>
      <c r="C22" s="3560" t="s">
        <v>33</v>
      </c>
      <c r="D22" s="3561"/>
      <c r="E22" s="3561"/>
      <c r="F22" s="3561"/>
      <c r="G22" s="3561"/>
      <c r="H22" s="3561"/>
      <c r="I22" s="3561"/>
      <c r="J22" s="3561"/>
      <c r="K22" s="3561"/>
      <c r="L22" s="3561"/>
      <c r="M22" s="3561"/>
      <c r="N22" s="3561"/>
      <c r="O22" s="3561"/>
      <c r="P22" s="3561"/>
      <c r="Q22" s="3770"/>
      <c r="R22" s="713">
        <f>ROUND(S22*10000/B22,0)</f>
        <v>52710</v>
      </c>
      <c r="S22" s="24">
        <f>SUM(S24:S10000)</f>
        <v>49556</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5">
      <c r="A24" s="3448" t="s">
        <v>3391</v>
      </c>
      <c r="B24" s="3430">
        <v>656.26</v>
      </c>
      <c r="C24" s="715">
        <v>1</v>
      </c>
      <c r="D24" s="716" t="s">
        <v>3263</v>
      </c>
      <c r="E24" s="715">
        <v>1</v>
      </c>
      <c r="F24" s="716"/>
      <c r="G24" s="715">
        <v>1</v>
      </c>
      <c r="H24" s="716"/>
      <c r="I24" s="715">
        <v>1</v>
      </c>
      <c r="J24" s="716"/>
      <c r="K24" s="715">
        <v>1</v>
      </c>
      <c r="L24" s="716"/>
      <c r="M24" s="715">
        <v>1</v>
      </c>
      <c r="N24" s="716"/>
      <c r="O24" s="715">
        <v>1</v>
      </c>
      <c r="P24" s="716" t="s">
        <v>3259</v>
      </c>
      <c r="Q24" s="715">
        <v>1</v>
      </c>
      <c r="R24" s="717">
        <f>'比较法-商业'!C49</f>
        <v>56043</v>
      </c>
      <c r="S24" s="715">
        <f t="shared" ref="S24:S54" si="11">ROUND(R24*B24/10000,0)</f>
        <v>3678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3448">
        <v>105</v>
      </c>
      <c r="B25" s="3430">
        <v>744.05</v>
      </c>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56043</v>
      </c>
      <c r="S25" s="360">
        <f t="shared" si="11"/>
        <v>4170</v>
      </c>
    </row>
    <row r="26" spans="1:45" ht="13.5">
      <c r="A26" s="3448" t="s">
        <v>3394</v>
      </c>
      <c r="B26" s="3430">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v>
      </c>
      <c r="R26" s="713">
        <f t="shared" ref="R26:R89" si="20">IF(B26="",0,ROUND($R$24*C26*E26*G26*I26*K26*M26*O26*Q26,0))</f>
        <v>45731</v>
      </c>
      <c r="S26" s="360">
        <f t="shared" si="11"/>
        <v>2690</v>
      </c>
    </row>
    <row r="27" spans="1:45" ht="13.5">
      <c r="A27" s="3448" t="s">
        <v>3395</v>
      </c>
      <c r="B27" s="3430">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v>
      </c>
      <c r="R27" s="713">
        <f t="shared" si="20"/>
        <v>45731</v>
      </c>
      <c r="S27" s="360">
        <f t="shared" si="11"/>
        <v>2702</v>
      </c>
    </row>
    <row r="28" spans="1:45" ht="13.5">
      <c r="A28" s="3453" t="s">
        <v>3398</v>
      </c>
      <c r="B28" s="3454">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57164</v>
      </c>
      <c r="S28" s="360">
        <f t="shared" si="11"/>
        <v>3080</v>
      </c>
    </row>
    <row r="29" spans="1:45" ht="13.5">
      <c r="A29" s="3453">
        <v>105</v>
      </c>
      <c r="B29" s="3454">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57164</v>
      </c>
      <c r="S29" s="360">
        <f t="shared" si="11"/>
        <v>3077</v>
      </c>
    </row>
    <row r="30" spans="1:45" ht="13.5">
      <c r="A30" s="3453" t="s">
        <v>3394</v>
      </c>
      <c r="B30" s="3454">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v>
      </c>
      <c r="R30" s="713">
        <f t="shared" si="20"/>
        <v>45731</v>
      </c>
      <c r="S30" s="360">
        <f t="shared" si="11"/>
        <v>2382</v>
      </c>
    </row>
    <row r="31" spans="1:45" ht="13.5">
      <c r="A31" s="3453" t="s">
        <v>3395</v>
      </c>
      <c r="B31" s="3454">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v>
      </c>
      <c r="R31" s="713">
        <f t="shared" si="20"/>
        <v>45731</v>
      </c>
      <c r="S31" s="360">
        <f t="shared" si="11"/>
        <v>2382</v>
      </c>
    </row>
    <row r="32" spans="1:45" ht="13.5">
      <c r="A32" s="3455" t="s">
        <v>3399</v>
      </c>
      <c r="B32" s="3456">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si="20"/>
        <v>60022</v>
      </c>
      <c r="S32" s="360">
        <f t="shared" si="11"/>
        <v>3236</v>
      </c>
    </row>
    <row r="33" spans="1:19" ht="13.5">
      <c r="A33" s="3455">
        <v>105</v>
      </c>
      <c r="B33" s="3456">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si="20"/>
        <v>60022</v>
      </c>
      <c r="S33" s="360">
        <f t="shared" si="11"/>
        <v>3236</v>
      </c>
    </row>
    <row r="34" spans="1:19" ht="13.5">
      <c r="A34" s="3455" t="s">
        <v>3394</v>
      </c>
      <c r="B34" s="3456">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v>
      </c>
      <c r="R34" s="713">
        <f t="shared" si="20"/>
        <v>48018</v>
      </c>
      <c r="S34" s="360">
        <f t="shared" si="11"/>
        <v>2503</v>
      </c>
    </row>
    <row r="35" spans="1:19" ht="13.5">
      <c r="A35" s="3455" t="s">
        <v>3395</v>
      </c>
      <c r="B35" s="3456">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v>
      </c>
      <c r="R35" s="713">
        <f t="shared" si="20"/>
        <v>48018</v>
      </c>
      <c r="S35" s="360">
        <f t="shared" si="11"/>
        <v>2503</v>
      </c>
    </row>
    <row r="36" spans="1:19" ht="13.5">
      <c r="A36" s="3457" t="s">
        <v>3400</v>
      </c>
      <c r="B36" s="3458">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58845</v>
      </c>
      <c r="S36" s="360">
        <f t="shared" si="11"/>
        <v>4380</v>
      </c>
    </row>
    <row r="37" spans="1:19" ht="13.5">
      <c r="A37" s="3457">
        <v>105</v>
      </c>
      <c r="B37" s="3458">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58845</v>
      </c>
      <c r="S37" s="360">
        <f t="shared" si="11"/>
        <v>3859</v>
      </c>
    </row>
    <row r="38" spans="1:19" ht="13.5">
      <c r="A38" s="3457" t="s">
        <v>3394</v>
      </c>
      <c r="B38" s="3458">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v>
      </c>
      <c r="R38" s="713">
        <f t="shared" si="20"/>
        <v>48018</v>
      </c>
      <c r="S38" s="360">
        <f t="shared" si="11"/>
        <v>2838</v>
      </c>
    </row>
    <row r="39" spans="1:19" ht="13.5">
      <c r="A39" s="3457" t="s">
        <v>3395</v>
      </c>
      <c r="B39" s="3458">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v>
      </c>
      <c r="R39" s="713">
        <f t="shared" si="20"/>
        <v>48018</v>
      </c>
      <c r="S39" s="360">
        <f t="shared" si="11"/>
        <v>2840</v>
      </c>
    </row>
    <row r="40" spans="1:19" ht="13.5">
      <c r="A40" s="3449"/>
      <c r="B40" s="3449"/>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9"/>
      <c r="B41" s="3449"/>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9"/>
      <c r="B42" s="3449"/>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9"/>
      <c r="B43" s="3449"/>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9"/>
      <c r="B44" s="3449"/>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9"/>
      <c r="B45" s="3449"/>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9"/>
      <c r="B46" s="3449"/>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9"/>
      <c r="B47" s="3449"/>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9"/>
      <c r="B48" s="3449"/>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9"/>
      <c r="B49" s="3449"/>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9"/>
      <c r="B50" s="3449"/>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9"/>
      <c r="B51" s="3449"/>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9"/>
      <c r="B52" s="3449"/>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9"/>
      <c r="B53" s="3449"/>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9"/>
      <c r="B54" s="3449"/>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9"/>
      <c r="B55" s="3449"/>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9"/>
      <c r="B56" s="3449"/>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9"/>
      <c r="B57" s="3449"/>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9"/>
      <c r="B58" s="3449"/>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9"/>
      <c r="B59" s="3449"/>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9"/>
      <c r="B60" s="3449"/>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9"/>
      <c r="B61" s="3449"/>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9"/>
      <c r="B62" s="3449"/>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9"/>
      <c r="B63" s="3450"/>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1"/>
      <c r="B64" s="3452"/>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1611</v>
      </c>
    </row>
    <row r="6" spans="1:1" ht="18.75">
      <c r="A6" s="1946" t="s">
        <v>1612</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估价对象为北京市房地产，为所有。根据《国有土地使用证》[]，估价对象（分摊）出让国有建设用地使用权面积为0平方米，建筑面积为5963.72平方米。</v>
      </c>
    </row>
    <row r="8" spans="1:1" ht="57.75">
      <c r="A8" s="1947" t="s">
        <v>1613</v>
      </c>
    </row>
    <row r="9" spans="1:1" ht="18.75">
      <c r="A9" s="1946" t="s">
        <v>1614</v>
      </c>
    </row>
    <row r="10" spans="1:1" ht="54">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估价对象为北京市房地产,属开发建设的综合项目（居住、综合），该项目尚在开发建设中。根据《国有土地使用证》[]，估价对象（分摊）出让国有建设用地使用权面积为0平方米，规划建筑面积为5963.72平方米。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2018年2月24日（评估专业人员实地查勘之日）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1608</v>
      </c>
    </row>
    <row r="24" spans="1:1" ht="18">
      <c r="A24" s="1951" t="str">
        <f>"本次评估采用的主估价方法为"&amp;结果表住宅!K4&amp;"和"&amp;结果表住宅!L4&amp;"。"</f>
        <v>本次评估采用的主估价方法为比较法和成本法。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3367</v>
      </c>
      <c r="D1" s="1816" t="s">
        <v>70</v>
      </c>
      <c r="E1" s="1817" t="s">
        <v>1386</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t="e">
        <f ca="1">C6+C10+C12</f>
        <v>#N/A</v>
      </c>
      <c r="D5" s="1818" t="s">
        <v>1401</v>
      </c>
      <c r="E5" s="1289"/>
      <c r="F5" s="1290"/>
      <c r="G5" s="1847"/>
      <c r="H5" s="343">
        <v>1</v>
      </c>
      <c r="I5" s="344" t="s">
        <v>1400</v>
      </c>
      <c r="J5" s="1288" t="e">
        <f ca="1">J6+J10+J12</f>
        <v>#N/A</v>
      </c>
      <c r="K5" s="1818" t="s">
        <v>1401</v>
      </c>
      <c r="L5" s="1289"/>
      <c r="M5" s="1290"/>
    </row>
    <row r="6" spans="1:37" ht="18" customHeight="1">
      <c r="A6" s="1287" t="s">
        <v>1034</v>
      </c>
      <c r="B6" s="3765" t="s">
        <v>1402</v>
      </c>
      <c r="C6" s="1292" t="e">
        <f ca="1">ROUND(F6*F8*F7*(1-F9)/10000,0)</f>
        <v>#N/A</v>
      </c>
      <c r="D6" s="163" t="s">
        <v>3032</v>
      </c>
      <c r="E6" s="346" t="s">
        <v>1404</v>
      </c>
      <c r="F6" s="347" t="e">
        <f ca="1">INDIRECT("'数据-取费表'!u"&amp;$G$1)</f>
        <v>#N/A</v>
      </c>
      <c r="G6" s="1847"/>
      <c r="H6" s="1287" t="s">
        <v>1034</v>
      </c>
      <c r="I6" s="3765" t="s">
        <v>1402</v>
      </c>
      <c r="J6" s="345" t="e">
        <f ca="1">ROUND(M6*M8*M7*(1-M9)/10000,0)</f>
        <v>#N/A</v>
      </c>
      <c r="K6" s="163" t="s">
        <v>3031</v>
      </c>
      <c r="L6" s="346" t="s">
        <v>1404</v>
      </c>
      <c r="M6" s="347" t="e">
        <f ca="1">INDIRECT("'数据-取费表'!z"&amp;$G$1)</f>
        <v>#N/A</v>
      </c>
    </row>
    <row r="7" spans="1:37" ht="18" customHeight="1">
      <c r="A7" s="1291"/>
      <c r="B7" s="3766"/>
      <c r="C7" s="1293"/>
      <c r="D7" s="351"/>
      <c r="E7" s="1294" t="s">
        <v>1405</v>
      </c>
      <c r="F7" s="347" t="e">
        <f ca="1">IF(INDIRECT("'数据-取费表'!ah"&amp;$G$1)="",INDIRECT("'数据-取费表'!k"&amp;$G$1),INDIRECT("'数据-取费表'!ah"&amp;$G$1))</f>
        <v>#N/A</v>
      </c>
      <c r="G7" s="1847"/>
      <c r="H7" s="348"/>
      <c r="I7" s="3766"/>
      <c r="J7" s="350"/>
      <c r="K7" s="351"/>
      <c r="L7" s="346" t="s">
        <v>1405</v>
      </c>
      <c r="M7" s="347" t="e">
        <f ca="1">F7</f>
        <v>#N/A</v>
      </c>
    </row>
    <row r="8" spans="1:37" ht="18" customHeight="1">
      <c r="A8" s="348"/>
      <c r="B8" s="3766"/>
      <c r="C8" s="350"/>
      <c r="D8" s="351"/>
      <c r="E8" s="346" t="s">
        <v>1406</v>
      </c>
      <c r="F8" s="347" t="e">
        <f ca="1">INDIRECT("'数据-取费表'!ai"&amp;$G$1)</f>
        <v>#N/A</v>
      </c>
      <c r="G8" s="1847"/>
      <c r="H8" s="348"/>
      <c r="I8" s="3766"/>
      <c r="J8" s="350"/>
      <c r="K8" s="351"/>
      <c r="L8" s="346" t="s">
        <v>1406</v>
      </c>
      <c r="M8" s="347" t="e">
        <f ca="1">INDIRECT("'数据-取费表'!ai"&amp;$G$1)</f>
        <v>#N/A</v>
      </c>
    </row>
    <row r="9" spans="1:37" ht="18" customHeight="1">
      <c r="A9" s="348"/>
      <c r="B9" s="3767"/>
      <c r="C9" s="350"/>
      <c r="D9" s="351"/>
      <c r="E9" s="346" t="s">
        <v>1407</v>
      </c>
      <c r="F9" s="356" t="e">
        <f ca="1">INDIRECT("'数据-取费表'!w"&amp;$G$1)</f>
        <v>#N/A</v>
      </c>
      <c r="G9" s="1847"/>
      <c r="H9" s="348"/>
      <c r="I9" s="3767"/>
      <c r="J9" s="350"/>
      <c r="K9" s="351"/>
      <c r="L9" s="357" t="s">
        <v>1407</v>
      </c>
      <c r="M9" s="358" t="e">
        <f ca="1">INDIRECT("'数据-取费表'!ab"&amp;$G$1)</f>
        <v>#N/A</v>
      </c>
    </row>
    <row r="10" spans="1:37" ht="18" customHeight="1">
      <c r="A10" s="1287" t="s">
        <v>1038</v>
      </c>
      <c r="B10" s="1819" t="s">
        <v>1408</v>
      </c>
      <c r="C10" s="360" t="e">
        <f ca="1">ROUND(IF(F10="押一",F6*F8*F7/12*F11,IF(F10="押二",F6*F8*F7/12*2*F11,IF(F10="押三",F6*F8*F7/12*3*F11,C11*F11)))/10000,0)</f>
        <v>#N/A</v>
      </c>
      <c r="D10" s="1820" t="s">
        <v>3033</v>
      </c>
      <c r="E10" s="357" t="s">
        <v>1410</v>
      </c>
      <c r="F10" s="1362" t="s">
        <v>3382</v>
      </c>
      <c r="G10" s="1847"/>
      <c r="H10" s="1287" t="s">
        <v>1038</v>
      </c>
      <c r="I10" s="1819" t="s">
        <v>1408</v>
      </c>
      <c r="J10" s="345" t="e">
        <f ca="1">ROUND(IF(M10="押一",M6*M8*M7/12*M11,IF(M10="押二",M6*M8*M7/12*2*M11,IF(M10="押三",M6*M8*M7/12*3*M11,J11*M11)))/10000,0)</f>
        <v>#N/A</v>
      </c>
      <c r="K10" s="1820" t="s">
        <v>3034</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t="e">
        <f ca="1">ROUND(C29*F13,0)</f>
        <v>#N/A</v>
      </c>
      <c r="D13" s="1327" t="s">
        <v>1414</v>
      </c>
      <c r="E13" s="1327" t="s">
        <v>1415</v>
      </c>
      <c r="F13" s="1328" t="e">
        <f ca="1">INDIRECT("'数据-取费表'!y"&amp;$G$1)</f>
        <v>#N/A</v>
      </c>
      <c r="G13" s="1847"/>
      <c r="H13" s="1325">
        <v>2</v>
      </c>
      <c r="I13" s="1326" t="s">
        <v>1413</v>
      </c>
      <c r="J13" s="1286" t="e">
        <f ca="1">ROUND(J14*J15,0)</f>
        <v>#N/A</v>
      </c>
      <c r="K13" s="1333" t="s">
        <v>1414</v>
      </c>
      <c r="L13" s="1848"/>
      <c r="M13" s="1849"/>
    </row>
    <row r="14" spans="1:37" ht="18" customHeight="1">
      <c r="A14" s="1197" t="s">
        <v>1033</v>
      </c>
      <c r="B14" s="346" t="s">
        <v>1416</v>
      </c>
      <c r="C14" s="362" t="e">
        <f ca="1">INDIRECT("'数据-取费表'!m"&amp;$G$1)+INDIRECT("'数据-取费表'!t"&amp;$G$1)</f>
        <v>#N/A</v>
      </c>
      <c r="D14" s="1796" t="s">
        <v>1417</v>
      </c>
      <c r="E14" s="1790"/>
      <c r="F14" s="363"/>
      <c r="G14" s="1847"/>
      <c r="H14" s="1197" t="s">
        <v>1034</v>
      </c>
      <c r="I14" s="346" t="s">
        <v>1418</v>
      </c>
      <c r="J14" s="24" t="e">
        <f ca="1">C29</f>
        <v>#N/A</v>
      </c>
      <c r="K14" s="15"/>
      <c r="L14" s="975"/>
      <c r="M14" s="976"/>
    </row>
    <row r="15" spans="1:37" s="1854" customFormat="1" ht="18" customHeight="1" thickBot="1">
      <c r="A15" s="1197" t="s">
        <v>1035</v>
      </c>
      <c r="B15" s="346" t="s">
        <v>1419</v>
      </c>
      <c r="C15" s="24" t="e">
        <f ca="1">ROUND(C14*F15,0)</f>
        <v>#N/A</v>
      </c>
      <c r="D15" s="364" t="s">
        <v>1420</v>
      </c>
      <c r="E15" s="364" t="s">
        <v>1421</v>
      </c>
      <c r="F15" s="365">
        <f>'数据-取费表'!B33</f>
        <v>0.03</v>
      </c>
      <c r="G15" s="1850"/>
      <c r="H15" s="1335" t="s">
        <v>1038</v>
      </c>
      <c r="I15" s="1336" t="s">
        <v>1415</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t="e">
        <f ca="1">ROUND(INDIRECT("'数据-取费表'!m"&amp;$G$1)*F16,0)</f>
        <v>#N/A</v>
      </c>
      <c r="D16" s="346" t="s">
        <v>1420</v>
      </c>
      <c r="E16" s="346" t="s">
        <v>1421</v>
      </c>
      <c r="F16" s="366" t="e">
        <f ca="1">IF(INDIRECT("'数据-取费表'!c"&amp;$G$1)="住宅",'数据-取费表'!B34,0)</f>
        <v>#N/A</v>
      </c>
      <c r="G16" s="1847"/>
      <c r="H16" s="1325" t="s">
        <v>1029</v>
      </c>
      <c r="I16" s="1326" t="s">
        <v>1423</v>
      </c>
      <c r="J16" s="354" t="e">
        <f ca="1">ROUND(J17+J22+J23+J24,0)</f>
        <v>#N/A</v>
      </c>
      <c r="K16" s="1333" t="s">
        <v>1424</v>
      </c>
      <c r="L16" s="1334"/>
      <c r="M16" s="1290"/>
    </row>
    <row r="17" spans="1:37" s="1854" customFormat="1" ht="18" customHeight="1">
      <c r="A17" s="1197" t="s">
        <v>1389</v>
      </c>
      <c r="B17" s="346" t="s">
        <v>1425</v>
      </c>
      <c r="C17" s="24" t="e">
        <f ca="1">ROUND(F17*(F43+INDIRECT("'数据-取费表'!S"&amp;$G$1))/10000,0)</f>
        <v>#N/A</v>
      </c>
      <c r="D17" s="346" t="s">
        <v>1426</v>
      </c>
      <c r="E17" s="346" t="s">
        <v>1427</v>
      </c>
      <c r="F17" s="26">
        <f>'数据-取费表'!B35</f>
        <v>200</v>
      </c>
      <c r="G17" s="1850"/>
      <c r="H17" s="1197" t="s">
        <v>1034</v>
      </c>
      <c r="I17" s="346" t="s">
        <v>1428</v>
      </c>
      <c r="J17" s="24" t="e">
        <f ca="1">ROUND(IF(项目基本情况!B11="自然人",J5*M17,J18+J19+J20),1)</f>
        <v>#N/A</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t="e">
        <f ca="1">ROUND(C14*F18,0)</f>
        <v>#N/A</v>
      </c>
      <c r="D18" s="346" t="s">
        <v>1420</v>
      </c>
      <c r="E18" s="346" t="s">
        <v>1421</v>
      </c>
      <c r="F18" s="366">
        <f>'数据-取费表'!B36</f>
        <v>1.4999999999999999E-2</v>
      </c>
      <c r="G18" s="1850"/>
      <c r="H18" s="1197" t="s">
        <v>1033</v>
      </c>
      <c r="I18" s="346" t="s">
        <v>1432</v>
      </c>
      <c r="J18" s="24" t="e">
        <f ca="1">ROUND(J5*M18/(1+'数据-取费表'!C42),2)</f>
        <v>#N/A</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t="e">
        <f ca="1">SUM(C14:C18)</f>
        <v>#N/A</v>
      </c>
      <c r="D19" s="139" t="s">
        <v>1435</v>
      </c>
      <c r="E19" s="1814"/>
      <c r="F19" s="26"/>
      <c r="G19" s="1847"/>
      <c r="H19" s="1197" t="s">
        <v>1035</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7" t="s">
        <v>1038</v>
      </c>
      <c r="B20" s="346" t="s">
        <v>1438</v>
      </c>
      <c r="C20" s="24" t="e">
        <f ca="1">ROUND(C19*F20,0)</f>
        <v>#N/A</v>
      </c>
      <c r="D20" s="368" t="s">
        <v>1439</v>
      </c>
      <c r="E20" s="346" t="s">
        <v>1421</v>
      </c>
      <c r="F20" s="366">
        <f>'数据-取费表'!B37</f>
        <v>0.03</v>
      </c>
      <c r="G20" s="1850"/>
      <c r="H20" s="1197" t="s">
        <v>1388</v>
      </c>
      <c r="I20" s="163" t="s">
        <v>1440</v>
      </c>
      <c r="J20" s="25" t="e">
        <f ca="1">ROUND(M20*M21/10000,2)</f>
        <v>#N/A</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18</v>
      </c>
      <c r="D21" s="368" t="s">
        <v>1444</v>
      </c>
      <c r="E21" s="346" t="s">
        <v>1445</v>
      </c>
      <c r="F21" s="366">
        <f>'数据-取费表'!B38</f>
        <v>0.03</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t="e">
        <f ca="1">ROUND(J14*M22,1)</f>
        <v>#N/A</v>
      </c>
      <c r="K22" s="1794" t="s">
        <v>1449</v>
      </c>
      <c r="L22" s="346" t="s">
        <v>1421</v>
      </c>
      <c r="M22" s="373" t="e">
        <f ca="1">INDIRECT("'数据-取费表'!Ak"&amp;$G$1)</f>
        <v>#N/A</v>
      </c>
    </row>
    <row r="23" spans="1:37" s="1854" customFormat="1" ht="18" customHeight="1">
      <c r="A23" s="1197"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t="e">
        <f ca="1">ROUND(J13*M23,1)</f>
        <v>#N/A</v>
      </c>
      <c r="K23" s="1794" t="s">
        <v>1453</v>
      </c>
      <c r="L23" s="346" t="s">
        <v>1454</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t="e">
        <f ca="1">ROUND(J5*M24,1)</f>
        <v>#N/A</v>
      </c>
      <c r="K24" s="1338" t="s">
        <v>1458</v>
      </c>
      <c r="L24" s="1336" t="s">
        <v>1454</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1030</v>
      </c>
      <c r="I25" s="1340" t="s">
        <v>1462</v>
      </c>
      <c r="J25" s="354" t="e">
        <f ca="1">J5-J16</f>
        <v>#N/A</v>
      </c>
      <c r="K25" s="1341" t="s">
        <v>1463</v>
      </c>
      <c r="L25" s="1342"/>
      <c r="M25" s="1343"/>
    </row>
    <row r="26" spans="1:37">
      <c r="A26" s="1197" t="s">
        <v>1033</v>
      </c>
      <c r="B26" s="346" t="s">
        <v>1464</v>
      </c>
      <c r="C26" s="24" t="e">
        <f ca="1">ROUND((C19+C20)*F26,0)</f>
        <v>#N/A</v>
      </c>
      <c r="D26" s="368" t="s">
        <v>1465</v>
      </c>
      <c r="E26" s="357" t="s">
        <v>1466</v>
      </c>
      <c r="F26" s="356" t="e">
        <f ca="1">INDIRECT("'数据-取费表'!q"&amp;$G$1)</f>
        <v>#N/A</v>
      </c>
      <c r="G26" s="1847"/>
      <c r="H26" s="343" t="s">
        <v>1031</v>
      </c>
      <c r="I26" s="344" t="s">
        <v>1467</v>
      </c>
      <c r="J26" s="345" t="e">
        <f ca="1">IF(J5&lt;&gt;0,ROUND(J25*(1-((1+M28)/(1+M26))^M27)/(M26-M28),0),0)</f>
        <v>#N/A</v>
      </c>
      <c r="K26" s="369" t="s">
        <v>1468</v>
      </c>
      <c r="L26" s="346" t="s">
        <v>1469</v>
      </c>
      <c r="M26" s="356" t="e">
        <f ca="1">INDIRECT("'数据-取费表'!I"&amp;$G$1)</f>
        <v>#N/A</v>
      </c>
    </row>
    <row r="27" spans="1:37" ht="18" customHeight="1">
      <c r="A27" s="1197" t="s">
        <v>1035</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t="e">
        <f ca="1">ROUND((C19+C20+C23+C26)/(1-F21-C24-C27-C28),0)</f>
        <v>#N/A</v>
      </c>
      <c r="D29" s="1338"/>
      <c r="E29" s="1336"/>
      <c r="F29" s="1339"/>
      <c r="G29" s="1850"/>
      <c r="H29" s="379" t="s">
        <v>1032</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t="e">
        <f ca="1">ROUND(C31+C36+C37+C38,0)</f>
        <v>#N/A</v>
      </c>
      <c r="D30" s="1333" t="s">
        <v>1424</v>
      </c>
      <c r="E30" s="1334"/>
      <c r="F30" s="1290"/>
      <c r="G30" s="1847"/>
      <c r="H30" s="741"/>
      <c r="I30" s="742"/>
      <c r="J30" s="743"/>
      <c r="K30" s="744"/>
      <c r="L30" s="745"/>
      <c r="M30" s="746"/>
    </row>
    <row r="31" spans="1:37" ht="18" customHeight="1">
      <c r="A31" s="1197" t="s">
        <v>1034</v>
      </c>
      <c r="B31" s="346" t="s">
        <v>1428</v>
      </c>
      <c r="C31" s="24" t="e">
        <f ca="1">ROUND(IF(项目基本情况!B11="自然人",C5*F31,C32+C33+C34),1)</f>
        <v>#N/A</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t="e">
        <f ca="1">IF(项目基本情况!B11="自然人","——",ROUND(C5*F32/(1+'数据-取费表'!C42),2))</f>
        <v>#N/A</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t="e">
        <f ca="1">IF(项目基本情况!B11="自然人","——",IF(D33="按租金收入计税",ROUND(C5*F33,2),IF(D33="按房产原值计税",ROUND(C29*F33*0.7,2),INDIRECT("'数据-取费表'!Aj"&amp;$G$1))))</f>
        <v>#N/A</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t="e">
        <f ca="1">IF(项目基本情况!B11="自然人","——",ROUND(F34*F35/10000,2))</f>
        <v>#N/A</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t="e">
        <f ca="1">INDIRECT("'数据-取费表'!r"&amp;$G$1)</f>
        <v>#N/A</v>
      </c>
      <c r="G35" s="1847"/>
      <c r="H35" s="741"/>
      <c r="I35" s="1856"/>
      <c r="J35" s="1857"/>
      <c r="K35" s="1858"/>
      <c r="L35" s="1855"/>
      <c r="M35" s="1855"/>
    </row>
    <row r="36" spans="1:18" ht="18" customHeight="1">
      <c r="A36" s="1348" t="s">
        <v>1038</v>
      </c>
      <c r="B36" s="346" t="s">
        <v>1448</v>
      </c>
      <c r="C36" s="24" t="e">
        <f ca="1">ROUND(C29*F36,1)</f>
        <v>#N/A</v>
      </c>
      <c r="D36" s="1794" t="s">
        <v>1481</v>
      </c>
      <c r="E36" s="346" t="s">
        <v>1421</v>
      </c>
      <c r="F36" s="373" t="e">
        <f ca="1">INDIRECT("'数据-取费表'!Ak"&amp;$G$1)</f>
        <v>#N/A</v>
      </c>
      <c r="G36" s="1847"/>
      <c r="H36" s="1855"/>
      <c r="I36" s="1856"/>
      <c r="J36" s="1857"/>
      <c r="K36" s="747"/>
      <c r="L36" s="1855"/>
      <c r="M36" s="1855"/>
    </row>
    <row r="37" spans="1:18" ht="18" customHeight="1">
      <c r="A37" s="1197" t="s">
        <v>1074</v>
      </c>
      <c r="B37" s="346" t="s">
        <v>1452</v>
      </c>
      <c r="C37" s="24" t="e">
        <f ca="1">ROUND(C13*F37,1)</f>
        <v>#N/A</v>
      </c>
      <c r="D37" s="1794" t="s">
        <v>1453</v>
      </c>
      <c r="E37" s="346" t="s">
        <v>1454</v>
      </c>
      <c r="F37" s="375" t="e">
        <f ca="1">INDIRECT("'数据-取费表'!Al"&amp;$G$1)</f>
        <v>#N/A</v>
      </c>
      <c r="G37" s="1847"/>
      <c r="H37" s="1855"/>
      <c r="I37" s="1856"/>
      <c r="J37" s="1857"/>
      <c r="K37" s="747"/>
      <c r="L37" s="1855"/>
      <c r="M37" s="1855"/>
    </row>
    <row r="38" spans="1:18" ht="18" customHeight="1" thickBot="1">
      <c r="A38" s="1335" t="s">
        <v>1392</v>
      </c>
      <c r="B38" s="1336" t="s">
        <v>1438</v>
      </c>
      <c r="C38" s="1337" t="e">
        <f ca="1">ROUND(C5*F38,1)</f>
        <v>#N/A</v>
      </c>
      <c r="D38" s="1338" t="s">
        <v>1458</v>
      </c>
      <c r="E38" s="1336" t="s">
        <v>1454</v>
      </c>
      <c r="F38" s="1332" t="e">
        <f ca="1">INDIRECT("'数据-取费表'!Am"&amp;$G$1)</f>
        <v>#N/A</v>
      </c>
      <c r="G38" s="1847"/>
      <c r="H38" s="1855"/>
      <c r="I38" s="1856"/>
      <c r="J38" s="1857"/>
      <c r="K38" s="1861"/>
      <c r="L38" s="1855"/>
      <c r="M38" s="1855"/>
    </row>
    <row r="39" spans="1:18" ht="24.6" customHeight="1" thickTop="1">
      <c r="A39" s="1325" t="s">
        <v>1030</v>
      </c>
      <c r="B39" s="1340" t="s">
        <v>1482</v>
      </c>
      <c r="C39" s="354" t="e">
        <f ca="1">C5-C30</f>
        <v>#N/A</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1476</v>
      </c>
      <c r="F42" s="356" t="e">
        <f ca="1">INDIRECT("'数据-取费表'!v"&amp;$G$1)</f>
        <v>#N/A</v>
      </c>
      <c r="G42" s="1847"/>
      <c r="H42" s="728"/>
      <c r="I42" s="1856"/>
      <c r="J42" s="1857"/>
      <c r="K42" s="747"/>
      <c r="L42" s="728"/>
      <c r="M42" s="728"/>
    </row>
    <row r="43" spans="1:18" ht="18" customHeight="1" thickBot="1">
      <c r="A43" s="379" t="s">
        <v>1032</v>
      </c>
      <c r="B43" s="380" t="s">
        <v>1486</v>
      </c>
      <c r="C43" s="381" t="e">
        <f ca="1">ROUND(C40*10000/F43,0)</f>
        <v>#N/A</v>
      </c>
      <c r="D43" s="382" t="s">
        <v>1487</v>
      </c>
      <c r="E43" s="383" t="s">
        <v>1488</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t="e">
        <f ca="1">INDIRECT("'数据-取费表'!d"&amp;$G$1)</f>
        <v>#N/A</v>
      </c>
      <c r="M47" s="1834" t="str">
        <f>IF(ISNUMBER(FIND("住宅",C1)),"住宅","非住宅")</f>
        <v>非住宅</v>
      </c>
      <c r="O47" s="1880" t="s">
        <v>1039</v>
      </c>
      <c r="P47" s="1881" t="s">
        <v>1527</v>
      </c>
      <c r="Q47" s="1882" t="e">
        <f ca="1">C40+J29</f>
        <v>#N/A</v>
      </c>
      <c r="R47" s="1882" t="s">
        <v>1528</v>
      </c>
    </row>
    <row r="48" spans="1:18" s="1838" customFormat="1" ht="28.5" thickBot="1">
      <c r="A48" s="1356" t="s">
        <v>1134</v>
      </c>
      <c r="B48" s="344" t="s">
        <v>1400</v>
      </c>
      <c r="C48" s="1813" t="e">
        <f ca="1">C49+C53+C55</f>
        <v>#N/A</v>
      </c>
      <c r="D48" s="1358"/>
      <c r="E48" s="1359"/>
      <c r="F48" s="1177"/>
      <c r="G48" s="788"/>
      <c r="H48" s="789"/>
      <c r="I48" s="1883" t="s">
        <v>1529</v>
      </c>
      <c r="J48" s="1884" t="s">
        <v>3267</v>
      </c>
      <c r="K48" s="1885" t="s">
        <v>1530</v>
      </c>
      <c r="L48" s="1886" t="e">
        <f ca="1">INDIRECT("'数据-取费表'!f"&amp;$G$1)</f>
        <v>#N/A</v>
      </c>
      <c r="O48" s="1880" t="s">
        <v>1040</v>
      </c>
      <c r="P48" s="1881" t="s">
        <v>1531</v>
      </c>
      <c r="Q48" s="1882" t="e">
        <f ca="1">J60</f>
        <v>#N/A</v>
      </c>
      <c r="R48" s="1882" t="s">
        <v>1532</v>
      </c>
    </row>
    <row r="49" spans="1:18" s="1838" customFormat="1" ht="13.5" thickBot="1">
      <c r="A49" s="1190" t="s">
        <v>1135</v>
      </c>
      <c r="B49" s="1825" t="s">
        <v>1489</v>
      </c>
      <c r="C49" s="1360" t="e">
        <f ca="1">ROUND(F49*F51*F50*(1-F52)/10000,0)</f>
        <v>#N/A</v>
      </c>
      <c r="D49" s="1272" t="s">
        <v>3035</v>
      </c>
      <c r="E49" s="1826" t="s">
        <v>1490</v>
      </c>
      <c r="F49" s="1277">
        <f>楼层修正!J7</f>
        <v>0</v>
      </c>
      <c r="G49" s="1887"/>
      <c r="H49" s="789"/>
      <c r="I49" s="1883" t="s">
        <v>1533</v>
      </c>
      <c r="J49" s="1888">
        <v>2015</v>
      </c>
      <c r="K49" s="1885" t="s">
        <v>1534</v>
      </c>
      <c r="L49" s="1889"/>
      <c r="O49" s="1890" t="s">
        <v>1041</v>
      </c>
      <c r="P49" s="1881" t="s">
        <v>1535</v>
      </c>
      <c r="Q49" s="1882" t="e">
        <f ca="1">C29</f>
        <v>#N/A</v>
      </c>
      <c r="R49" s="1882" t="s">
        <v>1528</v>
      </c>
    </row>
    <row r="50" spans="1:18" s="1838" customFormat="1" ht="13.5" thickBot="1">
      <c r="A50" s="1191"/>
      <c r="B50" s="1194"/>
      <c r="C50" s="1364"/>
      <c r="D50" s="1168"/>
      <c r="E50" s="1273" t="s">
        <v>1405</v>
      </c>
      <c r="F50" s="1274" t="e">
        <f ca="1">F7</f>
        <v>#N/A</v>
      </c>
      <c r="H50" s="789"/>
      <c r="I50" s="1883" t="s">
        <v>1536</v>
      </c>
      <c r="J50" s="1891">
        <f>SUMPRODUCT((I63:I65=J47)*(J62:L62=J48)*(J63:L65))</f>
        <v>60</v>
      </c>
      <c r="K50" s="1885" t="s">
        <v>1537</v>
      </c>
      <c r="L50" s="1889"/>
      <c r="M50" s="1892"/>
      <c r="O50" s="1890" t="s">
        <v>1042</v>
      </c>
      <c r="P50" s="1881" t="s">
        <v>1538</v>
      </c>
      <c r="Q50" s="1893" t="e">
        <f ca="1">J58</f>
        <v>#N/A</v>
      </c>
      <c r="R50" s="1882"/>
    </row>
    <row r="51" spans="1:18" s="1838" customFormat="1" ht="13.5" thickBot="1">
      <c r="A51" s="1192"/>
      <c r="B51" s="1194"/>
      <c r="C51" s="1195"/>
      <c r="D51" s="1168"/>
      <c r="E51" s="1196" t="s">
        <v>1406</v>
      </c>
      <c r="F51" s="347" t="e">
        <f ca="1">F8</f>
        <v>#N/A</v>
      </c>
      <c r="I51" s="1894" t="s">
        <v>1539</v>
      </c>
      <c r="J51" s="1895">
        <f>IF(J49="",J50,J49+J50-YEAR('数据-取费表'!B2))</f>
        <v>57</v>
      </c>
      <c r="K51" s="1896" t="s">
        <v>1540</v>
      </c>
      <c r="L51" s="1897" t="e">
        <f ca="1">ROUND(-PV(INDIRECT("'数据-取费表'!h"&amp;$G$1),L48,(C39-C13*C76),0),0)</f>
        <v>#N/A</v>
      </c>
      <c r="M51" s="1898"/>
      <c r="O51" s="1890" t="s">
        <v>1043</v>
      </c>
      <c r="P51" s="1881" t="s">
        <v>1541</v>
      </c>
      <c r="Q51" s="1893">
        <f>J52</f>
        <v>0.09</v>
      </c>
      <c r="R51" s="1882"/>
    </row>
    <row r="52" spans="1:18" s="1838" customFormat="1" ht="13.5" thickBot="1">
      <c r="A52" s="1192"/>
      <c r="B52" s="1194"/>
      <c r="C52" s="1195"/>
      <c r="D52" s="1168"/>
      <c r="E52" s="1196" t="s">
        <v>1407</v>
      </c>
      <c r="F52" s="1271" t="e">
        <f ca="1">M9</f>
        <v>#N/A</v>
      </c>
      <c r="I52" s="1899" t="s">
        <v>1542</v>
      </c>
      <c r="J52" s="1900">
        <v>0.09</v>
      </c>
      <c r="K52" s="1899" t="s">
        <v>1543</v>
      </c>
      <c r="L52" s="1900"/>
      <c r="O52" s="1890" t="s">
        <v>1044</v>
      </c>
      <c r="P52" s="1881" t="s">
        <v>1544</v>
      </c>
      <c r="Q52" s="1882" t="e">
        <f ca="1">J53</f>
        <v>#N/A</v>
      </c>
      <c r="R52" s="1882" t="s">
        <v>1545</v>
      </c>
    </row>
    <row r="53" spans="1:18" s="1838" customFormat="1" ht="24.75" thickBot="1">
      <c r="A53" s="1401" t="s">
        <v>1136</v>
      </c>
      <c r="B53" s="1827" t="s">
        <v>1408</v>
      </c>
      <c r="C53" s="360" t="e">
        <f ca="1">ROUND(IF(F53="押一",F49*F51*F50/12*F11,IF(F53="押二",F49*F51*F50/12*2*F11,IF(F53="押三",F49*F51*F50/12*3*F11,C54*F11)))/10000,0)</f>
        <v>#N/A</v>
      </c>
      <c r="D53" s="1820" t="s">
        <v>3033</v>
      </c>
      <c r="E53" s="357" t="s">
        <v>1410</v>
      </c>
      <c r="F53" s="1362" t="s">
        <v>3382</v>
      </c>
      <c r="I53" s="1901" t="s">
        <v>1546</v>
      </c>
      <c r="J53" s="1902" t="e">
        <f ca="1">IF(M47="住宅",J51,IF(D1="——",MIN(J51,L48),IF(D1="在建（套用方法）",MIN(J51,L48-'数据-取费表'!B24),IF(D1="土地（套用方法）",MIN(J51,L48-'数据-取费表'!B20)))))</f>
        <v>#N/A</v>
      </c>
      <c r="K53" s="3768" t="s">
        <v>1547</v>
      </c>
      <c r="L53" s="3769"/>
      <c r="O53" s="1880" t="s">
        <v>1045</v>
      </c>
      <c r="P53" s="1881" t="s">
        <v>1548</v>
      </c>
      <c r="Q53" s="1882" t="e">
        <f ca="1">Q47+Q48</f>
        <v>#N/A</v>
      </c>
      <c r="R53" s="1882" t="s">
        <v>1046</v>
      </c>
    </row>
    <row r="54" spans="1:18" s="1838" customFormat="1" ht="13.5" thickBot="1">
      <c r="A54" s="1402"/>
      <c r="B54" s="1821" t="s">
        <v>1387</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25.5" thickTop="1" thickBot="1">
      <c r="A56" s="1172">
        <v>2</v>
      </c>
      <c r="B56" s="1173" t="s">
        <v>1413</v>
      </c>
      <c r="C56" s="275" t="e">
        <f ca="1">C13</f>
        <v>#N/A</v>
      </c>
      <c r="D56" s="1910"/>
      <c r="E56" s="1911"/>
      <c r="F56" s="1903"/>
      <c r="I56" s="1912" t="s">
        <v>1553</v>
      </c>
      <c r="J56" s="1913" t="s">
        <v>3061</v>
      </c>
      <c r="K56" s="1883" t="s">
        <v>1554</v>
      </c>
      <c r="L56" s="1886" t="e">
        <f ca="1">IF(L48&lt;J51,"——",L48-J53)</f>
        <v>#N/A</v>
      </c>
      <c r="O56" s="1880" t="s">
        <v>1039</v>
      </c>
      <c r="P56" s="1881" t="s">
        <v>1527</v>
      </c>
      <c r="Q56" s="1882" t="e">
        <f ca="1">C40+J29</f>
        <v>#N/A</v>
      </c>
      <c r="R56" s="1882" t="s">
        <v>1528</v>
      </c>
    </row>
    <row r="57" spans="1:18" s="1838" customFormat="1" ht="24.75" thickBot="1">
      <c r="A57" s="1914"/>
      <c r="B57" s="1165"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1040</v>
      </c>
      <c r="P57" s="1881" t="s">
        <v>1557</v>
      </c>
      <c r="Q57" s="1882" t="e">
        <f ca="1">L60</f>
        <v>#N/A</v>
      </c>
      <c r="R57" s="1882" t="s">
        <v>1558</v>
      </c>
    </row>
    <row r="58" spans="1:18" s="1838" customFormat="1" ht="24.75" thickBot="1">
      <c r="A58" s="359" t="s">
        <v>1029</v>
      </c>
      <c r="B58" s="1173" t="s">
        <v>1423</v>
      </c>
      <c r="C58" s="360" t="e">
        <f ca="1">ROUND(C59+C64+C65+C66,0)</f>
        <v>#N/A</v>
      </c>
      <c r="D58" s="1175" t="s">
        <v>1424</v>
      </c>
      <c r="E58" s="1176"/>
      <c r="F58" s="1177"/>
      <c r="I58" s="1918" t="s">
        <v>1559</v>
      </c>
      <c r="J58" s="1920" t="e">
        <f ca="1">IF(J55&lt;0.4,0.4,J55)</f>
        <v>#N/A</v>
      </c>
      <c r="K58" s="1896" t="s">
        <v>1560</v>
      </c>
      <c r="L58" s="1886" t="e">
        <f ca="1">ROUND(POWER(1+L52,L47-L48)*(POWER(1+L52,L48)-1)/(POWER(1+L52,L47)-1),4)</f>
        <v>#N/A</v>
      </c>
      <c r="O58" s="1890" t="s">
        <v>1041</v>
      </c>
      <c r="P58" s="1881" t="s">
        <v>1561</v>
      </c>
      <c r="Q58" s="1882">
        <f>IF(L55="比较法",L49,IF(L55="基准地价",L50,0))</f>
        <v>0</v>
      </c>
      <c r="R58" s="1882" t="s">
        <v>1528</v>
      </c>
    </row>
    <row r="59" spans="1:18" s="1838" customFormat="1" ht="24.75" thickBot="1">
      <c r="A59" s="1197" t="s">
        <v>1034</v>
      </c>
      <c r="B59" s="1165" t="s">
        <v>1428</v>
      </c>
      <c r="C59" s="24" t="e">
        <f ca="1">ROUND(IF(项目基本情况!B11="自然人",C48*F59,C60+C61+C62),1)</f>
        <v>#N/A</v>
      </c>
      <c r="D59" s="1178" t="s">
        <v>1429</v>
      </c>
      <c r="E59" s="1179"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1042</v>
      </c>
      <c r="P59" s="1881" t="s">
        <v>1563</v>
      </c>
      <c r="Q59" s="1893">
        <f>L52</f>
        <v>0</v>
      </c>
      <c r="R59" s="1882"/>
    </row>
    <row r="60" spans="1:18" s="1838" customFormat="1" ht="16.5" thickBot="1">
      <c r="A60" s="1197" t="s">
        <v>1033</v>
      </c>
      <c r="B60" s="1165" t="s">
        <v>1432</v>
      </c>
      <c r="C60" s="24" t="e">
        <f ca="1">IF(项目基本情况!B11="自然人","——",ROUND(C48*F60/(1+'数据-取费表'!C42),2))</f>
        <v>#N/A</v>
      </c>
      <c r="D60" s="1179" t="s">
        <v>1433</v>
      </c>
      <c r="E60" s="1165" t="s">
        <v>1421</v>
      </c>
      <c r="F60" s="376">
        <f t="shared" ref="F60:F66" si="0">F32</f>
        <v>5.5000000000000007E-2</v>
      </c>
      <c r="I60" s="1921" t="s">
        <v>1564</v>
      </c>
      <c r="J60" s="1922" t="e">
        <f ca="1">IF(OR(M47="住宅",J51&lt;L48,J56="是"),"0",ROUND(J59/(1+J52)^J53,0))</f>
        <v>#N/A</v>
      </c>
      <c r="K60" s="1923" t="s">
        <v>1565</v>
      </c>
      <c r="L60" s="1922" t="e">
        <f ca="1">IF(OR(M47="住宅",L48&lt;J51),0,ROUND(L57*(L58/L59-1),0))</f>
        <v>#N/A</v>
      </c>
      <c r="O60" s="1890" t="s">
        <v>1043</v>
      </c>
      <c r="P60" s="1881" t="s">
        <v>1566</v>
      </c>
      <c r="Q60" s="1882" t="e">
        <f ca="1">L58</f>
        <v>#N/A</v>
      </c>
      <c r="R60" s="1882" t="s">
        <v>1567</v>
      </c>
    </row>
    <row r="61" spans="1:18" s="1838" customFormat="1" ht="13.5" thickBot="1">
      <c r="A61" s="1197" t="s">
        <v>1491</v>
      </c>
      <c r="B61" s="1165" t="s">
        <v>1492</v>
      </c>
      <c r="C61" s="24" t="e">
        <f ca="1">IF(项目基本情况!B11="自然人","——",IF(D61="按租金收入计税",ROUND(C48*F61,2),IF(D61="按房产原值计税",ROUND(C57*F61*0.7,2),INDIRECT("'数据-取费表'!Aj"&amp;$G$1))))</f>
        <v>#N/A</v>
      </c>
      <c r="D61" s="1824" t="s">
        <v>1437</v>
      </c>
      <c r="E61" s="1165" t="s">
        <v>1493</v>
      </c>
      <c r="F61" s="366">
        <f t="shared" si="0"/>
        <v>1.2E-2</v>
      </c>
      <c r="I61" s="1924"/>
      <c r="J61" s="1924"/>
      <c r="K61" s="1924"/>
      <c r="L61" s="1924"/>
      <c r="O61" s="1890" t="s">
        <v>1044</v>
      </c>
      <c r="P61" s="1881" t="str">
        <f>K59</f>
        <v>建筑物剩余耐用年限下的土地年期修正系数Kn</v>
      </c>
      <c r="Q61" s="1882" t="e">
        <f ca="1">L59</f>
        <v>#N/A</v>
      </c>
      <c r="R61" s="1882" t="s">
        <v>1568</v>
      </c>
    </row>
    <row r="62" spans="1:18" s="1838" customFormat="1" ht="13.5" thickBot="1">
      <c r="A62" s="1197" t="s">
        <v>1494</v>
      </c>
      <c r="B62" s="1164" t="s">
        <v>1495</v>
      </c>
      <c r="C62" s="25" t="e">
        <f ca="1">IF(项目基本情况!B11="自然人","——",ROUND(F62*F63/10000,2))</f>
        <v>#N/A</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#N/A</v>
      </c>
      <c r="R62" s="1882" t="s">
        <v>1046</v>
      </c>
    </row>
    <row r="63" spans="1:18" s="1838" customFormat="1" ht="13.5" thickBot="1">
      <c r="A63" s="371"/>
      <c r="B63" s="1171"/>
      <c r="C63" s="29"/>
      <c r="D63" s="1181"/>
      <c r="E63" s="1165" t="s">
        <v>1498</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t="e">
        <f ca="1">ROUND(C57*F64,1)</f>
        <v>#N/A</v>
      </c>
      <c r="D64" s="1179" t="s">
        <v>1501</v>
      </c>
      <c r="E64" s="1165" t="s">
        <v>1493</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t="e">
        <f ca="1">ROUND(C56*F65,1)</f>
        <v>#N/A</v>
      </c>
      <c r="D65" s="1179" t="s">
        <v>1453</v>
      </c>
      <c r="E65" s="1165" t="s">
        <v>1454</v>
      </c>
      <c r="F65" s="375" t="e">
        <f t="shared" ca="1" si="0"/>
        <v>#N/A</v>
      </c>
      <c r="I65" s="1925" t="s">
        <v>1578</v>
      </c>
      <c r="J65" s="1926">
        <v>40</v>
      </c>
      <c r="K65" s="1926">
        <v>30</v>
      </c>
      <c r="L65" s="1926">
        <v>50</v>
      </c>
      <c r="M65" s="1928">
        <v>0.02</v>
      </c>
      <c r="O65" s="1880" t="s">
        <v>1039</v>
      </c>
      <c r="P65" s="1881" t="s">
        <v>1579</v>
      </c>
      <c r="Q65" s="1882" t="e">
        <f ca="1">C40+J29</f>
        <v>#N/A</v>
      </c>
      <c r="R65" s="1882" t="s">
        <v>1528</v>
      </c>
    </row>
    <row r="66" spans="1:18" s="1838" customFormat="1" ht="16.5" thickBot="1">
      <c r="A66" s="1197" t="s">
        <v>1503</v>
      </c>
      <c r="B66" s="1165" t="s">
        <v>1438</v>
      </c>
      <c r="C66" s="24" t="e">
        <f ca="1">ROUND(C48*F66,1)</f>
        <v>#N/A</v>
      </c>
      <c r="D66" s="1179" t="s">
        <v>1504</v>
      </c>
      <c r="E66" s="1165" t="s">
        <v>1421</v>
      </c>
      <c r="F66" s="356" t="e">
        <f t="shared" ca="1" si="0"/>
        <v>#N/A</v>
      </c>
      <c r="O66" s="1880" t="s">
        <v>1040</v>
      </c>
      <c r="P66" s="1881" t="s">
        <v>1557</v>
      </c>
      <c r="Q66" s="1882" t="e">
        <f ca="1">L60</f>
        <v>#N/A</v>
      </c>
      <c r="R66" s="1882" t="s">
        <v>1580</v>
      </c>
    </row>
    <row r="67" spans="1:18" s="1838" customFormat="1" ht="16.5" thickBot="1">
      <c r="A67" s="1172" t="s">
        <v>1030</v>
      </c>
      <c r="B67" s="1182" t="s">
        <v>1462</v>
      </c>
      <c r="C67" s="360" t="e">
        <f ca="1">C48-C58</f>
        <v>#N/A</v>
      </c>
      <c r="D67" s="1178" t="s">
        <v>1463</v>
      </c>
      <c r="E67" s="1183"/>
      <c r="F67" s="1184"/>
      <c r="O67" s="1890" t="s">
        <v>1041</v>
      </c>
      <c r="P67" s="1881" t="s">
        <v>1561</v>
      </c>
      <c r="Q67" s="1929" t="e">
        <f ca="1">L51</f>
        <v>#N/A</v>
      </c>
      <c r="R67" s="1882" t="s">
        <v>1581</v>
      </c>
    </row>
    <row r="68" spans="1:18" s="1838" customFormat="1" ht="16.5" thickBot="1">
      <c r="A68" s="1162" t="s">
        <v>1031</v>
      </c>
      <c r="B68" s="1163" t="s">
        <v>1484</v>
      </c>
      <c r="C68" s="345" t="e">
        <f ca="1">ROUND(C67*(1-((1+F70)/(1+F68))^F69)/(F68-F70),0)</f>
        <v>#N/A</v>
      </c>
      <c r="D68" s="1180" t="s">
        <v>1468</v>
      </c>
      <c r="E68" s="1165" t="s">
        <v>1469</v>
      </c>
      <c r="F68" s="356" t="e">
        <f ca="1">F40</f>
        <v>#N/A</v>
      </c>
      <c r="O68" s="1890" t="s">
        <v>1042</v>
      </c>
      <c r="P68" s="1930" t="s">
        <v>1582</v>
      </c>
      <c r="Q68" s="1882" t="e">
        <f ca="1">ROUND(Q69-Q70*Q71,0)</f>
        <v>#N/A</v>
      </c>
      <c r="R68" s="1882" t="s">
        <v>1050</v>
      </c>
    </row>
    <row r="69" spans="1:18" s="1838" customFormat="1" ht="13.5" thickBot="1">
      <c r="A69" s="1166"/>
      <c r="B69" s="1167"/>
      <c r="C69" s="350"/>
      <c r="D69" s="1185" t="s">
        <v>1472</v>
      </c>
      <c r="E69" s="1165" t="s">
        <v>1473</v>
      </c>
      <c r="F69" s="378" t="e">
        <f ca="1">F41</f>
        <v>#N/A</v>
      </c>
      <c r="O69" s="1890" t="s">
        <v>1047</v>
      </c>
      <c r="P69" s="1930" t="s">
        <v>1583</v>
      </c>
      <c r="Q69" s="1882" t="e">
        <f ca="1">C39</f>
        <v>#N/A</v>
      </c>
      <c r="R69" s="1882" t="s">
        <v>1528</v>
      </c>
    </row>
    <row r="70" spans="1:18" s="1838" customFormat="1" ht="13.5" thickBot="1">
      <c r="A70" s="1169"/>
      <c r="B70" s="1170"/>
      <c r="C70" s="354"/>
      <c r="D70" s="1181"/>
      <c r="E70" s="1165" t="s">
        <v>1476</v>
      </c>
      <c r="F70" s="1271" t="e">
        <f ca="1">M28</f>
        <v>#N/A</v>
      </c>
      <c r="O70" s="1890" t="s">
        <v>1048</v>
      </c>
      <c r="P70" s="1930" t="s">
        <v>1584</v>
      </c>
      <c r="Q70" s="1882" t="e">
        <f ca="1">C13</f>
        <v>#N/A</v>
      </c>
      <c r="R70" s="1882" t="s">
        <v>1528</v>
      </c>
    </row>
    <row r="71" spans="1:18" s="1838" customFormat="1" ht="13.5" thickBot="1">
      <c r="A71" s="1186" t="s">
        <v>1032</v>
      </c>
      <c r="B71" s="1187" t="s">
        <v>1486</v>
      </c>
      <c r="C71" s="381" t="e">
        <f ca="1">ROUND(C68*10000/F71,0)</f>
        <v>#N/A</v>
      </c>
      <c r="D71" s="1188" t="s">
        <v>1487</v>
      </c>
      <c r="E71" s="1189" t="s">
        <v>1488</v>
      </c>
      <c r="F71" s="384" t="e">
        <f ca="1">F43</f>
        <v>#N/A</v>
      </c>
      <c r="O71" s="1890" t="s">
        <v>1049</v>
      </c>
      <c r="P71" s="1930" t="s">
        <v>1585</v>
      </c>
      <c r="Q71" s="1893" t="e">
        <f ca="1">C76</f>
        <v>#N/A</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#N/A</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1045</v>
      </c>
      <c r="P75" s="1881" t="s">
        <v>1548</v>
      </c>
      <c r="Q75" s="1882" t="e">
        <f ca="1">Q65+Q66</f>
        <v>#N/A</v>
      </c>
      <c r="R75" s="1882" t="s">
        <v>1046</v>
      </c>
    </row>
    <row r="76" spans="1:18">
      <c r="B76" s="387" t="s">
        <v>1506</v>
      </c>
      <c r="C76" s="388" t="e">
        <f ca="1">INDIRECT("'数据-取费表'!j"&amp;$G$1)</f>
        <v>#N/A</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c r="D1" s="1816"/>
      <c r="E1" s="1817" t="s">
        <v>1386</v>
      </c>
      <c r="F1" s="1279" t="b">
        <f>J53</f>
        <v>0</v>
      </c>
      <c r="G1" s="1832">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0"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1034</v>
      </c>
      <c r="B6" s="3765" t="s">
        <v>1402</v>
      </c>
      <c r="C6" s="1292">
        <f ca="1">ROUND(F6*F8*F7*(1-F9),0)</f>
        <v>0</v>
      </c>
      <c r="D6" s="163" t="s">
        <v>3027</v>
      </c>
      <c r="E6" s="346" t="s">
        <v>1404</v>
      </c>
      <c r="F6" s="347">
        <f ca="1">INDIRECT("'数据-取费表'!u"&amp;$G$1)</f>
        <v>0</v>
      </c>
      <c r="G6" s="1847"/>
      <c r="H6" s="1287" t="s">
        <v>1034</v>
      </c>
      <c r="I6" s="3765" t="s">
        <v>1402</v>
      </c>
      <c r="J6" s="345">
        <f ca="1">ROUND(M6*M8*M7*(1-M9),0)</f>
        <v>0</v>
      </c>
      <c r="K6" s="1830" t="s">
        <v>3030</v>
      </c>
      <c r="L6" s="346" t="s">
        <v>1404</v>
      </c>
      <c r="M6" s="347">
        <f ca="1">INDIRECT("'数据-取费表'!z"&amp;$G$1)</f>
        <v>0</v>
      </c>
    </row>
    <row r="7" spans="1:37" ht="18" customHeight="1">
      <c r="A7" s="1291"/>
      <c r="B7" s="3766"/>
      <c r="C7" s="1293"/>
      <c r="D7" s="351"/>
      <c r="E7" s="1294" t="s">
        <v>1405</v>
      </c>
      <c r="F7" s="347">
        <f ca="1">IF(INDIRECT("'数据-取费表'!ah"&amp;$G$1)="",INDIRECT("'数据-取费表'!k"&amp;$G$1),INDIRECT("'数据-取费表'!ah"&amp;$G$1))</f>
        <v>0</v>
      </c>
      <c r="G7" s="1847"/>
      <c r="H7" s="348"/>
      <c r="I7" s="3766"/>
      <c r="J7" s="350"/>
      <c r="K7" s="351"/>
      <c r="L7" s="346" t="s">
        <v>1405</v>
      </c>
      <c r="M7" s="347">
        <f ca="1">F7</f>
        <v>0</v>
      </c>
    </row>
    <row r="8" spans="1:37" ht="18" customHeight="1">
      <c r="A8" s="348"/>
      <c r="B8" s="3766"/>
      <c r="C8" s="350"/>
      <c r="D8" s="351"/>
      <c r="E8" s="346" t="s">
        <v>1406</v>
      </c>
      <c r="F8" s="347">
        <f ca="1">INDIRECT("'数据-取费表'!ai"&amp;$G$1)</f>
        <v>365</v>
      </c>
      <c r="G8" s="1847"/>
      <c r="H8" s="348"/>
      <c r="I8" s="3766"/>
      <c r="J8" s="350"/>
      <c r="K8" s="351"/>
      <c r="L8" s="346" t="s">
        <v>1406</v>
      </c>
      <c r="M8" s="347">
        <f ca="1">INDIRECT("'数据-取费表'!ai"&amp;$G$1)</f>
        <v>365</v>
      </c>
    </row>
    <row r="9" spans="1:37" ht="18" customHeight="1">
      <c r="A9" s="348"/>
      <c r="B9" s="3767"/>
      <c r="C9" s="350"/>
      <c r="D9" s="351"/>
      <c r="E9" s="346" t="s">
        <v>1407</v>
      </c>
      <c r="F9" s="356">
        <f ca="1">INDIRECT("'数据-取费表'!w"&amp;$G$1)</f>
        <v>0</v>
      </c>
      <c r="G9" s="1847"/>
      <c r="H9" s="348"/>
      <c r="I9" s="3767"/>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ROUND(IF(F10="押一",F6*F8*F7/12*F11,IF(F10="押二",F6*F8*F7/12*2*F11,IF(F10="押三",F6*F8*F7/12*3*F11,C11*F11))),0)</f>
        <v>0</v>
      </c>
      <c r="D10" s="1820" t="s">
        <v>3028</v>
      </c>
      <c r="E10" s="357" t="s">
        <v>1410</v>
      </c>
      <c r="F10" s="1362"/>
      <c r="G10" s="1847"/>
      <c r="H10" s="1287" t="s">
        <v>1038</v>
      </c>
      <c r="I10" s="1819" t="s">
        <v>1408</v>
      </c>
      <c r="J10" s="345">
        <f ca="1">ROUND(IF(M10="押一",M6*M8*M7/12*M11,IF(M10="押二",M6*M8*M7/12*2*M11,IF(M10="押三",M6*M8*M7/12*3*M11,J11*M11))),0)</f>
        <v>0</v>
      </c>
      <c r="K10" s="1831" t="s">
        <v>3029</v>
      </c>
      <c r="L10" s="357" t="s">
        <v>1410</v>
      </c>
      <c r="M10" s="1362"/>
    </row>
    <row r="11" spans="1:37" ht="18" customHeight="1">
      <c r="A11" s="352"/>
      <c r="B11" s="1821" t="s">
        <v>1601</v>
      </c>
      <c r="C11" s="1174"/>
      <c r="D11" s="351"/>
      <c r="E11" s="357" t="s">
        <v>1411</v>
      </c>
      <c r="F11" s="358">
        <f ca="1">'数据-取费表'!B39</f>
        <v>1.4999999999999999E-2</v>
      </c>
      <c r="G11" s="1847"/>
      <c r="H11" s="1295"/>
      <c r="I11" s="1821" t="s">
        <v>1602</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6" t="s">
        <v>1416</v>
      </c>
      <c r="C14" s="362">
        <f ca="1">ROUND(INDIRECT("'数据-取费表'!l"&amp;$G$1)*F43+'数据-取费表'!L14*INDIRECT("'数据-取费表'!S"&amp;$G$1),0)</f>
        <v>0</v>
      </c>
      <c r="D14" s="1796" t="s">
        <v>1417</v>
      </c>
      <c r="E14" s="1790"/>
      <c r="F14" s="363"/>
      <c r="G14" s="1847"/>
      <c r="H14" s="1197" t="s">
        <v>1034</v>
      </c>
      <c r="I14" s="346" t="s">
        <v>1418</v>
      </c>
      <c r="J14" s="24">
        <f ca="1">C29</f>
        <v>0</v>
      </c>
      <c r="K14" s="15"/>
      <c r="L14" s="975"/>
      <c r="M14" s="976"/>
    </row>
    <row r="15" spans="1:37" s="1854" customFormat="1" ht="18" customHeight="1" thickBot="1">
      <c r="A15" s="1197" t="s">
        <v>1035</v>
      </c>
      <c r="B15" s="346" t="s">
        <v>1419</v>
      </c>
      <c r="C15" s="24">
        <f ca="1">ROUND(C14*F15,0)</f>
        <v>0</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ROUND(INDIRECT("'数据-取费表'!l"&amp;$G$1)*F43*F16,0)</f>
        <v>0</v>
      </c>
      <c r="D16" s="346" t="s">
        <v>1420</v>
      </c>
      <c r="E16" s="346" t="s">
        <v>1421</v>
      </c>
      <c r="F16" s="366">
        <f ca="1">IF(INDIRECT("'数据-取费表'!c"&amp;$G$1)="住宅",'数据-取费表'!B34,0)</f>
        <v>0</v>
      </c>
      <c r="G16" s="1847"/>
      <c r="H16" s="1325" t="s">
        <v>1029</v>
      </c>
      <c r="I16" s="1326" t="s">
        <v>1423</v>
      </c>
      <c r="J16" s="354">
        <f ca="1">ROUND(J17+J22+J23+J24,0)</f>
        <v>0</v>
      </c>
      <c r="K16" s="1333" t="s">
        <v>1424</v>
      </c>
      <c r="L16" s="1334"/>
      <c r="M16" s="1290"/>
    </row>
    <row r="17" spans="1:37" s="1854" customFormat="1" ht="18" customHeight="1">
      <c r="A17" s="1197" t="s">
        <v>1389</v>
      </c>
      <c r="B17" s="346" t="s">
        <v>1425</v>
      </c>
      <c r="C17" s="24">
        <f ca="1">ROUND(F17*(F43+INDIRECT("'数据-取费表'!S"&amp;$G$1)),0)</f>
        <v>0</v>
      </c>
      <c r="D17" s="346" t="s">
        <v>1426</v>
      </c>
      <c r="E17" s="346" t="s">
        <v>1427</v>
      </c>
      <c r="F17" s="26">
        <f>'数据-取费表'!B35</f>
        <v>200</v>
      </c>
      <c r="G17" s="1850"/>
      <c r="H17" s="1197" t="s">
        <v>1034</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0</v>
      </c>
      <c r="D18" s="346" t="s">
        <v>1420</v>
      </c>
      <c r="E18" s="346" t="s">
        <v>1421</v>
      </c>
      <c r="F18" s="366">
        <f>'数据-取费表'!B36</f>
        <v>1.4999999999999999E-2</v>
      </c>
      <c r="G18" s="1850"/>
      <c r="H18" s="1197" t="s">
        <v>1033</v>
      </c>
      <c r="I18" s="346" t="s">
        <v>1432</v>
      </c>
      <c r="J18" s="24">
        <f ca="1">ROUND(J5*M18/(1+'数据-取费表'!C42),0)</f>
        <v>0</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0</v>
      </c>
      <c r="D19" s="139" t="s">
        <v>1435</v>
      </c>
      <c r="E19" s="1814"/>
      <c r="F19" s="26"/>
      <c r="G19" s="1847"/>
      <c r="H19" s="1197" t="s">
        <v>1035</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1038</v>
      </c>
      <c r="B20" s="346" t="s">
        <v>1438</v>
      </c>
      <c r="C20" s="24">
        <f ca="1">ROUND(C19*F20,0)</f>
        <v>0</v>
      </c>
      <c r="D20" s="368" t="s">
        <v>1439</v>
      </c>
      <c r="E20" s="346" t="s">
        <v>1421</v>
      </c>
      <c r="F20" s="366">
        <f>'数据-取费表'!B37</f>
        <v>0.03</v>
      </c>
      <c r="G20" s="1850"/>
      <c r="H20" s="1197" t="s">
        <v>1388</v>
      </c>
      <c r="I20" s="163" t="s">
        <v>1440</v>
      </c>
      <c r="J20" s="25">
        <f ca="1">ROUND(M20*M21,0)</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ROUND(J14*M22,0)</f>
        <v>0</v>
      </c>
      <c r="K22" s="1794" t="s">
        <v>1449</v>
      </c>
      <c r="L22" s="346" t="s">
        <v>1421</v>
      </c>
      <c r="M22" s="373">
        <f ca="1">INDIRECT("'数据-取费表'!Ak"&amp;$G$1)</f>
        <v>0</v>
      </c>
    </row>
    <row r="23" spans="1:37" s="1854" customFormat="1" ht="18" customHeight="1">
      <c r="A23" s="1197"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1030</v>
      </c>
      <c r="I25" s="1340" t="s">
        <v>1462</v>
      </c>
      <c r="J25" s="354">
        <f ca="1">J5-J16</f>
        <v>0</v>
      </c>
      <c r="K25" s="1341" t="s">
        <v>1463</v>
      </c>
      <c r="L25" s="1342"/>
      <c r="M25" s="1343"/>
    </row>
    <row r="26" spans="1:37" ht="18" customHeight="1">
      <c r="A26" s="1197" t="s">
        <v>1033</v>
      </c>
      <c r="B26" s="346" t="s">
        <v>1464</v>
      </c>
      <c r="C26" s="24">
        <f ca="1">ROUND((C19+C20)*F26,0)</f>
        <v>0</v>
      </c>
      <c r="D26" s="368" t="s">
        <v>1465</v>
      </c>
      <c r="E26" s="357" t="s">
        <v>1466</v>
      </c>
      <c r="F26" s="356">
        <f ca="1">INDIRECT("'数据-取费表'!q"&amp;$G$1)</f>
        <v>0</v>
      </c>
      <c r="G26" s="1847"/>
      <c r="H26" s="343" t="s">
        <v>1031</v>
      </c>
      <c r="I26" s="344" t="s">
        <v>1467</v>
      </c>
      <c r="J26" s="345">
        <f ca="1">IF(J5&lt;&gt;0,ROUND(J25*(1-((1+M28)/(1+M26))^M27)/(M26-M28),0),0)</f>
        <v>0</v>
      </c>
      <c r="K26" s="369" t="s">
        <v>1468</v>
      </c>
      <c r="L26" s="346" t="s">
        <v>1469</v>
      </c>
      <c r="M26" s="356">
        <f ca="1">INDIRECT("'数据-取费表'!I"&amp;$G$1)</f>
        <v>0</v>
      </c>
    </row>
    <row r="27" spans="1:37" ht="18" customHeight="1">
      <c r="A27" s="1197" t="s">
        <v>1035</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79" t="s">
        <v>1032</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0</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IF(项目基本情况!B11="自然人","——",ROUND(C5*F32/(1+'数据-取费表'!C42),0))</f>
        <v>0</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ROUND(C29*F36,0)</f>
        <v>0</v>
      </c>
      <c r="D36" s="1794" t="s">
        <v>1481</v>
      </c>
      <c r="E36" s="346" t="s">
        <v>1421</v>
      </c>
      <c r="F36" s="373">
        <f ca="1">INDIRECT("'数据-取费表'!Ak"&amp;$G$1)</f>
        <v>0</v>
      </c>
      <c r="G36" s="1847"/>
      <c r="H36" s="1855"/>
      <c r="I36" s="1856"/>
      <c r="J36" s="1857"/>
      <c r="K36" s="747"/>
      <c r="L36" s="1855"/>
      <c r="M36" s="1855"/>
    </row>
    <row r="37" spans="1:18" ht="18" customHeight="1">
      <c r="A37" s="1197" t="s">
        <v>1074</v>
      </c>
      <c r="B37" s="346" t="s">
        <v>1452</v>
      </c>
      <c r="C37" s="24">
        <f ca="1">ROUND(C13*F37,0)</f>
        <v>0</v>
      </c>
      <c r="D37" s="1794" t="s">
        <v>1453</v>
      </c>
      <c r="E37" s="346" t="s">
        <v>1454</v>
      </c>
      <c r="F37" s="375">
        <f ca="1">INDIRECT("'数据-取费表'!Al"&amp;$G$1)</f>
        <v>0</v>
      </c>
      <c r="G37" s="1847"/>
      <c r="H37" s="1855"/>
      <c r="I37" s="1856"/>
      <c r="J37" s="1857"/>
      <c r="K37" s="747"/>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4">
        <f ca="1">C5-C30</f>
        <v>0</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t="e">
        <f ca="1">ROUND(C40/F43,0)</f>
        <v>#DIV/0!</v>
      </c>
      <c r="D43" s="382" t="s">
        <v>1487</v>
      </c>
      <c r="E43" s="383" t="s">
        <v>1488</v>
      </c>
      <c r="F43" s="384">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88"/>
      <c r="I47" s="1876" t="s">
        <v>1525</v>
      </c>
      <c r="J47" s="1877"/>
      <c r="K47" s="1878" t="s">
        <v>1526</v>
      </c>
      <c r="L47" s="1879">
        <f ca="1">INDIRECT("'数据-取费表'!d"&amp;$G$1)</f>
        <v>40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4" t="s">
        <v>1400</v>
      </c>
      <c r="C48" s="1813">
        <f ca="1">C49+C53+C55</f>
        <v>0</v>
      </c>
      <c r="D48" s="1358"/>
      <c r="E48" s="1359"/>
      <c r="F48" s="1177"/>
      <c r="G48" s="788"/>
      <c r="H48" s="789"/>
      <c r="I48" s="1883" t="s">
        <v>1529</v>
      </c>
      <c r="J48" s="1884"/>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ROUND(F49*F51*F50*(1-F52),0)</f>
        <v>0</v>
      </c>
      <c r="D49" s="1272" t="s">
        <v>1403</v>
      </c>
      <c r="E49" s="1826" t="s">
        <v>1490</v>
      </c>
      <c r="F49" s="1277"/>
      <c r="G49" s="1887"/>
      <c r="H49" s="789"/>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89"/>
      <c r="I50" s="1883" t="s">
        <v>1536</v>
      </c>
      <c r="J50" s="1891">
        <f>SUMPRODUCT((I63:I65=J47)*(J62:L62=J48)*(J63:L65))</f>
        <v>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8" t="s">
        <v>1408</v>
      </c>
      <c r="C53" s="360">
        <f ca="1">ROUND(IF(F53="押一",F49*F51*F50/12*F11,IF(F53="押二",F49*F51*F50/12*2*F11,IF(F53="押三",F49*F51*F50/12*3*F11,C54*F11))),0)</f>
        <v>0</v>
      </c>
      <c r="D53" s="1820" t="s">
        <v>1409</v>
      </c>
      <c r="E53" s="357" t="s">
        <v>1410</v>
      </c>
      <c r="F53" s="1362"/>
      <c r="I53" s="1901" t="s">
        <v>1546</v>
      </c>
      <c r="J53" s="1902" t="b">
        <f>IF(M47="住宅",J51,IF(D1="——",MIN(J51,L48),IF(D1="在建（套用方法）",MIN(J51,L48-'数据-取费表'!B24),IF(D1="土地（套用方法）",MIN(J51,L48-'数据-取费表'!B20)))))</f>
        <v>0</v>
      </c>
      <c r="K53" s="3768" t="s">
        <v>1547</v>
      </c>
      <c r="L53" s="3769"/>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31.34</v>
      </c>
      <c r="O56" s="1880" t="s">
        <v>1039</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t="str">
        <f ca="1">IF(OR(M47="住宅",J51&lt;L48,J56="是"),"——",J51-L48)</f>
        <v>——</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59" t="s">
        <v>1029</v>
      </c>
      <c r="B58" s="1173" t="s">
        <v>1423</v>
      </c>
      <c r="C58" s="360">
        <f ca="1">ROUND(C59+C64+C65+C66,0)</f>
        <v>0</v>
      </c>
      <c r="D58" s="1175" t="s">
        <v>1424</v>
      </c>
      <c r="E58" s="1176"/>
      <c r="F58" s="1177"/>
      <c r="I58" s="1918" t="s">
        <v>1559</v>
      </c>
      <c r="J58" s="1920" t="e">
        <f ca="1">IF(J55&lt;0.4,0.4,J55)</f>
        <v>#VALUE!</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6">
        <f t="shared" ref="F60:F66" si="0">F32</f>
        <v>5.5000000000000007E-2</v>
      </c>
      <c r="I60" s="1921" t="s">
        <v>1564</v>
      </c>
      <c r="J60" s="1922" t="str">
        <f ca="1">IF(OR(M47="住宅",J51&lt;L48,J56="是"),"0",ROUND(J59/(1+J52)^J53,0))</f>
        <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1040</v>
      </c>
      <c r="P66" s="1881" t="s">
        <v>1557</v>
      </c>
      <c r="Q66" s="1882" t="e">
        <f ca="1">L60</f>
        <v>#DIV/0!</v>
      </c>
      <c r="R66" s="1882" t="s">
        <v>1580</v>
      </c>
    </row>
    <row r="67" spans="1:18" s="1838" customFormat="1" ht="16.5" thickBot="1">
      <c r="A67" s="1172" t="s">
        <v>1030</v>
      </c>
      <c r="B67" s="1182" t="s">
        <v>1462</v>
      </c>
      <c r="C67" s="360">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5" t="e">
        <f ca="1">ROUND(C67*(1-((1+F70)/(1+F68))^F69)/(F68-F70),0)</f>
        <v>#DIV/0!</v>
      </c>
      <c r="D68" s="1180" t="s">
        <v>1468</v>
      </c>
      <c r="E68" s="1165" t="s">
        <v>1469</v>
      </c>
      <c r="F68" s="356">
        <f ca="1">F40</f>
        <v>0</v>
      </c>
      <c r="O68" s="1890" t="s">
        <v>1042</v>
      </c>
      <c r="P68" s="1930" t="s">
        <v>1582</v>
      </c>
      <c r="Q68" s="1882">
        <f ca="1">ROUND(Q69-Q70*Q71,0)</f>
        <v>0</v>
      </c>
      <c r="R68" s="1882" t="s">
        <v>1050</v>
      </c>
    </row>
    <row r="69" spans="1:18" s="1838" customFormat="1" ht="13.5" thickBot="1">
      <c r="A69" s="1166"/>
      <c r="B69" s="1167"/>
      <c r="C69" s="350"/>
      <c r="D69" s="1185" t="s">
        <v>1472</v>
      </c>
      <c r="E69" s="1165" t="s">
        <v>1473</v>
      </c>
      <c r="F69" s="378">
        <f ca="1">F41</f>
        <v>0</v>
      </c>
      <c r="O69" s="1890" t="s">
        <v>1047</v>
      </c>
      <c r="P69" s="1930" t="s">
        <v>1583</v>
      </c>
      <c r="Q69" s="1882">
        <f ca="1">C39</f>
        <v>0</v>
      </c>
      <c r="R69" s="1882" t="s">
        <v>1528</v>
      </c>
    </row>
    <row r="70" spans="1:18" s="1838" customFormat="1" ht="13.5" thickBot="1">
      <c r="A70" s="1169"/>
      <c r="B70" s="1170"/>
      <c r="C70" s="354"/>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1" t="e">
        <f ca="1">ROUND(C68/F71,0)</f>
        <v>#DIV/0!</v>
      </c>
      <c r="D71" s="1188" t="s">
        <v>1487</v>
      </c>
      <c r="E71" s="1189" t="s">
        <v>1488</v>
      </c>
      <c r="F71" s="384">
        <f ca="1">F43</f>
        <v>0</v>
      </c>
      <c r="O71" s="1890" t="s">
        <v>1049</v>
      </c>
      <c r="P71" s="1930" t="s">
        <v>1585</v>
      </c>
      <c r="Q71" s="1893">
        <f ca="1">C76</f>
        <v>0</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1045</v>
      </c>
      <c r="P75" s="1881" t="s">
        <v>1548</v>
      </c>
      <c r="Q75" s="1882" t="e">
        <f ca="1">Q65+Q66</f>
        <v>#DIV/0!</v>
      </c>
      <c r="R75" s="1882" t="s">
        <v>1046</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60" t="s">
        <v>2529</v>
      </c>
      <c r="B1" s="2561"/>
      <c r="C1" s="2561"/>
      <c r="D1" s="2561"/>
      <c r="E1" s="2562"/>
    </row>
    <row r="2" spans="1:6" ht="15.75">
      <c r="A2" s="2563" t="s">
        <v>2330</v>
      </c>
      <c r="B2" s="2564">
        <f ca="1">SUMIF(B6:B13,"&lt;&gt;#ref!",B6:B13)</f>
        <v>3090</v>
      </c>
      <c r="C2" s="2565" t="s">
        <v>2522</v>
      </c>
      <c r="D2" s="2566" t="s">
        <v>2523</v>
      </c>
      <c r="E2" s="2567">
        <f>SUM(E6:E13)</f>
        <v>656.26</v>
      </c>
    </row>
    <row r="3" spans="1:6" ht="15.75">
      <c r="A3" s="2563" t="s">
        <v>1394</v>
      </c>
      <c r="B3" s="2564">
        <f ca="1">ROUND(B2*10000/E2,0)</f>
        <v>47085</v>
      </c>
      <c r="C3" s="2565" t="s">
        <v>2530</v>
      </c>
      <c r="D3" s="2568"/>
      <c r="E3" s="2569"/>
    </row>
    <row r="4" spans="1:6" ht="15.75">
      <c r="A4" s="2570"/>
      <c r="B4" s="2568"/>
      <c r="C4" s="2568"/>
      <c r="D4" s="2568"/>
      <c r="E4" s="2569"/>
    </row>
    <row r="5" spans="1:6" ht="15">
      <c r="A5" s="2571" t="s">
        <v>2524</v>
      </c>
      <c r="B5" s="3774" t="s">
        <v>2525</v>
      </c>
      <c r="C5" s="3774"/>
      <c r="D5" s="2572"/>
      <c r="E5" s="2573" t="s">
        <v>2526</v>
      </c>
      <c r="F5" s="2574" t="s">
        <v>2527</v>
      </c>
    </row>
    <row r="6" spans="1:6">
      <c r="A6" s="2575">
        <f>'数据-取费表'!AN6</f>
        <v>0</v>
      </c>
      <c r="B6" s="2574" t="e">
        <f ca="1">IF(F6="是",'数据-取费表'!AO6,0)</f>
        <v>#REF!</v>
      </c>
      <c r="C6" s="2565" t="s">
        <v>2522</v>
      </c>
      <c r="D6" s="2568"/>
      <c r="E6" s="2576">
        <f>IF(OR(A6=0,F6="否"),0,'数据-取费表'!K6+'数据-取费表'!S6)</f>
        <v>0</v>
      </c>
      <c r="F6" s="2577" t="s">
        <v>2528</v>
      </c>
    </row>
    <row r="7" spans="1:6">
      <c r="A7" s="2575" t="str">
        <f>'数据-取费表'!AN7</f>
        <v>收益法 (未出租)</v>
      </c>
      <c r="B7" s="2574">
        <f ca="1">IF(F7="是",'数据-取费表'!AO7,0)</f>
        <v>3090</v>
      </c>
      <c r="C7" s="2565" t="s">
        <v>2522</v>
      </c>
      <c r="D7" s="2568"/>
      <c r="E7" s="2576">
        <f>IF(OR(A7=0,F7="否"),0,'数据-取费表'!K7+'数据-取费表'!S7)</f>
        <v>656.26</v>
      </c>
      <c r="F7" s="2577" t="s">
        <v>2528</v>
      </c>
    </row>
    <row r="8" spans="1:6">
      <c r="A8" s="2575">
        <f>'数据-取费表'!AN8</f>
        <v>0</v>
      </c>
      <c r="B8" s="2574" t="e">
        <f ca="1">IF(F8="是",'数据-取费表'!AO8,0)</f>
        <v>#REF!</v>
      </c>
      <c r="C8" s="2565" t="s">
        <v>2522</v>
      </c>
      <c r="D8" s="2568"/>
      <c r="E8" s="2576">
        <f>IF(OR(A8=0,F8="否"),0,'数据-取费表'!K8+'数据-取费表'!S8)</f>
        <v>0</v>
      </c>
      <c r="F8" s="2577" t="s">
        <v>2528</v>
      </c>
    </row>
    <row r="9" spans="1:6">
      <c r="A9" s="2575">
        <f>'数据-取费表'!AN9</f>
        <v>0</v>
      </c>
      <c r="B9" s="2574" t="e">
        <f ca="1">IF(F9="是",'数据-取费表'!AO9,0)</f>
        <v>#REF!</v>
      </c>
      <c r="C9" s="2565" t="s">
        <v>2522</v>
      </c>
      <c r="D9" s="2568"/>
      <c r="E9" s="2576">
        <f>IF(OR(A9=0,F9="否"),0,'数据-取费表'!K9+'数据-取费表'!S9)</f>
        <v>0</v>
      </c>
      <c r="F9" s="2577" t="s">
        <v>2528</v>
      </c>
    </row>
    <row r="10" spans="1:6">
      <c r="A10" s="2575">
        <f>'数据-取费表'!AN10</f>
        <v>0</v>
      </c>
      <c r="B10" s="2574" t="e">
        <f ca="1">IF(F10="是",'数据-取费表'!AO10,0)</f>
        <v>#REF!</v>
      </c>
      <c r="C10" s="2565" t="s">
        <v>2522</v>
      </c>
      <c r="D10" s="2568"/>
      <c r="E10" s="2576">
        <f>IF(OR(A10=0,F10="否"),0,'数据-取费表'!K10+'数据-取费表'!S10)</f>
        <v>0</v>
      </c>
      <c r="F10" s="2577" t="s">
        <v>2528</v>
      </c>
    </row>
    <row r="11" spans="1:6">
      <c r="A11" s="2575">
        <f>'数据-取费表'!AN11</f>
        <v>0</v>
      </c>
      <c r="B11" s="2574" t="e">
        <f ca="1">IF(F11="是",'数据-取费表'!AO11,0)</f>
        <v>#REF!</v>
      </c>
      <c r="C11" s="2565" t="s">
        <v>2522</v>
      </c>
      <c r="D11" s="2568"/>
      <c r="E11" s="2576">
        <f>IF(OR(A11=0,F11="否"),0,'数据-取费表'!K11+'数据-取费表'!S11)</f>
        <v>0</v>
      </c>
      <c r="F11" s="2577" t="s">
        <v>2528</v>
      </c>
    </row>
    <row r="12" spans="1:6">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75" t="s">
        <v>1075</v>
      </c>
      <c r="B1" s="3776"/>
      <c r="C1" s="3777"/>
      <c r="D1" s="3778">
        <f>SUM(I10,I15,I20,I21,I23)</f>
        <v>0</v>
      </c>
      <c r="E1" s="3778"/>
      <c r="F1" s="3778"/>
      <c r="G1" s="3778"/>
      <c r="H1" s="3778"/>
      <c r="I1" s="3779"/>
    </row>
    <row r="2" spans="1:9">
      <c r="A2" s="3780" t="s">
        <v>1076</v>
      </c>
      <c r="B2" s="3781" t="s">
        <v>1077</v>
      </c>
      <c r="C2" s="3781"/>
      <c r="D2" s="1297" t="s">
        <v>1078</v>
      </c>
      <c r="E2" s="1297" t="s">
        <v>1079</v>
      </c>
      <c r="F2" s="1297" t="s">
        <v>1080</v>
      </c>
      <c r="G2" s="1297" t="s">
        <v>1081</v>
      </c>
      <c r="H2" s="1297" t="s">
        <v>1082</v>
      </c>
      <c r="I2" s="1298" t="s">
        <v>1083</v>
      </c>
    </row>
    <row r="3" spans="1:9">
      <c r="A3" s="3780"/>
      <c r="B3" s="3781" t="s">
        <v>1084</v>
      </c>
      <c r="C3" s="3781"/>
      <c r="D3" s="1299"/>
      <c r="E3" s="1297"/>
      <c r="F3" s="1300"/>
      <c r="G3" s="1300"/>
      <c r="H3" s="1301"/>
      <c r="I3" s="1302">
        <f>ROUND(D3*E3*F3*G3*H3/10000,0)</f>
        <v>0</v>
      </c>
    </row>
    <row r="4" spans="1:9">
      <c r="A4" s="3780"/>
      <c r="B4" s="3781" t="s">
        <v>1085</v>
      </c>
      <c r="C4" s="3781"/>
      <c r="D4" s="1299"/>
      <c r="E4" s="1297"/>
      <c r="F4" s="1300"/>
      <c r="G4" s="1300"/>
      <c r="H4" s="1301"/>
      <c r="I4" s="1302">
        <f t="shared" ref="I4:I9" si="0">ROUND(D4*E4*F4*G4*H4/10000,0)</f>
        <v>0</v>
      </c>
    </row>
    <row r="5" spans="1:9">
      <c r="A5" s="3780"/>
      <c r="B5" s="3781" t="s">
        <v>1086</v>
      </c>
      <c r="C5" s="3781"/>
      <c r="D5" s="1299"/>
      <c r="E5" s="1297"/>
      <c r="F5" s="1300"/>
      <c r="G5" s="1300"/>
      <c r="H5" s="1301"/>
      <c r="I5" s="1302">
        <f t="shared" si="0"/>
        <v>0</v>
      </c>
    </row>
    <row r="6" spans="1:9">
      <c r="A6" s="3780"/>
      <c r="B6" s="3781" t="s">
        <v>1087</v>
      </c>
      <c r="C6" s="3781"/>
      <c r="D6" s="1299"/>
      <c r="E6" s="1297"/>
      <c r="F6" s="1300"/>
      <c r="G6" s="1300"/>
      <c r="H6" s="1301"/>
      <c r="I6" s="1302">
        <f t="shared" si="0"/>
        <v>0</v>
      </c>
    </row>
    <row r="7" spans="1:9">
      <c r="A7" s="3780"/>
      <c r="B7" s="3781" t="s">
        <v>1088</v>
      </c>
      <c r="C7" s="3781"/>
      <c r="D7" s="1299"/>
      <c r="E7" s="1297"/>
      <c r="F7" s="1300"/>
      <c r="G7" s="1300"/>
      <c r="H7" s="1301"/>
      <c r="I7" s="1302">
        <f t="shared" si="0"/>
        <v>0</v>
      </c>
    </row>
    <row r="8" spans="1:9">
      <c r="A8" s="3780"/>
      <c r="B8" s="3781" t="s">
        <v>1089</v>
      </c>
      <c r="C8" s="3781"/>
      <c r="D8" s="1299"/>
      <c r="E8" s="1297"/>
      <c r="F8" s="1300"/>
      <c r="G8" s="1300"/>
      <c r="H8" s="1301"/>
      <c r="I8" s="1302">
        <f t="shared" si="0"/>
        <v>0</v>
      </c>
    </row>
    <row r="9" spans="1:9">
      <c r="A9" s="3780"/>
      <c r="B9" s="3781" t="s">
        <v>1090</v>
      </c>
      <c r="C9" s="3781"/>
      <c r="D9" s="1299"/>
      <c r="E9" s="1297"/>
      <c r="F9" s="1300"/>
      <c r="G9" s="1300"/>
      <c r="H9" s="1301"/>
      <c r="I9" s="1302">
        <f t="shared" si="0"/>
        <v>0</v>
      </c>
    </row>
    <row r="10" spans="1:9">
      <c r="A10" s="3780"/>
      <c r="B10" s="3782" t="s">
        <v>1091</v>
      </c>
      <c r="C10" s="3782"/>
      <c r="D10" s="1303"/>
      <c r="E10" s="1303" t="e">
        <f>ROUND(D1*10000/D10/H9,0)</f>
        <v>#DIV/0!</v>
      </c>
      <c r="F10" s="1304"/>
      <c r="G10" s="1304"/>
      <c r="H10" s="1305"/>
      <c r="I10" s="1306">
        <f>SUM(I3:I9)</f>
        <v>0</v>
      </c>
    </row>
    <row r="11" spans="1:9" ht="14.25">
      <c r="A11" s="3780" t="s">
        <v>1092</v>
      </c>
      <c r="B11" s="3781" t="s">
        <v>1093</v>
      </c>
      <c r="C11" s="3781"/>
      <c r="D11" s="1299" t="s">
        <v>1094</v>
      </c>
      <c r="E11" s="1299" t="s">
        <v>1095</v>
      </c>
      <c r="F11" s="1300" t="s">
        <v>1096</v>
      </c>
      <c r="G11" s="1300" t="s">
        <v>1082</v>
      </c>
      <c r="H11" s="1307" t="s">
        <v>1097</v>
      </c>
      <c r="I11" s="1298" t="s">
        <v>1083</v>
      </c>
    </row>
    <row r="12" spans="1:9">
      <c r="A12" s="3780"/>
      <c r="B12" s="3781" t="s">
        <v>1098</v>
      </c>
      <c r="C12" s="3781"/>
      <c r="D12" s="1299"/>
      <c r="E12" s="1299"/>
      <c r="F12" s="1300"/>
      <c r="G12" s="1301"/>
      <c r="H12" s="1308"/>
      <c r="I12" s="1298">
        <f>ROUND(D12*E12*F12*G12/10000,0)</f>
        <v>0</v>
      </c>
    </row>
    <row r="13" spans="1:9">
      <c r="A13" s="3780"/>
      <c r="B13" s="3781" t="s">
        <v>1099</v>
      </c>
      <c r="C13" s="3781"/>
      <c r="D13" s="1299"/>
      <c r="E13" s="1299"/>
      <c r="F13" s="1300"/>
      <c r="G13" s="1301"/>
      <c r="H13" s="1308"/>
      <c r="I13" s="1298">
        <f>ROUND(D13*E13*F13*G13/10000,0)</f>
        <v>0</v>
      </c>
    </row>
    <row r="14" spans="1:9">
      <c r="A14" s="3780"/>
      <c r="B14" s="3781" t="s">
        <v>1100</v>
      </c>
      <c r="C14" s="3781"/>
      <c r="D14" s="1299"/>
      <c r="E14" s="1299"/>
      <c r="F14" s="1300"/>
      <c r="G14" s="1301"/>
      <c r="H14" s="1308"/>
      <c r="I14" s="1298">
        <f>ROUND(D14*E14*F14*G14/10000,0)</f>
        <v>0</v>
      </c>
    </row>
    <row r="15" spans="1:9">
      <c r="A15" s="3780"/>
      <c r="B15" s="3782" t="s">
        <v>1091</v>
      </c>
      <c r="C15" s="3782"/>
      <c r="D15" s="1303"/>
      <c r="E15" s="1303">
        <f>SUM(E12:E14)</f>
        <v>0</v>
      </c>
      <c r="F15" s="1304"/>
      <c r="G15" s="1301"/>
      <c r="H15" s="1308"/>
      <c r="I15" s="1309">
        <f>SUM(I12:I14)</f>
        <v>0</v>
      </c>
    </row>
    <row r="16" spans="1:9" ht="24">
      <c r="A16" s="3780" t="s">
        <v>1101</v>
      </c>
      <c r="B16" s="3781" t="s">
        <v>1102</v>
      </c>
      <c r="C16" s="3781"/>
      <c r="D16" s="1299" t="s">
        <v>1078</v>
      </c>
      <c r="E16" s="1310" t="s">
        <v>1103</v>
      </c>
      <c r="F16" s="1300" t="s">
        <v>1104</v>
      </c>
      <c r="G16" s="1301" t="s">
        <v>1082</v>
      </c>
      <c r="H16" s="1307" t="s">
        <v>1097</v>
      </c>
      <c r="I16" s="1298" t="s">
        <v>1083</v>
      </c>
    </row>
    <row r="17" spans="1:9" ht="14.25">
      <c r="A17" s="3780"/>
      <c r="B17" s="3781" t="s">
        <v>1105</v>
      </c>
      <c r="C17" s="3781"/>
      <c r="D17" s="1299"/>
      <c r="E17" s="1299"/>
      <c r="F17" s="1300"/>
      <c r="G17" s="1301"/>
      <c r="H17" s="1311"/>
      <c r="I17" s="1312">
        <f>ROUND(D17*E17*F17*G17/10000,0)</f>
        <v>0</v>
      </c>
    </row>
    <row r="18" spans="1:9" ht="14.25">
      <c r="A18" s="3780"/>
      <c r="B18" s="3781" t="s">
        <v>1106</v>
      </c>
      <c r="C18" s="3781"/>
      <c r="D18" s="1299"/>
      <c r="E18" s="1299"/>
      <c r="F18" s="1300"/>
      <c r="G18" s="1301"/>
      <c r="H18" s="1311"/>
      <c r="I18" s="1312">
        <f>ROUND(D18*E18*F18*G18/10000,0)</f>
        <v>0</v>
      </c>
    </row>
    <row r="19" spans="1:9" ht="14.25">
      <c r="A19" s="3780"/>
      <c r="B19" s="3781" t="s">
        <v>1107</v>
      </c>
      <c r="C19" s="3781"/>
      <c r="D19" s="1299"/>
      <c r="E19" s="1299"/>
      <c r="F19" s="1300"/>
      <c r="G19" s="1301"/>
      <c r="H19" s="1311"/>
      <c r="I19" s="1312">
        <f>ROUND(D19*E19*F19*G19/10000,0)</f>
        <v>0</v>
      </c>
    </row>
    <row r="20" spans="1:9">
      <c r="A20" s="3780"/>
      <c r="B20" s="3782" t="s">
        <v>1091</v>
      </c>
      <c r="C20" s="3782"/>
      <c r="D20" s="1303">
        <f>SUM(D17:D19)</f>
        <v>0</v>
      </c>
      <c r="E20" s="1303"/>
      <c r="F20" s="1304"/>
      <c r="G20" s="1301"/>
      <c r="H20" s="1308"/>
      <c r="I20" s="1309">
        <f>SUM(I17:I19)</f>
        <v>0</v>
      </c>
    </row>
    <row r="21" spans="1:9">
      <c r="A21" s="3780" t="s">
        <v>1108</v>
      </c>
      <c r="B21" s="3784"/>
      <c r="C21" s="3784"/>
      <c r="D21" s="3784"/>
      <c r="E21" s="3784"/>
      <c r="F21" s="3784"/>
      <c r="G21" s="3784"/>
      <c r="H21" s="1761">
        <v>0.1</v>
      </c>
      <c r="I21" s="1306">
        <f>ROUND(I10*H21,0)</f>
        <v>0</v>
      </c>
    </row>
    <row r="22" spans="1:9" ht="14.25">
      <c r="A22" s="3785" t="s">
        <v>1109</v>
      </c>
      <c r="B22" s="3786"/>
      <c r="C22" s="3787"/>
      <c r="D22" s="1313" t="s">
        <v>1110</v>
      </c>
      <c r="E22" s="1313" t="s">
        <v>1111</v>
      </c>
      <c r="F22" s="1314" t="s">
        <v>1112</v>
      </c>
      <c r="G22" s="1314" t="s">
        <v>1113</v>
      </c>
      <c r="H22" s="1307" t="s">
        <v>1114</v>
      </c>
      <c r="I22" s="1298" t="s">
        <v>1115</v>
      </c>
    </row>
    <row r="23" spans="1:9" ht="14.25" thickBot="1">
      <c r="A23" s="3788"/>
      <c r="B23" s="3789"/>
      <c r="C23" s="3790"/>
      <c r="D23" s="1315"/>
      <c r="E23" s="1315"/>
      <c r="F23" s="1315"/>
      <c r="G23" s="1316"/>
      <c r="H23" s="1317"/>
      <c r="I23" s="1318">
        <f>ROUND(E23*D23*F23*(1-G23)/10000,0)</f>
        <v>0</v>
      </c>
    </row>
    <row r="26" spans="1:9">
      <c r="A26" s="1319" t="s">
        <v>1116</v>
      </c>
      <c r="B26" s="1319"/>
      <c r="C26" s="1319"/>
      <c r="D26" s="1319"/>
      <c r="E26" s="3791">
        <f>C27-C30-C31-C32</f>
        <v>0</v>
      </c>
      <c r="F26" s="3791"/>
      <c r="G26" s="3791"/>
      <c r="H26" s="1733" t="s">
        <v>1339</v>
      </c>
    </row>
    <row r="27" spans="1:9">
      <c r="A27" s="1320">
        <v>1</v>
      </c>
      <c r="B27" s="1321" t="s">
        <v>1117</v>
      </c>
      <c r="C27" s="1321">
        <f>C28+C29</f>
        <v>0</v>
      </c>
      <c r="D27" s="1321"/>
      <c r="E27" s="3792"/>
      <c r="F27" s="3792"/>
      <c r="G27" s="3792"/>
    </row>
    <row r="28" spans="1:9">
      <c r="A28" s="1322" t="s">
        <v>1118</v>
      </c>
      <c r="B28" s="1321" t="s">
        <v>1119</v>
      </c>
      <c r="C28" s="1321"/>
      <c r="D28" s="1321"/>
      <c r="E28" s="3792"/>
      <c r="F28" s="3792"/>
      <c r="G28" s="3792"/>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783"/>
      <c r="F32" s="3783"/>
      <c r="G32" s="3783"/>
    </row>
    <row r="33" spans="1:7" hidden="1">
      <c r="A33" s="3793" t="s">
        <v>1128</v>
      </c>
      <c r="B33" s="3794"/>
      <c r="C33" s="3794"/>
      <c r="D33" s="3795"/>
      <c r="E33" s="3791"/>
      <c r="F33" s="3791"/>
      <c r="G33" s="3791"/>
    </row>
    <row r="34" spans="1:7" hidden="1">
      <c r="A34" s="1324">
        <v>1</v>
      </c>
      <c r="B34" s="1321" t="s">
        <v>1129</v>
      </c>
      <c r="C34" s="1321"/>
      <c r="D34" s="1321"/>
      <c r="E34" s="3792"/>
      <c r="F34" s="3792"/>
      <c r="G34" s="3792"/>
    </row>
    <row r="35" spans="1:7" hidden="1">
      <c r="A35" s="1324">
        <v>2</v>
      </c>
      <c r="B35" s="1321" t="s">
        <v>1130</v>
      </c>
      <c r="C35" s="1321"/>
      <c r="D35" s="1321"/>
      <c r="E35" s="3792"/>
      <c r="F35" s="3792"/>
      <c r="G35" s="3792"/>
    </row>
    <row r="36" spans="1:7" hidden="1">
      <c r="A36" s="1324">
        <v>3</v>
      </c>
      <c r="B36" s="1321" t="s">
        <v>1131</v>
      </c>
      <c r="C36" s="1321"/>
      <c r="D36" s="1321"/>
      <c r="E36" s="3792"/>
      <c r="F36" s="3792"/>
      <c r="G36" s="3792"/>
    </row>
    <row r="37" spans="1:7" hidden="1">
      <c r="A37" s="1324">
        <v>4</v>
      </c>
      <c r="B37" s="1321" t="s">
        <v>1132</v>
      </c>
      <c r="C37" s="1321"/>
      <c r="D37" s="1321"/>
      <c r="E37" s="3792"/>
      <c r="F37" s="3792"/>
      <c r="G37" s="3792"/>
    </row>
    <row r="38" spans="1:7" hidden="1">
      <c r="A38" s="3793" t="s">
        <v>1133</v>
      </c>
      <c r="B38" s="3794"/>
      <c r="C38" s="3794"/>
      <c r="D38" s="3795"/>
      <c r="E38" s="3791"/>
      <c r="F38" s="3791"/>
      <c r="G38" s="37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2689</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IF(C2="——",ROUND(C50*D3/10000,0),ROUND(C50*D3/10000,0)-D2)</f>
        <v>#DIV/0!</v>
      </c>
      <c r="C2" s="2585"/>
      <c r="D2" s="1361"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IF(C2="——",C50,ROUND(B2*10000/D3,0))</f>
        <v>#DIV/0!</v>
      </c>
      <c r="C3" s="399" t="s">
        <v>2647</v>
      </c>
      <c r="D3" s="398">
        <f>IF(D1="",'数据-汇总表'!E3,SUMIF('数据-汇总表'!$C19:$C33,D1,'数据-汇总表'!$E19:$E33))</f>
        <v>5963.72</v>
      </c>
      <c r="E3" s="2662"/>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2648</v>
      </c>
      <c r="B4" s="401"/>
      <c r="C4" s="3665" t="s">
        <v>2649</v>
      </c>
      <c r="D4" s="3666"/>
      <c r="E4" s="3667" t="s">
        <v>2650</v>
      </c>
      <c r="F4" s="3668"/>
      <c r="G4" s="3665" t="s">
        <v>2651</v>
      </c>
      <c r="H4" s="3666"/>
      <c r="I4" s="3665" t="s">
        <v>2652</v>
      </c>
      <c r="J4" s="3666"/>
      <c r="K4" s="609" t="s">
        <v>2653</v>
      </c>
      <c r="L4" s="1126"/>
      <c r="M4" s="1127"/>
      <c r="N4" s="1127"/>
      <c r="O4" s="1127"/>
      <c r="P4" s="3803" t="s">
        <v>2654</v>
      </c>
      <c r="Q4" s="3804"/>
      <c r="R4" s="3797" t="s">
        <v>2650</v>
      </c>
      <c r="S4" s="3798"/>
      <c r="T4" s="3797" t="s">
        <v>2651</v>
      </c>
      <c r="U4" s="3798"/>
      <c r="V4" s="3807" t="s">
        <v>2652</v>
      </c>
      <c r="W4" s="3807"/>
      <c r="X4" s="2669"/>
      <c r="Y4" s="3797" t="s">
        <v>2654</v>
      </c>
      <c r="Z4" s="3798"/>
      <c r="AA4" s="3796" t="s">
        <v>2650</v>
      </c>
      <c r="AB4" s="3796" t="s">
        <v>2651</v>
      </c>
      <c r="AC4" s="3800" t="s">
        <v>2652</v>
      </c>
    </row>
    <row r="5" spans="1:29" ht="15">
      <c r="A5" s="403"/>
      <c r="B5" s="404"/>
      <c r="C5" s="3656" t="s">
        <v>2545</v>
      </c>
      <c r="D5" s="3657"/>
      <c r="E5" s="3799" t="s">
        <v>2546</v>
      </c>
      <c r="F5" s="3761"/>
      <c r="G5" s="3656" t="s">
        <v>2547</v>
      </c>
      <c r="H5" s="3657"/>
      <c r="I5" s="3656" t="s">
        <v>2548</v>
      </c>
      <c r="J5" s="3657"/>
      <c r="K5" s="609"/>
      <c r="L5" s="1126"/>
      <c r="M5" s="1127"/>
      <c r="N5" s="1127"/>
      <c r="O5" s="1127"/>
      <c r="P5" s="3805"/>
      <c r="Q5" s="3672"/>
      <c r="R5" s="3652"/>
      <c r="S5" s="3653"/>
      <c r="T5" s="3652"/>
      <c r="U5" s="3653"/>
      <c r="V5" s="3677"/>
      <c r="W5" s="3677"/>
      <c r="X5" s="1809"/>
      <c r="Y5" s="3652"/>
      <c r="Z5" s="3653"/>
      <c r="AA5" s="3646"/>
      <c r="AB5" s="3646"/>
      <c r="AC5" s="3801"/>
    </row>
    <row r="6" spans="1:29" ht="15.75" thickBot="1">
      <c r="A6" s="405"/>
      <c r="B6" s="406"/>
      <c r="C6" s="3658" t="s">
        <v>2549</v>
      </c>
      <c r="D6" s="3659"/>
      <c r="E6" s="3662" t="s">
        <v>2549</v>
      </c>
      <c r="F6" s="3663"/>
      <c r="G6" s="3658" t="s">
        <v>2549</v>
      </c>
      <c r="H6" s="3659"/>
      <c r="I6" s="3658" t="s">
        <v>2549</v>
      </c>
      <c r="J6" s="3659"/>
      <c r="K6" s="609" t="s">
        <v>2550</v>
      </c>
      <c r="L6" s="1126"/>
      <c r="M6" s="1127"/>
      <c r="N6" s="1127"/>
      <c r="O6" s="1127"/>
      <c r="P6" s="3806"/>
      <c r="Q6" s="3674"/>
      <c r="R6" s="3652"/>
      <c r="S6" s="3653"/>
      <c r="T6" s="3675"/>
      <c r="U6" s="3676"/>
      <c r="V6" s="3677"/>
      <c r="W6" s="3677"/>
      <c r="X6" s="1809"/>
      <c r="Y6" s="3675"/>
      <c r="Z6" s="3676"/>
      <c r="AA6" s="3647"/>
      <c r="AB6" s="3647"/>
      <c r="AC6" s="3802"/>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808" t="s">
        <v>2552</v>
      </c>
      <c r="Q7" s="3678"/>
      <c r="R7" s="766" t="s">
        <v>17</v>
      </c>
      <c r="S7" s="767">
        <f t="shared" ref="S7:S15" si="0">F7</f>
        <v>0</v>
      </c>
      <c r="T7" s="766" t="s">
        <v>17</v>
      </c>
      <c r="U7" s="767">
        <f t="shared" ref="U7:U15" si="1">H7</f>
        <v>0</v>
      </c>
      <c r="V7" s="766" t="s">
        <v>17</v>
      </c>
      <c r="W7" s="767">
        <f t="shared" ref="W7:W15" si="2">J7</f>
        <v>0</v>
      </c>
      <c r="X7" s="768"/>
      <c r="Y7" s="3648" t="s">
        <v>2552</v>
      </c>
      <c r="Z7" s="3649"/>
      <c r="AA7" s="769" t="e">
        <f>D7/F7</f>
        <v>#DIV/0!</v>
      </c>
      <c r="AB7" s="769" t="e">
        <f>D7/H7</f>
        <v>#DIV/0!</v>
      </c>
      <c r="AC7" s="2670"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808" t="s">
        <v>2555</v>
      </c>
      <c r="Q8" s="3649"/>
      <c r="R8" s="766" t="s">
        <v>17</v>
      </c>
      <c r="S8" s="767">
        <f t="shared" si="0"/>
        <v>0</v>
      </c>
      <c r="T8" s="766" t="s">
        <v>17</v>
      </c>
      <c r="U8" s="767">
        <f t="shared" si="1"/>
        <v>0</v>
      </c>
      <c r="V8" s="766" t="s">
        <v>17</v>
      </c>
      <c r="W8" s="767">
        <f t="shared" si="2"/>
        <v>0</v>
      </c>
      <c r="X8" s="768"/>
      <c r="Y8" s="3648" t="s">
        <v>2555</v>
      </c>
      <c r="Z8" s="3649"/>
      <c r="AA8" s="769" t="e">
        <f t="shared" ref="AA8:AA47" si="3">D8/F8</f>
        <v>#DIV/0!</v>
      </c>
      <c r="AB8" s="769" t="e">
        <f t="shared" ref="AB8:AB47" si="4">D8/H8</f>
        <v>#DIV/0!</v>
      </c>
      <c r="AC8" s="2670"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664" t="s">
        <v>2558</v>
      </c>
      <c r="Q9" s="1791" t="str">
        <f t="shared" ref="Q9:Q15" si="6">B9</f>
        <v>用途</v>
      </c>
      <c r="R9" s="766" t="s">
        <v>17</v>
      </c>
      <c r="S9" s="767">
        <f t="shared" si="0"/>
        <v>100</v>
      </c>
      <c r="T9" s="766" t="s">
        <v>17</v>
      </c>
      <c r="U9" s="767">
        <f t="shared" si="1"/>
        <v>100</v>
      </c>
      <c r="V9" s="766" t="s">
        <v>17</v>
      </c>
      <c r="W9" s="767">
        <f t="shared" si="2"/>
        <v>100</v>
      </c>
      <c r="X9" s="768"/>
      <c r="Y9" s="3525" t="s">
        <v>2559</v>
      </c>
      <c r="Z9" s="55" t="str">
        <f t="shared" ref="Z9:Z15" si="7">Q9</f>
        <v>用途</v>
      </c>
      <c r="AA9" s="769">
        <f t="shared" si="3"/>
        <v>1</v>
      </c>
      <c r="AB9" s="769">
        <f t="shared" si="4"/>
        <v>1</v>
      </c>
      <c r="AC9" s="2670">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664"/>
      <c r="Q10" s="1791" t="str">
        <f t="shared" si="6"/>
        <v>土地使用年限（年）</v>
      </c>
      <c r="R10" s="766" t="s">
        <v>17</v>
      </c>
      <c r="S10" s="767">
        <f t="shared" si="0"/>
        <v>100</v>
      </c>
      <c r="T10" s="766" t="s">
        <v>17</v>
      </c>
      <c r="U10" s="767">
        <f t="shared" si="1"/>
        <v>100</v>
      </c>
      <c r="V10" s="766" t="s">
        <v>17</v>
      </c>
      <c r="W10" s="767">
        <f t="shared" si="2"/>
        <v>100</v>
      </c>
      <c r="X10" s="768"/>
      <c r="Y10" s="3525"/>
      <c r="Z10" s="55" t="str">
        <f t="shared" si="7"/>
        <v>土地使用年限（年）</v>
      </c>
      <c r="AA10" s="769">
        <f t="shared" si="3"/>
        <v>1</v>
      </c>
      <c r="AB10" s="769">
        <f t="shared" si="4"/>
        <v>1</v>
      </c>
      <c r="AC10" s="2670">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664"/>
      <c r="Q11" s="1791" t="str">
        <f t="shared" si="6"/>
        <v>容积率</v>
      </c>
      <c r="R11" s="766" t="s">
        <v>17</v>
      </c>
      <c r="S11" s="767" t="e">
        <f t="shared" si="0"/>
        <v>#N/A</v>
      </c>
      <c r="T11" s="766" t="s">
        <v>17</v>
      </c>
      <c r="U11" s="767" t="e">
        <f t="shared" si="1"/>
        <v>#N/A</v>
      </c>
      <c r="V11" s="766" t="s">
        <v>17</v>
      </c>
      <c r="W11" s="767" t="e">
        <f t="shared" si="2"/>
        <v>#N/A</v>
      </c>
      <c r="X11" s="768"/>
      <c r="Y11" s="3525"/>
      <c r="Z11" s="55" t="str">
        <f t="shared" si="7"/>
        <v>容积率</v>
      </c>
      <c r="AA11" s="769" t="e">
        <f t="shared" si="3"/>
        <v>#N/A</v>
      </c>
      <c r="AB11" s="769"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8"/>
      <c r="M12" s="1129"/>
      <c r="N12" s="1129"/>
      <c r="O12" s="1129"/>
      <c r="P12" s="3664"/>
      <c r="Q12" s="1791">
        <f t="shared" si="6"/>
        <v>111</v>
      </c>
      <c r="R12" s="766" t="s">
        <v>17</v>
      </c>
      <c r="S12" s="767">
        <f t="shared" si="0"/>
        <v>100</v>
      </c>
      <c r="T12" s="766" t="s">
        <v>17</v>
      </c>
      <c r="U12" s="767">
        <f t="shared" si="1"/>
        <v>100</v>
      </c>
      <c r="V12" s="766" t="s">
        <v>17</v>
      </c>
      <c r="W12" s="767">
        <f t="shared" si="2"/>
        <v>100</v>
      </c>
      <c r="X12" s="768"/>
      <c r="Y12" s="3525"/>
      <c r="Z12" s="55">
        <f t="shared" si="7"/>
        <v>111</v>
      </c>
      <c r="AA12" s="769">
        <f>D12/F12</f>
        <v>1</v>
      </c>
      <c r="AB12" s="769">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6"/>
      <c r="M13" s="1127"/>
      <c r="N13" s="1127"/>
      <c r="O13" s="1127"/>
      <c r="P13" s="3664"/>
      <c r="Q13" s="1791">
        <f t="shared" si="6"/>
        <v>111</v>
      </c>
      <c r="R13" s="766" t="s">
        <v>17</v>
      </c>
      <c r="S13" s="767">
        <f t="shared" si="0"/>
        <v>100</v>
      </c>
      <c r="T13" s="766" t="s">
        <v>17</v>
      </c>
      <c r="U13" s="767">
        <f t="shared" si="1"/>
        <v>100</v>
      </c>
      <c r="V13" s="766" t="s">
        <v>17</v>
      </c>
      <c r="W13" s="767">
        <f t="shared" si="2"/>
        <v>100</v>
      </c>
      <c r="X13" s="768"/>
      <c r="Y13" s="3525"/>
      <c r="Z13" s="55">
        <f t="shared" si="7"/>
        <v>111</v>
      </c>
      <c r="AA13" s="769">
        <f t="shared" si="3"/>
        <v>1</v>
      </c>
      <c r="AB13" s="769">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6"/>
      <c r="M14" s="1127"/>
      <c r="N14" s="1127"/>
      <c r="O14" s="1127"/>
      <c r="P14" s="3664"/>
      <c r="Q14" s="1791">
        <f t="shared" si="6"/>
        <v>111</v>
      </c>
      <c r="R14" s="766" t="s">
        <v>17</v>
      </c>
      <c r="S14" s="767">
        <f t="shared" si="0"/>
        <v>100</v>
      </c>
      <c r="T14" s="766" t="s">
        <v>17</v>
      </c>
      <c r="U14" s="767">
        <f t="shared" si="1"/>
        <v>100</v>
      </c>
      <c r="V14" s="766" t="s">
        <v>17</v>
      </c>
      <c r="W14" s="767">
        <f t="shared" si="2"/>
        <v>100</v>
      </c>
      <c r="X14" s="768"/>
      <c r="Y14" s="3525"/>
      <c r="Z14" s="55">
        <f t="shared" si="7"/>
        <v>111</v>
      </c>
      <c r="AA14" s="769">
        <f t="shared" si="3"/>
        <v>1</v>
      </c>
      <c r="AB14" s="769">
        <f t="shared" si="4"/>
        <v>1</v>
      </c>
      <c r="AC14" s="2670">
        <f t="shared" si="5"/>
        <v>1</v>
      </c>
    </row>
    <row r="15" spans="1:29" ht="71.25">
      <c r="A15" s="439" t="s">
        <v>2562</v>
      </c>
      <c r="B15" s="628" t="s">
        <v>2690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691" t="s">
        <v>2563</v>
      </c>
      <c r="Q15" s="1806" t="str">
        <f t="shared" si="6"/>
        <v>办公集聚程度</v>
      </c>
      <c r="R15" s="770" t="s">
        <v>17</v>
      </c>
      <c r="S15" s="771">
        <f t="shared" si="0"/>
        <v>100</v>
      </c>
      <c r="T15" s="770" t="s">
        <v>17</v>
      </c>
      <c r="U15" s="771">
        <f t="shared" si="1"/>
        <v>100</v>
      </c>
      <c r="V15" s="770" t="s">
        <v>17</v>
      </c>
      <c r="W15" s="771">
        <f t="shared" si="2"/>
        <v>100</v>
      </c>
      <c r="X15" s="1809"/>
      <c r="Y15" s="3684" t="s">
        <v>2563</v>
      </c>
      <c r="Z15" s="1810" t="str">
        <f t="shared" si="7"/>
        <v>办公集聚程度</v>
      </c>
      <c r="AA15" s="1807">
        <f t="shared" si="3"/>
        <v>1</v>
      </c>
      <c r="AB15" s="1807">
        <f t="shared" si="4"/>
        <v>1</v>
      </c>
      <c r="AC15" s="2673">
        <f t="shared" si="5"/>
        <v>1</v>
      </c>
    </row>
    <row r="16" spans="1:29" ht="15">
      <c r="A16" s="427"/>
      <c r="B16" s="629"/>
      <c r="C16" s="2610"/>
      <c r="D16" s="447"/>
      <c r="E16" s="446"/>
      <c r="F16" s="447"/>
      <c r="G16" s="2610"/>
      <c r="H16" s="449"/>
      <c r="I16" s="446"/>
      <c r="J16" s="447"/>
      <c r="K16" s="614"/>
      <c r="L16" s="1136"/>
      <c r="M16" s="1127"/>
      <c r="N16" s="1127"/>
      <c r="O16" s="1127"/>
      <c r="P16" s="3692"/>
      <c r="Q16" s="1806"/>
      <c r="R16" s="770"/>
      <c r="S16" s="771"/>
      <c r="T16" s="770"/>
      <c r="U16" s="771"/>
      <c r="V16" s="770"/>
      <c r="W16" s="771"/>
      <c r="X16" s="1809"/>
      <c r="Y16" s="3685"/>
      <c r="Z16" s="1810"/>
      <c r="AA16" s="1807">
        <v>1</v>
      </c>
      <c r="AB16" s="1807">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692"/>
      <c r="Q17" s="1806" t="str">
        <f>B17</f>
        <v>交通便捷度</v>
      </c>
      <c r="R17" s="770" t="s">
        <v>17</v>
      </c>
      <c r="S17" s="771">
        <f>F17</f>
        <v>100</v>
      </c>
      <c r="T17" s="770" t="s">
        <v>17</v>
      </c>
      <c r="U17" s="771">
        <f>H17</f>
        <v>100</v>
      </c>
      <c r="V17" s="770" t="s">
        <v>17</v>
      </c>
      <c r="W17" s="771">
        <f>J17</f>
        <v>100</v>
      </c>
      <c r="X17" s="1809"/>
      <c r="Y17" s="3685"/>
      <c r="Z17" s="1810" t="str">
        <f>Q17</f>
        <v>交通便捷度</v>
      </c>
      <c r="AA17" s="1807">
        <f t="shared" si="3"/>
        <v>1</v>
      </c>
      <c r="AB17" s="1807">
        <f t="shared" si="4"/>
        <v>1</v>
      </c>
      <c r="AC17" s="2673">
        <f t="shared" si="5"/>
        <v>1</v>
      </c>
    </row>
    <row r="18" spans="1:29" ht="15">
      <c r="A18" s="427"/>
      <c r="B18" s="631"/>
      <c r="C18" s="2675"/>
      <c r="D18" s="449"/>
      <c r="E18" s="2608"/>
      <c r="F18" s="449"/>
      <c r="G18" s="2609"/>
      <c r="H18" s="447"/>
      <c r="I18" s="2609"/>
      <c r="J18" s="447"/>
      <c r="K18" s="614"/>
      <c r="L18" s="1136"/>
      <c r="M18" s="1127"/>
      <c r="N18" s="1127"/>
      <c r="O18" s="1127"/>
      <c r="P18" s="3692"/>
      <c r="Q18" s="1806"/>
      <c r="R18" s="770"/>
      <c r="S18" s="771"/>
      <c r="T18" s="770"/>
      <c r="U18" s="771"/>
      <c r="V18" s="770"/>
      <c r="W18" s="771"/>
      <c r="X18" s="1809"/>
      <c r="Y18" s="3685"/>
      <c r="Z18" s="1810"/>
      <c r="AA18" s="1807">
        <v>1</v>
      </c>
      <c r="AB18" s="1807">
        <v>1</v>
      </c>
      <c r="AC18" s="2673">
        <v>1</v>
      </c>
    </row>
    <row r="19" spans="1:29" ht="42.75">
      <c r="A19" s="427"/>
      <c r="B19" s="630" t="s">
        <v>2691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692"/>
      <c r="Q19" s="1806" t="str">
        <f>B19</f>
        <v>公共配套设施</v>
      </c>
      <c r="R19" s="770" t="s">
        <v>17</v>
      </c>
      <c r="S19" s="771">
        <f>F19</f>
        <v>100</v>
      </c>
      <c r="T19" s="770" t="s">
        <v>17</v>
      </c>
      <c r="U19" s="771">
        <f>H19</f>
        <v>100</v>
      </c>
      <c r="V19" s="770" t="s">
        <v>17</v>
      </c>
      <c r="W19" s="771">
        <f>J19</f>
        <v>100</v>
      </c>
      <c r="X19" s="1809"/>
      <c r="Y19" s="3685"/>
      <c r="Z19" s="1810" t="str">
        <f>Q19</f>
        <v>公共配套设施</v>
      </c>
      <c r="AA19" s="1807">
        <f t="shared" si="3"/>
        <v>1</v>
      </c>
      <c r="AB19" s="1807">
        <f t="shared" si="4"/>
        <v>1</v>
      </c>
      <c r="AC19" s="2673">
        <f t="shared" si="5"/>
        <v>1</v>
      </c>
    </row>
    <row r="20" spans="1:29" ht="15">
      <c r="A20" s="427"/>
      <c r="B20" s="631"/>
      <c r="C20" s="2610"/>
      <c r="D20" s="447"/>
      <c r="E20" s="2603"/>
      <c r="F20" s="447"/>
      <c r="G20" s="2604"/>
      <c r="H20" s="447"/>
      <c r="I20" s="2604"/>
      <c r="J20" s="447"/>
      <c r="K20" s="614"/>
      <c r="L20" s="1136"/>
      <c r="M20" s="1127"/>
      <c r="N20" s="1127"/>
      <c r="O20" s="1127"/>
      <c r="P20" s="3692"/>
      <c r="Q20" s="1806"/>
      <c r="R20" s="770"/>
      <c r="S20" s="771"/>
      <c r="T20" s="770"/>
      <c r="U20" s="771"/>
      <c r="V20" s="770"/>
      <c r="W20" s="771"/>
      <c r="X20" s="1809"/>
      <c r="Y20" s="3685"/>
      <c r="Z20" s="1810"/>
      <c r="AA20" s="1807">
        <v>1</v>
      </c>
      <c r="AB20" s="1807">
        <v>1</v>
      </c>
      <c r="AC20" s="2673">
        <v>1</v>
      </c>
    </row>
    <row r="21" spans="1:29" ht="28.5">
      <c r="A21" s="427"/>
      <c r="B21" s="632" t="s">
        <v>2692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692"/>
      <c r="Q21" s="1806" t="str">
        <f>B21</f>
        <v>基础设施水平</v>
      </c>
      <c r="R21" s="770" t="s">
        <v>17</v>
      </c>
      <c r="S21" s="771">
        <f>F21</f>
        <v>100</v>
      </c>
      <c r="T21" s="770" t="s">
        <v>17</v>
      </c>
      <c r="U21" s="771">
        <f>H21</f>
        <v>100</v>
      </c>
      <c r="V21" s="770" t="s">
        <v>17</v>
      </c>
      <c r="W21" s="771">
        <f>J21</f>
        <v>100</v>
      </c>
      <c r="X21" s="1809"/>
      <c r="Y21" s="3685"/>
      <c r="Z21" s="1810" t="str">
        <f>Q21</f>
        <v>基础设施水平</v>
      </c>
      <c r="AA21" s="1807">
        <f t="shared" ref="AA21" si="8">D21/F21</f>
        <v>1</v>
      </c>
      <c r="AB21" s="1807">
        <f t="shared" ref="AB21" si="9">D21/H21</f>
        <v>1</v>
      </c>
      <c r="AC21" s="2673">
        <f t="shared" ref="AC21" si="10">D21/J21</f>
        <v>1</v>
      </c>
    </row>
    <row r="22" spans="1:29" ht="15">
      <c r="A22" s="427"/>
      <c r="B22" s="632"/>
      <c r="C22" s="2675"/>
      <c r="D22" s="447"/>
      <c r="E22" s="446"/>
      <c r="F22" s="447"/>
      <c r="G22" s="2610"/>
      <c r="H22" s="447"/>
      <c r="I22" s="2610"/>
      <c r="J22" s="447"/>
      <c r="K22" s="1379"/>
      <c r="L22" s="1136"/>
      <c r="M22" s="1127"/>
      <c r="N22" s="1127"/>
      <c r="O22" s="1127"/>
      <c r="P22" s="3692"/>
      <c r="Q22" s="1806"/>
      <c r="R22" s="770"/>
      <c r="S22" s="771"/>
      <c r="T22" s="770"/>
      <c r="U22" s="771"/>
      <c r="V22" s="770"/>
      <c r="W22" s="771"/>
      <c r="X22" s="1809"/>
      <c r="Y22" s="3685"/>
      <c r="Z22" s="1810"/>
      <c r="AA22" s="1807">
        <v>1</v>
      </c>
      <c r="AB22" s="1807">
        <v>1</v>
      </c>
      <c r="AC22" s="2673">
        <v>1</v>
      </c>
    </row>
    <row r="23" spans="1:29" ht="42.75">
      <c r="A23" s="427"/>
      <c r="B23" s="630" t="s">
        <v>2693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692"/>
      <c r="Q23" s="1806" t="str">
        <f>B23</f>
        <v>环境质量</v>
      </c>
      <c r="R23" s="770" t="s">
        <v>17</v>
      </c>
      <c r="S23" s="771">
        <f>F23</f>
        <v>100</v>
      </c>
      <c r="T23" s="770" t="s">
        <v>17</v>
      </c>
      <c r="U23" s="771">
        <f>H23</f>
        <v>100</v>
      </c>
      <c r="V23" s="770" t="s">
        <v>17</v>
      </c>
      <c r="W23" s="771">
        <f>J23</f>
        <v>100</v>
      </c>
      <c r="X23" s="1809"/>
      <c r="Y23" s="3685"/>
      <c r="Z23" s="1810" t="str">
        <f>Q23</f>
        <v>环境质量</v>
      </c>
      <c r="AA23" s="1807">
        <f t="shared" si="3"/>
        <v>1</v>
      </c>
      <c r="AB23" s="1807">
        <f t="shared" si="4"/>
        <v>1</v>
      </c>
      <c r="AC23" s="2673">
        <f t="shared" si="5"/>
        <v>1</v>
      </c>
    </row>
    <row r="24" spans="1:29" ht="15">
      <c r="A24" s="427"/>
      <c r="B24" s="632"/>
      <c r="C24" s="2610"/>
      <c r="D24" s="447"/>
      <c r="E24" s="2603"/>
      <c r="F24" s="447"/>
      <c r="G24" s="2604"/>
      <c r="H24" s="447"/>
      <c r="I24" s="2604"/>
      <c r="J24" s="447"/>
      <c r="K24" s="614"/>
      <c r="L24" s="1136"/>
      <c r="M24" s="1127"/>
      <c r="N24" s="1127"/>
      <c r="O24" s="1127"/>
      <c r="P24" s="3692"/>
      <c r="Q24" s="1806"/>
      <c r="R24" s="770"/>
      <c r="S24" s="771"/>
      <c r="T24" s="770"/>
      <c r="U24" s="771"/>
      <c r="V24" s="770"/>
      <c r="W24" s="771"/>
      <c r="X24" s="1809"/>
      <c r="Y24" s="3685"/>
      <c r="Z24" s="1810"/>
      <c r="AA24" s="1807">
        <v>1</v>
      </c>
      <c r="AB24" s="1807">
        <v>1</v>
      </c>
      <c r="AC24" s="2673">
        <v>1</v>
      </c>
    </row>
    <row r="25" spans="1:29" ht="27">
      <c r="A25" s="403"/>
      <c r="B25" s="630" t="s">
        <v>2694</v>
      </c>
      <c r="C25" s="2614"/>
      <c r="D25" s="434">
        <v>100</v>
      </c>
      <c r="E25" s="433"/>
      <c r="F25" s="434">
        <f>SUMIF(87:87,E26,88:88)-SUMIF(87:87,C26,88:88)+100</f>
        <v>100</v>
      </c>
      <c r="G25" s="2614"/>
      <c r="H25" s="434">
        <f>SUMIF(87:87,G26,88:88)-SUMIF(87:87,C26,88:88)+100</f>
        <v>100</v>
      </c>
      <c r="I25" s="433"/>
      <c r="J25" s="434">
        <f>SUMIF(87:87,I26,88:88)-SUMIF(87:87,C26,88:88)+100</f>
        <v>100</v>
      </c>
      <c r="K25" s="613"/>
      <c r="L25" s="1136"/>
      <c r="M25" s="1127"/>
      <c r="N25" s="1127"/>
      <c r="O25" s="1127"/>
      <c r="P25" s="3692"/>
      <c r="Q25" s="1806" t="str">
        <f>B25</f>
        <v>毗邻道路的类型与等级</v>
      </c>
      <c r="R25" s="770" t="s">
        <v>17</v>
      </c>
      <c r="S25" s="771">
        <f>F25</f>
        <v>100</v>
      </c>
      <c r="T25" s="770" t="s">
        <v>17</v>
      </c>
      <c r="U25" s="771">
        <f>H25</f>
        <v>100</v>
      </c>
      <c r="V25" s="770" t="s">
        <v>17</v>
      </c>
      <c r="W25" s="771">
        <f>J25</f>
        <v>100</v>
      </c>
      <c r="X25" s="1809"/>
      <c r="Y25" s="3685"/>
      <c r="Z25" s="1810" t="str">
        <f>Q25</f>
        <v>毗邻道路的类型与等级</v>
      </c>
      <c r="AA25" s="1807">
        <f t="shared" si="3"/>
        <v>1</v>
      </c>
      <c r="AB25" s="1807">
        <f t="shared" si="4"/>
        <v>1</v>
      </c>
      <c r="AC25" s="2673">
        <f t="shared" si="5"/>
        <v>1</v>
      </c>
    </row>
    <row r="26" spans="1:29" ht="15">
      <c r="A26" s="403"/>
      <c r="B26" s="631"/>
      <c r="C26" s="633"/>
      <c r="D26" s="434"/>
      <c r="E26" s="615"/>
      <c r="F26" s="434"/>
      <c r="G26" s="633"/>
      <c r="H26" s="434"/>
      <c r="I26" s="615"/>
      <c r="J26" s="434"/>
      <c r="K26" s="614"/>
      <c r="L26" s="1136"/>
      <c r="M26" s="1127"/>
      <c r="N26" s="1127"/>
      <c r="O26" s="1127"/>
      <c r="P26" s="3692"/>
      <c r="Q26" s="1806"/>
      <c r="R26" s="770"/>
      <c r="S26" s="771"/>
      <c r="T26" s="770"/>
      <c r="U26" s="771"/>
      <c r="V26" s="770"/>
      <c r="W26" s="771"/>
      <c r="X26" s="1809"/>
      <c r="Y26" s="3685"/>
      <c r="Z26" s="1810"/>
      <c r="AA26" s="1807">
        <v>1</v>
      </c>
      <c r="AB26" s="1807">
        <v>1</v>
      </c>
      <c r="AC26" s="2673">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692"/>
      <c r="Q27" s="1806" t="str">
        <f t="shared" ref="Q27:Q47" si="11">B27</f>
        <v>楼层</v>
      </c>
      <c r="R27" s="770" t="s">
        <v>17</v>
      </c>
      <c r="S27" s="771">
        <f>F27</f>
        <v>100</v>
      </c>
      <c r="T27" s="770" t="s">
        <v>17</v>
      </c>
      <c r="U27" s="771">
        <f>H27</f>
        <v>100</v>
      </c>
      <c r="V27" s="770" t="s">
        <v>17</v>
      </c>
      <c r="W27" s="771">
        <f>J27</f>
        <v>100</v>
      </c>
      <c r="X27" s="1809"/>
      <c r="Y27" s="3685"/>
      <c r="Z27" s="1810" t="str">
        <f>Q27</f>
        <v>楼层</v>
      </c>
      <c r="AA27" s="1807">
        <f t="shared" si="3"/>
        <v>1</v>
      </c>
      <c r="AB27" s="1807">
        <f t="shared" si="4"/>
        <v>1</v>
      </c>
      <c r="AC27" s="2673">
        <f t="shared" si="5"/>
        <v>1</v>
      </c>
    </row>
    <row r="28" spans="1:29" s="116" customFormat="1" ht="15">
      <c r="A28" s="430"/>
      <c r="B28" s="630" t="s">
        <v>2695</v>
      </c>
      <c r="C28" s="2676"/>
      <c r="D28" s="461">
        <v>100</v>
      </c>
      <c r="E28" s="2664"/>
      <c r="F28" s="461">
        <f>SUMIF(91:91,E28,92:92)-SUMIF(91:91,C28,92:92)+100</f>
        <v>100</v>
      </c>
      <c r="G28" s="2676"/>
      <c r="H28" s="461">
        <f>SUMIF(91:91,G28,92:92)-SUMIF(91:91,C28,92:92)+100</f>
        <v>100</v>
      </c>
      <c r="I28" s="2664"/>
      <c r="J28" s="461">
        <f>SUMIF(91:91,I28,92:92)-SUMIF(91:91,C28,92:92)+100</f>
        <v>100</v>
      </c>
      <c r="K28" s="611"/>
      <c r="L28" s="1128"/>
      <c r="M28" s="1129"/>
      <c r="N28" s="1129"/>
      <c r="O28" s="1129"/>
      <c r="P28" s="3692"/>
      <c r="Q28" s="1791" t="str">
        <f t="shared" si="11"/>
        <v>朝向</v>
      </c>
      <c r="R28" s="766" t="s">
        <v>17</v>
      </c>
      <c r="S28" s="767">
        <f>F28</f>
        <v>100</v>
      </c>
      <c r="T28" s="766" t="s">
        <v>17</v>
      </c>
      <c r="U28" s="767">
        <f>H28</f>
        <v>100</v>
      </c>
      <c r="V28" s="766" t="s">
        <v>17</v>
      </c>
      <c r="W28" s="767">
        <f>J28</f>
        <v>100</v>
      </c>
      <c r="X28" s="768"/>
      <c r="Y28" s="3685"/>
      <c r="Z28" s="55" t="str">
        <f>Q28</f>
        <v>朝向</v>
      </c>
      <c r="AA28" s="1807">
        <f>D28/F28</f>
        <v>1</v>
      </c>
      <c r="AB28" s="1807">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6"/>
      <c r="M29" s="1127"/>
      <c r="N29" s="1127"/>
      <c r="O29" s="1127"/>
      <c r="P29" s="3692"/>
      <c r="Q29" s="1806">
        <f t="shared" si="11"/>
        <v>111</v>
      </c>
      <c r="R29" s="770" t="s">
        <v>17</v>
      </c>
      <c r="S29" s="771">
        <f t="shared" ref="S29:S47" si="12">F29</f>
        <v>100</v>
      </c>
      <c r="T29" s="770" t="s">
        <v>17</v>
      </c>
      <c r="U29" s="771">
        <f t="shared" ref="U29:U47" si="13">H29</f>
        <v>100</v>
      </c>
      <c r="V29" s="770" t="s">
        <v>17</v>
      </c>
      <c r="W29" s="771">
        <f t="shared" ref="W29:W47" si="14">J29</f>
        <v>100</v>
      </c>
      <c r="X29" s="1809"/>
      <c r="Y29" s="3685"/>
      <c r="Z29" s="1810">
        <f t="shared" ref="Z29:Z47" si="15">Q29</f>
        <v>111</v>
      </c>
      <c r="AA29" s="1807">
        <f t="shared" si="3"/>
        <v>1</v>
      </c>
      <c r="AB29" s="1807">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6"/>
      <c r="M30" s="1127"/>
      <c r="N30" s="1127"/>
      <c r="O30" s="1127"/>
      <c r="P30" s="3692"/>
      <c r="Q30" s="1806">
        <f t="shared" si="11"/>
        <v>111</v>
      </c>
      <c r="R30" s="770" t="s">
        <v>17</v>
      </c>
      <c r="S30" s="771">
        <f t="shared" si="12"/>
        <v>100</v>
      </c>
      <c r="T30" s="770" t="s">
        <v>17</v>
      </c>
      <c r="U30" s="771">
        <f t="shared" si="13"/>
        <v>100</v>
      </c>
      <c r="V30" s="770" t="s">
        <v>17</v>
      </c>
      <c r="W30" s="771">
        <f t="shared" si="14"/>
        <v>100</v>
      </c>
      <c r="X30" s="1809"/>
      <c r="Y30" s="3685"/>
      <c r="Z30" s="1810">
        <f t="shared" si="15"/>
        <v>111</v>
      </c>
      <c r="AA30" s="1807">
        <f t="shared" si="3"/>
        <v>1</v>
      </c>
      <c r="AB30" s="1807">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6"/>
      <c r="M31" s="1127"/>
      <c r="N31" s="1127"/>
      <c r="O31" s="1127"/>
      <c r="P31" s="3692"/>
      <c r="Q31" s="1806">
        <f t="shared" si="11"/>
        <v>111</v>
      </c>
      <c r="R31" s="770" t="s">
        <v>17</v>
      </c>
      <c r="S31" s="771">
        <f t="shared" si="12"/>
        <v>100</v>
      </c>
      <c r="T31" s="770" t="s">
        <v>17</v>
      </c>
      <c r="U31" s="771">
        <f t="shared" si="13"/>
        <v>100</v>
      </c>
      <c r="V31" s="770" t="s">
        <v>17</v>
      </c>
      <c r="W31" s="771">
        <f t="shared" si="14"/>
        <v>100</v>
      </c>
      <c r="X31" s="1809"/>
      <c r="Y31" s="3685"/>
      <c r="Z31" s="1810">
        <f t="shared" si="15"/>
        <v>111</v>
      </c>
      <c r="AA31" s="1807">
        <f t="shared" si="3"/>
        <v>1</v>
      </c>
      <c r="AB31" s="1807">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6"/>
      <c r="M32" s="1127"/>
      <c r="N32" s="1127"/>
      <c r="O32" s="1127"/>
      <c r="P32" s="3692"/>
      <c r="Q32" s="1806">
        <f t="shared" si="11"/>
        <v>111</v>
      </c>
      <c r="R32" s="770" t="s">
        <v>17</v>
      </c>
      <c r="S32" s="771">
        <f t="shared" si="12"/>
        <v>100</v>
      </c>
      <c r="T32" s="770" t="s">
        <v>17</v>
      </c>
      <c r="U32" s="771">
        <f t="shared" si="13"/>
        <v>100</v>
      </c>
      <c r="V32" s="770" t="s">
        <v>17</v>
      </c>
      <c r="W32" s="771">
        <f t="shared" si="14"/>
        <v>100</v>
      </c>
      <c r="X32" s="1809"/>
      <c r="Y32" s="3685"/>
      <c r="Z32" s="1810">
        <f t="shared" si="15"/>
        <v>111</v>
      </c>
      <c r="AA32" s="1807">
        <f t="shared" si="3"/>
        <v>1</v>
      </c>
      <c r="AB32" s="1807">
        <f t="shared" si="4"/>
        <v>1</v>
      </c>
      <c r="AC32" s="2673">
        <f t="shared" si="5"/>
        <v>1</v>
      </c>
    </row>
    <row r="33" spans="1:29" ht="15">
      <c r="A33" s="439" t="s">
        <v>2566</v>
      </c>
      <c r="B33" s="71" t="s">
        <v>2696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6"/>
      <c r="M33" s="1127"/>
      <c r="N33" s="1127"/>
      <c r="O33" s="1127"/>
      <c r="P33" s="3686" t="s">
        <v>2568</v>
      </c>
      <c r="Q33" s="1806" t="str">
        <f t="shared" si="11"/>
        <v>建筑类型</v>
      </c>
      <c r="R33" s="770" t="s">
        <v>17</v>
      </c>
      <c r="S33" s="771">
        <f t="shared" si="12"/>
        <v>100</v>
      </c>
      <c r="T33" s="770" t="s">
        <v>17</v>
      </c>
      <c r="U33" s="771">
        <f t="shared" si="13"/>
        <v>100</v>
      </c>
      <c r="V33" s="770" t="s">
        <v>17</v>
      </c>
      <c r="W33" s="771">
        <f t="shared" si="14"/>
        <v>100</v>
      </c>
      <c r="X33" s="1809"/>
      <c r="Y33" s="3689" t="s">
        <v>2568</v>
      </c>
      <c r="Z33" s="1810" t="str">
        <f t="shared" si="15"/>
        <v>建筑类型</v>
      </c>
      <c r="AA33" s="1807">
        <f t="shared" si="3"/>
        <v>1</v>
      </c>
      <c r="AB33" s="1807">
        <f t="shared" si="4"/>
        <v>1</v>
      </c>
      <c r="AC33" s="2673">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687"/>
      <c r="Q34" s="772" t="str">
        <f t="shared" si="11"/>
        <v>项目建筑规模</v>
      </c>
      <c r="R34" s="773" t="s">
        <v>17</v>
      </c>
      <c r="S34" s="774" t="e">
        <f t="shared" si="12"/>
        <v>#N/A</v>
      </c>
      <c r="T34" s="773" t="s">
        <v>17</v>
      </c>
      <c r="U34" s="774" t="e">
        <f t="shared" si="13"/>
        <v>#N/A</v>
      </c>
      <c r="V34" s="773" t="s">
        <v>17</v>
      </c>
      <c r="W34" s="774" t="e">
        <f t="shared" si="14"/>
        <v>#N/A</v>
      </c>
      <c r="X34" s="775"/>
      <c r="Y34" s="3689"/>
      <c r="Z34" s="776" t="str">
        <f t="shared" si="15"/>
        <v>项目建筑规模</v>
      </c>
      <c r="AA34" s="1807" t="e">
        <f t="shared" si="3"/>
        <v>#N/A</v>
      </c>
      <c r="AB34" s="1807" t="e">
        <f t="shared" si="4"/>
        <v>#N/A</v>
      </c>
      <c r="AC34" s="2673"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687"/>
      <c r="Q35" s="1806" t="str">
        <f t="shared" si="11"/>
        <v>建筑结构</v>
      </c>
      <c r="R35" s="770" t="s">
        <v>17</v>
      </c>
      <c r="S35" s="771">
        <f t="shared" si="12"/>
        <v>100</v>
      </c>
      <c r="T35" s="770" t="s">
        <v>17</v>
      </c>
      <c r="U35" s="771">
        <f t="shared" si="13"/>
        <v>100</v>
      </c>
      <c r="V35" s="770" t="s">
        <v>17</v>
      </c>
      <c r="W35" s="771">
        <f t="shared" si="14"/>
        <v>100</v>
      </c>
      <c r="X35" s="1809"/>
      <c r="Y35" s="3689"/>
      <c r="Z35" s="1810" t="str">
        <f t="shared" si="15"/>
        <v>建筑结构</v>
      </c>
      <c r="AA35" s="1807">
        <f t="shared" si="3"/>
        <v>1</v>
      </c>
      <c r="AB35" s="1807">
        <f t="shared" si="4"/>
        <v>1</v>
      </c>
      <c r="AC35" s="2673">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687"/>
      <c r="Q36" s="1806" t="str">
        <f t="shared" si="11"/>
        <v>公共部分装修</v>
      </c>
      <c r="R36" s="770" t="s">
        <v>17</v>
      </c>
      <c r="S36" s="771">
        <f t="shared" si="12"/>
        <v>100</v>
      </c>
      <c r="T36" s="770" t="s">
        <v>17</v>
      </c>
      <c r="U36" s="771">
        <f t="shared" si="13"/>
        <v>100</v>
      </c>
      <c r="V36" s="770" t="s">
        <v>17</v>
      </c>
      <c r="W36" s="771">
        <f t="shared" si="14"/>
        <v>100</v>
      </c>
      <c r="X36" s="1809"/>
      <c r="Y36" s="3689"/>
      <c r="Z36" s="1810" t="str">
        <f t="shared" si="15"/>
        <v>公共部分装修</v>
      </c>
      <c r="AA36" s="1807">
        <f t="shared" si="3"/>
        <v>1</v>
      </c>
      <c r="AB36" s="1807">
        <f t="shared" si="4"/>
        <v>1</v>
      </c>
      <c r="AC36" s="2673">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687"/>
      <c r="Q37" s="1806" t="str">
        <f t="shared" si="11"/>
        <v>成新度</v>
      </c>
      <c r="R37" s="770" t="s">
        <v>17</v>
      </c>
      <c r="S37" s="771" t="e">
        <f t="shared" si="12"/>
        <v>#N/A</v>
      </c>
      <c r="T37" s="770" t="s">
        <v>17</v>
      </c>
      <c r="U37" s="771" t="e">
        <f t="shared" si="13"/>
        <v>#N/A</v>
      </c>
      <c r="V37" s="770" t="s">
        <v>17</v>
      </c>
      <c r="W37" s="771" t="e">
        <f t="shared" si="14"/>
        <v>#N/A</v>
      </c>
      <c r="X37" s="1809"/>
      <c r="Y37" s="3689"/>
      <c r="Z37" s="1810" t="str">
        <f t="shared" si="15"/>
        <v>成新度</v>
      </c>
      <c r="AA37" s="1807" t="e">
        <f t="shared" si="3"/>
        <v>#N/A</v>
      </c>
      <c r="AB37" s="1807" t="e">
        <f t="shared" si="4"/>
        <v>#N/A</v>
      </c>
      <c r="AC37" s="2673"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687"/>
      <c r="Q38" s="1791" t="str">
        <f t="shared" si="11"/>
        <v>写字楼等级</v>
      </c>
      <c r="R38" s="766" t="s">
        <v>17</v>
      </c>
      <c r="S38" s="767">
        <f t="shared" si="12"/>
        <v>100</v>
      </c>
      <c r="T38" s="766" t="s">
        <v>17</v>
      </c>
      <c r="U38" s="767">
        <f t="shared" si="13"/>
        <v>100</v>
      </c>
      <c r="V38" s="766" t="s">
        <v>17</v>
      </c>
      <c r="W38" s="767">
        <f t="shared" si="14"/>
        <v>100</v>
      </c>
      <c r="X38" s="768"/>
      <c r="Y38" s="3689"/>
      <c r="Z38" s="55" t="str">
        <f t="shared" si="15"/>
        <v>写字楼等级</v>
      </c>
      <c r="AA38" s="769">
        <f t="shared" si="3"/>
        <v>1</v>
      </c>
      <c r="AB38" s="769">
        <f t="shared" si="4"/>
        <v>1</v>
      </c>
      <c r="AC38" s="2670">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687" t="s">
        <v>2568</v>
      </c>
      <c r="Q39" s="1806" t="str">
        <f t="shared" si="11"/>
        <v>物业管理</v>
      </c>
      <c r="R39" s="770" t="s">
        <v>17</v>
      </c>
      <c r="S39" s="771">
        <f t="shared" si="12"/>
        <v>100</v>
      </c>
      <c r="T39" s="770" t="s">
        <v>17</v>
      </c>
      <c r="U39" s="771">
        <f t="shared" si="13"/>
        <v>100</v>
      </c>
      <c r="V39" s="770" t="s">
        <v>17</v>
      </c>
      <c r="W39" s="771">
        <f t="shared" si="14"/>
        <v>100</v>
      </c>
      <c r="X39" s="1809"/>
      <c r="Y39" s="3689" t="s">
        <v>2568</v>
      </c>
      <c r="Z39" s="1810" t="str">
        <f t="shared" si="15"/>
        <v>物业管理</v>
      </c>
      <c r="AA39" s="1807">
        <f t="shared" si="3"/>
        <v>1</v>
      </c>
      <c r="AB39" s="1807">
        <f t="shared" si="4"/>
        <v>1</v>
      </c>
      <c r="AC39" s="2673">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687"/>
      <c r="Q40" s="1806" t="str">
        <f t="shared" si="11"/>
        <v>市政基础设施</v>
      </c>
      <c r="R40" s="770" t="s">
        <v>17</v>
      </c>
      <c r="S40" s="771">
        <f t="shared" si="12"/>
        <v>100</v>
      </c>
      <c r="T40" s="770" t="s">
        <v>17</v>
      </c>
      <c r="U40" s="771">
        <f t="shared" si="13"/>
        <v>100</v>
      </c>
      <c r="V40" s="770" t="s">
        <v>17</v>
      </c>
      <c r="W40" s="771">
        <f t="shared" si="14"/>
        <v>100</v>
      </c>
      <c r="X40" s="1809"/>
      <c r="Y40" s="3689"/>
      <c r="Z40" s="1810" t="str">
        <f t="shared" si="15"/>
        <v>市政基础设施</v>
      </c>
      <c r="AA40" s="1807">
        <f t="shared" si="3"/>
        <v>1</v>
      </c>
      <c r="AB40" s="1807">
        <f t="shared" si="4"/>
        <v>1</v>
      </c>
      <c r="AC40" s="2673">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687"/>
      <c r="Q41" s="1806" t="str">
        <f t="shared" si="11"/>
        <v>层高</v>
      </c>
      <c r="R41" s="770" t="s">
        <v>17</v>
      </c>
      <c r="S41" s="771">
        <f t="shared" si="12"/>
        <v>100</v>
      </c>
      <c r="T41" s="770" t="s">
        <v>17</v>
      </c>
      <c r="U41" s="771">
        <f t="shared" si="13"/>
        <v>100</v>
      </c>
      <c r="V41" s="770" t="s">
        <v>17</v>
      </c>
      <c r="W41" s="771">
        <f t="shared" si="14"/>
        <v>100</v>
      </c>
      <c r="X41" s="1809"/>
      <c r="Y41" s="3689"/>
      <c r="Z41" s="1810" t="str">
        <f t="shared" si="15"/>
        <v>层高</v>
      </c>
      <c r="AA41" s="1807">
        <f t="shared" si="3"/>
        <v>1</v>
      </c>
      <c r="AB41" s="1807">
        <f t="shared" si="4"/>
        <v>1</v>
      </c>
      <c r="AC41" s="2673">
        <f t="shared" si="5"/>
        <v>1</v>
      </c>
    </row>
    <row r="42" spans="1:29" s="470" customFormat="1" ht="15">
      <c r="A42" s="467"/>
      <c r="B42" s="1808"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687"/>
      <c r="Q42" s="772" t="str">
        <f t="shared" si="11"/>
        <v>单套建筑面积</v>
      </c>
      <c r="R42" s="773" t="s">
        <v>17</v>
      </c>
      <c r="S42" s="774">
        <f t="shared" si="12"/>
        <v>100</v>
      </c>
      <c r="T42" s="773" t="s">
        <v>17</v>
      </c>
      <c r="U42" s="774">
        <f t="shared" si="13"/>
        <v>100</v>
      </c>
      <c r="V42" s="773" t="s">
        <v>17</v>
      </c>
      <c r="W42" s="774">
        <f t="shared" si="14"/>
        <v>100</v>
      </c>
      <c r="X42" s="775"/>
      <c r="Y42" s="3689"/>
      <c r="Z42" s="776" t="str">
        <f t="shared" si="15"/>
        <v>单套建筑面积</v>
      </c>
      <c r="AA42" s="1807">
        <f t="shared" si="3"/>
        <v>1</v>
      </c>
      <c r="AB42" s="1807">
        <f t="shared" si="4"/>
        <v>1</v>
      </c>
      <c r="AC42" s="2673">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687"/>
      <c r="Q43" s="1806" t="str">
        <f t="shared" si="11"/>
        <v>内部装修</v>
      </c>
      <c r="R43" s="770" t="s">
        <v>17</v>
      </c>
      <c r="S43" s="771">
        <f t="shared" si="12"/>
        <v>100</v>
      </c>
      <c r="T43" s="770" t="s">
        <v>17</v>
      </c>
      <c r="U43" s="771">
        <f t="shared" si="13"/>
        <v>100</v>
      </c>
      <c r="V43" s="770" t="s">
        <v>17</v>
      </c>
      <c r="W43" s="771">
        <f t="shared" si="14"/>
        <v>100</v>
      </c>
      <c r="X43" s="1809"/>
      <c r="Y43" s="3689"/>
      <c r="Z43" s="1810" t="str">
        <f t="shared" si="15"/>
        <v>内部装修</v>
      </c>
      <c r="AA43" s="1807">
        <f t="shared" si="3"/>
        <v>1</v>
      </c>
      <c r="AB43" s="1807">
        <f t="shared" si="4"/>
        <v>1</v>
      </c>
      <c r="AC43" s="2673">
        <f t="shared" si="5"/>
        <v>1</v>
      </c>
    </row>
    <row r="44" spans="1:29" ht="15">
      <c r="A44" s="471"/>
      <c r="B44" s="421" t="s">
        <v>2579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6"/>
      <c r="M44" s="1127"/>
      <c r="N44" s="1127"/>
      <c r="O44" s="1127"/>
      <c r="P44" s="3687"/>
      <c r="Q44" s="1806" t="str">
        <f t="shared" si="11"/>
        <v>内部装修维护情况</v>
      </c>
      <c r="R44" s="770" t="s">
        <v>17</v>
      </c>
      <c r="S44" s="771">
        <f t="shared" si="12"/>
        <v>100</v>
      </c>
      <c r="T44" s="770" t="s">
        <v>17</v>
      </c>
      <c r="U44" s="771">
        <f t="shared" si="13"/>
        <v>100</v>
      </c>
      <c r="V44" s="770" t="s">
        <v>17</v>
      </c>
      <c r="W44" s="771">
        <f t="shared" si="14"/>
        <v>100</v>
      </c>
      <c r="X44" s="1809"/>
      <c r="Y44" s="3689"/>
      <c r="Z44" s="1810" t="str">
        <f t="shared" si="15"/>
        <v>内部装修维护情况</v>
      </c>
      <c r="AA44" s="1807">
        <f t="shared" si="3"/>
        <v>1</v>
      </c>
      <c r="AB44" s="1807">
        <f t="shared" si="4"/>
        <v>1</v>
      </c>
      <c r="AC44" s="2673">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687"/>
      <c r="Q45" s="1791">
        <f t="shared" si="11"/>
        <v>111</v>
      </c>
      <c r="R45" s="766" t="s">
        <v>17</v>
      </c>
      <c r="S45" s="767">
        <f t="shared" si="12"/>
        <v>100</v>
      </c>
      <c r="T45" s="766" t="s">
        <v>17</v>
      </c>
      <c r="U45" s="767">
        <f t="shared" si="13"/>
        <v>100</v>
      </c>
      <c r="V45" s="766" t="s">
        <v>17</v>
      </c>
      <c r="W45" s="767">
        <f t="shared" si="14"/>
        <v>100</v>
      </c>
      <c r="X45" s="768"/>
      <c r="Y45" s="3689"/>
      <c r="Z45" s="55">
        <f t="shared" si="15"/>
        <v>111</v>
      </c>
      <c r="AA45" s="769">
        <f t="shared" si="3"/>
        <v>1</v>
      </c>
      <c r="AB45" s="769">
        <f t="shared" si="4"/>
        <v>1</v>
      </c>
      <c r="AC45" s="2670">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687"/>
      <c r="Q46" s="1806">
        <f t="shared" si="11"/>
        <v>111</v>
      </c>
      <c r="R46" s="770" t="s">
        <v>17</v>
      </c>
      <c r="S46" s="771">
        <f t="shared" si="12"/>
        <v>100</v>
      </c>
      <c r="T46" s="770" t="s">
        <v>17</v>
      </c>
      <c r="U46" s="771">
        <f t="shared" si="13"/>
        <v>100</v>
      </c>
      <c r="V46" s="770" t="s">
        <v>17</v>
      </c>
      <c r="W46" s="771">
        <f t="shared" si="14"/>
        <v>100</v>
      </c>
      <c r="X46" s="1809"/>
      <c r="Y46" s="3689"/>
      <c r="Z46" s="1810">
        <f t="shared" si="15"/>
        <v>111</v>
      </c>
      <c r="AA46" s="1807">
        <f t="shared" si="3"/>
        <v>1</v>
      </c>
      <c r="AB46" s="1807">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688"/>
      <c r="Q47" s="1806">
        <f t="shared" si="11"/>
        <v>111</v>
      </c>
      <c r="R47" s="770" t="s">
        <v>17</v>
      </c>
      <c r="S47" s="771">
        <f t="shared" si="12"/>
        <v>100</v>
      </c>
      <c r="T47" s="770" t="s">
        <v>17</v>
      </c>
      <c r="U47" s="771">
        <f t="shared" si="13"/>
        <v>100</v>
      </c>
      <c r="V47" s="770" t="s">
        <v>17</v>
      </c>
      <c r="W47" s="771">
        <f t="shared" si="14"/>
        <v>100</v>
      </c>
      <c r="X47" s="1809"/>
      <c r="Y47" s="3690"/>
      <c r="Z47" s="1810">
        <f t="shared" si="15"/>
        <v>111</v>
      </c>
      <c r="AA47" s="1807">
        <f t="shared" si="3"/>
        <v>1</v>
      </c>
      <c r="AB47" s="1807">
        <f t="shared" si="4"/>
        <v>1</v>
      </c>
      <c r="AC47" s="2673">
        <f t="shared" si="5"/>
        <v>1</v>
      </c>
    </row>
    <row r="48" spans="1:29" ht="15">
      <c r="A48" s="478" t="s">
        <v>2580</v>
      </c>
      <c r="B48" s="479"/>
      <c r="C48" s="1403" t="s">
        <v>1</v>
      </c>
      <c r="D48" s="1404"/>
      <c r="E48" s="1405"/>
      <c r="F48" s="1406"/>
      <c r="G48" s="1407"/>
      <c r="H48" s="1408"/>
      <c r="I48" s="1405"/>
      <c r="J48" s="484"/>
      <c r="K48" s="779"/>
      <c r="L48" s="1139"/>
      <c r="M48" s="1127"/>
      <c r="N48" s="1127"/>
      <c r="O48" s="1127"/>
      <c r="P48" s="3664" t="str">
        <f>A48</f>
        <v>成交单价（元/平方米）</v>
      </c>
      <c r="Q48" s="3682"/>
      <c r="R48" s="3683">
        <f>E48</f>
        <v>0</v>
      </c>
      <c r="S48" s="3683"/>
      <c r="T48" s="3683">
        <f>G48</f>
        <v>0</v>
      </c>
      <c r="U48" s="3683"/>
      <c r="V48" s="3683">
        <f>I48</f>
        <v>0</v>
      </c>
      <c r="W48" s="3683"/>
      <c r="X48" s="445"/>
      <c r="Y48" s="777"/>
      <c r="Z48" s="445"/>
      <c r="AA48" s="445"/>
      <c r="AB48" s="445"/>
      <c r="AC48" s="629"/>
    </row>
    <row r="49" spans="1:29" ht="15.75" thickBot="1">
      <c r="A49" s="485" t="s">
        <v>2672</v>
      </c>
      <c r="B49" s="486"/>
      <c r="C49" s="1409" t="e">
        <f>R50</f>
        <v>#DIV/0!</v>
      </c>
      <c r="D49" s="1410"/>
      <c r="E49" s="1411" t="e">
        <f>R49</f>
        <v>#DIV/0!</v>
      </c>
      <c r="F49" s="1411"/>
      <c r="G49" s="1409" t="e">
        <f>T49</f>
        <v>#DIV/0!</v>
      </c>
      <c r="H49" s="1410"/>
      <c r="I49" s="1411" t="e">
        <f>V49</f>
        <v>#DIV/0!</v>
      </c>
      <c r="J49" s="488"/>
      <c r="K49" s="780"/>
      <c r="L49" s="1139"/>
      <c r="M49" s="1127"/>
      <c r="N49" s="1127"/>
      <c r="O49" s="1127"/>
      <c r="P49" s="3664"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445"/>
      <c r="Y49" s="445"/>
      <c r="Z49" s="445"/>
      <c r="AA49" s="445"/>
      <c r="AB49" s="445"/>
      <c r="AC49" s="629"/>
    </row>
    <row r="50" spans="1:29" ht="15.75" thickBot="1">
      <c r="A50" s="491" t="s">
        <v>2673</v>
      </c>
      <c r="B50" s="492"/>
      <c r="C50" s="1413" t="e">
        <f>R50</f>
        <v>#DIV/0!</v>
      </c>
      <c r="D50" s="1413"/>
      <c r="E50" s="1413"/>
      <c r="F50" s="1413"/>
      <c r="G50" s="1413"/>
      <c r="H50" s="1413"/>
      <c r="I50" s="1413"/>
      <c r="J50" s="493"/>
      <c r="K50" s="781"/>
      <c r="L50" s="1139"/>
      <c r="M50" s="1127"/>
      <c r="N50" s="1127"/>
      <c r="O50" s="1127"/>
      <c r="P50" s="3809" t="str">
        <f>A50</f>
        <v>估价对象XX用房的比较价值（楼面单价，元/平方米）</v>
      </c>
      <c r="Q50" s="3810"/>
      <c r="R50" s="3811" t="e">
        <f>IF(F1="售价",ROUND(AVERAGE(R49:V49),0),ROUND(AVERAGE(R49:V49),1))</f>
        <v>#DIV/0!</v>
      </c>
      <c r="S50" s="3811"/>
      <c r="T50" s="3811"/>
      <c r="U50" s="3811"/>
      <c r="V50" s="3811"/>
      <c r="W50" s="3811"/>
      <c r="X50" s="2653"/>
      <c r="Y50" s="2653"/>
      <c r="Z50" s="2653"/>
      <c r="AA50" s="2653"/>
      <c r="AB50" s="2653"/>
      <c r="AC50" s="265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9"/>
    </row>
    <row r="56" spans="1:29" s="501" customFormat="1">
      <c r="A56" s="1141"/>
      <c r="B56" s="1142"/>
      <c r="C56" s="1146"/>
      <c r="D56" s="1141"/>
      <c r="E56" s="1141"/>
      <c r="F56" s="1141"/>
      <c r="G56" s="1141"/>
      <c r="H56" s="1141"/>
      <c r="I56" s="1141"/>
      <c r="J56" s="1141"/>
      <c r="K56" s="1144"/>
      <c r="L56" s="1145"/>
      <c r="M56" s="1141"/>
      <c r="N56" s="1141"/>
      <c r="O56" s="1141"/>
      <c r="P56" s="2679"/>
    </row>
    <row r="57" spans="1:29">
      <c r="A57" s="1140"/>
      <c r="B57" s="1142"/>
      <c r="C57" s="1146"/>
      <c r="D57" s="1140"/>
      <c r="E57" s="1140"/>
      <c r="F57" s="1140"/>
      <c r="G57" s="1140"/>
      <c r="H57" s="1140"/>
      <c r="I57" s="1140"/>
      <c r="J57" s="1140"/>
      <c r="K57" s="1101"/>
      <c r="L57" s="1102"/>
      <c r="M57" s="1140"/>
      <c r="N57" s="1140"/>
      <c r="O57" s="1140"/>
    </row>
    <row r="58" spans="1:29" ht="21.75" thickBot="1">
      <c r="A58" s="759" t="s">
        <v>2677</v>
      </c>
      <c r="B58" s="755"/>
      <c r="C58" s="760"/>
      <c r="D58" s="760"/>
      <c r="E58" s="760"/>
      <c r="F58" s="761"/>
      <c r="G58" s="761"/>
      <c r="H58" s="760"/>
      <c r="I58" s="760"/>
      <c r="J58" s="760"/>
      <c r="K58" s="762"/>
      <c r="L58" s="1157"/>
      <c r="M58" s="1155"/>
      <c r="N58" s="1155"/>
      <c r="O58" s="1155"/>
      <c r="P58" s="2680"/>
      <c r="Q58" s="503"/>
    </row>
    <row r="59" spans="1:29" s="507" customFormat="1" ht="15">
      <c r="A59" s="504" t="s">
        <v>2551</v>
      </c>
      <c r="B59" s="505"/>
      <c r="C59" s="1570" t="str">
        <f>YEAR(C7)&amp;"-"&amp;MONTH(C7)</f>
        <v>2018-2</v>
      </c>
      <c r="D59" s="1571">
        <f>EDATE(C59,-1)</f>
        <v>43101</v>
      </c>
      <c r="E59" s="1571">
        <f>EDATE(D59,-1)</f>
        <v>43070</v>
      </c>
      <c r="F59" s="1571">
        <f t="shared" ref="F59:O59" si="16">EDATE(E59,-1)</f>
        <v>43040</v>
      </c>
      <c r="G59" s="1571">
        <f t="shared" si="16"/>
        <v>43009</v>
      </c>
      <c r="H59" s="1571">
        <f t="shared" si="16"/>
        <v>42979</v>
      </c>
      <c r="I59" s="1571">
        <f t="shared" si="16"/>
        <v>42948</v>
      </c>
      <c r="J59" s="1571">
        <f t="shared" si="16"/>
        <v>42917</v>
      </c>
      <c r="K59" s="1571">
        <f t="shared" si="16"/>
        <v>42887</v>
      </c>
      <c r="L59" s="1571">
        <f t="shared" si="16"/>
        <v>42856</v>
      </c>
      <c r="M59" s="1571">
        <f t="shared" si="16"/>
        <v>42826</v>
      </c>
      <c r="N59" s="1571">
        <f t="shared" si="16"/>
        <v>42795</v>
      </c>
      <c r="O59" s="1571">
        <f t="shared" si="16"/>
        <v>42767</v>
      </c>
      <c r="P59" s="1567"/>
    </row>
    <row r="60" spans="1:29" s="116" customFormat="1" ht="15">
      <c r="A60" s="508"/>
      <c r="B60" s="509"/>
      <c r="C60" s="1569">
        <v>100</v>
      </c>
      <c r="D60" s="511"/>
      <c r="E60" s="511"/>
      <c r="F60" s="511"/>
      <c r="G60" s="511"/>
      <c r="H60" s="511"/>
      <c r="I60" s="511"/>
      <c r="J60" s="511"/>
      <c r="K60" s="511"/>
      <c r="L60" s="511"/>
      <c r="M60" s="512"/>
      <c r="N60" s="511"/>
      <c r="O60" s="512"/>
      <c r="P60" s="2681"/>
    </row>
    <row r="61" spans="1:29" s="116" customFormat="1" ht="15.75" thickBot="1">
      <c r="A61" s="514" t="s">
        <v>2588</v>
      </c>
      <c r="B61" s="515"/>
      <c r="C61" s="516"/>
      <c r="D61" s="517"/>
      <c r="E61" s="517"/>
      <c r="F61" s="517"/>
      <c r="G61" s="517"/>
      <c r="H61" s="517"/>
      <c r="I61" s="517"/>
      <c r="J61" s="517"/>
      <c r="K61" s="517"/>
      <c r="L61" s="517"/>
      <c r="M61" s="518"/>
      <c r="N61" s="517"/>
      <c r="O61" s="518"/>
      <c r="P61" s="2681"/>
      <c r="Q61" s="503"/>
    </row>
    <row r="62" spans="1:29" s="116" customFormat="1" ht="15">
      <c r="A62" s="520" t="s">
        <v>2553</v>
      </c>
      <c r="B62" s="509"/>
      <c r="C62" s="521" t="s">
        <v>2655</v>
      </c>
      <c r="D62" s="522"/>
      <c r="E62" s="522"/>
      <c r="F62" s="522"/>
      <c r="G62" s="522"/>
      <c r="H62" s="522"/>
      <c r="I62" s="522"/>
      <c r="J62" s="522"/>
      <c r="K62" s="522"/>
      <c r="L62" s="523"/>
      <c r="M62" s="524"/>
      <c r="N62" s="1147"/>
      <c r="O62" s="1147"/>
      <c r="P62" s="2682"/>
      <c r="Q62" s="503"/>
    </row>
    <row r="63" spans="1:29" s="116" customFormat="1" ht="15.75" thickBot="1">
      <c r="A63" s="520"/>
      <c r="B63" s="509"/>
      <c r="C63" s="510">
        <v>100</v>
      </c>
      <c r="D63" s="511"/>
      <c r="E63" s="511"/>
      <c r="F63" s="511"/>
      <c r="G63" s="511"/>
      <c r="H63" s="511"/>
      <c r="I63" s="511"/>
      <c r="J63" s="511"/>
      <c r="K63" s="511"/>
      <c r="L63" s="511"/>
      <c r="M63" s="513"/>
      <c r="N63" s="1147"/>
      <c r="O63" s="1147"/>
      <c r="P63" s="2681"/>
      <c r="Q63" s="503"/>
    </row>
    <row r="64" spans="1:29">
      <c r="A64" s="526" t="s">
        <v>2591</v>
      </c>
      <c r="B64" s="527" t="s">
        <v>2557</v>
      </c>
      <c r="C64" s="528">
        <f>C9</f>
        <v>0</v>
      </c>
      <c r="D64" s="529"/>
      <c r="E64" s="529"/>
      <c r="F64" s="529"/>
      <c r="G64" s="529"/>
      <c r="H64" s="529"/>
      <c r="I64" s="529"/>
      <c r="J64" s="529"/>
      <c r="K64" s="530"/>
      <c r="L64" s="531"/>
      <c r="M64" s="532"/>
      <c r="N64" s="1148"/>
      <c r="O64" s="1148"/>
      <c r="P64" s="2683"/>
      <c r="Q64" s="503"/>
    </row>
    <row r="65" spans="1:17" ht="15.75" thickBot="1">
      <c r="A65" s="533"/>
      <c r="B65" s="534"/>
      <c r="C65" s="535">
        <v>100</v>
      </c>
      <c r="D65" s="535"/>
      <c r="E65" s="535"/>
      <c r="F65" s="535"/>
      <c r="G65" s="535"/>
      <c r="H65" s="535"/>
      <c r="I65" s="535"/>
      <c r="J65" s="535"/>
      <c r="K65" s="535"/>
      <c r="L65" s="535"/>
      <c r="M65" s="536"/>
      <c r="N65" s="1149"/>
      <c r="O65" s="1149"/>
      <c r="P65" s="2683"/>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8"/>
      <c r="O66" s="1148"/>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3"/>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3"/>
      <c r="Q68" s="503"/>
    </row>
    <row r="69" spans="1:17" ht="15">
      <c r="A69" s="533"/>
      <c r="B69" s="547"/>
      <c r="C69" s="548"/>
      <c r="D69" s="548"/>
      <c r="E69" s="548"/>
      <c r="F69" s="548"/>
      <c r="G69" s="548"/>
      <c r="H69" s="548"/>
      <c r="I69" s="548"/>
      <c r="J69" s="548"/>
      <c r="K69" s="549"/>
      <c r="L69" s="550"/>
      <c r="M69" s="551"/>
      <c r="N69" s="1148"/>
      <c r="O69" s="1148"/>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3"/>
      <c r="Q70" s="503"/>
    </row>
    <row r="71" spans="1:17" s="470" customFormat="1" ht="15.75" thickTop="1">
      <c r="A71" s="552"/>
      <c r="B71" s="537">
        <f>B12</f>
        <v>111</v>
      </c>
      <c r="C71" s="553"/>
      <c r="D71" s="553"/>
      <c r="E71" s="553"/>
      <c r="F71" s="553"/>
      <c r="G71" s="553"/>
      <c r="H71" s="554"/>
      <c r="I71" s="554"/>
      <c r="J71" s="554"/>
      <c r="K71" s="554"/>
      <c r="L71" s="555"/>
      <c r="M71" s="556"/>
      <c r="N71" s="1150"/>
      <c r="O71" s="1150"/>
      <c r="P71" s="2684"/>
      <c r="Q71" s="558"/>
    </row>
    <row r="72" spans="1:17" s="470" customFormat="1" ht="15.75" thickBot="1">
      <c r="A72" s="552"/>
      <c r="B72" s="542"/>
      <c r="C72" s="559"/>
      <c r="D72" s="535"/>
      <c r="E72" s="535"/>
      <c r="F72" s="535"/>
      <c r="G72" s="535"/>
      <c r="H72" s="535"/>
      <c r="I72" s="535"/>
      <c r="J72" s="535"/>
      <c r="K72" s="535"/>
      <c r="L72" s="535"/>
      <c r="M72" s="536"/>
      <c r="N72" s="1149"/>
      <c r="O72" s="1149"/>
      <c r="P72" s="2684"/>
      <c r="Q72" s="558"/>
    </row>
    <row r="73" spans="1:17" s="470" customFormat="1" ht="15.75" thickTop="1">
      <c r="A73" s="552"/>
      <c r="B73" s="537">
        <f>B13</f>
        <v>111</v>
      </c>
      <c r="C73" s="553"/>
      <c r="D73" s="553"/>
      <c r="E73" s="553"/>
      <c r="F73" s="553"/>
      <c r="G73" s="553"/>
      <c r="H73" s="554"/>
      <c r="I73" s="554"/>
      <c r="J73" s="554"/>
      <c r="K73" s="554"/>
      <c r="L73" s="555"/>
      <c r="M73" s="556"/>
      <c r="N73" s="1150"/>
      <c r="O73" s="1150"/>
      <c r="P73" s="2685"/>
      <c r="Q73" s="560"/>
    </row>
    <row r="74" spans="1:17" s="470" customFormat="1" ht="15.75" thickBot="1">
      <c r="A74" s="552"/>
      <c r="B74" s="542"/>
      <c r="C74" s="559"/>
      <c r="D74" s="559"/>
      <c r="E74" s="559"/>
      <c r="F74" s="559"/>
      <c r="G74" s="559"/>
      <c r="H74" s="561"/>
      <c r="I74" s="561"/>
      <c r="J74" s="561"/>
      <c r="K74" s="561"/>
      <c r="L74" s="561"/>
      <c r="M74" s="562"/>
      <c r="N74" s="1150"/>
      <c r="O74" s="1150"/>
      <c r="P74" s="2684"/>
      <c r="Q74" s="558"/>
    </row>
    <row r="75" spans="1:17" s="470" customFormat="1" ht="15.75" thickTop="1">
      <c r="A75" s="552"/>
      <c r="B75" s="545">
        <f>B14</f>
        <v>111</v>
      </c>
      <c r="C75" s="522"/>
      <c r="D75" s="522"/>
      <c r="E75" s="522"/>
      <c r="F75" s="522"/>
      <c r="G75" s="522"/>
      <c r="H75" s="563"/>
      <c r="I75" s="563"/>
      <c r="J75" s="563"/>
      <c r="K75" s="563"/>
      <c r="L75" s="564"/>
      <c r="M75" s="565"/>
      <c r="N75" s="1150"/>
      <c r="O75" s="1150"/>
      <c r="P75" s="2686"/>
      <c r="Q75" s="558"/>
    </row>
    <row r="76" spans="1:17" s="470" customFormat="1" ht="15.75" thickBot="1">
      <c r="A76" s="567"/>
      <c r="B76" s="568"/>
      <c r="C76" s="569"/>
      <c r="D76" s="569"/>
      <c r="E76" s="569"/>
      <c r="F76" s="569"/>
      <c r="G76" s="569"/>
      <c r="H76" s="570"/>
      <c r="I76" s="570"/>
      <c r="J76" s="570"/>
      <c r="K76" s="570"/>
      <c r="L76" s="570"/>
      <c r="M76" s="571"/>
      <c r="N76" s="1150"/>
      <c r="O76" s="1150"/>
      <c r="P76" s="2684"/>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8"/>
      <c r="O77" s="1148"/>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3"/>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8"/>
      <c r="O79" s="1148"/>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3"/>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8"/>
      <c r="O81" s="1148"/>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3"/>
      <c r="Q82" s="503"/>
    </row>
    <row r="83" spans="1:17" ht="15.75" thickTop="1">
      <c r="A83" s="533"/>
      <c r="B83" s="545" t="s">
        <v>2692</v>
      </c>
      <c r="C83" s="659" t="s">
        <v>2678</v>
      </c>
      <c r="D83" s="659" t="s">
        <v>2679</v>
      </c>
      <c r="E83" s="659" t="s">
        <v>2680</v>
      </c>
      <c r="F83" s="659" t="s">
        <v>2681</v>
      </c>
      <c r="G83" s="659" t="s">
        <v>2682</v>
      </c>
      <c r="H83" s="538"/>
      <c r="I83" s="538"/>
      <c r="J83" s="538"/>
      <c r="K83" s="538"/>
      <c r="L83" s="538"/>
      <c r="M83" s="1378"/>
      <c r="N83" s="1149"/>
      <c r="O83" s="1149"/>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3"/>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8"/>
      <c r="O85" s="1148"/>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3"/>
      <c r="Q86" s="503"/>
    </row>
    <row r="87" spans="1:17" s="116" customFormat="1" ht="27.75" thickTop="1">
      <c r="A87" s="578"/>
      <c r="B87" s="537" t="s">
        <v>2702</v>
      </c>
      <c r="C87" s="553"/>
      <c r="D87" s="553"/>
      <c r="E87" s="553"/>
      <c r="F87" s="553"/>
      <c r="G87" s="553"/>
      <c r="H87" s="553"/>
      <c r="I87" s="553"/>
      <c r="J87" s="553"/>
      <c r="K87" s="553"/>
      <c r="L87" s="579"/>
      <c r="M87" s="580"/>
      <c r="N87" s="1147"/>
      <c r="O87" s="1147"/>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3"/>
      <c r="Q88" s="503"/>
    </row>
    <row r="89" spans="1:17" s="116" customFormat="1" ht="15.75" thickTop="1">
      <c r="A89" s="578"/>
      <c r="B89" s="537" t="str">
        <f>B27</f>
        <v>楼层</v>
      </c>
      <c r="C89" s="553"/>
      <c r="D89" s="553"/>
      <c r="E89" s="553"/>
      <c r="F89" s="2634"/>
      <c r="G89" s="553"/>
      <c r="H89" s="553"/>
      <c r="I89" s="553"/>
      <c r="J89" s="553"/>
      <c r="K89" s="553"/>
      <c r="L89" s="553"/>
      <c r="M89" s="580"/>
      <c r="N89" s="1147"/>
      <c r="O89" s="1147"/>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3"/>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4"/>
      <c r="Q92" s="558"/>
    </row>
    <row r="93" spans="1:17" ht="15.75" thickTop="1">
      <c r="A93" s="533"/>
      <c r="B93" s="537">
        <f>B29</f>
        <v>111</v>
      </c>
      <c r="C93" s="553"/>
      <c r="D93" s="553"/>
      <c r="E93" s="553"/>
      <c r="F93" s="553"/>
      <c r="G93" s="553"/>
      <c r="H93" s="553"/>
      <c r="I93" s="553"/>
      <c r="J93" s="553"/>
      <c r="K93" s="553"/>
      <c r="L93" s="579"/>
      <c r="M93" s="580"/>
      <c r="N93" s="1148"/>
      <c r="O93" s="1148"/>
      <c r="P93" s="2683"/>
      <c r="Q93" s="503"/>
    </row>
    <row r="94" spans="1:17" ht="15.75" thickBot="1">
      <c r="A94" s="533"/>
      <c r="B94" s="542"/>
      <c r="C94" s="559"/>
      <c r="D94" s="535"/>
      <c r="E94" s="535"/>
      <c r="F94" s="535"/>
      <c r="G94" s="535"/>
      <c r="H94" s="535"/>
      <c r="I94" s="535"/>
      <c r="J94" s="535"/>
      <c r="K94" s="535"/>
      <c r="L94" s="535"/>
      <c r="M94" s="536"/>
      <c r="N94" s="1149"/>
      <c r="O94" s="1149"/>
      <c r="P94" s="2683"/>
      <c r="Q94" s="503"/>
    </row>
    <row r="95" spans="1:17" ht="15.75" thickTop="1">
      <c r="A95" s="533"/>
      <c r="B95" s="537">
        <f>B30</f>
        <v>111</v>
      </c>
      <c r="C95" s="553"/>
      <c r="D95" s="553"/>
      <c r="E95" s="553"/>
      <c r="F95" s="553"/>
      <c r="G95" s="582"/>
      <c r="H95" s="582"/>
      <c r="I95" s="582"/>
      <c r="J95" s="582"/>
      <c r="K95" s="583"/>
      <c r="L95" s="584"/>
      <c r="M95" s="585"/>
      <c r="N95" s="1148"/>
      <c r="O95" s="1148"/>
      <c r="P95" s="2683"/>
      <c r="Q95" s="503"/>
    </row>
    <row r="96" spans="1:17" ht="15.75" thickBot="1">
      <c r="A96" s="533"/>
      <c r="B96" s="542"/>
      <c r="C96" s="559"/>
      <c r="D96" s="559"/>
      <c r="E96" s="559"/>
      <c r="F96" s="559"/>
      <c r="G96" s="535"/>
      <c r="H96" s="535"/>
      <c r="I96" s="535"/>
      <c r="J96" s="535"/>
      <c r="K96" s="535"/>
      <c r="L96" s="535"/>
      <c r="M96" s="536"/>
      <c r="N96" s="1149"/>
      <c r="O96" s="1149"/>
      <c r="P96" s="2683"/>
      <c r="Q96" s="503"/>
    </row>
    <row r="97" spans="1:17" ht="15.75" thickTop="1">
      <c r="A97" s="533"/>
      <c r="B97" s="537">
        <f>B31</f>
        <v>111</v>
      </c>
      <c r="C97" s="553"/>
      <c r="D97" s="553"/>
      <c r="E97" s="553"/>
      <c r="F97" s="553"/>
      <c r="G97" s="582"/>
      <c r="H97" s="582"/>
      <c r="I97" s="582"/>
      <c r="J97" s="582"/>
      <c r="K97" s="583"/>
      <c r="L97" s="584"/>
      <c r="M97" s="585"/>
      <c r="N97" s="1148"/>
      <c r="O97" s="1148"/>
      <c r="P97" s="2683"/>
      <c r="Q97" s="503"/>
    </row>
    <row r="98" spans="1:17" ht="15.75" thickBot="1">
      <c r="A98" s="533"/>
      <c r="B98" s="542"/>
      <c r="C98" s="559"/>
      <c r="D98" s="535"/>
      <c r="E98" s="535"/>
      <c r="F98" s="535"/>
      <c r="G98" s="535"/>
      <c r="H98" s="535"/>
      <c r="I98" s="535"/>
      <c r="J98" s="535"/>
      <c r="K98" s="535"/>
      <c r="L98" s="535"/>
      <c r="M98" s="536"/>
      <c r="N98" s="1149"/>
      <c r="O98" s="1149"/>
      <c r="P98" s="2683"/>
      <c r="Q98" s="503"/>
    </row>
    <row r="99" spans="1:17" ht="15.75" thickTop="1">
      <c r="A99" s="533"/>
      <c r="B99" s="545">
        <f>B32</f>
        <v>111</v>
      </c>
      <c r="C99" s="522"/>
      <c r="D99" s="522"/>
      <c r="E99" s="522"/>
      <c r="F99" s="522"/>
      <c r="G99" s="586"/>
      <c r="H99" s="586"/>
      <c r="I99" s="586"/>
      <c r="J99" s="586"/>
      <c r="K99" s="587"/>
      <c r="L99" s="588"/>
      <c r="M99" s="589"/>
      <c r="N99" s="1148"/>
      <c r="O99" s="1148"/>
      <c r="P99" s="2683"/>
      <c r="Q99" s="503"/>
    </row>
    <row r="100" spans="1:17" ht="15.75" thickBot="1">
      <c r="A100" s="2635"/>
      <c r="B100" s="568"/>
      <c r="C100" s="569"/>
      <c r="D100" s="569"/>
      <c r="E100" s="569"/>
      <c r="F100" s="569"/>
      <c r="G100" s="590"/>
      <c r="H100" s="590"/>
      <c r="I100" s="590"/>
      <c r="J100" s="590"/>
      <c r="K100" s="590"/>
      <c r="L100" s="590"/>
      <c r="M100" s="591"/>
      <c r="N100" s="1149"/>
      <c r="O100" s="1149"/>
      <c r="P100" s="2683"/>
      <c r="Q100" s="503"/>
    </row>
    <row r="101" spans="1:17">
      <c r="A101" s="526" t="s">
        <v>2566</v>
      </c>
      <c r="B101" s="527" t="s">
        <v>2615</v>
      </c>
      <c r="C101" s="529"/>
      <c r="D101" s="529"/>
      <c r="E101" s="529"/>
      <c r="F101" s="529"/>
      <c r="G101" s="529"/>
      <c r="H101" s="529"/>
      <c r="I101" s="529"/>
      <c r="J101" s="529"/>
      <c r="K101" s="530"/>
      <c r="L101" s="531"/>
      <c r="M101" s="532"/>
      <c r="N101" s="1148"/>
      <c r="O101" s="1148"/>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3"/>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3"/>
      <c r="Q103" s="503"/>
    </row>
    <row r="104" spans="1:17" s="470" customFormat="1">
      <c r="A104" s="592"/>
      <c r="B104" s="593"/>
      <c r="C104" s="594"/>
      <c r="D104" s="594"/>
      <c r="E104" s="594"/>
      <c r="F104" s="594"/>
      <c r="G104" s="594"/>
      <c r="H104" s="594"/>
      <c r="I104" s="594"/>
      <c r="J104" s="595"/>
      <c r="K104" s="595"/>
      <c r="L104" s="596"/>
      <c r="M104" s="597"/>
      <c r="N104" s="1150"/>
      <c r="O104" s="1150"/>
      <c r="P104" s="2684"/>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4"/>
      <c r="Q105" s="558"/>
    </row>
    <row r="106" spans="1:17" ht="15" thickTop="1">
      <c r="A106" s="598"/>
      <c r="B106" s="537" t="s">
        <v>2617</v>
      </c>
      <c r="C106" s="553"/>
      <c r="D106" s="553"/>
      <c r="E106" s="582"/>
      <c r="F106" s="582"/>
      <c r="G106" s="582"/>
      <c r="H106" s="582"/>
      <c r="I106" s="582"/>
      <c r="J106" s="582"/>
      <c r="K106" s="583"/>
      <c r="L106" s="584"/>
      <c r="M106" s="585"/>
      <c r="N106" s="1148"/>
      <c r="O106" s="1148"/>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3"/>
      <c r="Q107" s="503"/>
    </row>
    <row r="108" spans="1:17" ht="15" thickTop="1">
      <c r="A108" s="598"/>
      <c r="B108" s="537" t="s">
        <v>2619</v>
      </c>
      <c r="C108" s="553"/>
      <c r="D108" s="553"/>
      <c r="E108" s="553"/>
      <c r="F108" s="582"/>
      <c r="G108" s="582"/>
      <c r="H108" s="582"/>
      <c r="I108" s="582"/>
      <c r="J108" s="582"/>
      <c r="K108" s="583"/>
      <c r="L108" s="584"/>
      <c r="M108" s="585"/>
      <c r="N108" s="1148"/>
      <c r="O108" s="1148"/>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3"/>
      <c r="Q112" s="503"/>
    </row>
    <row r="113" spans="1:17" s="470" customFormat="1" ht="15" thickTop="1">
      <c r="A113" s="592"/>
      <c r="B113" s="537" t="s">
        <v>2703</v>
      </c>
      <c r="C113" s="553"/>
      <c r="D113" s="553"/>
      <c r="E113" s="553"/>
      <c r="F113" s="553"/>
      <c r="G113" s="553"/>
      <c r="H113" s="582"/>
      <c r="I113" s="582"/>
      <c r="J113" s="582"/>
      <c r="K113" s="583"/>
      <c r="L113" s="584"/>
      <c r="M113" s="585"/>
      <c r="N113" s="1150"/>
      <c r="O113" s="1150"/>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4"/>
      <c r="Q114" s="558"/>
    </row>
    <row r="115" spans="1:17" ht="15" thickTop="1">
      <c r="A115" s="598"/>
      <c r="B115" s="537" t="s">
        <v>2620</v>
      </c>
      <c r="C115" s="553"/>
      <c r="D115" s="553"/>
      <c r="E115" s="582"/>
      <c r="F115" s="582"/>
      <c r="G115" s="582"/>
      <c r="H115" s="582"/>
      <c r="I115" s="582"/>
      <c r="J115" s="582"/>
      <c r="K115" s="583"/>
      <c r="L115" s="584"/>
      <c r="M115" s="585"/>
      <c r="N115" s="1148"/>
      <c r="O115" s="1148"/>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3"/>
      <c r="Q116" s="503"/>
    </row>
    <row r="117" spans="1:17" ht="15" thickTop="1">
      <c r="A117" s="598"/>
      <c r="B117" s="537" t="s">
        <v>2621</v>
      </c>
      <c r="C117" s="553"/>
      <c r="D117" s="553"/>
      <c r="E117" s="553"/>
      <c r="F117" s="553"/>
      <c r="G117" s="553"/>
      <c r="H117" s="582"/>
      <c r="I117" s="582"/>
      <c r="J117" s="582"/>
      <c r="K117" s="583"/>
      <c r="L117" s="584"/>
      <c r="M117" s="585"/>
      <c r="N117" s="1148"/>
      <c r="O117" s="1148"/>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3"/>
      <c r="Q118" s="503"/>
    </row>
    <row r="119" spans="1:17" ht="15" thickTop="1">
      <c r="A119" s="598"/>
      <c r="B119" s="635" t="s">
        <v>2704</v>
      </c>
      <c r="C119" s="582"/>
      <c r="D119" s="582"/>
      <c r="E119" s="582"/>
      <c r="F119" s="582"/>
      <c r="G119" s="582"/>
      <c r="H119" s="582"/>
      <c r="I119" s="582"/>
      <c r="J119" s="582"/>
      <c r="K119" s="582"/>
      <c r="L119" s="2688"/>
      <c r="M119" s="2689"/>
      <c r="N119" s="1149"/>
      <c r="O119" s="1149"/>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3"/>
      <c r="Q120" s="503"/>
    </row>
    <row r="121" spans="1:17" s="470" customFormat="1" ht="15" thickTop="1">
      <c r="A121" s="592"/>
      <c r="B121" s="537" t="s">
        <v>2687</v>
      </c>
      <c r="C121" s="553"/>
      <c r="D121" s="553"/>
      <c r="E121" s="553"/>
      <c r="F121" s="582"/>
      <c r="G121" s="554"/>
      <c r="H121" s="554"/>
      <c r="I121" s="554"/>
      <c r="J121" s="554"/>
      <c r="K121" s="554"/>
      <c r="L121" s="555"/>
      <c r="M121" s="556"/>
      <c r="N121" s="1150"/>
      <c r="O121" s="1150"/>
      <c r="P121" s="2684"/>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4"/>
      <c r="Q122" s="558"/>
    </row>
    <row r="123" spans="1:17" ht="15" thickTop="1">
      <c r="A123" s="598"/>
      <c r="B123" s="537" t="s">
        <v>2623</v>
      </c>
      <c r="C123" s="553"/>
      <c r="D123" s="553"/>
      <c r="E123" s="553"/>
      <c r="F123" s="582"/>
      <c r="G123" s="582"/>
      <c r="H123" s="582"/>
      <c r="I123" s="582"/>
      <c r="J123" s="582"/>
      <c r="K123" s="583"/>
      <c r="L123" s="584"/>
      <c r="M123" s="585"/>
      <c r="N123" s="1148"/>
      <c r="O123" s="1148"/>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3"/>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8"/>
      <c r="O125" s="1148"/>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4"/>
      <c r="Q128" s="558"/>
    </row>
    <row r="129" spans="1:17" ht="15" thickTop="1">
      <c r="A129" s="598"/>
      <c r="B129" s="537">
        <f>B46</f>
        <v>111</v>
      </c>
      <c r="C129" s="553"/>
      <c r="D129" s="553"/>
      <c r="E129" s="553"/>
      <c r="F129" s="553"/>
      <c r="G129" s="582"/>
      <c r="H129" s="582"/>
      <c r="I129" s="582"/>
      <c r="J129" s="582"/>
      <c r="K129" s="583"/>
      <c r="L129" s="584"/>
      <c r="M129" s="585"/>
      <c r="N129" s="1148"/>
      <c r="O129" s="1148"/>
      <c r="P129" s="2683"/>
      <c r="Q129" s="503"/>
    </row>
    <row r="130" spans="1:17" ht="15.75" thickBot="1">
      <c r="A130" s="533"/>
      <c r="B130" s="542"/>
      <c r="C130" s="559"/>
      <c r="D130" s="559"/>
      <c r="E130" s="559"/>
      <c r="F130" s="559"/>
      <c r="G130" s="535"/>
      <c r="H130" s="535"/>
      <c r="I130" s="535"/>
      <c r="J130" s="535"/>
      <c r="K130" s="535"/>
      <c r="L130" s="535"/>
      <c r="M130" s="536"/>
      <c r="N130" s="1149"/>
      <c r="O130" s="1149"/>
      <c r="P130" s="2683"/>
      <c r="Q130" s="503"/>
    </row>
    <row r="131" spans="1:17" ht="15" thickTop="1">
      <c r="A131" s="598"/>
      <c r="B131" s="545">
        <f>B47</f>
        <v>111</v>
      </c>
      <c r="C131" s="522"/>
      <c r="D131" s="522"/>
      <c r="E131" s="522"/>
      <c r="F131" s="522"/>
      <c r="G131" s="586"/>
      <c r="H131" s="586"/>
      <c r="I131" s="586"/>
      <c r="J131" s="586"/>
      <c r="K131" s="522"/>
      <c r="L131" s="523"/>
      <c r="M131" s="589"/>
      <c r="N131" s="1148"/>
      <c r="O131" s="1148"/>
      <c r="P131" s="2683"/>
      <c r="Q131" s="503"/>
    </row>
    <row r="132" spans="1:17" ht="15.75" thickBot="1">
      <c r="A132" s="2635"/>
      <c r="B132" s="568"/>
      <c r="C132" s="569"/>
      <c r="D132" s="569"/>
      <c r="E132" s="569"/>
      <c r="F132" s="569"/>
      <c r="G132" s="590"/>
      <c r="H132" s="590"/>
      <c r="I132" s="590"/>
      <c r="J132" s="590"/>
      <c r="K132" s="590"/>
      <c r="L132" s="590"/>
      <c r="M132" s="591"/>
      <c r="N132" s="1149"/>
      <c r="O132" s="1149"/>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2705</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IF(C2="——",ROUND(C43*D3/10000,0),ROUND(C43*D3/10000,0)-D2)</f>
        <v>#DIV/0!</v>
      </c>
      <c r="C2" s="2585"/>
      <c r="D2" s="1120"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2332</v>
      </c>
      <c r="B3" s="608" t="e">
        <f ca="1">IF(C2="——",C43,ROUND(B2*10000/D3,0))</f>
        <v>#DIV/0!</v>
      </c>
      <c r="C3" s="399" t="s">
        <v>2647</v>
      </c>
      <c r="D3" s="398">
        <f>IF(D1="",'数据-汇总表'!E3,SUMIF('数据-汇总表'!$C19:$C33,D1,'数据-汇总表'!$E19:$E33))</f>
        <v>5963.72</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65" t="s">
        <v>2649</v>
      </c>
      <c r="D4" s="3666"/>
      <c r="E4" s="3667" t="s">
        <v>2650</v>
      </c>
      <c r="F4" s="3668"/>
      <c r="G4" s="3665" t="s">
        <v>2651</v>
      </c>
      <c r="H4" s="3666"/>
      <c r="I4" s="3665" t="s">
        <v>2652</v>
      </c>
      <c r="J4" s="3666"/>
      <c r="K4" s="609" t="s">
        <v>2653</v>
      </c>
      <c r="L4" s="1126"/>
      <c r="M4" s="1127"/>
      <c r="N4" s="1127"/>
      <c r="O4" s="1127"/>
      <c r="P4" s="3669" t="s">
        <v>2654</v>
      </c>
      <c r="Q4" s="3670"/>
      <c r="R4" s="3650" t="s">
        <v>2650</v>
      </c>
      <c r="S4" s="3651"/>
      <c r="T4" s="3650" t="s">
        <v>2651</v>
      </c>
      <c r="U4" s="3651"/>
      <c r="V4" s="3677" t="s">
        <v>2652</v>
      </c>
      <c r="W4" s="3677"/>
      <c r="X4" s="1809"/>
      <c r="Y4" s="3650" t="s">
        <v>2654</v>
      </c>
      <c r="Z4" s="3651"/>
      <c r="AA4" s="3645" t="s">
        <v>2650</v>
      </c>
      <c r="AB4" s="3646" t="s">
        <v>2651</v>
      </c>
      <c r="AC4" s="3645" t="s">
        <v>2652</v>
      </c>
    </row>
    <row r="5" spans="1:29" ht="15">
      <c r="A5" s="403"/>
      <c r="B5" s="404"/>
      <c r="C5" s="3656" t="s">
        <v>2545</v>
      </c>
      <c r="D5" s="3657"/>
      <c r="E5" s="3799" t="s">
        <v>2546</v>
      </c>
      <c r="F5" s="3761"/>
      <c r="G5" s="3656" t="s">
        <v>2547</v>
      </c>
      <c r="H5" s="3657"/>
      <c r="I5" s="3656" t="s">
        <v>2548</v>
      </c>
      <c r="J5" s="3657"/>
      <c r="K5" s="609"/>
      <c r="L5" s="1126"/>
      <c r="M5" s="1127"/>
      <c r="N5" s="1127"/>
      <c r="O5" s="1127"/>
      <c r="P5" s="3671"/>
      <c r="Q5" s="3672"/>
      <c r="R5" s="3652"/>
      <c r="S5" s="3653"/>
      <c r="T5" s="3652"/>
      <c r="U5" s="3653"/>
      <c r="V5" s="3677"/>
      <c r="W5" s="3677"/>
      <c r="X5" s="1809"/>
      <c r="Y5" s="3652"/>
      <c r="Z5" s="3653"/>
      <c r="AA5" s="3646"/>
      <c r="AB5" s="3646"/>
      <c r="AC5" s="3646"/>
    </row>
    <row r="6" spans="1:29" ht="15.75" thickBot="1">
      <c r="A6" s="405"/>
      <c r="B6" s="406"/>
      <c r="C6" s="3658" t="s">
        <v>2549</v>
      </c>
      <c r="D6" s="3659"/>
      <c r="E6" s="3662" t="s">
        <v>2549</v>
      </c>
      <c r="F6" s="3663"/>
      <c r="G6" s="3658" t="s">
        <v>2549</v>
      </c>
      <c r="H6" s="3659"/>
      <c r="I6" s="3658" t="s">
        <v>2549</v>
      </c>
      <c r="J6" s="3659"/>
      <c r="K6" s="609" t="s">
        <v>2550</v>
      </c>
      <c r="L6" s="1126"/>
      <c r="M6" s="1127"/>
      <c r="N6" s="1127"/>
      <c r="O6" s="1127"/>
      <c r="P6" s="3673"/>
      <c r="Q6" s="3674"/>
      <c r="R6" s="3652"/>
      <c r="S6" s="3653"/>
      <c r="T6" s="3675"/>
      <c r="U6" s="3676"/>
      <c r="V6" s="3677"/>
      <c r="W6" s="3677"/>
      <c r="X6" s="1809"/>
      <c r="Y6" s="3675"/>
      <c r="Z6" s="3676"/>
      <c r="AA6" s="3647"/>
      <c r="AB6" s="3647"/>
      <c r="AC6" s="3647"/>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648" t="s">
        <v>2552</v>
      </c>
      <c r="Q7" s="3678"/>
      <c r="R7" s="766" t="s">
        <v>17</v>
      </c>
      <c r="S7" s="767">
        <f t="shared" ref="S7:S15" si="0">F7</f>
        <v>0</v>
      </c>
      <c r="T7" s="766" t="s">
        <v>17</v>
      </c>
      <c r="U7" s="767">
        <f t="shared" ref="U7:U15" si="1">H7</f>
        <v>0</v>
      </c>
      <c r="V7" s="766" t="s">
        <v>17</v>
      </c>
      <c r="W7" s="767">
        <f t="shared" ref="W7:W15" si="2">J7</f>
        <v>0</v>
      </c>
      <c r="X7" s="768"/>
      <c r="Y7" s="3648" t="s">
        <v>2552</v>
      </c>
      <c r="Z7" s="3649"/>
      <c r="AA7" s="769" t="e">
        <f>D7/F7</f>
        <v>#DIV/0!</v>
      </c>
      <c r="AB7" s="769" t="e">
        <f>D7/H7</f>
        <v>#DIV/0!</v>
      </c>
      <c r="AC7" s="769"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648" t="s">
        <v>2555</v>
      </c>
      <c r="Q8" s="3649"/>
      <c r="R8" s="766" t="s">
        <v>17</v>
      </c>
      <c r="S8" s="767">
        <f t="shared" si="0"/>
        <v>0</v>
      </c>
      <c r="T8" s="766" t="s">
        <v>17</v>
      </c>
      <c r="U8" s="767">
        <f t="shared" si="1"/>
        <v>0</v>
      </c>
      <c r="V8" s="766" t="s">
        <v>17</v>
      </c>
      <c r="W8" s="767">
        <f t="shared" si="2"/>
        <v>0</v>
      </c>
      <c r="X8" s="768"/>
      <c r="Y8" s="3648" t="s">
        <v>2555</v>
      </c>
      <c r="Z8" s="3649"/>
      <c r="AA8" s="769" t="e">
        <f t="shared" ref="AA8:AA40" si="3">D8/F8</f>
        <v>#DIV/0!</v>
      </c>
      <c r="AB8" s="769" t="e">
        <f t="shared" ref="AB8:AB40" si="4">D8/H8</f>
        <v>#DIV/0!</v>
      </c>
      <c r="AC8" s="769"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682" t="s">
        <v>2558</v>
      </c>
      <c r="Q9" s="1791" t="str">
        <f t="shared" ref="Q9:Q15" si="6">B9</f>
        <v>用途</v>
      </c>
      <c r="R9" s="766" t="s">
        <v>17</v>
      </c>
      <c r="S9" s="767">
        <f t="shared" si="0"/>
        <v>100</v>
      </c>
      <c r="T9" s="766" t="s">
        <v>17</v>
      </c>
      <c r="U9" s="767">
        <f t="shared" si="1"/>
        <v>100</v>
      </c>
      <c r="V9" s="766" t="s">
        <v>17</v>
      </c>
      <c r="W9" s="767">
        <f t="shared" si="2"/>
        <v>100</v>
      </c>
      <c r="X9" s="768"/>
      <c r="Y9" s="3525" t="s">
        <v>2559</v>
      </c>
      <c r="Z9" s="55" t="str">
        <f t="shared" ref="Z9:Z15" si="7">Q9</f>
        <v>用途</v>
      </c>
      <c r="AA9" s="769">
        <f t="shared" si="3"/>
        <v>1</v>
      </c>
      <c r="AB9" s="769">
        <f t="shared" si="4"/>
        <v>1</v>
      </c>
      <c r="AC9" s="769">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682"/>
      <c r="Q10" s="1791" t="str">
        <f t="shared" si="6"/>
        <v>土地使用年限（年）</v>
      </c>
      <c r="R10" s="766" t="s">
        <v>17</v>
      </c>
      <c r="S10" s="767">
        <f t="shared" si="0"/>
        <v>100</v>
      </c>
      <c r="T10" s="766" t="s">
        <v>17</v>
      </c>
      <c r="U10" s="767">
        <f t="shared" si="1"/>
        <v>100</v>
      </c>
      <c r="V10" s="766" t="s">
        <v>17</v>
      </c>
      <c r="W10" s="767">
        <f t="shared" si="2"/>
        <v>100</v>
      </c>
      <c r="X10" s="768"/>
      <c r="Y10" s="3525"/>
      <c r="Z10" s="55" t="str">
        <f t="shared" si="7"/>
        <v>土地使用年限（年）</v>
      </c>
      <c r="AA10" s="769">
        <f t="shared" si="3"/>
        <v>1</v>
      </c>
      <c r="AB10" s="769">
        <f t="shared" si="4"/>
        <v>1</v>
      </c>
      <c r="AC10" s="769">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682"/>
      <c r="Q11" s="1791" t="str">
        <f t="shared" si="6"/>
        <v>容积率</v>
      </c>
      <c r="R11" s="766" t="s">
        <v>17</v>
      </c>
      <c r="S11" s="767" t="e">
        <f t="shared" si="0"/>
        <v>#N/A</v>
      </c>
      <c r="T11" s="766" t="s">
        <v>17</v>
      </c>
      <c r="U11" s="767" t="e">
        <f t="shared" si="1"/>
        <v>#N/A</v>
      </c>
      <c r="V11" s="766" t="s">
        <v>17</v>
      </c>
      <c r="W11" s="767" t="e">
        <f t="shared" si="2"/>
        <v>#N/A</v>
      </c>
      <c r="X11" s="768"/>
      <c r="Y11" s="3525"/>
      <c r="Z11" s="55" t="str">
        <f t="shared" si="7"/>
        <v>容积率</v>
      </c>
      <c r="AA11" s="769" t="e">
        <f t="shared" si="3"/>
        <v>#N/A</v>
      </c>
      <c r="AB11" s="769" t="e">
        <f t="shared" si="4"/>
        <v>#N/A</v>
      </c>
      <c r="AC11" s="769"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8"/>
      <c r="M12" s="1129"/>
      <c r="N12" s="1129"/>
      <c r="O12" s="1130"/>
      <c r="P12" s="3682"/>
      <c r="Q12" s="1791">
        <f t="shared" si="6"/>
        <v>111</v>
      </c>
      <c r="R12" s="766" t="s">
        <v>17</v>
      </c>
      <c r="S12" s="767">
        <f t="shared" si="0"/>
        <v>100</v>
      </c>
      <c r="T12" s="766" t="s">
        <v>17</v>
      </c>
      <c r="U12" s="767">
        <f t="shared" si="1"/>
        <v>100</v>
      </c>
      <c r="V12" s="766" t="s">
        <v>17</v>
      </c>
      <c r="W12" s="767">
        <f t="shared" si="2"/>
        <v>100</v>
      </c>
      <c r="X12" s="768"/>
      <c r="Y12" s="3525"/>
      <c r="Z12" s="55">
        <f t="shared" si="7"/>
        <v>111</v>
      </c>
      <c r="AA12" s="769">
        <f>D12/F12</f>
        <v>1</v>
      </c>
      <c r="AB12" s="769">
        <f>D12/H12</f>
        <v>1</v>
      </c>
      <c r="AC12" s="769">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6"/>
      <c r="M13" s="1127"/>
      <c r="N13" s="1127"/>
      <c r="O13" s="1135"/>
      <c r="P13" s="3682"/>
      <c r="Q13" s="1791">
        <f t="shared" si="6"/>
        <v>111</v>
      </c>
      <c r="R13" s="766" t="s">
        <v>17</v>
      </c>
      <c r="S13" s="767">
        <f t="shared" si="0"/>
        <v>100</v>
      </c>
      <c r="T13" s="766" t="s">
        <v>17</v>
      </c>
      <c r="U13" s="767">
        <f t="shared" si="1"/>
        <v>100</v>
      </c>
      <c r="V13" s="766" t="s">
        <v>17</v>
      </c>
      <c r="W13" s="767">
        <f t="shared" si="2"/>
        <v>100</v>
      </c>
      <c r="X13" s="768"/>
      <c r="Y13" s="3525"/>
      <c r="Z13" s="55">
        <f t="shared" si="7"/>
        <v>111</v>
      </c>
      <c r="AA13" s="769">
        <f t="shared" si="3"/>
        <v>1</v>
      </c>
      <c r="AB13" s="769">
        <f t="shared" si="4"/>
        <v>1</v>
      </c>
      <c r="AC13" s="769">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6"/>
      <c r="M14" s="1127"/>
      <c r="N14" s="1127"/>
      <c r="O14" s="1135"/>
      <c r="P14" s="3682"/>
      <c r="Q14" s="1791">
        <f t="shared" si="6"/>
        <v>111</v>
      </c>
      <c r="R14" s="766" t="s">
        <v>17</v>
      </c>
      <c r="S14" s="767">
        <f t="shared" si="0"/>
        <v>100</v>
      </c>
      <c r="T14" s="766" t="s">
        <v>17</v>
      </c>
      <c r="U14" s="767">
        <f t="shared" si="1"/>
        <v>100</v>
      </c>
      <c r="V14" s="766" t="s">
        <v>17</v>
      </c>
      <c r="W14" s="767">
        <f t="shared" si="2"/>
        <v>100</v>
      </c>
      <c r="X14" s="768"/>
      <c r="Y14" s="3525"/>
      <c r="Z14" s="55">
        <f t="shared" si="7"/>
        <v>111</v>
      </c>
      <c r="AA14" s="769">
        <f t="shared" si="3"/>
        <v>1</v>
      </c>
      <c r="AB14" s="769">
        <f t="shared" si="4"/>
        <v>1</v>
      </c>
      <c r="AC14" s="769">
        <f t="shared" si="5"/>
        <v>1</v>
      </c>
    </row>
    <row r="15" spans="1:29" ht="57">
      <c r="A15" s="439" t="s">
        <v>2562</v>
      </c>
      <c r="B15" s="69" t="s">
        <v>2706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684" t="s">
        <v>2563</v>
      </c>
      <c r="Q15" s="1806" t="str">
        <f t="shared" si="6"/>
        <v>产业集聚程度</v>
      </c>
      <c r="R15" s="770" t="s">
        <v>17</v>
      </c>
      <c r="S15" s="771">
        <f t="shared" si="0"/>
        <v>100</v>
      </c>
      <c r="T15" s="770" t="s">
        <v>17</v>
      </c>
      <c r="U15" s="771">
        <f t="shared" si="1"/>
        <v>100</v>
      </c>
      <c r="V15" s="770" t="s">
        <v>17</v>
      </c>
      <c r="W15" s="771">
        <f t="shared" si="2"/>
        <v>100</v>
      </c>
      <c r="X15" s="1809"/>
      <c r="Y15" s="3684" t="s">
        <v>2563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685"/>
      <c r="Q16" s="1806"/>
      <c r="R16" s="770"/>
      <c r="S16" s="771"/>
      <c r="T16" s="770"/>
      <c r="U16" s="771"/>
      <c r="V16" s="770"/>
      <c r="W16" s="771"/>
      <c r="X16" s="1809"/>
      <c r="Y16" s="3685"/>
      <c r="Z16" s="1810"/>
      <c r="AA16" s="1807">
        <v>1</v>
      </c>
      <c r="AB16" s="1807">
        <v>1</v>
      </c>
      <c r="AC16" s="1807">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685"/>
      <c r="Q17" s="1806" t="str">
        <f>B17</f>
        <v>交通便捷度</v>
      </c>
      <c r="R17" s="770" t="s">
        <v>17</v>
      </c>
      <c r="S17" s="771">
        <f>F17</f>
        <v>100</v>
      </c>
      <c r="T17" s="770" t="s">
        <v>17</v>
      </c>
      <c r="U17" s="771">
        <f>H17</f>
        <v>100</v>
      </c>
      <c r="V17" s="770" t="s">
        <v>17</v>
      </c>
      <c r="W17" s="771">
        <f>J17</f>
        <v>100</v>
      </c>
      <c r="X17" s="1809"/>
      <c r="Y17" s="3685"/>
      <c r="Z17" s="1810" t="str">
        <f>Q17</f>
        <v>交通便捷度</v>
      </c>
      <c r="AA17" s="1807">
        <f t="shared" si="3"/>
        <v>1</v>
      </c>
      <c r="AB17" s="1807">
        <f t="shared" si="4"/>
        <v>1</v>
      </c>
      <c r="AC17" s="1807">
        <f t="shared" si="5"/>
        <v>1</v>
      </c>
    </row>
    <row r="18" spans="1:29" ht="15">
      <c r="A18" s="427"/>
      <c r="B18" s="455"/>
      <c r="C18" s="2607"/>
      <c r="D18" s="449"/>
      <c r="E18" s="2609"/>
      <c r="F18" s="452"/>
      <c r="G18" s="2608"/>
      <c r="H18" s="447"/>
      <c r="I18" s="2609"/>
      <c r="J18" s="447"/>
      <c r="K18" s="614"/>
      <c r="L18" s="1136"/>
      <c r="M18" s="1127"/>
      <c r="N18" s="1127"/>
      <c r="O18" s="1135"/>
      <c r="P18" s="3685"/>
      <c r="Q18" s="1806"/>
      <c r="R18" s="770"/>
      <c r="S18" s="771"/>
      <c r="T18" s="770"/>
      <c r="U18" s="771"/>
      <c r="V18" s="770"/>
      <c r="W18" s="771"/>
      <c r="X18" s="1809"/>
      <c r="Y18" s="3685"/>
      <c r="Z18" s="1810"/>
      <c r="AA18" s="1807">
        <v>1</v>
      </c>
      <c r="AB18" s="1807">
        <v>1</v>
      </c>
      <c r="AC18" s="1807">
        <v>1</v>
      </c>
    </row>
    <row r="19" spans="1:29" ht="42.75">
      <c r="A19" s="427"/>
      <c r="B19" s="450" t="s">
        <v>2691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685"/>
      <c r="Q19" s="1806" t="str">
        <f>B19</f>
        <v>公共配套设施</v>
      </c>
      <c r="R19" s="770" t="s">
        <v>17</v>
      </c>
      <c r="S19" s="771">
        <f>F19</f>
        <v>100</v>
      </c>
      <c r="T19" s="770" t="s">
        <v>17</v>
      </c>
      <c r="U19" s="771">
        <f>H19</f>
        <v>100</v>
      </c>
      <c r="V19" s="770" t="s">
        <v>17</v>
      </c>
      <c r="W19" s="771">
        <f>J19</f>
        <v>100</v>
      </c>
      <c r="X19" s="1809"/>
      <c r="Y19" s="3685"/>
      <c r="Z19" s="1810" t="str">
        <f>Q19</f>
        <v>公共配套设施</v>
      </c>
      <c r="AA19" s="1807">
        <f t="shared" si="3"/>
        <v>1</v>
      </c>
      <c r="AB19" s="1807">
        <f t="shared" si="4"/>
        <v>1</v>
      </c>
      <c r="AC19" s="1807">
        <f t="shared" si="5"/>
        <v>1</v>
      </c>
    </row>
    <row r="20" spans="1:29" ht="15">
      <c r="A20" s="427"/>
      <c r="B20" s="455"/>
      <c r="C20" s="446"/>
      <c r="D20" s="447"/>
      <c r="E20" s="2604"/>
      <c r="F20" s="448"/>
      <c r="G20" s="2603"/>
      <c r="H20" s="447"/>
      <c r="I20" s="2604"/>
      <c r="J20" s="447"/>
      <c r="K20" s="614"/>
      <c r="L20" s="1136"/>
      <c r="M20" s="1127"/>
      <c r="N20" s="1127"/>
      <c r="O20" s="1135"/>
      <c r="P20" s="3685"/>
      <c r="Q20" s="1806"/>
      <c r="R20" s="770"/>
      <c r="S20" s="771"/>
      <c r="T20" s="770"/>
      <c r="U20" s="771"/>
      <c r="V20" s="770"/>
      <c r="W20" s="771"/>
      <c r="X20" s="1809"/>
      <c r="Y20" s="3685"/>
      <c r="Z20" s="1810"/>
      <c r="AA20" s="1807">
        <v>1</v>
      </c>
      <c r="AB20" s="1807">
        <v>1</v>
      </c>
      <c r="AC20" s="1807">
        <v>1</v>
      </c>
    </row>
    <row r="21" spans="1:29" ht="28.5">
      <c r="A21" s="427"/>
      <c r="B21" s="1380" t="s">
        <v>2692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685"/>
      <c r="Q21" s="1806" t="str">
        <f>B21</f>
        <v>基础设施水平</v>
      </c>
      <c r="R21" s="770" t="s">
        <v>17</v>
      </c>
      <c r="S21" s="771">
        <f>F21</f>
        <v>100</v>
      </c>
      <c r="T21" s="770" t="s">
        <v>17</v>
      </c>
      <c r="U21" s="771">
        <f>H21</f>
        <v>100</v>
      </c>
      <c r="V21" s="770" t="s">
        <v>17</v>
      </c>
      <c r="W21" s="771">
        <f>J21</f>
        <v>100</v>
      </c>
      <c r="X21" s="1809"/>
      <c r="Y21" s="3685"/>
      <c r="Z21" s="1810" t="str">
        <f>Q21</f>
        <v>基础设施水平</v>
      </c>
      <c r="AA21" s="1807">
        <f t="shared" ref="AA21" si="8">D21/F21</f>
        <v>1</v>
      </c>
      <c r="AB21" s="1807">
        <f t="shared" ref="AB21" si="9">D21/H21</f>
        <v>1</v>
      </c>
      <c r="AC21" s="1807">
        <f t="shared" ref="AC21" si="10">D21/J21</f>
        <v>1</v>
      </c>
    </row>
    <row r="22" spans="1:29" ht="15">
      <c r="A22" s="427"/>
      <c r="B22" s="1380"/>
      <c r="C22" s="2607"/>
      <c r="D22" s="447"/>
      <c r="E22" s="446"/>
      <c r="F22" s="448"/>
      <c r="G22" s="446"/>
      <c r="H22" s="447"/>
      <c r="I22" s="446"/>
      <c r="J22" s="447"/>
      <c r="K22" s="1379"/>
      <c r="L22" s="1136"/>
      <c r="M22" s="1127"/>
      <c r="N22" s="1127"/>
      <c r="O22" s="1135"/>
      <c r="P22" s="3685"/>
      <c r="Q22" s="1806"/>
      <c r="R22" s="770"/>
      <c r="S22" s="771"/>
      <c r="T22" s="770"/>
      <c r="U22" s="771"/>
      <c r="V22" s="770"/>
      <c r="W22" s="771"/>
      <c r="X22" s="1809"/>
      <c r="Y22" s="3685"/>
      <c r="Z22" s="1810"/>
      <c r="AA22" s="1807">
        <v>1</v>
      </c>
      <c r="AB22" s="1807">
        <v>1</v>
      </c>
      <c r="AC22" s="1807">
        <v>1</v>
      </c>
    </row>
    <row r="23" spans="1:29" ht="71.25">
      <c r="A23" s="427"/>
      <c r="B23" s="450" t="s">
        <v>2693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685"/>
      <c r="Q23" s="1806" t="str">
        <f>B23</f>
        <v>环境质量</v>
      </c>
      <c r="R23" s="770" t="s">
        <v>17</v>
      </c>
      <c r="S23" s="771">
        <f>F23</f>
        <v>100</v>
      </c>
      <c r="T23" s="770" t="s">
        <v>17</v>
      </c>
      <c r="U23" s="771">
        <f>H23</f>
        <v>100</v>
      </c>
      <c r="V23" s="770" t="s">
        <v>17</v>
      </c>
      <c r="W23" s="771">
        <f>J23</f>
        <v>100</v>
      </c>
      <c r="X23" s="1809"/>
      <c r="Y23" s="3685"/>
      <c r="Z23" s="1810" t="str">
        <f>Q23</f>
        <v>环境质量</v>
      </c>
      <c r="AA23" s="1807">
        <f t="shared" si="3"/>
        <v>1</v>
      </c>
      <c r="AB23" s="1807">
        <f t="shared" si="4"/>
        <v>1</v>
      </c>
      <c r="AC23" s="1807">
        <f t="shared" si="5"/>
        <v>1</v>
      </c>
    </row>
    <row r="24" spans="1:29" ht="15">
      <c r="A24" s="427"/>
      <c r="B24" s="1380"/>
      <c r="C24" s="446"/>
      <c r="D24" s="447"/>
      <c r="E24" s="2604"/>
      <c r="F24" s="448"/>
      <c r="G24" s="2603"/>
      <c r="H24" s="447"/>
      <c r="I24" s="2604"/>
      <c r="J24" s="447"/>
      <c r="K24" s="614"/>
      <c r="L24" s="1136"/>
      <c r="M24" s="1127"/>
      <c r="N24" s="1127"/>
      <c r="O24" s="1135"/>
      <c r="P24" s="3685"/>
      <c r="Q24" s="1806"/>
      <c r="R24" s="770"/>
      <c r="S24" s="771"/>
      <c r="T24" s="770"/>
      <c r="U24" s="771"/>
      <c r="V24" s="770"/>
      <c r="W24" s="771"/>
      <c r="X24" s="1809"/>
      <c r="Y24" s="3685"/>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685"/>
      <c r="Q25" s="1806">
        <f>B25</f>
        <v>111</v>
      </c>
      <c r="R25" s="770" t="s">
        <v>17</v>
      </c>
      <c r="S25" s="771">
        <f>F25</f>
        <v>100</v>
      </c>
      <c r="T25" s="770" t="s">
        <v>17</v>
      </c>
      <c r="U25" s="771">
        <f>H25</f>
        <v>100</v>
      </c>
      <c r="V25" s="770" t="s">
        <v>17</v>
      </c>
      <c r="W25" s="771">
        <f>J25</f>
        <v>100</v>
      </c>
      <c r="X25" s="1809"/>
      <c r="Y25" s="3685"/>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685"/>
      <c r="Q26" s="1806">
        <f t="shared" ref="Q26:Q40" si="11">B26</f>
        <v>111</v>
      </c>
      <c r="R26" s="770" t="s">
        <v>17</v>
      </c>
      <c r="S26" s="771">
        <f>F26</f>
        <v>100</v>
      </c>
      <c r="T26" s="770" t="s">
        <v>17</v>
      </c>
      <c r="U26" s="771">
        <f>H26</f>
        <v>100</v>
      </c>
      <c r="V26" s="770" t="s">
        <v>17</v>
      </c>
      <c r="W26" s="771">
        <f>J26</f>
        <v>100</v>
      </c>
      <c r="X26" s="1809"/>
      <c r="Y26" s="3685"/>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685"/>
      <c r="Q27" s="1791">
        <f t="shared" si="11"/>
        <v>111</v>
      </c>
      <c r="R27" s="766" t="s">
        <v>17</v>
      </c>
      <c r="S27" s="767">
        <f>F27</f>
        <v>100</v>
      </c>
      <c r="T27" s="766" t="s">
        <v>17</v>
      </c>
      <c r="U27" s="767">
        <f>H27</f>
        <v>100</v>
      </c>
      <c r="V27" s="766" t="s">
        <v>17</v>
      </c>
      <c r="W27" s="767">
        <f>J27</f>
        <v>100</v>
      </c>
      <c r="X27" s="768"/>
      <c r="Y27" s="3685"/>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685"/>
      <c r="Q28" s="1806">
        <f t="shared" si="11"/>
        <v>111</v>
      </c>
      <c r="R28" s="770" t="s">
        <v>17</v>
      </c>
      <c r="S28" s="771">
        <f t="shared" ref="S28:S40" si="12">F28</f>
        <v>100</v>
      </c>
      <c r="T28" s="770" t="s">
        <v>17</v>
      </c>
      <c r="U28" s="771">
        <f t="shared" ref="U28:U40" si="13">H28</f>
        <v>100</v>
      </c>
      <c r="V28" s="770" t="s">
        <v>17</v>
      </c>
      <c r="W28" s="771">
        <f t="shared" ref="W28:W40" si="14">J28</f>
        <v>100</v>
      </c>
      <c r="X28" s="1809"/>
      <c r="Y28" s="3685"/>
      <c r="Z28" s="1810">
        <f t="shared" ref="Z28:Z40" si="15">Q28</f>
        <v>111</v>
      </c>
      <c r="AA28" s="1807">
        <f t="shared" si="3"/>
        <v>1</v>
      </c>
      <c r="AB28" s="1807">
        <f t="shared" si="4"/>
        <v>1</v>
      </c>
      <c r="AC28" s="1807">
        <f t="shared" si="5"/>
        <v>1</v>
      </c>
    </row>
    <row r="29" spans="1:29" ht="15">
      <c r="A29" s="465" t="s">
        <v>2566</v>
      </c>
      <c r="B29" s="71" t="s">
        <v>2696</v>
      </c>
      <c r="C29" s="2678"/>
      <c r="D29" s="466">
        <v>100</v>
      </c>
      <c r="E29" s="2678"/>
      <c r="F29" s="460">
        <f>SUMIF(88:88,E29,89:89)-SUMIF(88:88,C29,89:89)+100</f>
        <v>100</v>
      </c>
      <c r="G29" s="2678"/>
      <c r="H29" s="434">
        <f>SUMIF(88:88,G29,89:89)-SUMIF(88:88,C29,89:89)+100</f>
        <v>100</v>
      </c>
      <c r="I29" s="2678"/>
      <c r="J29" s="466">
        <f>SUMIF(88:88,I29,89:89)-SUMIF(88:88,C29,89:89)+100</f>
        <v>100</v>
      </c>
      <c r="K29" s="611"/>
      <c r="L29" s="1136"/>
      <c r="M29" s="1127"/>
      <c r="N29" s="1127"/>
      <c r="O29" s="1135"/>
      <c r="P29" s="3812" t="s">
        <v>2568</v>
      </c>
      <c r="Q29" s="1806" t="str">
        <f t="shared" si="11"/>
        <v>建筑类型</v>
      </c>
      <c r="R29" s="770" t="s">
        <v>17</v>
      </c>
      <c r="S29" s="771">
        <f t="shared" si="12"/>
        <v>100</v>
      </c>
      <c r="T29" s="770" t="s">
        <v>17</v>
      </c>
      <c r="U29" s="771">
        <f t="shared" si="13"/>
        <v>100</v>
      </c>
      <c r="V29" s="770" t="s">
        <v>17</v>
      </c>
      <c r="W29" s="771">
        <f t="shared" si="14"/>
        <v>100</v>
      </c>
      <c r="X29" s="1809"/>
      <c r="Y29" s="3689" t="s">
        <v>2568</v>
      </c>
      <c r="Z29" s="1810" t="str">
        <f t="shared" si="15"/>
        <v>建筑类型</v>
      </c>
      <c r="AA29" s="1807">
        <f t="shared" si="3"/>
        <v>1</v>
      </c>
      <c r="AB29" s="1807">
        <f t="shared" si="4"/>
        <v>1</v>
      </c>
      <c r="AC29" s="1807">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689"/>
      <c r="Q30" s="772" t="str">
        <f t="shared" si="11"/>
        <v>项目建筑规模</v>
      </c>
      <c r="R30" s="773" t="s">
        <v>17</v>
      </c>
      <c r="S30" s="774" t="e">
        <f t="shared" si="12"/>
        <v>#N/A</v>
      </c>
      <c r="T30" s="773" t="s">
        <v>17</v>
      </c>
      <c r="U30" s="774" t="e">
        <f t="shared" si="13"/>
        <v>#N/A</v>
      </c>
      <c r="V30" s="773" t="s">
        <v>17</v>
      </c>
      <c r="W30" s="774" t="e">
        <f t="shared" si="14"/>
        <v>#N/A</v>
      </c>
      <c r="X30" s="775"/>
      <c r="Y30" s="3689"/>
      <c r="Z30" s="776" t="str">
        <f t="shared" si="15"/>
        <v>项目建筑规模</v>
      </c>
      <c r="AA30" s="1807" t="e">
        <f t="shared" si="3"/>
        <v>#N/A</v>
      </c>
      <c r="AB30" s="1807" t="e">
        <f t="shared" si="4"/>
        <v>#N/A</v>
      </c>
      <c r="AC30" s="1807"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689"/>
      <c r="Q31" s="1806" t="str">
        <f t="shared" si="11"/>
        <v>建筑结构</v>
      </c>
      <c r="R31" s="770" t="s">
        <v>17</v>
      </c>
      <c r="S31" s="771">
        <f t="shared" si="12"/>
        <v>100</v>
      </c>
      <c r="T31" s="770" t="s">
        <v>17</v>
      </c>
      <c r="U31" s="771">
        <f t="shared" si="13"/>
        <v>100</v>
      </c>
      <c r="V31" s="770" t="s">
        <v>17</v>
      </c>
      <c r="W31" s="771">
        <f t="shared" si="14"/>
        <v>100</v>
      </c>
      <c r="X31" s="1809"/>
      <c r="Y31" s="3689"/>
      <c r="Z31" s="1810" t="str">
        <f t="shared" si="15"/>
        <v>建筑结构</v>
      </c>
      <c r="AA31" s="1807">
        <f t="shared" si="3"/>
        <v>1</v>
      </c>
      <c r="AB31" s="1807">
        <f t="shared" si="4"/>
        <v>1</v>
      </c>
      <c r="AC31" s="1807">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689"/>
      <c r="Q32" s="1806" t="str">
        <f t="shared" si="11"/>
        <v>公共部分装修</v>
      </c>
      <c r="R32" s="770" t="s">
        <v>17</v>
      </c>
      <c r="S32" s="771">
        <f t="shared" si="12"/>
        <v>100</v>
      </c>
      <c r="T32" s="770" t="s">
        <v>17</v>
      </c>
      <c r="U32" s="771">
        <f t="shared" si="13"/>
        <v>100</v>
      </c>
      <c r="V32" s="770" t="s">
        <v>17</v>
      </c>
      <c r="W32" s="771">
        <f t="shared" si="14"/>
        <v>100</v>
      </c>
      <c r="X32" s="1809"/>
      <c r="Y32" s="3689"/>
      <c r="Z32" s="1810" t="str">
        <f t="shared" si="15"/>
        <v>公共部分装修</v>
      </c>
      <c r="AA32" s="1807">
        <f t="shared" si="3"/>
        <v>1</v>
      </c>
      <c r="AB32" s="1807">
        <f t="shared" si="4"/>
        <v>1</v>
      </c>
      <c r="AC32" s="1807">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689"/>
      <c r="Q33" s="1806" t="str">
        <f t="shared" si="11"/>
        <v>成新度</v>
      </c>
      <c r="R33" s="770" t="s">
        <v>17</v>
      </c>
      <c r="S33" s="771" t="e">
        <f t="shared" si="12"/>
        <v>#N/A</v>
      </c>
      <c r="T33" s="770" t="s">
        <v>17</v>
      </c>
      <c r="U33" s="771" t="e">
        <f t="shared" si="13"/>
        <v>#N/A</v>
      </c>
      <c r="V33" s="770" t="s">
        <v>17</v>
      </c>
      <c r="W33" s="771" t="e">
        <f t="shared" si="14"/>
        <v>#N/A</v>
      </c>
      <c r="X33" s="1809"/>
      <c r="Y33" s="3689"/>
      <c r="Z33" s="1810" t="str">
        <f t="shared" si="15"/>
        <v>成新度</v>
      </c>
      <c r="AA33" s="1807" t="e">
        <f t="shared" si="3"/>
        <v>#N/A</v>
      </c>
      <c r="AB33" s="1807" t="e">
        <f t="shared" si="4"/>
        <v>#N/A</v>
      </c>
      <c r="AC33" s="1807"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689"/>
      <c r="Q34" s="1791" t="str">
        <f t="shared" si="11"/>
        <v>物业管理</v>
      </c>
      <c r="R34" s="766" t="s">
        <v>17</v>
      </c>
      <c r="S34" s="767">
        <f t="shared" si="12"/>
        <v>100</v>
      </c>
      <c r="T34" s="766" t="s">
        <v>17</v>
      </c>
      <c r="U34" s="767">
        <f t="shared" si="13"/>
        <v>100</v>
      </c>
      <c r="V34" s="766" t="s">
        <v>17</v>
      </c>
      <c r="W34" s="767">
        <f t="shared" si="14"/>
        <v>100</v>
      </c>
      <c r="X34" s="768"/>
      <c r="Y34" s="3689"/>
      <c r="Z34" s="55" t="str">
        <f t="shared" si="15"/>
        <v>物业管理</v>
      </c>
      <c r="AA34" s="769">
        <f t="shared" si="3"/>
        <v>1</v>
      </c>
      <c r="AB34" s="769">
        <f t="shared" si="4"/>
        <v>1</v>
      </c>
      <c r="AC34" s="769">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689" t="s">
        <v>2568</v>
      </c>
      <c r="Q35" s="1806" t="str">
        <f t="shared" si="11"/>
        <v>市政基础设施</v>
      </c>
      <c r="R35" s="770" t="s">
        <v>17</v>
      </c>
      <c r="S35" s="771">
        <f t="shared" si="12"/>
        <v>100</v>
      </c>
      <c r="T35" s="770" t="s">
        <v>17</v>
      </c>
      <c r="U35" s="771">
        <f t="shared" si="13"/>
        <v>100</v>
      </c>
      <c r="V35" s="770" t="s">
        <v>17</v>
      </c>
      <c r="W35" s="771">
        <f t="shared" si="14"/>
        <v>100</v>
      </c>
      <c r="X35" s="1809"/>
      <c r="Y35" s="3689" t="s">
        <v>2568</v>
      </c>
      <c r="Z35" s="1810" t="str">
        <f t="shared" si="15"/>
        <v>市政基础设施</v>
      </c>
      <c r="AA35" s="1807">
        <f t="shared" si="3"/>
        <v>1</v>
      </c>
      <c r="AB35" s="1807">
        <f t="shared" si="4"/>
        <v>1</v>
      </c>
      <c r="AC35" s="1807">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689"/>
      <c r="Q36" s="1806" t="str">
        <f t="shared" si="11"/>
        <v>内部装修</v>
      </c>
      <c r="R36" s="770" t="s">
        <v>17</v>
      </c>
      <c r="S36" s="771">
        <f t="shared" si="12"/>
        <v>100</v>
      </c>
      <c r="T36" s="770" t="s">
        <v>17</v>
      </c>
      <c r="U36" s="771">
        <f t="shared" si="13"/>
        <v>100</v>
      </c>
      <c r="V36" s="770" t="s">
        <v>17</v>
      </c>
      <c r="W36" s="771">
        <f t="shared" si="14"/>
        <v>100</v>
      </c>
      <c r="X36" s="1809"/>
      <c r="Y36" s="3689"/>
      <c r="Z36" s="1810" t="str">
        <f t="shared" si="15"/>
        <v>内部装修</v>
      </c>
      <c r="AA36" s="1807">
        <f t="shared" si="3"/>
        <v>1</v>
      </c>
      <c r="AB36" s="1807">
        <f t="shared" si="4"/>
        <v>1</v>
      </c>
      <c r="AC36" s="1807">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689"/>
      <c r="Q37" s="1806" t="str">
        <f t="shared" si="11"/>
        <v>内部装修状况</v>
      </c>
      <c r="R37" s="770" t="s">
        <v>17</v>
      </c>
      <c r="S37" s="771">
        <f t="shared" si="12"/>
        <v>100</v>
      </c>
      <c r="T37" s="770" t="s">
        <v>17</v>
      </c>
      <c r="U37" s="771">
        <f t="shared" si="13"/>
        <v>100</v>
      </c>
      <c r="V37" s="770" t="s">
        <v>17</v>
      </c>
      <c r="W37" s="771">
        <f t="shared" si="14"/>
        <v>100</v>
      </c>
      <c r="X37" s="1809"/>
      <c r="Y37" s="3689"/>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689"/>
      <c r="Q38" s="772">
        <f t="shared" si="11"/>
        <v>111</v>
      </c>
      <c r="R38" s="773" t="s">
        <v>17</v>
      </c>
      <c r="S38" s="774">
        <f t="shared" si="12"/>
        <v>100</v>
      </c>
      <c r="T38" s="773" t="s">
        <v>17</v>
      </c>
      <c r="U38" s="774">
        <f t="shared" si="13"/>
        <v>100</v>
      </c>
      <c r="V38" s="773" t="s">
        <v>17</v>
      </c>
      <c r="W38" s="774">
        <f t="shared" si="14"/>
        <v>100</v>
      </c>
      <c r="X38" s="775"/>
      <c r="Y38" s="3689"/>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689"/>
      <c r="Q39" s="1806">
        <f t="shared" si="11"/>
        <v>111</v>
      </c>
      <c r="R39" s="770" t="s">
        <v>17</v>
      </c>
      <c r="S39" s="771">
        <f t="shared" si="12"/>
        <v>100</v>
      </c>
      <c r="T39" s="770" t="s">
        <v>17</v>
      </c>
      <c r="U39" s="771">
        <f t="shared" si="13"/>
        <v>100</v>
      </c>
      <c r="V39" s="770" t="s">
        <v>17</v>
      </c>
      <c r="W39" s="771">
        <f t="shared" si="14"/>
        <v>100</v>
      </c>
      <c r="X39" s="1809"/>
      <c r="Y39" s="3689"/>
      <c r="Z39" s="1810">
        <f t="shared" si="15"/>
        <v>111</v>
      </c>
      <c r="AA39" s="1807">
        <f t="shared" si="3"/>
        <v>1</v>
      </c>
      <c r="AB39" s="1807">
        <f t="shared" si="4"/>
        <v>1</v>
      </c>
      <c r="AC39" s="1807">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690"/>
      <c r="Q40" s="1806">
        <f t="shared" si="11"/>
        <v>111</v>
      </c>
      <c r="R40" s="770" t="s">
        <v>17</v>
      </c>
      <c r="S40" s="771">
        <f t="shared" si="12"/>
        <v>100</v>
      </c>
      <c r="T40" s="770" t="s">
        <v>17</v>
      </c>
      <c r="U40" s="771">
        <f t="shared" si="13"/>
        <v>100</v>
      </c>
      <c r="V40" s="770" t="s">
        <v>17</v>
      </c>
      <c r="W40" s="771">
        <f t="shared" si="14"/>
        <v>100</v>
      </c>
      <c r="X40" s="1809"/>
      <c r="Y40" s="3690"/>
      <c r="Z40" s="1810">
        <f t="shared" si="15"/>
        <v>111</v>
      </c>
      <c r="AA40" s="1807">
        <f t="shared" si="3"/>
        <v>1</v>
      </c>
      <c r="AB40" s="1807">
        <f t="shared" si="4"/>
        <v>1</v>
      </c>
      <c r="AC40" s="1807">
        <f t="shared" si="5"/>
        <v>1</v>
      </c>
    </row>
    <row r="41" spans="1:29" ht="15">
      <c r="A41" s="478" t="s">
        <v>2580</v>
      </c>
      <c r="B41" s="479"/>
      <c r="C41" s="1403" t="s">
        <v>1</v>
      </c>
      <c r="D41" s="1404"/>
      <c r="E41" s="1405"/>
      <c r="F41" s="1406"/>
      <c r="G41" s="1407"/>
      <c r="H41" s="1408"/>
      <c r="I41" s="1405"/>
      <c r="J41" s="1408"/>
      <c r="K41" s="779"/>
      <c r="L41" s="1139"/>
      <c r="M41" s="1140"/>
      <c r="N41" s="1127"/>
      <c r="O41" s="1140"/>
      <c r="P41" s="3682" t="str">
        <f>A41</f>
        <v>成交单价（元/平方米）</v>
      </c>
      <c r="Q41" s="3682"/>
      <c r="R41" s="3683">
        <f>E41</f>
        <v>0</v>
      </c>
      <c r="S41" s="3683"/>
      <c r="T41" s="3683">
        <f>G41</f>
        <v>0</v>
      </c>
      <c r="U41" s="3683"/>
      <c r="V41" s="3683">
        <f>I41</f>
        <v>0</v>
      </c>
      <c r="W41" s="3683"/>
      <c r="X41" s="755"/>
      <c r="Y41" s="777"/>
      <c r="Z41" s="755"/>
      <c r="AA41" s="755"/>
      <c r="AB41" s="755"/>
      <c r="AC41" s="755"/>
    </row>
    <row r="42" spans="1:29" ht="15.75" thickBot="1">
      <c r="A42" s="485" t="s">
        <v>2672</v>
      </c>
      <c r="B42" s="486"/>
      <c r="C42" s="1409" t="e">
        <f>R43</f>
        <v>#DIV/0!</v>
      </c>
      <c r="D42" s="1410"/>
      <c r="E42" s="1411" t="e">
        <f>R42</f>
        <v>#DIV/0!</v>
      </c>
      <c r="F42" s="1411"/>
      <c r="G42" s="1409" t="e">
        <f>T42</f>
        <v>#DIV/0!</v>
      </c>
      <c r="H42" s="1410"/>
      <c r="I42" s="1411" t="e">
        <f>V42</f>
        <v>#DIV/0!</v>
      </c>
      <c r="J42" s="1410"/>
      <c r="K42" s="780"/>
      <c r="L42" s="1139"/>
      <c r="M42" s="1140"/>
      <c r="N42" s="1127"/>
      <c r="O42" s="1140"/>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755"/>
      <c r="Y42" s="755"/>
      <c r="Z42" s="755"/>
      <c r="AA42" s="755"/>
      <c r="AB42" s="755"/>
      <c r="AC42" s="755"/>
    </row>
    <row r="43" spans="1:29" ht="15.75" thickBot="1">
      <c r="A43" s="491" t="s">
        <v>2673</v>
      </c>
      <c r="B43" s="492"/>
      <c r="C43" s="1413" t="e">
        <f>R43</f>
        <v>#DIV/0!</v>
      </c>
      <c r="D43" s="1413"/>
      <c r="E43" s="1413"/>
      <c r="F43" s="1413"/>
      <c r="G43" s="1413"/>
      <c r="H43" s="1413"/>
      <c r="I43" s="1413"/>
      <c r="J43" s="1413"/>
      <c r="K43" s="781"/>
      <c r="L43" s="1139"/>
      <c r="M43" s="1140"/>
      <c r="N43" s="1140"/>
      <c r="O43" s="1140"/>
      <c r="P43" s="3679" t="str">
        <f>A43</f>
        <v>估价对象XX用房的比较价值（楼面单价，元/平方米）</v>
      </c>
      <c r="Q43" s="3680"/>
      <c r="R43" s="3681" t="e">
        <f>IF(F1="售价",ROUND(AVERAGE(R42:V42),0),ROUND(AVERAGE(R42:V42),1))</f>
        <v>#DIV/0!</v>
      </c>
      <c r="S43" s="3681"/>
      <c r="T43" s="3681"/>
      <c r="U43" s="3681"/>
      <c r="V43" s="3681"/>
      <c r="W43" s="3681"/>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2677</v>
      </c>
      <c r="B51" s="755"/>
      <c r="C51" s="760"/>
      <c r="D51" s="760"/>
      <c r="E51" s="760"/>
      <c r="F51" s="761"/>
      <c r="G51" s="761"/>
      <c r="H51" s="760"/>
      <c r="I51" s="760"/>
      <c r="J51" s="760"/>
      <c r="K51" s="1156"/>
      <c r="L51" s="1157"/>
      <c r="M51" s="1155"/>
      <c r="N51" s="1155"/>
      <c r="O51" s="1155"/>
      <c r="P51" s="502"/>
      <c r="Q51" s="503"/>
    </row>
    <row r="52" spans="1:17" s="507" customFormat="1" ht="15">
      <c r="A52" s="504" t="s">
        <v>2551</v>
      </c>
      <c r="B52" s="505"/>
      <c r="C52" s="1570" t="str">
        <f>YEAR(C7)&amp;"-"&amp;MONTH(C7)</f>
        <v>2018-2</v>
      </c>
      <c r="D52" s="1571">
        <f>EDATE(C52,-1)</f>
        <v>43101</v>
      </c>
      <c r="E52" s="1571">
        <f t="shared" ref="E52:O52" si="16">EDATE(D52,-1)</f>
        <v>43070</v>
      </c>
      <c r="F52" s="1571">
        <f t="shared" si="16"/>
        <v>43040</v>
      </c>
      <c r="G52" s="1571">
        <f t="shared" si="16"/>
        <v>43009</v>
      </c>
      <c r="H52" s="1571">
        <f t="shared" si="16"/>
        <v>42979</v>
      </c>
      <c r="I52" s="1571">
        <f t="shared" si="16"/>
        <v>42948</v>
      </c>
      <c r="J52" s="1571">
        <f t="shared" si="16"/>
        <v>42917</v>
      </c>
      <c r="K52" s="1571">
        <f t="shared" si="16"/>
        <v>42887</v>
      </c>
      <c r="L52" s="1571">
        <f t="shared" si="16"/>
        <v>42856</v>
      </c>
      <c r="M52" s="1571">
        <f t="shared" si="16"/>
        <v>42826</v>
      </c>
      <c r="N52" s="1571">
        <f t="shared" si="16"/>
        <v>42795</v>
      </c>
      <c r="O52" s="1571">
        <f t="shared" si="16"/>
        <v>42767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2591</v>
      </c>
      <c r="B57" s="527" t="s">
        <v>2557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5"/>
      <c r="B87" s="568"/>
      <c r="C87" s="569"/>
      <c r="D87" s="569"/>
      <c r="E87" s="569"/>
      <c r="F87" s="569"/>
      <c r="G87" s="590"/>
      <c r="H87" s="590"/>
      <c r="I87" s="590"/>
      <c r="J87" s="590"/>
      <c r="K87" s="590"/>
      <c r="L87" s="590"/>
      <c r="M87" s="591"/>
      <c r="N87" s="1149"/>
      <c r="O87" s="1149"/>
      <c r="P87" s="45"/>
      <c r="Q87" s="503"/>
    </row>
    <row r="88" spans="1:17">
      <c r="A88" s="526" t="s">
        <v>2566</v>
      </c>
      <c r="B88" s="527" t="s">
        <v>2615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2620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2621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2623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5"/>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18"/>
      <c r="F1" s="2583"/>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2330</v>
      </c>
      <c r="B2" s="1414" t="e">
        <f ca="1">IF(C2="——",IF(B37="元/平方米",ROUND(C39*D3/10000,0),ROUND(F3*C39/10000,0)),IF(B37="元/平方米",ROUND(C39*D3/10000,0),ROUND(F3*C39/10000,0))-D2)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2648</v>
      </c>
      <c r="B4" s="401"/>
      <c r="C4" s="3665" t="s">
        <v>2649</v>
      </c>
      <c r="D4" s="3666"/>
      <c r="E4" s="3667" t="s">
        <v>2650</v>
      </c>
      <c r="F4" s="3668"/>
      <c r="G4" s="3665" t="s">
        <v>2651</v>
      </c>
      <c r="H4" s="3666"/>
      <c r="I4" s="3665" t="s">
        <v>2652</v>
      </c>
      <c r="J4" s="3666"/>
      <c r="K4" s="609" t="s">
        <v>2653</v>
      </c>
      <c r="L4" s="1126"/>
      <c r="M4" s="1127"/>
      <c r="N4" s="1127"/>
      <c r="O4" s="1127"/>
      <c r="P4" s="3669" t="s">
        <v>2654</v>
      </c>
      <c r="Q4" s="3670"/>
      <c r="R4" s="3650" t="s">
        <v>2650</v>
      </c>
      <c r="S4" s="3651"/>
      <c r="T4" s="3650" t="s">
        <v>2651</v>
      </c>
      <c r="U4" s="3651"/>
      <c r="V4" s="3677" t="s">
        <v>2652</v>
      </c>
      <c r="W4" s="3677"/>
      <c r="X4" s="1809"/>
      <c r="Y4" s="3650" t="s">
        <v>2654</v>
      </c>
      <c r="Z4" s="3651"/>
      <c r="AA4" s="3645" t="s">
        <v>2650</v>
      </c>
      <c r="AB4" s="3646" t="s">
        <v>2651</v>
      </c>
      <c r="AC4" s="3645" t="s">
        <v>2652</v>
      </c>
    </row>
    <row r="5" spans="1:29" ht="15">
      <c r="A5" s="403"/>
      <c r="B5" s="404"/>
      <c r="C5" s="3656" t="s">
        <v>2545</v>
      </c>
      <c r="D5" s="3657"/>
      <c r="E5" s="3799" t="s">
        <v>2546</v>
      </c>
      <c r="F5" s="3761"/>
      <c r="G5" s="3656" t="s">
        <v>2547</v>
      </c>
      <c r="H5" s="3657"/>
      <c r="I5" s="3656" t="s">
        <v>2548</v>
      </c>
      <c r="J5" s="3657"/>
      <c r="K5" s="609"/>
      <c r="L5" s="1126"/>
      <c r="M5" s="1127"/>
      <c r="N5" s="1127"/>
      <c r="O5" s="1127"/>
      <c r="P5" s="3671"/>
      <c r="Q5" s="3672"/>
      <c r="R5" s="3652"/>
      <c r="S5" s="3653"/>
      <c r="T5" s="3652"/>
      <c r="U5" s="3653"/>
      <c r="V5" s="3677"/>
      <c r="W5" s="3677"/>
      <c r="X5" s="1809"/>
      <c r="Y5" s="3652"/>
      <c r="Z5" s="3653"/>
      <c r="AA5" s="3646"/>
      <c r="AB5" s="3646"/>
      <c r="AC5" s="3646"/>
    </row>
    <row r="6" spans="1:29" ht="15.75" thickBot="1">
      <c r="A6" s="405"/>
      <c r="B6" s="406"/>
      <c r="C6" s="3658" t="s">
        <v>2549</v>
      </c>
      <c r="D6" s="3659"/>
      <c r="E6" s="3662" t="s">
        <v>2549</v>
      </c>
      <c r="F6" s="3663"/>
      <c r="G6" s="3658" t="s">
        <v>2549</v>
      </c>
      <c r="H6" s="3659"/>
      <c r="I6" s="3658" t="s">
        <v>2549</v>
      </c>
      <c r="J6" s="3659"/>
      <c r="K6" s="609" t="s">
        <v>2550</v>
      </c>
      <c r="L6" s="1126"/>
      <c r="M6" s="1127"/>
      <c r="N6" s="1127"/>
      <c r="O6" s="1127"/>
      <c r="P6" s="3673"/>
      <c r="Q6" s="3674"/>
      <c r="R6" s="3652"/>
      <c r="S6" s="3653"/>
      <c r="T6" s="3675"/>
      <c r="U6" s="3676"/>
      <c r="V6" s="3677"/>
      <c r="W6" s="3677"/>
      <c r="X6" s="1809"/>
      <c r="Y6" s="3675"/>
      <c r="Z6" s="3676"/>
      <c r="AA6" s="3647"/>
      <c r="AB6" s="3647"/>
      <c r="AC6" s="3647"/>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648" t="s">
        <v>2552</v>
      </c>
      <c r="Q7" s="3678"/>
      <c r="R7" s="766" t="s">
        <v>17</v>
      </c>
      <c r="S7" s="767">
        <f t="shared" ref="S7:S14" si="0">F7</f>
        <v>0</v>
      </c>
      <c r="T7" s="766" t="s">
        <v>17</v>
      </c>
      <c r="U7" s="767">
        <f t="shared" ref="U7:U14" si="1">H7</f>
        <v>0</v>
      </c>
      <c r="V7" s="766" t="s">
        <v>17</v>
      </c>
      <c r="W7" s="767">
        <f t="shared" ref="W7:W14" si="2">J7</f>
        <v>0</v>
      </c>
      <c r="X7" s="768"/>
      <c r="Y7" s="3648" t="s">
        <v>2552</v>
      </c>
      <c r="Z7" s="3649"/>
      <c r="AA7" s="769" t="e">
        <f>D7/F7</f>
        <v>#DIV/0!</v>
      </c>
      <c r="AB7" s="769" t="e">
        <f>D7/H7</f>
        <v>#DIV/0!</v>
      </c>
      <c r="AC7" s="769"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648" t="s">
        <v>2555</v>
      </c>
      <c r="Q8" s="3649"/>
      <c r="R8" s="766" t="s">
        <v>17</v>
      </c>
      <c r="S8" s="767">
        <f t="shared" si="0"/>
        <v>0</v>
      </c>
      <c r="T8" s="766" t="s">
        <v>17</v>
      </c>
      <c r="U8" s="767">
        <f t="shared" si="1"/>
        <v>0</v>
      </c>
      <c r="V8" s="766" t="s">
        <v>17</v>
      </c>
      <c r="W8" s="767">
        <f t="shared" si="2"/>
        <v>0</v>
      </c>
      <c r="X8" s="768"/>
      <c r="Y8" s="3648" t="s">
        <v>2555</v>
      </c>
      <c r="Z8" s="3649"/>
      <c r="AA8" s="769" t="e">
        <f t="shared" ref="AA8:AA36" si="3">D8/F8</f>
        <v>#DIV/0!</v>
      </c>
      <c r="AB8" s="769" t="e">
        <f t="shared" ref="AB8:AB36" si="4">D8/H8</f>
        <v>#DIV/0!</v>
      </c>
      <c r="AC8" s="769"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682" t="s">
        <v>2558</v>
      </c>
      <c r="Q9" s="1791" t="str">
        <f t="shared" ref="Q9:Q14" si="6">B9</f>
        <v>用途</v>
      </c>
      <c r="R9" s="766" t="s">
        <v>17</v>
      </c>
      <c r="S9" s="767">
        <f t="shared" si="0"/>
        <v>100</v>
      </c>
      <c r="T9" s="766" t="s">
        <v>17</v>
      </c>
      <c r="U9" s="767">
        <f t="shared" si="1"/>
        <v>100</v>
      </c>
      <c r="V9" s="766" t="s">
        <v>17</v>
      </c>
      <c r="W9" s="767">
        <f t="shared" si="2"/>
        <v>100</v>
      </c>
      <c r="X9" s="768"/>
      <c r="Y9" s="3525" t="s">
        <v>2559</v>
      </c>
      <c r="Z9" s="55" t="str">
        <f t="shared" ref="Z9:Z14" si="7">Q9</f>
        <v>用途</v>
      </c>
      <c r="AA9" s="769">
        <f t="shared" si="3"/>
        <v>1</v>
      </c>
      <c r="AB9" s="769">
        <f t="shared" si="4"/>
        <v>1</v>
      </c>
      <c r="AC9" s="769">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682"/>
      <c r="Q10" s="1791" t="str">
        <f t="shared" si="6"/>
        <v>土地使用年限（年）</v>
      </c>
      <c r="R10" s="766" t="s">
        <v>17</v>
      </c>
      <c r="S10" s="767">
        <f t="shared" si="0"/>
        <v>100</v>
      </c>
      <c r="T10" s="766" t="s">
        <v>17</v>
      </c>
      <c r="U10" s="767">
        <f t="shared" si="1"/>
        <v>100</v>
      </c>
      <c r="V10" s="766" t="s">
        <v>17</v>
      </c>
      <c r="W10" s="767">
        <f t="shared" si="2"/>
        <v>100</v>
      </c>
      <c r="X10" s="768"/>
      <c r="Y10" s="3525"/>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682"/>
      <c r="Q11" s="1791">
        <f t="shared" si="6"/>
        <v>111</v>
      </c>
      <c r="R11" s="766" t="s">
        <v>17</v>
      </c>
      <c r="S11" s="767">
        <f t="shared" si="0"/>
        <v>100</v>
      </c>
      <c r="T11" s="766" t="s">
        <v>17</v>
      </c>
      <c r="U11" s="767">
        <f t="shared" si="1"/>
        <v>100</v>
      </c>
      <c r="V11" s="766" t="s">
        <v>17</v>
      </c>
      <c r="W11" s="767">
        <f t="shared" si="2"/>
        <v>100</v>
      </c>
      <c r="X11" s="768"/>
      <c r="Y11" s="3525"/>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682"/>
      <c r="Q12" s="1791">
        <f t="shared" si="6"/>
        <v>111</v>
      </c>
      <c r="R12" s="766" t="s">
        <v>17</v>
      </c>
      <c r="S12" s="767">
        <f t="shared" si="0"/>
        <v>100</v>
      </c>
      <c r="T12" s="766" t="s">
        <v>17</v>
      </c>
      <c r="U12" s="767">
        <f t="shared" si="1"/>
        <v>100</v>
      </c>
      <c r="V12" s="766" t="s">
        <v>17</v>
      </c>
      <c r="W12" s="767">
        <f t="shared" si="2"/>
        <v>100</v>
      </c>
      <c r="X12" s="768"/>
      <c r="Y12" s="3525"/>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682"/>
      <c r="Q13" s="1791">
        <f t="shared" si="6"/>
        <v>111</v>
      </c>
      <c r="R13" s="766" t="s">
        <v>17</v>
      </c>
      <c r="S13" s="767">
        <f t="shared" si="0"/>
        <v>100</v>
      </c>
      <c r="T13" s="766" t="s">
        <v>17</v>
      </c>
      <c r="U13" s="767">
        <f t="shared" si="1"/>
        <v>100</v>
      </c>
      <c r="V13" s="766" t="s">
        <v>17</v>
      </c>
      <c r="W13" s="767">
        <f t="shared" si="2"/>
        <v>100</v>
      </c>
      <c r="X13" s="768"/>
      <c r="Y13" s="3525"/>
      <c r="Z13" s="55">
        <f t="shared" si="7"/>
        <v>111</v>
      </c>
      <c r="AA13" s="769">
        <f t="shared" si="3"/>
        <v>1</v>
      </c>
      <c r="AB13" s="769">
        <f t="shared" si="4"/>
        <v>1</v>
      </c>
      <c r="AC13" s="769">
        <f t="shared" si="5"/>
        <v>1</v>
      </c>
    </row>
    <row r="14" spans="1:29" ht="85.5">
      <c r="A14" s="400" t="s">
        <v>2562</v>
      </c>
      <c r="B14" s="628" t="s">
        <v>2712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684" t="s">
        <v>2563</v>
      </c>
      <c r="Q14" s="1806" t="str">
        <f t="shared" si="6"/>
        <v>交通便捷度</v>
      </c>
      <c r="R14" s="770" t="s">
        <v>17</v>
      </c>
      <c r="S14" s="771">
        <f t="shared" si="0"/>
        <v>100</v>
      </c>
      <c r="T14" s="770" t="s">
        <v>17</v>
      </c>
      <c r="U14" s="771">
        <f t="shared" si="1"/>
        <v>100</v>
      </c>
      <c r="V14" s="770" t="s">
        <v>17</v>
      </c>
      <c r="W14" s="771">
        <f t="shared" si="2"/>
        <v>100</v>
      </c>
      <c r="X14" s="1809"/>
      <c r="Y14" s="3684" t="s">
        <v>2563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685"/>
      <c r="Q15" s="1806"/>
      <c r="R15" s="770"/>
      <c r="S15" s="771"/>
      <c r="T15" s="770"/>
      <c r="U15" s="771"/>
      <c r="V15" s="770"/>
      <c r="W15" s="771"/>
      <c r="X15" s="1809"/>
      <c r="Y15" s="3685"/>
      <c r="Z15" s="1810"/>
      <c r="AA15" s="1807">
        <v>1</v>
      </c>
      <c r="AB15" s="1807">
        <v>1</v>
      </c>
      <c r="AC15" s="1807">
        <v>1</v>
      </c>
    </row>
    <row r="16" spans="1:29" ht="42.75">
      <c r="A16" s="403"/>
      <c r="B16" s="630" t="s">
        <v>2691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685"/>
      <c r="Q16" s="1806" t="str">
        <f>B16</f>
        <v>公共配套设施</v>
      </c>
      <c r="R16" s="770" t="s">
        <v>17</v>
      </c>
      <c r="S16" s="771">
        <f>F16</f>
        <v>100</v>
      </c>
      <c r="T16" s="770" t="s">
        <v>17</v>
      </c>
      <c r="U16" s="771">
        <f>H16</f>
        <v>100</v>
      </c>
      <c r="V16" s="770" t="s">
        <v>17</v>
      </c>
      <c r="W16" s="771">
        <f>J16</f>
        <v>100</v>
      </c>
      <c r="X16" s="1809"/>
      <c r="Y16" s="3685"/>
      <c r="Z16" s="1810" t="str">
        <f>Q16</f>
        <v>公共配套设施</v>
      </c>
      <c r="AA16" s="1807">
        <f t="shared" si="3"/>
        <v>1</v>
      </c>
      <c r="AB16" s="1807">
        <f t="shared" si="4"/>
        <v>1</v>
      </c>
      <c r="AC16" s="1807">
        <f t="shared" si="5"/>
        <v>1</v>
      </c>
    </row>
    <row r="17" spans="1:29" ht="15">
      <c r="A17" s="403"/>
      <c r="B17" s="631"/>
      <c r="C17" s="2607"/>
      <c r="D17" s="447"/>
      <c r="E17" s="446"/>
      <c r="F17" s="448"/>
      <c r="G17" s="446"/>
      <c r="H17" s="447"/>
      <c r="I17" s="446"/>
      <c r="J17" s="447"/>
      <c r="K17" s="614"/>
      <c r="L17" s="1136"/>
      <c r="M17" s="1127"/>
      <c r="N17" s="1127"/>
      <c r="O17" s="1127"/>
      <c r="P17" s="3685"/>
      <c r="Q17" s="1806"/>
      <c r="R17" s="770"/>
      <c r="S17" s="771"/>
      <c r="T17" s="770"/>
      <c r="U17" s="771"/>
      <c r="V17" s="770"/>
      <c r="W17" s="771"/>
      <c r="X17" s="1809"/>
      <c r="Y17" s="3685"/>
      <c r="Z17" s="1810"/>
      <c r="AA17" s="1807">
        <v>1</v>
      </c>
      <c r="AB17" s="1807">
        <v>1</v>
      </c>
      <c r="AC17" s="1807">
        <v>1</v>
      </c>
    </row>
    <row r="18" spans="1:29" ht="28.5">
      <c r="A18" s="403"/>
      <c r="B18" s="632" t="s">
        <v>2692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685"/>
      <c r="Q18" s="1806" t="str">
        <f>B18</f>
        <v>基础设施水平</v>
      </c>
      <c r="R18" s="770" t="s">
        <v>17</v>
      </c>
      <c r="S18" s="771">
        <f>F18</f>
        <v>100</v>
      </c>
      <c r="T18" s="770" t="s">
        <v>17</v>
      </c>
      <c r="U18" s="771">
        <f>H18</f>
        <v>100</v>
      </c>
      <c r="V18" s="770" t="s">
        <v>17</v>
      </c>
      <c r="W18" s="771">
        <f>J18</f>
        <v>100</v>
      </c>
      <c r="X18" s="1809"/>
      <c r="Y18" s="3685"/>
      <c r="Z18" s="1810" t="str">
        <f>Q18</f>
        <v>基础设施水平</v>
      </c>
      <c r="AA18" s="1807">
        <f t="shared" ref="AA18" si="8">D18/F18</f>
        <v>1</v>
      </c>
      <c r="AB18" s="1807">
        <f t="shared" ref="AB18" si="9">D18/H18</f>
        <v>1</v>
      </c>
      <c r="AC18" s="1807">
        <f t="shared" ref="AC18" si="10">D18/J18</f>
        <v>1</v>
      </c>
    </row>
    <row r="19" spans="1:29" ht="15">
      <c r="A19" s="403"/>
      <c r="B19" s="632"/>
      <c r="C19" s="2607"/>
      <c r="D19" s="449"/>
      <c r="E19" s="2607"/>
      <c r="F19" s="452"/>
      <c r="G19" s="2607"/>
      <c r="H19" s="447"/>
      <c r="I19" s="446"/>
      <c r="J19" s="447"/>
      <c r="K19" s="1379"/>
      <c r="L19" s="1136"/>
      <c r="M19" s="1127"/>
      <c r="N19" s="1127"/>
      <c r="O19" s="1127"/>
      <c r="P19" s="3685"/>
      <c r="Q19" s="1806"/>
      <c r="R19" s="770"/>
      <c r="S19" s="771"/>
      <c r="T19" s="770"/>
      <c r="U19" s="771"/>
      <c r="V19" s="770"/>
      <c r="W19" s="771"/>
      <c r="X19" s="1809"/>
      <c r="Y19" s="3685"/>
      <c r="Z19" s="1810"/>
      <c r="AA19" s="1807">
        <v>1</v>
      </c>
      <c r="AB19" s="1807">
        <v>1</v>
      </c>
      <c r="AC19" s="1807">
        <v>1</v>
      </c>
    </row>
    <row r="20" spans="1:29" ht="57">
      <c r="A20" s="403"/>
      <c r="B20" s="630" t="s">
        <v>2713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685"/>
      <c r="Q20" s="1806" t="str">
        <f>B20</f>
        <v>自然及人文环境</v>
      </c>
      <c r="R20" s="770" t="s">
        <v>17</v>
      </c>
      <c r="S20" s="771">
        <f>F20</f>
        <v>100</v>
      </c>
      <c r="T20" s="770" t="s">
        <v>17</v>
      </c>
      <c r="U20" s="771">
        <f>H20</f>
        <v>100</v>
      </c>
      <c r="V20" s="770" t="s">
        <v>17</v>
      </c>
      <c r="W20" s="771">
        <f>J20</f>
        <v>100</v>
      </c>
      <c r="X20" s="1809"/>
      <c r="Y20" s="3685"/>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685"/>
      <c r="Q21" s="1806"/>
      <c r="R21" s="770"/>
      <c r="S21" s="771"/>
      <c r="T21" s="770"/>
      <c r="U21" s="771"/>
      <c r="V21" s="770"/>
      <c r="W21" s="771"/>
      <c r="X21" s="1809"/>
      <c r="Y21" s="3685"/>
      <c r="Z21" s="1810"/>
      <c r="AA21" s="1807">
        <v>1</v>
      </c>
      <c r="AB21" s="1807">
        <v>1</v>
      </c>
      <c r="AC21" s="1807">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685"/>
      <c r="Q22" s="1806" t="str">
        <f>B22</f>
        <v>楼层</v>
      </c>
      <c r="R22" s="770" t="s">
        <v>17</v>
      </c>
      <c r="S22" s="771">
        <f>F22</f>
        <v>100</v>
      </c>
      <c r="T22" s="770" t="s">
        <v>17</v>
      </c>
      <c r="U22" s="771">
        <f>H22</f>
        <v>100</v>
      </c>
      <c r="V22" s="770" t="s">
        <v>17</v>
      </c>
      <c r="W22" s="771">
        <f>J22</f>
        <v>100</v>
      </c>
      <c r="X22" s="1809"/>
      <c r="Y22" s="3685"/>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685"/>
      <c r="Q23" s="1806">
        <f>B23</f>
        <v>111</v>
      </c>
      <c r="R23" s="770" t="s">
        <v>17</v>
      </c>
      <c r="S23" s="771">
        <f>F23</f>
        <v>100</v>
      </c>
      <c r="T23" s="770" t="s">
        <v>17</v>
      </c>
      <c r="U23" s="771">
        <f>H23</f>
        <v>100</v>
      </c>
      <c r="V23" s="770" t="s">
        <v>17</v>
      </c>
      <c r="W23" s="771">
        <f>J23</f>
        <v>100</v>
      </c>
      <c r="X23" s="1809"/>
      <c r="Y23" s="3685"/>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685"/>
      <c r="Q24" s="1806">
        <f t="shared" ref="Q24:Q36" si="11">B24</f>
        <v>111</v>
      </c>
      <c r="R24" s="770" t="s">
        <v>17</v>
      </c>
      <c r="S24" s="771">
        <f>F24</f>
        <v>100</v>
      </c>
      <c r="T24" s="770" t="s">
        <v>17</v>
      </c>
      <c r="U24" s="771">
        <f>H24</f>
        <v>100</v>
      </c>
      <c r="V24" s="770" t="s">
        <v>17</v>
      </c>
      <c r="W24" s="771">
        <f>J24</f>
        <v>100</v>
      </c>
      <c r="X24" s="1809"/>
      <c r="Y24" s="3685"/>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685"/>
      <c r="Q25" s="1791">
        <f t="shared" si="11"/>
        <v>111</v>
      </c>
      <c r="R25" s="766" t="s">
        <v>17</v>
      </c>
      <c r="S25" s="767">
        <f>F25</f>
        <v>100</v>
      </c>
      <c r="T25" s="766" t="s">
        <v>17</v>
      </c>
      <c r="U25" s="767">
        <f>H25</f>
        <v>100</v>
      </c>
      <c r="V25" s="766" t="s">
        <v>17</v>
      </c>
      <c r="W25" s="767">
        <f>J25</f>
        <v>100</v>
      </c>
      <c r="X25" s="768"/>
      <c r="Y25" s="3685"/>
      <c r="Z25" s="55">
        <f>Q25</f>
        <v>111</v>
      </c>
      <c r="AA25" s="1807">
        <f>D25/F25</f>
        <v>1</v>
      </c>
      <c r="AB25" s="1807">
        <f>D25/H25</f>
        <v>1</v>
      </c>
      <c r="AC25" s="1807">
        <f>D25/J25</f>
        <v>1</v>
      </c>
    </row>
    <row r="26" spans="1:29" ht="15">
      <c r="A26" s="651" t="s">
        <v>2566</v>
      </c>
      <c r="B26" s="70" t="s">
        <v>2715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812" t="s">
        <v>2568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689" t="s">
        <v>2568</v>
      </c>
      <c r="Z26" s="1810" t="str">
        <f t="shared" ref="Z26:Z36" si="15">Q26</f>
        <v>配套类型</v>
      </c>
      <c r="AA26" s="1807">
        <f t="shared" si="3"/>
        <v>1</v>
      </c>
      <c r="AB26" s="1807">
        <f t="shared" si="4"/>
        <v>1</v>
      </c>
      <c r="AC26" s="1807">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689"/>
      <c r="Q27" s="772" t="str">
        <f t="shared" si="11"/>
        <v>项目停车位配比</v>
      </c>
      <c r="R27" s="773" t="s">
        <v>17</v>
      </c>
      <c r="S27" s="774">
        <f t="shared" si="12"/>
        <v>100</v>
      </c>
      <c r="T27" s="773" t="s">
        <v>17</v>
      </c>
      <c r="U27" s="774">
        <f t="shared" si="13"/>
        <v>100</v>
      </c>
      <c r="V27" s="773" t="s">
        <v>17</v>
      </c>
      <c r="W27" s="774">
        <f t="shared" si="14"/>
        <v>100</v>
      </c>
      <c r="X27" s="775"/>
      <c r="Y27" s="3689"/>
      <c r="Z27" s="776" t="str">
        <f t="shared" si="15"/>
        <v>项目停车位配比</v>
      </c>
      <c r="AA27" s="1807">
        <f t="shared" si="3"/>
        <v>1</v>
      </c>
      <c r="AB27" s="1807">
        <f t="shared" si="4"/>
        <v>1</v>
      </c>
      <c r="AC27" s="1807">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689"/>
      <c r="Q28" s="1806" t="str">
        <f t="shared" si="11"/>
        <v>公共部分装修</v>
      </c>
      <c r="R28" s="770" t="s">
        <v>17</v>
      </c>
      <c r="S28" s="771">
        <f t="shared" si="12"/>
        <v>100</v>
      </c>
      <c r="T28" s="770" t="s">
        <v>17</v>
      </c>
      <c r="U28" s="771">
        <f t="shared" si="13"/>
        <v>100</v>
      </c>
      <c r="V28" s="770" t="s">
        <v>17</v>
      </c>
      <c r="W28" s="771">
        <f t="shared" si="14"/>
        <v>100</v>
      </c>
      <c r="X28" s="1809"/>
      <c r="Y28" s="3689"/>
      <c r="Z28" s="1810" t="str">
        <f t="shared" si="15"/>
        <v>公共部分装修</v>
      </c>
      <c r="AA28" s="1807">
        <f t="shared" si="3"/>
        <v>1</v>
      </c>
      <c r="AB28" s="1807">
        <f t="shared" si="4"/>
        <v>1</v>
      </c>
      <c r="AC28" s="1807">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689"/>
      <c r="Q29" s="1806" t="str">
        <f t="shared" si="11"/>
        <v>成新率</v>
      </c>
      <c r="R29" s="770" t="s">
        <v>17</v>
      </c>
      <c r="S29" s="771" t="e">
        <f t="shared" si="12"/>
        <v>#N/A</v>
      </c>
      <c r="T29" s="770" t="s">
        <v>17</v>
      </c>
      <c r="U29" s="771" t="e">
        <f t="shared" si="13"/>
        <v>#N/A</v>
      </c>
      <c r="V29" s="770" t="s">
        <v>17</v>
      </c>
      <c r="W29" s="771" t="e">
        <f t="shared" si="14"/>
        <v>#N/A</v>
      </c>
      <c r="X29" s="1809"/>
      <c r="Y29" s="3689"/>
      <c r="Z29" s="1810" t="str">
        <f t="shared" si="15"/>
        <v>成新率</v>
      </c>
      <c r="AA29" s="1807" t="e">
        <f t="shared" si="3"/>
        <v>#N/A</v>
      </c>
      <c r="AB29" s="1807" t="e">
        <f t="shared" si="4"/>
        <v>#N/A</v>
      </c>
      <c r="AC29" s="1807"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689"/>
      <c r="Q30" s="1806" t="str">
        <f t="shared" si="11"/>
        <v>物业等级</v>
      </c>
      <c r="R30" s="770" t="s">
        <v>17</v>
      </c>
      <c r="S30" s="771">
        <f t="shared" si="12"/>
        <v>100</v>
      </c>
      <c r="T30" s="770" t="s">
        <v>17</v>
      </c>
      <c r="U30" s="771">
        <f t="shared" si="13"/>
        <v>100</v>
      </c>
      <c r="V30" s="770" t="s">
        <v>17</v>
      </c>
      <c r="W30" s="771">
        <f t="shared" si="14"/>
        <v>100</v>
      </c>
      <c r="X30" s="1809"/>
      <c r="Y30" s="3689"/>
      <c r="Z30" s="1810" t="str">
        <f t="shared" si="15"/>
        <v>物业等级</v>
      </c>
      <c r="AA30" s="1807">
        <f t="shared" si="3"/>
        <v>1</v>
      </c>
      <c r="AB30" s="1807">
        <f t="shared" si="4"/>
        <v>1</v>
      </c>
      <c r="AC30" s="1807">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689"/>
      <c r="Q31" s="1791" t="str">
        <f t="shared" si="11"/>
        <v>停车位面积</v>
      </c>
      <c r="R31" s="766" t="s">
        <v>17</v>
      </c>
      <c r="S31" s="767" t="e">
        <f t="shared" si="12"/>
        <v>#N/A</v>
      </c>
      <c r="T31" s="766" t="s">
        <v>17</v>
      </c>
      <c r="U31" s="767" t="e">
        <f t="shared" si="13"/>
        <v>#N/A</v>
      </c>
      <c r="V31" s="766" t="s">
        <v>17</v>
      </c>
      <c r="W31" s="767" t="e">
        <f t="shared" si="14"/>
        <v>#N/A</v>
      </c>
      <c r="X31" s="768"/>
      <c r="Y31" s="3689"/>
      <c r="Z31" s="55" t="str">
        <f t="shared" si="15"/>
        <v>停车位面积</v>
      </c>
      <c r="AA31" s="769" t="e">
        <f t="shared" si="3"/>
        <v>#N/A</v>
      </c>
      <c r="AB31" s="769" t="e">
        <f t="shared" si="4"/>
        <v>#N/A</v>
      </c>
      <c r="AC31" s="769"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689" t="s">
        <v>2568</v>
      </c>
      <c r="Q32" s="1806" t="str">
        <f t="shared" si="11"/>
        <v>车位类型</v>
      </c>
      <c r="R32" s="770" t="s">
        <v>17</v>
      </c>
      <c r="S32" s="771">
        <f t="shared" si="12"/>
        <v>100</v>
      </c>
      <c r="T32" s="770" t="s">
        <v>17</v>
      </c>
      <c r="U32" s="771">
        <f t="shared" si="13"/>
        <v>100</v>
      </c>
      <c r="V32" s="770" t="s">
        <v>17</v>
      </c>
      <c r="W32" s="771">
        <f t="shared" si="14"/>
        <v>100</v>
      </c>
      <c r="X32" s="1809"/>
      <c r="Y32" s="3689" t="s">
        <v>2568</v>
      </c>
      <c r="Z32" s="1810" t="str">
        <f t="shared" si="15"/>
        <v>车位类型</v>
      </c>
      <c r="AA32" s="1807">
        <f t="shared" si="3"/>
        <v>1</v>
      </c>
      <c r="AB32" s="1807">
        <f t="shared" si="4"/>
        <v>1</v>
      </c>
      <c r="AC32" s="1807">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689"/>
      <c r="Q33" s="1806" t="str">
        <f t="shared" si="11"/>
        <v>是否直接入户</v>
      </c>
      <c r="R33" s="770" t="s">
        <v>17</v>
      </c>
      <c r="S33" s="771">
        <f t="shared" si="12"/>
        <v>100</v>
      </c>
      <c r="T33" s="770" t="s">
        <v>17</v>
      </c>
      <c r="U33" s="771">
        <f t="shared" si="13"/>
        <v>100</v>
      </c>
      <c r="V33" s="770" t="s">
        <v>17</v>
      </c>
      <c r="W33" s="771">
        <f t="shared" si="14"/>
        <v>100</v>
      </c>
      <c r="X33" s="1809"/>
      <c r="Y33" s="3689"/>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689"/>
      <c r="Q34" s="1806">
        <f t="shared" si="11"/>
        <v>111</v>
      </c>
      <c r="R34" s="770" t="s">
        <v>17</v>
      </c>
      <c r="S34" s="771">
        <f t="shared" si="12"/>
        <v>100</v>
      </c>
      <c r="T34" s="770" t="s">
        <v>17</v>
      </c>
      <c r="U34" s="771">
        <f t="shared" si="13"/>
        <v>100</v>
      </c>
      <c r="V34" s="770" t="s">
        <v>17</v>
      </c>
      <c r="W34" s="771">
        <f t="shared" si="14"/>
        <v>100</v>
      </c>
      <c r="X34" s="1809"/>
      <c r="Y34" s="3689"/>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689"/>
      <c r="Q35" s="772">
        <f t="shared" si="11"/>
        <v>111</v>
      </c>
      <c r="R35" s="773" t="s">
        <v>17</v>
      </c>
      <c r="S35" s="774">
        <f t="shared" si="12"/>
        <v>100</v>
      </c>
      <c r="T35" s="773" t="s">
        <v>17</v>
      </c>
      <c r="U35" s="774">
        <f t="shared" si="13"/>
        <v>100</v>
      </c>
      <c r="V35" s="773" t="s">
        <v>17</v>
      </c>
      <c r="W35" s="774">
        <f t="shared" si="14"/>
        <v>100</v>
      </c>
      <c r="X35" s="775"/>
      <c r="Y35" s="3689"/>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689"/>
      <c r="Q36" s="1806">
        <f t="shared" si="11"/>
        <v>111</v>
      </c>
      <c r="R36" s="770" t="s">
        <v>17</v>
      </c>
      <c r="S36" s="771">
        <f t="shared" si="12"/>
        <v>100</v>
      </c>
      <c r="T36" s="770" t="s">
        <v>17</v>
      </c>
      <c r="U36" s="771">
        <f t="shared" si="13"/>
        <v>100</v>
      </c>
      <c r="V36" s="770" t="s">
        <v>17</v>
      </c>
      <c r="W36" s="771">
        <f t="shared" si="14"/>
        <v>100</v>
      </c>
      <c r="X36" s="1809"/>
      <c r="Y36" s="3689"/>
      <c r="Z36" s="1810">
        <f t="shared" si="15"/>
        <v>111</v>
      </c>
      <c r="AA36" s="1807">
        <f t="shared" si="3"/>
        <v>1</v>
      </c>
      <c r="AB36" s="1807">
        <f t="shared" si="4"/>
        <v>1</v>
      </c>
      <c r="AC36" s="1807">
        <f t="shared" si="5"/>
        <v>1</v>
      </c>
    </row>
    <row r="37" spans="1:29" ht="15">
      <c r="A37" s="478" t="s">
        <v>2723</v>
      </c>
      <c r="B37" s="2694" t="s">
        <v>2724</v>
      </c>
      <c r="C37" s="1403" t="s">
        <v>1</v>
      </c>
      <c r="D37" s="1404"/>
      <c r="E37" s="1405"/>
      <c r="F37" s="1406"/>
      <c r="G37" s="1407"/>
      <c r="H37" s="1408"/>
      <c r="I37" s="1405"/>
      <c r="J37" s="1408"/>
      <c r="K37" s="618"/>
      <c r="L37" s="1139"/>
      <c r="M37" s="1140"/>
      <c r="N37" s="1127"/>
      <c r="O37" s="1140"/>
      <c r="P37" s="3682" t="str">
        <f>A37</f>
        <v>成交单价</v>
      </c>
      <c r="Q37" s="3682"/>
      <c r="R37" s="3683">
        <f>E37</f>
        <v>0</v>
      </c>
      <c r="S37" s="3683"/>
      <c r="T37" s="3683">
        <f>G37</f>
        <v>0</v>
      </c>
      <c r="U37" s="3683"/>
      <c r="V37" s="3683">
        <f>I37</f>
        <v>0</v>
      </c>
      <c r="W37" s="3683"/>
      <c r="X37" s="755"/>
      <c r="Y37" s="777"/>
      <c r="Z37" s="755"/>
      <c r="AA37" s="755"/>
      <c r="AB37" s="755"/>
      <c r="AC37" s="755"/>
    </row>
    <row r="38" spans="1:29" ht="15.75" thickBot="1">
      <c r="A38" s="485" t="s">
        <v>2725</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755"/>
      <c r="Y38" s="755"/>
      <c r="Z38" s="755"/>
      <c r="AA38" s="755"/>
      <c r="AB38" s="755"/>
      <c r="AC38" s="755"/>
    </row>
    <row r="39" spans="1:29" ht="15.75" thickBot="1">
      <c r="A39" s="491" t="s">
        <v>2726</v>
      </c>
      <c r="B39" s="492"/>
      <c r="C39" s="1413" t="e">
        <f>R39</f>
        <v>#DIV/0!</v>
      </c>
      <c r="D39" s="1413"/>
      <c r="E39" s="1413"/>
      <c r="F39" s="1413"/>
      <c r="G39" s="1413"/>
      <c r="H39" s="1413"/>
      <c r="I39" s="1413"/>
      <c r="J39" s="1413"/>
      <c r="K39" s="620"/>
      <c r="L39" s="1139"/>
      <c r="M39" s="1140"/>
      <c r="N39" s="1140"/>
      <c r="O39" s="1140"/>
      <c r="P39" s="3679" t="str">
        <f>A39</f>
        <v>估价对象XX用房的比较价值（楼面单价，元/平方米）</v>
      </c>
      <c r="Q39" s="3680"/>
      <c r="R39" s="3681" t="e">
        <f>IF(F1="售价",ROUND(AVERAGE(R38:V38),0),ROUND(AVERAGE(R38:V38),1))</f>
        <v>#DIV/0!</v>
      </c>
      <c r="S39" s="3681"/>
      <c r="T39" s="3681"/>
      <c r="U39" s="3681"/>
      <c r="V39" s="3681"/>
      <c r="W39" s="3681"/>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2731</v>
      </c>
      <c r="B48" s="505"/>
      <c r="C48" s="1570" t="str">
        <f>YEAR(C7)&amp;"-"&amp;MONTH(C7)</f>
        <v>2018-2</v>
      </c>
      <c r="D48" s="1571">
        <f>EDATE(C48,-1)</f>
        <v>43101</v>
      </c>
      <c r="E48" s="1571">
        <f t="shared" ref="E48:O48" si="16">EDATE(D48,-1)</f>
        <v>43070</v>
      </c>
      <c r="F48" s="1571">
        <f t="shared" si="16"/>
        <v>43040</v>
      </c>
      <c r="G48" s="1571">
        <f t="shared" si="16"/>
        <v>43009</v>
      </c>
      <c r="H48" s="1571">
        <f t="shared" si="16"/>
        <v>42979</v>
      </c>
      <c r="I48" s="1571">
        <f t="shared" si="16"/>
        <v>42948</v>
      </c>
      <c r="J48" s="1571">
        <f t="shared" si="16"/>
        <v>42917</v>
      </c>
      <c r="K48" s="1571">
        <f t="shared" si="16"/>
        <v>42887</v>
      </c>
      <c r="L48" s="1571">
        <f t="shared" si="16"/>
        <v>42856</v>
      </c>
      <c r="M48" s="1571">
        <f t="shared" si="16"/>
        <v>42826</v>
      </c>
      <c r="N48" s="1571">
        <f t="shared" si="16"/>
        <v>42795</v>
      </c>
      <c r="O48" s="1571">
        <f t="shared" si="16"/>
        <v>42767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2553</v>
      </c>
      <c r="B51" s="509"/>
      <c r="C51" s="521" t="s">
        <v>2655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2591</v>
      </c>
      <c r="B53" s="527" t="s">
        <v>2557</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2606</v>
      </c>
      <c r="C65" s="577" t="s">
        <v>2600</v>
      </c>
      <c r="D65" s="577" t="s">
        <v>2601</v>
      </c>
      <c r="E65" s="577" t="s">
        <v>2602</v>
      </c>
      <c r="F65" s="577" t="s">
        <v>2603</v>
      </c>
      <c r="G65" s="577" t="s">
        <v>2604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2692</v>
      </c>
      <c r="C67" s="659" t="s">
        <v>2678</v>
      </c>
      <c r="D67" s="659" t="s">
        <v>2679</v>
      </c>
      <c r="E67" s="659" t="s">
        <v>2680</v>
      </c>
      <c r="F67" s="659" t="s">
        <v>2681</v>
      </c>
      <c r="G67" s="659" t="s">
        <v>2682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2612</v>
      </c>
      <c r="C69" s="577" t="s">
        <v>2600</v>
      </c>
      <c r="D69" s="577" t="s">
        <v>2601</v>
      </c>
      <c r="E69" s="577" t="s">
        <v>2602</v>
      </c>
      <c r="F69" s="577" t="s">
        <v>2603</v>
      </c>
      <c r="G69" s="577" t="s">
        <v>2604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2732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2566</v>
      </c>
      <c r="B79" s="527" t="s">
        <v>2733</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2619</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2738</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2739</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IF(C2="——",ROUND(C37*D3/10000,0),ROUND(C37*D3/10000,0)-D2)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IF(C2="——",C37,ROUND(B2*10000/D3,0))</f>
        <v>#DIV/0!</v>
      </c>
      <c r="C3" s="399" t="s">
        <v>2647</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65" t="s">
        <v>2649</v>
      </c>
      <c r="D4" s="3666"/>
      <c r="E4" s="3667" t="s">
        <v>2650</v>
      </c>
      <c r="F4" s="3668"/>
      <c r="G4" s="3665" t="s">
        <v>2651</v>
      </c>
      <c r="H4" s="3666"/>
      <c r="I4" s="3665" t="s">
        <v>2652</v>
      </c>
      <c r="J4" s="3666"/>
      <c r="K4" s="609" t="s">
        <v>2653</v>
      </c>
      <c r="L4" s="1126"/>
      <c r="M4" s="1127"/>
      <c r="N4" s="1127"/>
      <c r="O4" s="1127"/>
      <c r="P4" s="3669" t="s">
        <v>2654</v>
      </c>
      <c r="Q4" s="3670"/>
      <c r="R4" s="3650" t="s">
        <v>2650</v>
      </c>
      <c r="S4" s="3651"/>
      <c r="T4" s="3650" t="s">
        <v>2651</v>
      </c>
      <c r="U4" s="3651"/>
      <c r="V4" s="3677" t="s">
        <v>2652</v>
      </c>
      <c r="W4" s="3677"/>
      <c r="X4" s="1809"/>
      <c r="Y4" s="3650" t="s">
        <v>2654</v>
      </c>
      <c r="Z4" s="3651"/>
      <c r="AA4" s="3645" t="s">
        <v>2650</v>
      </c>
      <c r="AB4" s="3646" t="s">
        <v>2651</v>
      </c>
      <c r="AC4" s="3645" t="s">
        <v>2652</v>
      </c>
    </row>
    <row r="5" spans="1:29" ht="15">
      <c r="A5" s="403"/>
      <c r="B5" s="404"/>
      <c r="C5" s="3656" t="s">
        <v>2545</v>
      </c>
      <c r="D5" s="3657"/>
      <c r="E5" s="3799" t="s">
        <v>2546</v>
      </c>
      <c r="F5" s="3761"/>
      <c r="G5" s="3656" t="s">
        <v>2547</v>
      </c>
      <c r="H5" s="3657"/>
      <c r="I5" s="3656" t="s">
        <v>2548</v>
      </c>
      <c r="J5" s="3657"/>
      <c r="K5" s="609"/>
      <c r="L5" s="1126"/>
      <c r="M5" s="1127"/>
      <c r="N5" s="1127"/>
      <c r="O5" s="1127"/>
      <c r="P5" s="3671"/>
      <c r="Q5" s="3672"/>
      <c r="R5" s="3652"/>
      <c r="S5" s="3653"/>
      <c r="T5" s="3652"/>
      <c r="U5" s="3653"/>
      <c r="V5" s="3677"/>
      <c r="W5" s="3677"/>
      <c r="X5" s="1809"/>
      <c r="Y5" s="3652"/>
      <c r="Z5" s="3653"/>
      <c r="AA5" s="3646"/>
      <c r="AB5" s="3646"/>
      <c r="AC5" s="3646"/>
    </row>
    <row r="6" spans="1:29" ht="15.75" thickBot="1">
      <c r="A6" s="405"/>
      <c r="B6" s="406"/>
      <c r="C6" s="3658" t="s">
        <v>2549</v>
      </c>
      <c r="D6" s="3659"/>
      <c r="E6" s="3662" t="s">
        <v>2549</v>
      </c>
      <c r="F6" s="3663"/>
      <c r="G6" s="3658" t="s">
        <v>2549</v>
      </c>
      <c r="H6" s="3659"/>
      <c r="I6" s="3658" t="s">
        <v>2549</v>
      </c>
      <c r="J6" s="3659"/>
      <c r="K6" s="609" t="s">
        <v>2550</v>
      </c>
      <c r="L6" s="1126"/>
      <c r="M6" s="1127"/>
      <c r="N6" s="1127"/>
      <c r="O6" s="1127"/>
      <c r="P6" s="3673"/>
      <c r="Q6" s="3674"/>
      <c r="R6" s="3652"/>
      <c r="S6" s="3653"/>
      <c r="T6" s="3675"/>
      <c r="U6" s="3676"/>
      <c r="V6" s="3677"/>
      <c r="W6" s="3677"/>
      <c r="X6" s="1809"/>
      <c r="Y6" s="3675"/>
      <c r="Z6" s="3676"/>
      <c r="AA6" s="3647"/>
      <c r="AB6" s="3647"/>
      <c r="AC6" s="3647"/>
    </row>
    <row r="7" spans="1:29" s="116" customFormat="1" ht="15.75" thickBot="1">
      <c r="A7" s="407" t="s">
        <v>2551</v>
      </c>
      <c r="B7" s="408"/>
      <c r="C7" s="409">
        <f>'数据-取费表'!B2</f>
        <v>43155</v>
      </c>
      <c r="D7" s="410">
        <v>100</v>
      </c>
      <c r="E7" s="411"/>
      <c r="F7" s="412">
        <f>SUMIF(46:46,YEAR(E7)&amp;"-"&amp;MONTH(E7),47:47)</f>
        <v>0</v>
      </c>
      <c r="G7" s="2695"/>
      <c r="H7" s="410">
        <f>SUMIF(46:46,YEAR(G7)&amp;"-"&amp;MONTH(G7),47:47)</f>
        <v>0</v>
      </c>
      <c r="I7" s="411"/>
      <c r="J7" s="410">
        <f>SUMIF(46:46,YEAR(I7)&amp;"-"&amp;MONTH(I7),47:47)</f>
        <v>0</v>
      </c>
      <c r="K7" s="610"/>
      <c r="L7" s="1128"/>
      <c r="M7" s="1129"/>
      <c r="N7" s="1129"/>
      <c r="O7" s="1129"/>
      <c r="P7" s="3648" t="s">
        <v>2552</v>
      </c>
      <c r="Q7" s="3678"/>
      <c r="R7" s="766" t="s">
        <v>17</v>
      </c>
      <c r="S7" s="767">
        <f t="shared" ref="S7:S14" si="0">F7</f>
        <v>0</v>
      </c>
      <c r="T7" s="766" t="s">
        <v>17</v>
      </c>
      <c r="U7" s="767">
        <f t="shared" ref="U7:U14" si="1">H7</f>
        <v>0</v>
      </c>
      <c r="V7" s="766" t="s">
        <v>17</v>
      </c>
      <c r="W7" s="767">
        <f t="shared" ref="W7:W14" si="2">J7</f>
        <v>0</v>
      </c>
      <c r="X7" s="768"/>
      <c r="Y7" s="3648" t="s">
        <v>2552</v>
      </c>
      <c r="Z7" s="3649"/>
      <c r="AA7" s="769" t="e">
        <f>D7/F7</f>
        <v>#DIV/0!</v>
      </c>
      <c r="AB7" s="769" t="e">
        <f>D7/H7</f>
        <v>#DIV/0!</v>
      </c>
      <c r="AC7" s="769"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648" t="s">
        <v>2555</v>
      </c>
      <c r="Q8" s="3649"/>
      <c r="R8" s="766" t="s">
        <v>17</v>
      </c>
      <c r="S8" s="767">
        <f t="shared" si="0"/>
        <v>0</v>
      </c>
      <c r="T8" s="766" t="s">
        <v>17</v>
      </c>
      <c r="U8" s="767">
        <f t="shared" si="1"/>
        <v>0</v>
      </c>
      <c r="V8" s="766" t="s">
        <v>17</v>
      </c>
      <c r="W8" s="767">
        <f t="shared" si="2"/>
        <v>0</v>
      </c>
      <c r="X8" s="768"/>
      <c r="Y8" s="3648" t="s">
        <v>2555</v>
      </c>
      <c r="Z8" s="3649"/>
      <c r="AA8" s="769" t="e">
        <f t="shared" ref="AA8:AA34" si="3">D8/F8</f>
        <v>#DIV/0!</v>
      </c>
      <c r="AB8" s="769" t="e">
        <f t="shared" ref="AB8:AB34" si="4">D8/H8</f>
        <v>#DIV/0!</v>
      </c>
      <c r="AC8" s="769"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682" t="s">
        <v>2558</v>
      </c>
      <c r="Q9" s="1791" t="str">
        <f t="shared" ref="Q9:Q14" si="6">B9</f>
        <v>用途</v>
      </c>
      <c r="R9" s="766" t="s">
        <v>17</v>
      </c>
      <c r="S9" s="767">
        <f t="shared" si="0"/>
        <v>100</v>
      </c>
      <c r="T9" s="766" t="s">
        <v>17</v>
      </c>
      <c r="U9" s="767">
        <f t="shared" si="1"/>
        <v>100</v>
      </c>
      <c r="V9" s="766" t="s">
        <v>17</v>
      </c>
      <c r="W9" s="767">
        <f t="shared" si="2"/>
        <v>100</v>
      </c>
      <c r="X9" s="768"/>
      <c r="Y9" s="3525" t="s">
        <v>2559</v>
      </c>
      <c r="Z9" s="55" t="str">
        <f t="shared" ref="Z9:Z14" si="7">Q9</f>
        <v>用途</v>
      </c>
      <c r="AA9" s="769">
        <f t="shared" si="3"/>
        <v>1</v>
      </c>
      <c r="AB9" s="769">
        <f t="shared" si="4"/>
        <v>1</v>
      </c>
      <c r="AC9" s="769">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682"/>
      <c r="Q10" s="1791" t="str">
        <f t="shared" si="6"/>
        <v>土地使用年限（年）</v>
      </c>
      <c r="R10" s="766" t="s">
        <v>17</v>
      </c>
      <c r="S10" s="767">
        <f t="shared" si="0"/>
        <v>100</v>
      </c>
      <c r="T10" s="766" t="s">
        <v>17</v>
      </c>
      <c r="U10" s="767">
        <f t="shared" si="1"/>
        <v>100</v>
      </c>
      <c r="V10" s="766" t="s">
        <v>17</v>
      </c>
      <c r="W10" s="767">
        <f t="shared" si="2"/>
        <v>100</v>
      </c>
      <c r="X10" s="768"/>
      <c r="Y10" s="3525"/>
      <c r="Z10" s="55" t="str">
        <f t="shared" si="7"/>
        <v>土地使用年限（年）</v>
      </c>
      <c r="AA10" s="769">
        <f t="shared" si="3"/>
        <v>1</v>
      </c>
      <c r="AB10" s="769">
        <f t="shared" si="4"/>
        <v>1</v>
      </c>
      <c r="AC10" s="769">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682"/>
      <c r="Q11" s="1791">
        <f t="shared" si="6"/>
        <v>111</v>
      </c>
      <c r="R11" s="766" t="s">
        <v>17</v>
      </c>
      <c r="S11" s="767">
        <f t="shared" si="0"/>
        <v>100</v>
      </c>
      <c r="T11" s="766" t="s">
        <v>17</v>
      </c>
      <c r="U11" s="767">
        <f t="shared" si="1"/>
        <v>100</v>
      </c>
      <c r="V11" s="766" t="s">
        <v>17</v>
      </c>
      <c r="W11" s="767">
        <f t="shared" si="2"/>
        <v>100</v>
      </c>
      <c r="X11" s="768"/>
      <c r="Y11" s="3525"/>
      <c r="Z11" s="55">
        <f t="shared" si="7"/>
        <v>111</v>
      </c>
      <c r="AA11" s="769">
        <f t="shared" si="3"/>
        <v>1</v>
      </c>
      <c r="AB11" s="769">
        <f t="shared" si="4"/>
        <v>1</v>
      </c>
      <c r="AC11" s="769">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682"/>
      <c r="Q12" s="1791">
        <f t="shared" si="6"/>
        <v>111</v>
      </c>
      <c r="R12" s="766" t="s">
        <v>17</v>
      </c>
      <c r="S12" s="767">
        <f t="shared" si="0"/>
        <v>100</v>
      </c>
      <c r="T12" s="766" t="s">
        <v>17</v>
      </c>
      <c r="U12" s="767">
        <f t="shared" si="1"/>
        <v>100</v>
      </c>
      <c r="V12" s="766" t="s">
        <v>17</v>
      </c>
      <c r="W12" s="767">
        <f t="shared" si="2"/>
        <v>100</v>
      </c>
      <c r="X12" s="768"/>
      <c r="Y12" s="3525"/>
      <c r="Z12" s="55">
        <f t="shared" si="7"/>
        <v>111</v>
      </c>
      <c r="AA12" s="769">
        <f>D12/F12</f>
        <v>1</v>
      </c>
      <c r="AB12" s="769">
        <f>D12/H12</f>
        <v>1</v>
      </c>
      <c r="AC12" s="769">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6"/>
      <c r="M13" s="1127"/>
      <c r="N13" s="1127"/>
      <c r="O13" s="1135"/>
      <c r="P13" s="3682"/>
      <c r="Q13" s="1791">
        <f t="shared" si="6"/>
        <v>111</v>
      </c>
      <c r="R13" s="766" t="s">
        <v>17</v>
      </c>
      <c r="S13" s="767">
        <f t="shared" si="0"/>
        <v>100</v>
      </c>
      <c r="T13" s="766" t="s">
        <v>17</v>
      </c>
      <c r="U13" s="767">
        <f t="shared" si="1"/>
        <v>100</v>
      </c>
      <c r="V13" s="766" t="s">
        <v>17</v>
      </c>
      <c r="W13" s="767">
        <f t="shared" si="2"/>
        <v>100</v>
      </c>
      <c r="X13" s="768"/>
      <c r="Y13" s="3525"/>
      <c r="Z13" s="55">
        <f t="shared" si="7"/>
        <v>111</v>
      </c>
      <c r="AA13" s="769">
        <f t="shared" si="3"/>
        <v>1</v>
      </c>
      <c r="AB13" s="769">
        <f t="shared" si="4"/>
        <v>1</v>
      </c>
      <c r="AC13" s="769">
        <f t="shared" si="5"/>
        <v>1</v>
      </c>
    </row>
    <row r="14" spans="1:29" ht="85.5">
      <c r="A14" s="439" t="s">
        <v>2562</v>
      </c>
      <c r="B14" s="69" t="s">
        <v>2712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684" t="s">
        <v>2563</v>
      </c>
      <c r="Q14" s="1806" t="str">
        <f t="shared" si="6"/>
        <v>交通便捷度</v>
      </c>
      <c r="R14" s="770" t="s">
        <v>17</v>
      </c>
      <c r="S14" s="771">
        <f t="shared" si="0"/>
        <v>100</v>
      </c>
      <c r="T14" s="770" t="s">
        <v>17</v>
      </c>
      <c r="U14" s="771">
        <f t="shared" si="1"/>
        <v>100</v>
      </c>
      <c r="V14" s="770" t="s">
        <v>17</v>
      </c>
      <c r="W14" s="771">
        <f t="shared" si="2"/>
        <v>100</v>
      </c>
      <c r="X14" s="1809"/>
      <c r="Y14" s="3684" t="s">
        <v>2563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685"/>
      <c r="Q15" s="1806"/>
      <c r="R15" s="770"/>
      <c r="S15" s="771"/>
      <c r="T15" s="770"/>
      <c r="U15" s="771"/>
      <c r="V15" s="770"/>
      <c r="W15" s="771"/>
      <c r="X15" s="1809"/>
      <c r="Y15" s="3685"/>
      <c r="Z15" s="1810"/>
      <c r="AA15" s="1807">
        <v>1</v>
      </c>
      <c r="AB15" s="1807">
        <v>1</v>
      </c>
      <c r="AC15" s="1807">
        <v>1</v>
      </c>
    </row>
    <row r="16" spans="1:29" ht="42.75">
      <c r="A16" s="427"/>
      <c r="B16" s="450" t="s">
        <v>2691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685"/>
      <c r="Q16" s="1806" t="str">
        <f>B16</f>
        <v>公共配套设施</v>
      </c>
      <c r="R16" s="770" t="s">
        <v>17</v>
      </c>
      <c r="S16" s="771">
        <f>F16</f>
        <v>100</v>
      </c>
      <c r="T16" s="770" t="s">
        <v>17</v>
      </c>
      <c r="U16" s="771">
        <f>H16</f>
        <v>100</v>
      </c>
      <c r="V16" s="770" t="s">
        <v>17</v>
      </c>
      <c r="W16" s="771">
        <f>J16</f>
        <v>100</v>
      </c>
      <c r="X16" s="1809"/>
      <c r="Y16" s="3685"/>
      <c r="Z16" s="1810" t="str">
        <f>Q16</f>
        <v>公共配套设施</v>
      </c>
      <c r="AA16" s="1807">
        <f t="shared" si="3"/>
        <v>1</v>
      </c>
      <c r="AB16" s="1807">
        <f t="shared" si="4"/>
        <v>1</v>
      </c>
      <c r="AC16" s="1807">
        <f t="shared" si="5"/>
        <v>1</v>
      </c>
    </row>
    <row r="17" spans="1:29" ht="15">
      <c r="A17" s="427"/>
      <c r="B17" s="455"/>
      <c r="C17" s="2607"/>
      <c r="D17" s="447"/>
      <c r="E17" s="446"/>
      <c r="F17" s="448"/>
      <c r="G17" s="446"/>
      <c r="H17" s="447"/>
      <c r="I17" s="446"/>
      <c r="J17" s="447"/>
      <c r="K17" s="614"/>
      <c r="L17" s="1136"/>
      <c r="M17" s="1127"/>
      <c r="N17" s="1127"/>
      <c r="O17" s="1135"/>
      <c r="P17" s="3685"/>
      <c r="Q17" s="1806"/>
      <c r="R17" s="770"/>
      <c r="S17" s="771"/>
      <c r="T17" s="770"/>
      <c r="U17" s="771"/>
      <c r="V17" s="770"/>
      <c r="W17" s="771"/>
      <c r="X17" s="1809"/>
      <c r="Y17" s="3685"/>
      <c r="Z17" s="1810"/>
      <c r="AA17" s="1807">
        <v>1</v>
      </c>
      <c r="AB17" s="1807">
        <v>1</v>
      </c>
      <c r="AC17" s="1807">
        <v>1</v>
      </c>
    </row>
    <row r="18" spans="1:29" ht="28.5">
      <c r="A18" s="427"/>
      <c r="B18" s="1380" t="s">
        <v>2692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685"/>
      <c r="Q18" s="1806" t="str">
        <f>B18</f>
        <v>基础设施水平</v>
      </c>
      <c r="R18" s="770" t="s">
        <v>17</v>
      </c>
      <c r="S18" s="771">
        <f>F18</f>
        <v>100</v>
      </c>
      <c r="T18" s="770" t="s">
        <v>17</v>
      </c>
      <c r="U18" s="771">
        <f>H18</f>
        <v>100</v>
      </c>
      <c r="V18" s="770" t="s">
        <v>17</v>
      </c>
      <c r="W18" s="771">
        <f>J18</f>
        <v>100</v>
      </c>
      <c r="X18" s="1809"/>
      <c r="Y18" s="3685"/>
      <c r="Z18" s="1810" t="str">
        <f>Q18</f>
        <v>基础设施水平</v>
      </c>
      <c r="AA18" s="1807">
        <f t="shared" ref="AA18" si="8">D18/F18</f>
        <v>1</v>
      </c>
      <c r="AB18" s="1807">
        <f t="shared" ref="AB18" si="9">D18/H18</f>
        <v>1</v>
      </c>
      <c r="AC18" s="1807">
        <f t="shared" ref="AC18" si="10">D18/J18</f>
        <v>1</v>
      </c>
    </row>
    <row r="19" spans="1:29" ht="15">
      <c r="A19" s="427"/>
      <c r="B19" s="1380"/>
      <c r="C19" s="2607"/>
      <c r="D19" s="449"/>
      <c r="E19" s="2607"/>
      <c r="F19" s="452"/>
      <c r="G19" s="2607"/>
      <c r="H19" s="447"/>
      <c r="I19" s="446"/>
      <c r="J19" s="447"/>
      <c r="K19" s="1379"/>
      <c r="L19" s="1136"/>
      <c r="M19" s="1127"/>
      <c r="N19" s="1127"/>
      <c r="O19" s="1135"/>
      <c r="P19" s="3685"/>
      <c r="Q19" s="1806"/>
      <c r="R19" s="770"/>
      <c r="S19" s="771"/>
      <c r="T19" s="770"/>
      <c r="U19" s="771"/>
      <c r="V19" s="770"/>
      <c r="W19" s="771"/>
      <c r="X19" s="1809"/>
      <c r="Y19" s="3685"/>
      <c r="Z19" s="1810"/>
      <c r="AA19" s="1807">
        <v>1</v>
      </c>
      <c r="AB19" s="1807">
        <v>1</v>
      </c>
      <c r="AC19" s="1807">
        <v>1</v>
      </c>
    </row>
    <row r="20" spans="1:29" ht="57">
      <c r="A20" s="427"/>
      <c r="B20" s="450" t="s">
        <v>2713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685"/>
      <c r="Q20" s="1806" t="str">
        <f>B20</f>
        <v>自然及人文环境</v>
      </c>
      <c r="R20" s="770" t="s">
        <v>17</v>
      </c>
      <c r="S20" s="771">
        <f>F20</f>
        <v>100</v>
      </c>
      <c r="T20" s="770" t="s">
        <v>17</v>
      </c>
      <c r="U20" s="771">
        <f>H20</f>
        <v>100</v>
      </c>
      <c r="V20" s="770" t="s">
        <v>17</v>
      </c>
      <c r="W20" s="771">
        <f>J20</f>
        <v>100</v>
      </c>
      <c r="X20" s="1809"/>
      <c r="Y20" s="3685"/>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685"/>
      <c r="Q21" s="1806"/>
      <c r="R21" s="770"/>
      <c r="S21" s="771"/>
      <c r="T21" s="770"/>
      <c r="U21" s="771"/>
      <c r="V21" s="770"/>
      <c r="W21" s="771"/>
      <c r="X21" s="1809"/>
      <c r="Y21" s="3685"/>
      <c r="Z21" s="1810"/>
      <c r="AA21" s="1807">
        <v>1</v>
      </c>
      <c r="AB21" s="1807">
        <v>1</v>
      </c>
      <c r="AC21" s="1807">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685"/>
      <c r="Q22" s="1806" t="str">
        <f>B22</f>
        <v>楼层</v>
      </c>
      <c r="R22" s="770" t="s">
        <v>17</v>
      </c>
      <c r="S22" s="771">
        <f>F22</f>
        <v>100</v>
      </c>
      <c r="T22" s="770" t="s">
        <v>17</v>
      </c>
      <c r="U22" s="771">
        <f>H22</f>
        <v>100</v>
      </c>
      <c r="V22" s="770" t="s">
        <v>17</v>
      </c>
      <c r="W22" s="771">
        <f>J22</f>
        <v>100</v>
      </c>
      <c r="X22" s="1809"/>
      <c r="Y22" s="3685"/>
      <c r="Z22" s="1810" t="str">
        <f>Q22</f>
        <v>楼层</v>
      </c>
      <c r="AA22" s="1807">
        <f t="shared" si="3"/>
        <v>1</v>
      </c>
      <c r="AB22" s="1807">
        <f t="shared" si="4"/>
        <v>1</v>
      </c>
      <c r="AC22" s="1807">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685"/>
      <c r="Q23" s="1806">
        <f>B23</f>
        <v>111</v>
      </c>
      <c r="R23" s="770" t="s">
        <v>17</v>
      </c>
      <c r="S23" s="771">
        <f>F23</f>
        <v>100</v>
      </c>
      <c r="T23" s="770" t="s">
        <v>17</v>
      </c>
      <c r="U23" s="771">
        <f>H23</f>
        <v>100</v>
      </c>
      <c r="V23" s="770" t="s">
        <v>17</v>
      </c>
      <c r="W23" s="771">
        <f>J23</f>
        <v>100</v>
      </c>
      <c r="X23" s="1809"/>
      <c r="Y23" s="3685"/>
      <c r="Z23" s="1810">
        <f>Q23</f>
        <v>111</v>
      </c>
      <c r="AA23" s="1807">
        <f t="shared" si="3"/>
        <v>1</v>
      </c>
      <c r="AB23" s="1807">
        <f t="shared" si="4"/>
        <v>1</v>
      </c>
      <c r="AC23" s="1807">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685"/>
      <c r="Q24" s="1806">
        <f t="shared" ref="Q24:Q34" si="11">B24</f>
        <v>111</v>
      </c>
      <c r="R24" s="770" t="s">
        <v>17</v>
      </c>
      <c r="S24" s="771">
        <f>F24</f>
        <v>100</v>
      </c>
      <c r="T24" s="770" t="s">
        <v>17</v>
      </c>
      <c r="U24" s="771">
        <f>H24</f>
        <v>100</v>
      </c>
      <c r="V24" s="770" t="s">
        <v>17</v>
      </c>
      <c r="W24" s="771">
        <f>J24</f>
        <v>100</v>
      </c>
      <c r="X24" s="1809"/>
      <c r="Y24" s="3685"/>
      <c r="Z24" s="1810">
        <f>Q24</f>
        <v>111</v>
      </c>
      <c r="AA24" s="1807">
        <f t="shared" si="3"/>
        <v>1</v>
      </c>
      <c r="AB24" s="1807">
        <f t="shared" si="4"/>
        <v>1</v>
      </c>
      <c r="AC24" s="1807">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28"/>
      <c r="M25" s="1129"/>
      <c r="N25" s="1129"/>
      <c r="O25" s="1130"/>
      <c r="P25" s="3685"/>
      <c r="Q25" s="1791">
        <f t="shared" si="11"/>
        <v>111</v>
      </c>
      <c r="R25" s="766" t="s">
        <v>17</v>
      </c>
      <c r="S25" s="767">
        <f>F25</f>
        <v>100</v>
      </c>
      <c r="T25" s="766" t="s">
        <v>17</v>
      </c>
      <c r="U25" s="767">
        <f>H25</f>
        <v>100</v>
      </c>
      <c r="V25" s="766" t="s">
        <v>17</v>
      </c>
      <c r="W25" s="767">
        <f>J25</f>
        <v>100</v>
      </c>
      <c r="X25" s="768"/>
      <c r="Y25" s="3685"/>
      <c r="Z25" s="55">
        <f>Q25</f>
        <v>111</v>
      </c>
      <c r="AA25" s="1807">
        <f>D25/F25</f>
        <v>1</v>
      </c>
      <c r="AB25" s="1807">
        <f>D25/H25</f>
        <v>1</v>
      </c>
      <c r="AC25" s="1807">
        <f>D25/J25</f>
        <v>1</v>
      </c>
    </row>
    <row r="26" spans="1:29" ht="15">
      <c r="A26" s="465" t="s">
        <v>2566</v>
      </c>
      <c r="B26" s="71" t="s">
        <v>2717</v>
      </c>
      <c r="C26" s="2678"/>
      <c r="D26" s="466">
        <v>100</v>
      </c>
      <c r="E26" s="2678"/>
      <c r="F26" s="666">
        <f>SUMIF(77:77,E26,78:78)-SUMIF(77:77,C26,78:78)+100</f>
        <v>100</v>
      </c>
      <c r="G26" s="2678"/>
      <c r="H26" s="466">
        <f>SUMIF(77:77,G26,78:78)-SUMIF(77:77,C26,78:78)+100</f>
        <v>100</v>
      </c>
      <c r="I26" s="2678"/>
      <c r="J26" s="466">
        <f>SUMIF(77:77,I26,78:78)-SUMIF(77:77,C26,78:78)+100</f>
        <v>100</v>
      </c>
      <c r="K26" s="611"/>
      <c r="L26" s="1136"/>
      <c r="M26" s="1127"/>
      <c r="N26" s="1127"/>
      <c r="O26" s="1135"/>
      <c r="P26" s="3812" t="s">
        <v>2568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689" t="s">
        <v>2568</v>
      </c>
      <c r="Z26" s="1810" t="str">
        <f t="shared" ref="Z26:Z34" si="15">Q26</f>
        <v>公共部分装修</v>
      </c>
      <c r="AA26" s="1807">
        <f t="shared" si="3"/>
        <v>1</v>
      </c>
      <c r="AB26" s="1807">
        <f t="shared" si="4"/>
        <v>1</v>
      </c>
      <c r="AC26" s="1807">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689"/>
      <c r="Q27" s="772" t="str">
        <f t="shared" si="11"/>
        <v>成新率</v>
      </c>
      <c r="R27" s="773" t="s">
        <v>17</v>
      </c>
      <c r="S27" s="774" t="e">
        <f t="shared" si="12"/>
        <v>#N/A</v>
      </c>
      <c r="T27" s="773" t="s">
        <v>17</v>
      </c>
      <c r="U27" s="774" t="e">
        <f t="shared" si="13"/>
        <v>#N/A</v>
      </c>
      <c r="V27" s="773" t="s">
        <v>17</v>
      </c>
      <c r="W27" s="774" t="e">
        <f t="shared" si="14"/>
        <v>#N/A</v>
      </c>
      <c r="X27" s="775"/>
      <c r="Y27" s="3689"/>
      <c r="Z27" s="776" t="str">
        <f t="shared" si="15"/>
        <v>成新率</v>
      </c>
      <c r="AA27" s="1807" t="e">
        <f t="shared" si="3"/>
        <v>#N/A</v>
      </c>
      <c r="AB27" s="1807" t="e">
        <f t="shared" si="4"/>
        <v>#N/A</v>
      </c>
      <c r="AC27" s="1807"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689"/>
      <c r="Q28" s="1806" t="str">
        <f t="shared" si="11"/>
        <v>物业等级</v>
      </c>
      <c r="R28" s="770" t="s">
        <v>17</v>
      </c>
      <c r="S28" s="771">
        <f t="shared" si="12"/>
        <v>100</v>
      </c>
      <c r="T28" s="770" t="s">
        <v>17</v>
      </c>
      <c r="U28" s="771">
        <f t="shared" si="13"/>
        <v>100</v>
      </c>
      <c r="V28" s="770" t="s">
        <v>17</v>
      </c>
      <c r="W28" s="771">
        <f t="shared" si="14"/>
        <v>100</v>
      </c>
      <c r="X28" s="1809"/>
      <c r="Y28" s="3689"/>
      <c r="Z28" s="1810" t="str">
        <f t="shared" si="15"/>
        <v>物业等级</v>
      </c>
      <c r="AA28" s="1807">
        <f t="shared" si="3"/>
        <v>1</v>
      </c>
      <c r="AB28" s="1807">
        <f t="shared" si="4"/>
        <v>1</v>
      </c>
      <c r="AC28" s="1807">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689"/>
      <c r="Q29" s="1806" t="str">
        <f t="shared" si="11"/>
        <v>有无电梯</v>
      </c>
      <c r="R29" s="770" t="s">
        <v>17</v>
      </c>
      <c r="S29" s="771">
        <f t="shared" si="12"/>
        <v>100</v>
      </c>
      <c r="T29" s="770" t="s">
        <v>17</v>
      </c>
      <c r="U29" s="771">
        <f t="shared" si="13"/>
        <v>100</v>
      </c>
      <c r="V29" s="770" t="s">
        <v>17</v>
      </c>
      <c r="W29" s="771">
        <f t="shared" si="14"/>
        <v>100</v>
      </c>
      <c r="X29" s="1809"/>
      <c r="Y29" s="3689"/>
      <c r="Z29" s="1810" t="str">
        <f t="shared" si="15"/>
        <v>有无电梯</v>
      </c>
      <c r="AA29" s="1807">
        <f t="shared" si="3"/>
        <v>1</v>
      </c>
      <c r="AB29" s="1807">
        <f t="shared" si="4"/>
        <v>1</v>
      </c>
      <c r="AC29" s="1807">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689"/>
      <c r="Q30" s="1806" t="str">
        <f t="shared" si="11"/>
        <v>建筑面积</v>
      </c>
      <c r="R30" s="770" t="s">
        <v>17</v>
      </c>
      <c r="S30" s="771" t="e">
        <f t="shared" si="12"/>
        <v>#N/A</v>
      </c>
      <c r="T30" s="770" t="s">
        <v>17</v>
      </c>
      <c r="U30" s="771" t="e">
        <f t="shared" si="13"/>
        <v>#N/A</v>
      </c>
      <c r="V30" s="770" t="s">
        <v>17</v>
      </c>
      <c r="W30" s="771" t="e">
        <f t="shared" si="14"/>
        <v>#N/A</v>
      </c>
      <c r="X30" s="1809"/>
      <c r="Y30" s="3689"/>
      <c r="Z30" s="1810" t="str">
        <f t="shared" si="15"/>
        <v>建筑面积</v>
      </c>
      <c r="AA30" s="1807" t="e">
        <f t="shared" si="3"/>
        <v>#N/A</v>
      </c>
      <c r="AB30" s="1807" t="e">
        <f t="shared" si="4"/>
        <v>#N/A</v>
      </c>
      <c r="AC30" s="1807"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689"/>
      <c r="Q31" s="1791" t="str">
        <f t="shared" si="11"/>
        <v>是否封闭</v>
      </c>
      <c r="R31" s="766" t="s">
        <v>17</v>
      </c>
      <c r="S31" s="767">
        <f t="shared" si="12"/>
        <v>100</v>
      </c>
      <c r="T31" s="766" t="s">
        <v>17</v>
      </c>
      <c r="U31" s="767">
        <f t="shared" si="13"/>
        <v>100</v>
      </c>
      <c r="V31" s="766" t="s">
        <v>17</v>
      </c>
      <c r="W31" s="767">
        <f t="shared" si="14"/>
        <v>100</v>
      </c>
      <c r="X31" s="768"/>
      <c r="Y31" s="3689"/>
      <c r="Z31" s="55" t="str">
        <f t="shared" si="15"/>
        <v>是否封闭</v>
      </c>
      <c r="AA31" s="769">
        <f t="shared" si="3"/>
        <v>1</v>
      </c>
      <c r="AB31" s="769">
        <f t="shared" si="4"/>
        <v>1</v>
      </c>
      <c r="AC31" s="769">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689" t="s">
        <v>2568</v>
      </c>
      <c r="Q32" s="1806">
        <f t="shared" si="11"/>
        <v>111</v>
      </c>
      <c r="R32" s="770" t="s">
        <v>17</v>
      </c>
      <c r="S32" s="771">
        <f t="shared" si="12"/>
        <v>100</v>
      </c>
      <c r="T32" s="770" t="s">
        <v>17</v>
      </c>
      <c r="U32" s="771">
        <f t="shared" si="13"/>
        <v>100</v>
      </c>
      <c r="V32" s="770" t="s">
        <v>17</v>
      </c>
      <c r="W32" s="771">
        <f t="shared" si="14"/>
        <v>100</v>
      </c>
      <c r="X32" s="1809"/>
      <c r="Y32" s="3689" t="s">
        <v>2568</v>
      </c>
      <c r="Z32" s="1810">
        <f t="shared" si="15"/>
        <v>111</v>
      </c>
      <c r="AA32" s="1807">
        <f t="shared" si="3"/>
        <v>1</v>
      </c>
      <c r="AB32" s="1807">
        <f t="shared" si="4"/>
        <v>1</v>
      </c>
      <c r="AC32" s="1807">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689"/>
      <c r="Q33" s="1806">
        <f t="shared" si="11"/>
        <v>111</v>
      </c>
      <c r="R33" s="770" t="s">
        <v>17</v>
      </c>
      <c r="S33" s="771">
        <f t="shared" si="12"/>
        <v>100</v>
      </c>
      <c r="T33" s="770" t="s">
        <v>17</v>
      </c>
      <c r="U33" s="771">
        <f t="shared" si="13"/>
        <v>100</v>
      </c>
      <c r="V33" s="770" t="s">
        <v>17</v>
      </c>
      <c r="W33" s="771">
        <f t="shared" si="14"/>
        <v>100</v>
      </c>
      <c r="X33" s="1809"/>
      <c r="Y33" s="3689"/>
      <c r="Z33" s="1810">
        <f t="shared" si="15"/>
        <v>111</v>
      </c>
      <c r="AA33" s="1807">
        <f t="shared" si="3"/>
        <v>1</v>
      </c>
      <c r="AB33" s="1807">
        <f t="shared" si="4"/>
        <v>1</v>
      </c>
      <c r="AC33" s="1807">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6"/>
      <c r="M34" s="1127"/>
      <c r="N34" s="1127"/>
      <c r="O34" s="1135"/>
      <c r="P34" s="3689"/>
      <c r="Q34" s="1806">
        <f t="shared" si="11"/>
        <v>111</v>
      </c>
      <c r="R34" s="770" t="s">
        <v>17</v>
      </c>
      <c r="S34" s="771">
        <f t="shared" si="12"/>
        <v>100</v>
      </c>
      <c r="T34" s="770" t="s">
        <v>17</v>
      </c>
      <c r="U34" s="771">
        <f t="shared" si="13"/>
        <v>100</v>
      </c>
      <c r="V34" s="770" t="s">
        <v>17</v>
      </c>
      <c r="W34" s="771">
        <f t="shared" si="14"/>
        <v>100</v>
      </c>
      <c r="X34" s="1809"/>
      <c r="Y34" s="3689"/>
      <c r="Z34" s="1810">
        <f t="shared" si="15"/>
        <v>111</v>
      </c>
      <c r="AA34" s="1807">
        <f t="shared" si="3"/>
        <v>1</v>
      </c>
      <c r="AB34" s="1807">
        <f t="shared" si="4"/>
        <v>1</v>
      </c>
      <c r="AC34" s="1807">
        <f t="shared" si="5"/>
        <v>1</v>
      </c>
    </row>
    <row r="35" spans="1:29" ht="15">
      <c r="A35" s="478" t="s">
        <v>2580</v>
      </c>
      <c r="B35" s="479"/>
      <c r="C35" s="1403" t="s">
        <v>1</v>
      </c>
      <c r="D35" s="1404"/>
      <c r="E35" s="1405"/>
      <c r="F35" s="1406"/>
      <c r="G35" s="1407"/>
      <c r="H35" s="1408"/>
      <c r="I35" s="1405"/>
      <c r="J35" s="1408"/>
      <c r="K35" s="779"/>
      <c r="L35" s="1139"/>
      <c r="M35" s="1140"/>
      <c r="N35" s="1127"/>
      <c r="O35" s="1140"/>
      <c r="P35" s="3682" t="str">
        <f>A35</f>
        <v>成交单价（元/平方米）</v>
      </c>
      <c r="Q35" s="3682"/>
      <c r="R35" s="3683">
        <f>E35</f>
        <v>0</v>
      </c>
      <c r="S35" s="3683"/>
      <c r="T35" s="3683">
        <f>G35</f>
        <v>0</v>
      </c>
      <c r="U35" s="3683"/>
      <c r="V35" s="3683">
        <f>I35</f>
        <v>0</v>
      </c>
      <c r="W35" s="3683"/>
      <c r="X35" s="755"/>
      <c r="Y35" s="777"/>
      <c r="Z35" s="755"/>
      <c r="AA35" s="755"/>
      <c r="AB35" s="755"/>
      <c r="AC35" s="755"/>
    </row>
    <row r="36" spans="1:29" ht="15.75" thickBot="1">
      <c r="A36" s="485" t="s">
        <v>2672</v>
      </c>
      <c r="B36" s="486"/>
      <c r="C36" s="1409" t="e">
        <f>R37</f>
        <v>#DIV/0!</v>
      </c>
      <c r="D36" s="1410"/>
      <c r="E36" s="1411" t="e">
        <f>R36</f>
        <v>#DIV/0!</v>
      </c>
      <c r="F36" s="1411"/>
      <c r="G36" s="1409" t="e">
        <f>T36</f>
        <v>#DIV/0!</v>
      </c>
      <c r="H36" s="1410"/>
      <c r="I36" s="1411" t="e">
        <f>V36</f>
        <v>#DIV/0!</v>
      </c>
      <c r="J36" s="1410"/>
      <c r="K36" s="780"/>
      <c r="L36" s="1139"/>
      <c r="M36" s="1140"/>
      <c r="N36" s="1127"/>
      <c r="O36" s="1140"/>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755"/>
      <c r="Y36" s="755"/>
      <c r="Z36" s="755"/>
      <c r="AA36" s="755"/>
      <c r="AB36" s="755"/>
      <c r="AC36" s="755"/>
    </row>
    <row r="37" spans="1:29" ht="15.75" thickBot="1">
      <c r="A37" s="491" t="s">
        <v>2673</v>
      </c>
      <c r="B37" s="492"/>
      <c r="C37" s="1413" t="e">
        <f>R37</f>
        <v>#DIV/0!</v>
      </c>
      <c r="D37" s="1413"/>
      <c r="E37" s="1413"/>
      <c r="F37" s="1413"/>
      <c r="G37" s="1413"/>
      <c r="H37" s="1413"/>
      <c r="I37" s="1413"/>
      <c r="J37" s="1413"/>
      <c r="K37" s="781"/>
      <c r="L37" s="1139"/>
      <c r="M37" s="1140"/>
      <c r="N37" s="1140"/>
      <c r="O37" s="1140"/>
      <c r="P37" s="3679" t="str">
        <f>A37</f>
        <v>估价对象XX用房的比较价值（楼面单价，元/平方米）</v>
      </c>
      <c r="Q37" s="3680"/>
      <c r="R37" s="3681" t="e">
        <f>IF(F1="售价",ROUND(AVERAGE(R36:V36),0),ROUND(AVERAGE(R36:V36),1))</f>
        <v>#DIV/0!</v>
      </c>
      <c r="S37" s="3681"/>
      <c r="T37" s="3681"/>
      <c r="U37" s="3681"/>
      <c r="V37" s="3681"/>
      <c r="W37" s="3681"/>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2677</v>
      </c>
      <c r="B45" s="755"/>
      <c r="C45" s="760"/>
      <c r="D45" s="760"/>
      <c r="E45" s="760"/>
      <c r="F45" s="761"/>
      <c r="G45" s="761"/>
      <c r="H45" s="760"/>
      <c r="I45" s="760"/>
      <c r="J45" s="760"/>
      <c r="K45" s="762"/>
      <c r="L45" s="763"/>
      <c r="M45" s="760"/>
      <c r="N45" s="760"/>
      <c r="O45" s="760"/>
      <c r="P45" s="502"/>
      <c r="Q45" s="503"/>
    </row>
    <row r="46" spans="1:29" s="507" customFormat="1" ht="15">
      <c r="A46" s="504" t="s">
        <v>2551</v>
      </c>
      <c r="B46" s="505"/>
      <c r="C46" s="1570" t="str">
        <f>YEAR(C7)&amp;"-"&amp;MONTH(C7)</f>
        <v>2018-2</v>
      </c>
      <c r="D46" s="1571">
        <f>EDATE(C46,-1)</f>
        <v>43101</v>
      </c>
      <c r="E46" s="1571">
        <f t="shared" ref="E46:O46" si="16">EDATE(D46,-1)</f>
        <v>43070</v>
      </c>
      <c r="F46" s="1571">
        <f t="shared" si="16"/>
        <v>43040</v>
      </c>
      <c r="G46" s="1571">
        <f t="shared" si="16"/>
        <v>43009</v>
      </c>
      <c r="H46" s="1571">
        <f t="shared" si="16"/>
        <v>42979</v>
      </c>
      <c r="I46" s="1571">
        <f t="shared" si="16"/>
        <v>42948</v>
      </c>
      <c r="J46" s="1571">
        <f t="shared" si="16"/>
        <v>42917</v>
      </c>
      <c r="K46" s="1571">
        <f t="shared" si="16"/>
        <v>42887</v>
      </c>
      <c r="L46" s="1571">
        <f t="shared" si="16"/>
        <v>42856</v>
      </c>
      <c r="M46" s="1571">
        <f t="shared" si="16"/>
        <v>42826</v>
      </c>
      <c r="N46" s="1571">
        <f t="shared" si="16"/>
        <v>42795</v>
      </c>
      <c r="O46" s="1571">
        <f t="shared" si="16"/>
        <v>42767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2591</v>
      </c>
      <c r="B51" s="527" t="s">
        <v>2557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2732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2566</v>
      </c>
      <c r="B77" s="527" t="s">
        <v>2619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2744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2746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2330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2648</v>
      </c>
      <c r="B4" s="401"/>
      <c r="C4" s="3665" t="s">
        <v>2649</v>
      </c>
      <c r="D4" s="3666"/>
      <c r="E4" s="3667" t="s">
        <v>2650</v>
      </c>
      <c r="F4" s="3668"/>
      <c r="G4" s="3665" t="s">
        <v>2651</v>
      </c>
      <c r="H4" s="3666"/>
      <c r="I4" s="3665" t="s">
        <v>2652</v>
      </c>
      <c r="J4" s="3666"/>
      <c r="K4" s="609" t="s">
        <v>2653</v>
      </c>
      <c r="L4" s="1126"/>
      <c r="M4" s="1127"/>
      <c r="N4" s="1127"/>
      <c r="O4" s="1127"/>
      <c r="P4" s="3669" t="s">
        <v>2654</v>
      </c>
      <c r="Q4" s="3670"/>
      <c r="R4" s="3650" t="s">
        <v>2650</v>
      </c>
      <c r="S4" s="3651"/>
      <c r="T4" s="3650" t="s">
        <v>2651</v>
      </c>
      <c r="U4" s="3651"/>
      <c r="V4" s="3677" t="s">
        <v>2652</v>
      </c>
      <c r="W4" s="3677"/>
      <c r="X4" s="1809"/>
      <c r="Y4" s="3650" t="s">
        <v>2654</v>
      </c>
      <c r="Z4" s="3651"/>
      <c r="AA4" s="3645" t="s">
        <v>2650</v>
      </c>
      <c r="AB4" s="3646" t="s">
        <v>2651</v>
      </c>
      <c r="AC4" s="3645" t="s">
        <v>2652</v>
      </c>
    </row>
    <row r="5" spans="1:30" ht="15">
      <c r="A5" s="403"/>
      <c r="B5" s="404"/>
      <c r="C5" s="3656" t="s">
        <v>2545</v>
      </c>
      <c r="D5" s="3657"/>
      <c r="E5" s="3799" t="s">
        <v>2546</v>
      </c>
      <c r="F5" s="3761"/>
      <c r="G5" s="3656" t="s">
        <v>2547</v>
      </c>
      <c r="H5" s="3657"/>
      <c r="I5" s="3656" t="s">
        <v>2548</v>
      </c>
      <c r="J5" s="3657"/>
      <c r="K5" s="609"/>
      <c r="L5" s="1126"/>
      <c r="M5" s="1127"/>
      <c r="N5" s="1127"/>
      <c r="O5" s="1127"/>
      <c r="P5" s="3671"/>
      <c r="Q5" s="3672"/>
      <c r="R5" s="3652"/>
      <c r="S5" s="3653"/>
      <c r="T5" s="3652"/>
      <c r="U5" s="3653"/>
      <c r="V5" s="3677"/>
      <c r="W5" s="3677"/>
      <c r="X5" s="1809"/>
      <c r="Y5" s="3652"/>
      <c r="Z5" s="3653"/>
      <c r="AA5" s="3646"/>
      <c r="AB5" s="3646"/>
      <c r="AC5" s="3646"/>
    </row>
    <row r="6" spans="1:30" ht="15.75" thickBot="1">
      <c r="A6" s="405"/>
      <c r="B6" s="406"/>
      <c r="C6" s="3658" t="s">
        <v>2549</v>
      </c>
      <c r="D6" s="3659"/>
      <c r="E6" s="3662" t="s">
        <v>2549</v>
      </c>
      <c r="F6" s="3663"/>
      <c r="G6" s="3658" t="s">
        <v>2549</v>
      </c>
      <c r="H6" s="3659"/>
      <c r="I6" s="3658" t="s">
        <v>2549</v>
      </c>
      <c r="J6" s="3659"/>
      <c r="K6" s="609" t="s">
        <v>2550</v>
      </c>
      <c r="L6" s="1126"/>
      <c r="M6" s="1127"/>
      <c r="N6" s="1127"/>
      <c r="O6" s="1127"/>
      <c r="P6" s="3673"/>
      <c r="Q6" s="3674"/>
      <c r="R6" s="3652"/>
      <c r="S6" s="3653"/>
      <c r="T6" s="3675"/>
      <c r="U6" s="3676"/>
      <c r="V6" s="3677"/>
      <c r="W6" s="3677"/>
      <c r="X6" s="1809"/>
      <c r="Y6" s="3675"/>
      <c r="Z6" s="3676"/>
      <c r="AA6" s="3647"/>
      <c r="AB6" s="3647"/>
      <c r="AC6" s="3647"/>
    </row>
    <row r="7" spans="1:30" s="116" customFormat="1" ht="15.75" thickBot="1">
      <c r="A7" s="407" t="s">
        <v>2551</v>
      </c>
      <c r="B7" s="408"/>
      <c r="C7" s="409">
        <f>'数据-取费表'!B2</f>
        <v>43155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8"/>
      <c r="M7" s="1129"/>
      <c r="N7" s="1129"/>
      <c r="O7" s="1129"/>
      <c r="P7" s="3648" t="s">
        <v>2552</v>
      </c>
      <c r="Q7" s="3678"/>
      <c r="R7" s="766" t="s">
        <v>17</v>
      </c>
      <c r="S7" s="767">
        <f t="shared" ref="S7:S15" si="0">F7</f>
        <v>0</v>
      </c>
      <c r="T7" s="766" t="s">
        <v>17</v>
      </c>
      <c r="U7" s="767">
        <f t="shared" ref="U7:U15" si="1">H7</f>
        <v>0</v>
      </c>
      <c r="V7" s="766" t="s">
        <v>17</v>
      </c>
      <c r="W7" s="767">
        <f t="shared" ref="W7:W15" si="2">J7</f>
        <v>0</v>
      </c>
      <c r="X7" s="768"/>
      <c r="Y7" s="3648" t="s">
        <v>2552</v>
      </c>
      <c r="Z7" s="3649"/>
      <c r="AA7" s="769" t="e">
        <f>D7/F7</f>
        <v>#DIV/0!</v>
      </c>
      <c r="AB7" s="769" t="e">
        <f>D7/H7</f>
        <v>#DIV/0!</v>
      </c>
      <c r="AC7" s="769"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648" t="s">
        <v>2555</v>
      </c>
      <c r="Q8" s="3649"/>
      <c r="R8" s="766" t="s">
        <v>17</v>
      </c>
      <c r="S8" s="767">
        <f t="shared" si="0"/>
        <v>0</v>
      </c>
      <c r="T8" s="766" t="s">
        <v>17</v>
      </c>
      <c r="U8" s="767">
        <f t="shared" si="1"/>
        <v>0</v>
      </c>
      <c r="V8" s="766" t="s">
        <v>17</v>
      </c>
      <c r="W8" s="767">
        <f t="shared" si="2"/>
        <v>0</v>
      </c>
      <c r="X8" s="768"/>
      <c r="Y8" s="3648" t="s">
        <v>2555</v>
      </c>
      <c r="Z8" s="3649"/>
      <c r="AA8" s="769" t="e">
        <f t="shared" ref="AA8:AA45" si="3">D8/F8</f>
        <v>#DIV/0!</v>
      </c>
      <c r="AB8" s="769" t="e">
        <f t="shared" ref="AB8:AB45" si="4">D8/H8</f>
        <v>#DIV/0!</v>
      </c>
      <c r="AC8" s="769" t="e">
        <f t="shared" ref="AC8:AC45" si="5">D8/J8</f>
        <v>#DIV/0!</v>
      </c>
    </row>
    <row r="9" spans="1:30" s="116" customFormat="1">
      <c r="A9" s="414" t="s">
        <v>2556</v>
      </c>
      <c r="B9" s="71" t="s">
        <v>2557</v>
      </c>
      <c r="C9" s="2698"/>
      <c r="D9" s="134">
        <v>100</v>
      </c>
      <c r="E9" s="2698"/>
      <c r="F9" s="134">
        <f>SUMIF(75:75,E9,76:76)-SUMIF(75:75,C9,76:76)+100</f>
        <v>100</v>
      </c>
      <c r="G9" s="2698"/>
      <c r="H9" s="134">
        <f>SUMIF(75:75,G9,76:76)-SUMIF(75:75,C9,76:76)+100</f>
        <v>100</v>
      </c>
      <c r="I9" s="2698"/>
      <c r="J9" s="134">
        <f>SUMIF(75:75,I9,76:76)-SUMIF(75:75,C9,76:76)+100</f>
        <v>100</v>
      </c>
      <c r="K9" s="610"/>
      <c r="L9" s="1128"/>
      <c r="M9" s="1129"/>
      <c r="N9" s="1129"/>
      <c r="O9" s="1130"/>
      <c r="P9" s="3682" t="s">
        <v>2558</v>
      </c>
      <c r="Q9" s="1791" t="str">
        <f t="shared" ref="Q9:Q15" si="6">B9</f>
        <v>用途</v>
      </c>
      <c r="R9" s="766" t="s">
        <v>17</v>
      </c>
      <c r="S9" s="767">
        <f t="shared" si="0"/>
        <v>100</v>
      </c>
      <c r="T9" s="766" t="s">
        <v>17</v>
      </c>
      <c r="U9" s="767">
        <f t="shared" si="1"/>
        <v>100</v>
      </c>
      <c r="V9" s="766" t="s">
        <v>17</v>
      </c>
      <c r="W9" s="767">
        <f t="shared" si="2"/>
        <v>100</v>
      </c>
      <c r="X9" s="768"/>
      <c r="Y9" s="3525" t="s">
        <v>2559</v>
      </c>
      <c r="Z9" s="55" t="str">
        <f t="shared" ref="Z9:Z15" si="7">Q9</f>
        <v>用途</v>
      </c>
      <c r="AA9" s="769">
        <f t="shared" si="3"/>
        <v>1</v>
      </c>
      <c r="AB9" s="769">
        <f t="shared" si="4"/>
        <v>1</v>
      </c>
      <c r="AC9" s="769">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1"/>
      <c r="M10" s="1132"/>
      <c r="N10" s="1132"/>
      <c r="O10" s="1133"/>
      <c r="P10" s="3682"/>
      <c r="Q10" s="1791" t="str">
        <f t="shared" si="6"/>
        <v>土地使用年限（年）</v>
      </c>
      <c r="R10" s="766" t="s">
        <v>17</v>
      </c>
      <c r="S10" s="767">
        <f t="shared" si="0"/>
        <v>103</v>
      </c>
      <c r="T10" s="766" t="s">
        <v>17</v>
      </c>
      <c r="U10" s="767">
        <f t="shared" si="1"/>
        <v>103</v>
      </c>
      <c r="V10" s="766" t="s">
        <v>17</v>
      </c>
      <c r="W10" s="767">
        <f t="shared" si="2"/>
        <v>103</v>
      </c>
      <c r="X10" s="768"/>
      <c r="Y10" s="3525"/>
      <c r="Z10" s="55" t="str">
        <f t="shared" si="7"/>
        <v>土地使用年限（年）</v>
      </c>
      <c r="AA10" s="769">
        <f t="shared" si="3"/>
        <v>0.970873786407767</v>
      </c>
      <c r="AB10" s="769">
        <f t="shared" si="4"/>
        <v>0.970873786407767</v>
      </c>
      <c r="AC10" s="769">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682"/>
      <c r="Q11" s="1791" t="str">
        <f t="shared" si="6"/>
        <v>容积率</v>
      </c>
      <c r="R11" s="766" t="s">
        <v>17</v>
      </c>
      <c r="S11" s="767" t="e">
        <f t="shared" si="0"/>
        <v>#N/A</v>
      </c>
      <c r="T11" s="766" t="s">
        <v>17</v>
      </c>
      <c r="U11" s="767" t="e">
        <f t="shared" si="1"/>
        <v>#N/A</v>
      </c>
      <c r="V11" s="766" t="s">
        <v>17</v>
      </c>
      <c r="W11" s="767" t="e">
        <f t="shared" si="2"/>
        <v>#N/A</v>
      </c>
      <c r="X11" s="768"/>
      <c r="Y11" s="3525"/>
      <c r="Z11" s="55" t="str">
        <f t="shared" si="7"/>
        <v>容积率</v>
      </c>
      <c r="AA11" s="769" t="e">
        <f t="shared" si="3"/>
        <v>#N/A</v>
      </c>
      <c r="AB11" s="769" t="e">
        <f t="shared" si="4"/>
        <v>#N/A</v>
      </c>
      <c r="AC11" s="769" t="e">
        <f t="shared" si="5"/>
        <v>#N/A</v>
      </c>
    </row>
    <row r="12" spans="1:30" s="116" customFormat="1" ht="15">
      <c r="A12" s="430"/>
      <c r="B12" s="2599" t="s">
        <v>2750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682"/>
      <c r="Q12" s="1791" t="str">
        <f t="shared" si="6"/>
        <v>配建</v>
      </c>
      <c r="R12" s="766" t="s">
        <v>17</v>
      </c>
      <c r="S12" s="767">
        <f t="shared" si="0"/>
        <v>100</v>
      </c>
      <c r="T12" s="766" t="s">
        <v>17</v>
      </c>
      <c r="U12" s="767">
        <f t="shared" si="1"/>
        <v>100</v>
      </c>
      <c r="V12" s="766" t="s">
        <v>17</v>
      </c>
      <c r="W12" s="767">
        <f t="shared" si="2"/>
        <v>100</v>
      </c>
      <c r="X12" s="768"/>
      <c r="Y12" s="3525"/>
      <c r="Z12" s="55" t="str">
        <f t="shared" si="7"/>
        <v>配建</v>
      </c>
      <c r="AA12" s="769">
        <f>D12/F12</f>
        <v>1</v>
      </c>
      <c r="AB12" s="769">
        <f>D12/H12</f>
        <v>1</v>
      </c>
      <c r="AC12" s="769">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682"/>
      <c r="Q13" s="1791">
        <f t="shared" si="6"/>
        <v>111</v>
      </c>
      <c r="R13" s="766" t="s">
        <v>17</v>
      </c>
      <c r="S13" s="767">
        <f t="shared" si="0"/>
        <v>100</v>
      </c>
      <c r="T13" s="766" t="s">
        <v>17</v>
      </c>
      <c r="U13" s="767">
        <f t="shared" si="1"/>
        <v>100</v>
      </c>
      <c r="V13" s="766" t="s">
        <v>17</v>
      </c>
      <c r="W13" s="767">
        <f t="shared" si="2"/>
        <v>100</v>
      </c>
      <c r="X13" s="768"/>
      <c r="Y13" s="3525"/>
      <c r="Z13" s="55">
        <f t="shared" si="7"/>
        <v>111</v>
      </c>
      <c r="AA13" s="769">
        <f>D13/F13</f>
        <v>1</v>
      </c>
      <c r="AB13" s="769">
        <f>D13/H13</f>
        <v>1</v>
      </c>
      <c r="AC13" s="769">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682"/>
      <c r="Q14" s="1791">
        <f t="shared" si="6"/>
        <v>111</v>
      </c>
      <c r="R14" s="766" t="s">
        <v>17</v>
      </c>
      <c r="S14" s="767">
        <f t="shared" si="0"/>
        <v>100</v>
      </c>
      <c r="T14" s="766" t="s">
        <v>17</v>
      </c>
      <c r="U14" s="767">
        <f t="shared" si="1"/>
        <v>100</v>
      </c>
      <c r="V14" s="766" t="s">
        <v>17</v>
      </c>
      <c r="W14" s="767">
        <f t="shared" si="2"/>
        <v>100</v>
      </c>
      <c r="X14" s="768"/>
      <c r="Y14" s="3525"/>
      <c r="Z14" s="55">
        <f t="shared" si="7"/>
        <v>111</v>
      </c>
      <c r="AA14" s="769">
        <f>D14/F14</f>
        <v>1</v>
      </c>
      <c r="AB14" s="769">
        <f>D14/H14</f>
        <v>1</v>
      </c>
      <c r="AC14" s="769">
        <f>D14/J14</f>
        <v>1</v>
      </c>
    </row>
    <row r="15" spans="1:30" ht="99.75">
      <c r="A15" s="439" t="s">
        <v>2562</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684" t="s">
        <v>2563</v>
      </c>
      <c r="Q15" s="1806" t="str">
        <f t="shared" si="6"/>
        <v>居住社区成熟度</v>
      </c>
      <c r="R15" s="770" t="s">
        <v>17</v>
      </c>
      <c r="S15" s="771">
        <f t="shared" si="0"/>
        <v>100</v>
      </c>
      <c r="T15" s="770" t="s">
        <v>17</v>
      </c>
      <c r="U15" s="771">
        <f t="shared" si="1"/>
        <v>100</v>
      </c>
      <c r="V15" s="770" t="s">
        <v>17</v>
      </c>
      <c r="W15" s="771">
        <f t="shared" si="2"/>
        <v>100</v>
      </c>
      <c r="X15" s="1809"/>
      <c r="Y15" s="3684" t="s">
        <v>2563</v>
      </c>
      <c r="Z15" s="1810" t="str">
        <f t="shared" si="7"/>
        <v>居住社区成熟度</v>
      </c>
      <c r="AA15" s="1807">
        <f t="shared" si="3"/>
        <v>1</v>
      </c>
      <c r="AB15" s="1807">
        <f t="shared" si="4"/>
        <v>1</v>
      </c>
      <c r="AC15" s="1807">
        <f t="shared" si="5"/>
        <v>1</v>
      </c>
    </row>
    <row r="16" spans="1:30" ht="15">
      <c r="A16" s="427"/>
      <c r="B16" s="445"/>
      <c r="C16" s="446"/>
      <c r="D16" s="447"/>
      <c r="E16" s="2604"/>
      <c r="F16" s="447"/>
      <c r="G16" s="2604"/>
      <c r="H16" s="449"/>
      <c r="I16" s="2603"/>
      <c r="J16" s="447"/>
      <c r="K16" s="671"/>
      <c r="L16" s="1136"/>
      <c r="M16" s="1127"/>
      <c r="N16" s="1127"/>
      <c r="O16" s="1135"/>
      <c r="P16" s="3685"/>
      <c r="Q16" s="1806"/>
      <c r="R16" s="770"/>
      <c r="S16" s="771"/>
      <c r="T16" s="770"/>
      <c r="U16" s="771"/>
      <c r="V16" s="770"/>
      <c r="W16" s="771"/>
      <c r="X16" s="1809"/>
      <c r="Y16" s="3685"/>
      <c r="Z16" s="1810"/>
      <c r="AA16" s="1807">
        <v>1</v>
      </c>
      <c r="AB16" s="1807">
        <v>1</v>
      </c>
      <c r="AC16" s="1807">
        <v>1</v>
      </c>
    </row>
    <row r="17" spans="1:29" ht="71.25">
      <c r="A17" s="427"/>
      <c r="B17" s="450" t="s">
        <v>2656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685"/>
      <c r="Q17" s="1806" t="str">
        <f>B17</f>
        <v>商业繁华度</v>
      </c>
      <c r="R17" s="770" t="s">
        <v>17</v>
      </c>
      <c r="S17" s="771">
        <f>F17</f>
        <v>100</v>
      </c>
      <c r="T17" s="770" t="s">
        <v>17</v>
      </c>
      <c r="U17" s="771">
        <f>H17</f>
        <v>100</v>
      </c>
      <c r="V17" s="770" t="s">
        <v>17</v>
      </c>
      <c r="W17" s="771">
        <f>J17</f>
        <v>100</v>
      </c>
      <c r="X17" s="1809"/>
      <c r="Y17" s="3685"/>
      <c r="Z17" s="1810" t="str">
        <f>Q17</f>
        <v>商业繁华度</v>
      </c>
      <c r="AA17" s="1807">
        <f t="shared" si="3"/>
        <v>1</v>
      </c>
      <c r="AB17" s="1807">
        <f t="shared" si="4"/>
        <v>1</v>
      </c>
      <c r="AC17" s="1807">
        <f t="shared" si="5"/>
        <v>1</v>
      </c>
    </row>
    <row r="18" spans="1:29" ht="15">
      <c r="A18" s="427"/>
      <c r="B18" s="455"/>
      <c r="C18" s="2607"/>
      <c r="D18" s="449"/>
      <c r="E18" s="2609"/>
      <c r="F18" s="449"/>
      <c r="G18" s="2609"/>
      <c r="H18" s="447"/>
      <c r="I18" s="2608"/>
      <c r="J18" s="447"/>
      <c r="K18" s="671"/>
      <c r="L18" s="1136"/>
      <c r="M18" s="1127"/>
      <c r="N18" s="1127"/>
      <c r="O18" s="1135"/>
      <c r="P18" s="3685"/>
      <c r="Q18" s="1806"/>
      <c r="R18" s="770"/>
      <c r="S18" s="771"/>
      <c r="T18" s="770"/>
      <c r="U18" s="771"/>
      <c r="V18" s="770"/>
      <c r="W18" s="771"/>
      <c r="X18" s="1809"/>
      <c r="Y18" s="3685"/>
      <c r="Z18" s="1810"/>
      <c r="AA18" s="1807">
        <v>1</v>
      </c>
      <c r="AB18" s="1807">
        <v>1</v>
      </c>
      <c r="AC18" s="1807">
        <v>1</v>
      </c>
    </row>
    <row r="19" spans="1:29" ht="71.25">
      <c r="A19" s="427"/>
      <c r="B19" s="450" t="s">
        <v>2690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685"/>
      <c r="Q19" s="1806" t="str">
        <f>B19</f>
        <v>办公集聚程度</v>
      </c>
      <c r="R19" s="770" t="s">
        <v>17</v>
      </c>
      <c r="S19" s="771">
        <f>F19</f>
        <v>100</v>
      </c>
      <c r="T19" s="770" t="s">
        <v>17</v>
      </c>
      <c r="U19" s="771">
        <f>H19</f>
        <v>100</v>
      </c>
      <c r="V19" s="770" t="s">
        <v>17</v>
      </c>
      <c r="W19" s="771">
        <f>J19</f>
        <v>100</v>
      </c>
      <c r="X19" s="1809"/>
      <c r="Y19" s="3685"/>
      <c r="Z19" s="1810" t="str">
        <f>Q19</f>
        <v>办公集聚程度</v>
      </c>
      <c r="AA19" s="1807">
        <f t="shared" si="3"/>
        <v>1</v>
      </c>
      <c r="AB19" s="1807">
        <f t="shared" si="4"/>
        <v>1</v>
      </c>
      <c r="AC19" s="1807">
        <f t="shared" si="5"/>
        <v>1</v>
      </c>
    </row>
    <row r="20" spans="1:29" ht="15">
      <c r="A20" s="427"/>
      <c r="B20" s="455"/>
      <c r="C20" s="446"/>
      <c r="D20" s="447"/>
      <c r="E20" s="2604"/>
      <c r="F20" s="447"/>
      <c r="G20" s="2604"/>
      <c r="H20" s="447"/>
      <c r="I20" s="2603"/>
      <c r="J20" s="447"/>
      <c r="K20" s="671"/>
      <c r="L20" s="1136"/>
      <c r="M20" s="1127"/>
      <c r="N20" s="1127"/>
      <c r="O20" s="1135"/>
      <c r="P20" s="3685"/>
      <c r="Q20" s="1806"/>
      <c r="R20" s="770"/>
      <c r="S20" s="771"/>
      <c r="T20" s="770"/>
      <c r="U20" s="771"/>
      <c r="V20" s="770"/>
      <c r="W20" s="771"/>
      <c r="X20" s="1809"/>
      <c r="Y20" s="3685"/>
      <c r="Z20" s="1810"/>
      <c r="AA20" s="1807">
        <v>1</v>
      </c>
      <c r="AB20" s="1807">
        <v>1</v>
      </c>
      <c r="AC20" s="1807">
        <v>1</v>
      </c>
    </row>
    <row r="21" spans="1:29" ht="85.5">
      <c r="A21" s="427"/>
      <c r="B21" s="450" t="s">
        <v>2712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685"/>
      <c r="Q21" s="1806" t="str">
        <f>B21</f>
        <v>交通便捷度</v>
      </c>
      <c r="R21" s="770" t="s">
        <v>17</v>
      </c>
      <c r="S21" s="771">
        <f>F21</f>
        <v>100</v>
      </c>
      <c r="T21" s="770" t="s">
        <v>17</v>
      </c>
      <c r="U21" s="771">
        <f>H21</f>
        <v>100</v>
      </c>
      <c r="V21" s="770" t="s">
        <v>17</v>
      </c>
      <c r="W21" s="771">
        <f>J21</f>
        <v>100</v>
      </c>
      <c r="X21" s="1809"/>
      <c r="Y21" s="3685"/>
      <c r="Z21" s="1810" t="str">
        <f>Q21</f>
        <v>交通便捷度</v>
      </c>
      <c r="AA21" s="1807">
        <f t="shared" si="3"/>
        <v>1</v>
      </c>
      <c r="AB21" s="1807">
        <f t="shared" si="4"/>
        <v>1</v>
      </c>
      <c r="AC21" s="1807">
        <f t="shared" si="5"/>
        <v>1</v>
      </c>
    </row>
    <row r="22" spans="1:29" ht="15">
      <c r="A22" s="427"/>
      <c r="B22" s="1380"/>
      <c r="C22" s="446"/>
      <c r="D22" s="449"/>
      <c r="E22" s="2604"/>
      <c r="F22" s="447"/>
      <c r="G22" s="2604"/>
      <c r="H22" s="447"/>
      <c r="I22" s="2603"/>
      <c r="J22" s="447"/>
      <c r="K22" s="671"/>
      <c r="L22" s="1136"/>
      <c r="M22" s="1127"/>
      <c r="N22" s="1127"/>
      <c r="O22" s="1135"/>
      <c r="P22" s="3685"/>
      <c r="Q22" s="1806"/>
      <c r="R22" s="770"/>
      <c r="S22" s="771"/>
      <c r="T22" s="770"/>
      <c r="U22" s="771"/>
      <c r="V22" s="770"/>
      <c r="W22" s="771"/>
      <c r="X22" s="1809"/>
      <c r="Y22" s="3685"/>
      <c r="Z22" s="1810"/>
      <c r="AA22" s="1807">
        <v>1</v>
      </c>
      <c r="AB22" s="1807">
        <v>1</v>
      </c>
      <c r="AC22" s="1807">
        <v>1</v>
      </c>
    </row>
    <row r="23" spans="1:29" ht="15">
      <c r="A23" s="403"/>
      <c r="B23" s="450" t="s">
        <v>2751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685"/>
      <c r="Q23" s="1806" t="str">
        <f t="shared" ref="Q23:Q37" si="8">B23</f>
        <v>区域土地利用方向</v>
      </c>
      <c r="R23" s="770" t="s">
        <v>17</v>
      </c>
      <c r="S23" s="771">
        <f>F23</f>
        <v>100</v>
      </c>
      <c r="T23" s="770" t="s">
        <v>17</v>
      </c>
      <c r="U23" s="771">
        <f>H23</f>
        <v>100</v>
      </c>
      <c r="V23" s="770" t="s">
        <v>17</v>
      </c>
      <c r="W23" s="771">
        <f>J23</f>
        <v>100</v>
      </c>
      <c r="X23" s="1809"/>
      <c r="Y23" s="3685"/>
      <c r="Z23" s="1810" t="str">
        <f>Q23</f>
        <v>区域土地利用方向</v>
      </c>
      <c r="AA23" s="1807">
        <f t="shared" si="3"/>
        <v>1</v>
      </c>
      <c r="AB23" s="1807">
        <f t="shared" si="4"/>
        <v>1</v>
      </c>
      <c r="AC23" s="1807">
        <f t="shared" si="5"/>
        <v>1</v>
      </c>
    </row>
    <row r="24" spans="1:29" ht="15">
      <c r="A24" s="403"/>
      <c r="B24" s="455"/>
      <c r="C24" s="615"/>
      <c r="D24" s="447"/>
      <c r="E24" s="2604"/>
      <c r="F24" s="447"/>
      <c r="G24" s="2603"/>
      <c r="H24" s="447"/>
      <c r="I24" s="2603"/>
      <c r="J24" s="447"/>
      <c r="K24" s="805"/>
      <c r="L24" s="1136"/>
      <c r="M24" s="1127"/>
      <c r="N24" s="1127"/>
      <c r="O24" s="1135"/>
      <c r="P24" s="3685"/>
      <c r="Q24" s="1806"/>
      <c r="R24" s="770"/>
      <c r="S24" s="771"/>
      <c r="T24" s="770"/>
      <c r="U24" s="771"/>
      <c r="V24" s="770"/>
      <c r="W24" s="771"/>
      <c r="X24" s="1809"/>
      <c r="Y24" s="3685"/>
      <c r="Z24" s="1810"/>
      <c r="AA24" s="1807"/>
      <c r="AB24" s="1807"/>
      <c r="AC24" s="1807"/>
    </row>
    <row r="25" spans="1:29" ht="57">
      <c r="A25" s="403"/>
      <c r="B25" s="1380" t="s">
        <v>2752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685"/>
      <c r="Q25" s="1806" t="str">
        <f t="shared" si="8"/>
        <v>自然及人文环境状况</v>
      </c>
      <c r="R25" s="770" t="s">
        <v>17</v>
      </c>
      <c r="S25" s="771">
        <f>F25</f>
        <v>100</v>
      </c>
      <c r="T25" s="770" t="s">
        <v>17</v>
      </c>
      <c r="U25" s="771">
        <f>H25</f>
        <v>100</v>
      </c>
      <c r="V25" s="770" t="s">
        <v>17</v>
      </c>
      <c r="W25" s="771">
        <f>J25</f>
        <v>100</v>
      </c>
      <c r="X25" s="1809"/>
      <c r="Y25" s="3685"/>
      <c r="Z25" s="1810" t="str">
        <f>Q25</f>
        <v>自然及人文环境状况</v>
      </c>
      <c r="AA25" s="1807">
        <f t="shared" si="3"/>
        <v>1</v>
      </c>
      <c r="AB25" s="1807">
        <f t="shared" si="4"/>
        <v>1</v>
      </c>
      <c r="AC25" s="1807">
        <f t="shared" si="5"/>
        <v>1</v>
      </c>
    </row>
    <row r="26" spans="1:29" ht="15">
      <c r="A26" s="403"/>
      <c r="B26" s="455"/>
      <c r="C26" s="446"/>
      <c r="D26" s="447"/>
      <c r="E26" s="2610"/>
      <c r="F26" s="447"/>
      <c r="G26" s="2610"/>
      <c r="H26" s="447"/>
      <c r="I26" s="446"/>
      <c r="J26" s="447"/>
      <c r="K26" s="671"/>
      <c r="L26" s="1136"/>
      <c r="M26" s="1127"/>
      <c r="N26" s="1127"/>
      <c r="O26" s="1135"/>
      <c r="P26" s="3685"/>
      <c r="Q26" s="1806"/>
      <c r="R26" s="770"/>
      <c r="S26" s="771"/>
      <c r="T26" s="770"/>
      <c r="U26" s="771"/>
      <c r="V26" s="770"/>
      <c r="W26" s="771"/>
      <c r="X26" s="1809"/>
      <c r="Y26" s="3685"/>
      <c r="Z26" s="1810"/>
      <c r="AA26" s="1807">
        <v>1</v>
      </c>
      <c r="AB26" s="1807">
        <v>1</v>
      </c>
      <c r="AC26" s="1807">
        <v>1</v>
      </c>
    </row>
    <row r="27" spans="1:29" s="116" customFormat="1" ht="42.75">
      <c r="A27" s="648"/>
      <c r="B27" s="1380" t="s">
        <v>2657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685"/>
      <c r="Q27" s="1791" t="str">
        <f t="shared" si="8"/>
        <v>公共配套设施</v>
      </c>
      <c r="R27" s="766" t="s">
        <v>17</v>
      </c>
      <c r="S27" s="767">
        <f>F27</f>
        <v>100</v>
      </c>
      <c r="T27" s="766" t="s">
        <v>17</v>
      </c>
      <c r="U27" s="767">
        <f>H27</f>
        <v>100</v>
      </c>
      <c r="V27" s="766" t="s">
        <v>17</v>
      </c>
      <c r="W27" s="767">
        <f>J27</f>
        <v>100</v>
      </c>
      <c r="X27" s="768"/>
      <c r="Y27" s="3685"/>
      <c r="Z27" s="55" t="str">
        <f>Q27</f>
        <v>公共配套设施</v>
      </c>
      <c r="AA27" s="1807">
        <f>D27/F27</f>
        <v>1</v>
      </c>
      <c r="AB27" s="1807">
        <f>D27/H27</f>
        <v>1</v>
      </c>
      <c r="AC27" s="1807">
        <f>D27/J27</f>
        <v>1</v>
      </c>
    </row>
    <row r="28" spans="1:29" s="116" customFormat="1" ht="15">
      <c r="A28" s="648"/>
      <c r="B28" s="455"/>
      <c r="C28" s="2699"/>
      <c r="D28" s="447"/>
      <c r="E28" s="2610"/>
      <c r="F28" s="447"/>
      <c r="G28" s="2610"/>
      <c r="H28" s="447"/>
      <c r="I28" s="446"/>
      <c r="J28" s="447"/>
      <c r="K28" s="671"/>
      <c r="L28" s="1128"/>
      <c r="M28" s="1129"/>
      <c r="N28" s="1129"/>
      <c r="O28" s="1130"/>
      <c r="P28" s="3685"/>
      <c r="Q28" s="1791"/>
      <c r="R28" s="766"/>
      <c r="S28" s="767"/>
      <c r="T28" s="766"/>
      <c r="U28" s="767"/>
      <c r="V28" s="766"/>
      <c r="W28" s="767"/>
      <c r="X28" s="768"/>
      <c r="Y28" s="3685"/>
      <c r="Z28" s="55"/>
      <c r="AA28" s="1807">
        <v>1</v>
      </c>
      <c r="AB28" s="1807">
        <v>1</v>
      </c>
      <c r="AC28" s="1807">
        <v>1</v>
      </c>
    </row>
    <row r="29" spans="1:29" s="116" customFormat="1" ht="28.5">
      <c r="A29" s="648"/>
      <c r="B29" s="1380" t="s">
        <v>2658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685"/>
      <c r="Q29" s="1791" t="str">
        <f t="shared" ref="Q29" si="9">B29</f>
        <v>基础设施水平</v>
      </c>
      <c r="R29" s="766" t="s">
        <v>17</v>
      </c>
      <c r="S29" s="767">
        <f>F29</f>
        <v>100</v>
      </c>
      <c r="T29" s="766" t="s">
        <v>17</v>
      </c>
      <c r="U29" s="767">
        <f>H29</f>
        <v>100</v>
      </c>
      <c r="V29" s="766" t="s">
        <v>17</v>
      </c>
      <c r="W29" s="767">
        <f>J29</f>
        <v>100</v>
      </c>
      <c r="X29" s="768"/>
      <c r="Y29" s="3685"/>
      <c r="Z29" s="55" t="str">
        <f>Q29</f>
        <v>基础设施水平</v>
      </c>
      <c r="AA29" s="1807">
        <f>D29/F29</f>
        <v>1</v>
      </c>
      <c r="AB29" s="1807">
        <f>D29/H29</f>
        <v>1</v>
      </c>
      <c r="AC29" s="1807">
        <f>D29/J29</f>
        <v>1</v>
      </c>
    </row>
    <row r="30" spans="1:29" s="116" customFormat="1" ht="15">
      <c r="A30" s="648"/>
      <c r="B30" s="455"/>
      <c r="C30" s="2699"/>
      <c r="D30" s="447"/>
      <c r="E30" s="2700"/>
      <c r="F30" s="447"/>
      <c r="G30" s="2700"/>
      <c r="H30" s="447"/>
      <c r="I30" s="2700"/>
      <c r="J30" s="447"/>
      <c r="K30" s="671"/>
      <c r="L30" s="1128"/>
      <c r="M30" s="1129"/>
      <c r="N30" s="1129"/>
      <c r="O30" s="1130"/>
      <c r="P30" s="3685"/>
      <c r="Q30" s="1791"/>
      <c r="R30" s="766"/>
      <c r="S30" s="767"/>
      <c r="T30" s="766"/>
      <c r="U30" s="767"/>
      <c r="V30" s="766"/>
      <c r="W30" s="767"/>
      <c r="X30" s="768"/>
      <c r="Y30" s="3685"/>
      <c r="Z30" s="55"/>
      <c r="AA30" s="1807">
        <v>1</v>
      </c>
      <c r="AB30" s="1807">
        <v>1</v>
      </c>
      <c r="AC30" s="1807">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685"/>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685"/>
      <c r="Z31" s="1810" t="str">
        <f t="shared" ref="Z31:Z45" si="13">Q31</f>
        <v>临街状况</v>
      </c>
      <c r="AA31" s="1807">
        <f t="shared" si="3"/>
        <v>1</v>
      </c>
      <c r="AB31" s="1807">
        <f t="shared" si="4"/>
        <v>1</v>
      </c>
      <c r="AC31" s="1807">
        <f t="shared" si="5"/>
        <v>1</v>
      </c>
    </row>
    <row r="32" spans="1:29" ht="27">
      <c r="A32" s="427"/>
      <c r="B32" s="1380"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685"/>
      <c r="Q32" s="1806" t="str">
        <f t="shared" si="8"/>
        <v>毗邻道路的类型与等级</v>
      </c>
      <c r="R32" s="770" t="s">
        <v>17</v>
      </c>
      <c r="S32" s="771">
        <f t="shared" si="10"/>
        <v>100</v>
      </c>
      <c r="T32" s="770" t="s">
        <v>17</v>
      </c>
      <c r="U32" s="771">
        <f t="shared" si="11"/>
        <v>100</v>
      </c>
      <c r="V32" s="770" t="s">
        <v>17</v>
      </c>
      <c r="W32" s="771">
        <f t="shared" si="12"/>
        <v>100</v>
      </c>
      <c r="X32" s="1809"/>
      <c r="Y32" s="3685"/>
      <c r="Z32" s="1810" t="str">
        <f t="shared" si="13"/>
        <v>毗邻道路的类型与等级</v>
      </c>
      <c r="AA32" s="1807">
        <f t="shared" si="3"/>
        <v>1</v>
      </c>
      <c r="AB32" s="1807">
        <f t="shared" si="4"/>
        <v>1</v>
      </c>
      <c r="AC32" s="1807">
        <f t="shared" si="5"/>
        <v>1</v>
      </c>
    </row>
    <row r="33" spans="1:29" ht="15">
      <c r="A33" s="427"/>
      <c r="B33" s="455"/>
      <c r="C33" s="446"/>
      <c r="D33" s="447"/>
      <c r="E33" s="2610"/>
      <c r="F33" s="447"/>
      <c r="G33" s="2610"/>
      <c r="H33" s="447"/>
      <c r="I33" s="446"/>
      <c r="J33" s="447"/>
      <c r="K33" s="612"/>
      <c r="L33" s="1136"/>
      <c r="M33" s="1127"/>
      <c r="N33" s="1127"/>
      <c r="O33" s="1135"/>
      <c r="P33" s="3685"/>
      <c r="Q33" s="1806"/>
      <c r="R33" s="770"/>
      <c r="S33" s="771"/>
      <c r="T33" s="770"/>
      <c r="U33" s="771"/>
      <c r="V33" s="770"/>
      <c r="W33" s="771"/>
      <c r="X33" s="1809"/>
      <c r="Y33" s="3685"/>
      <c r="Z33" s="1810"/>
      <c r="AA33" s="1807">
        <v>1</v>
      </c>
      <c r="AB33" s="1807">
        <v>1</v>
      </c>
      <c r="AC33" s="1807">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685"/>
      <c r="Q34" s="1806" t="str">
        <f t="shared" si="8"/>
        <v>土地级别</v>
      </c>
      <c r="R34" s="770" t="s">
        <v>17</v>
      </c>
      <c r="S34" s="771">
        <f t="shared" si="10"/>
        <v>100</v>
      </c>
      <c r="T34" s="770" t="s">
        <v>17</v>
      </c>
      <c r="U34" s="771">
        <f t="shared" si="11"/>
        <v>100</v>
      </c>
      <c r="V34" s="770" t="s">
        <v>17</v>
      </c>
      <c r="W34" s="771">
        <f t="shared" si="12"/>
        <v>100</v>
      </c>
      <c r="X34" s="1809"/>
      <c r="Y34" s="3685"/>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685"/>
      <c r="Q35" s="1806">
        <f t="shared" si="8"/>
        <v>111</v>
      </c>
      <c r="R35" s="770" t="s">
        <v>17</v>
      </c>
      <c r="S35" s="771">
        <f t="shared" si="10"/>
        <v>100</v>
      </c>
      <c r="T35" s="770" t="s">
        <v>17</v>
      </c>
      <c r="U35" s="771">
        <f t="shared" si="11"/>
        <v>100</v>
      </c>
      <c r="V35" s="770" t="s">
        <v>17</v>
      </c>
      <c r="W35" s="771">
        <f t="shared" si="12"/>
        <v>100</v>
      </c>
      <c r="X35" s="1809"/>
      <c r="Y35" s="3685"/>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812" t="s">
        <v>2568</v>
      </c>
      <c r="Q36" s="1806">
        <f t="shared" si="8"/>
        <v>111</v>
      </c>
      <c r="R36" s="770" t="s">
        <v>17</v>
      </c>
      <c r="S36" s="771">
        <f t="shared" si="10"/>
        <v>100</v>
      </c>
      <c r="T36" s="770" t="s">
        <v>17</v>
      </c>
      <c r="U36" s="771">
        <f t="shared" si="11"/>
        <v>100</v>
      </c>
      <c r="V36" s="770" t="s">
        <v>17</v>
      </c>
      <c r="W36" s="771">
        <f t="shared" si="12"/>
        <v>100</v>
      </c>
      <c r="X36" s="1809"/>
      <c r="Y36" s="3689" t="s">
        <v>2568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689"/>
      <c r="Q37" s="1806">
        <f t="shared" si="8"/>
        <v>111</v>
      </c>
      <c r="R37" s="773" t="s">
        <v>17</v>
      </c>
      <c r="S37" s="774">
        <f t="shared" si="10"/>
        <v>100</v>
      </c>
      <c r="T37" s="773" t="s">
        <v>17</v>
      </c>
      <c r="U37" s="774">
        <f t="shared" si="11"/>
        <v>100</v>
      </c>
      <c r="V37" s="773" t="s">
        <v>17</v>
      </c>
      <c r="W37" s="774">
        <f t="shared" si="12"/>
        <v>100</v>
      </c>
      <c r="X37" s="775"/>
      <c r="Y37" s="3689"/>
      <c r="Z37" s="776">
        <f t="shared" si="13"/>
        <v>111</v>
      </c>
      <c r="AA37" s="1807">
        <f t="shared" si="3"/>
        <v>1</v>
      </c>
      <c r="AB37" s="1807">
        <f t="shared" si="4"/>
        <v>1</v>
      </c>
      <c r="AC37" s="1807">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689"/>
      <c r="Q38" s="1806" t="str">
        <f>B38</f>
        <v>宗地面积</v>
      </c>
      <c r="R38" s="770" t="s">
        <v>17</v>
      </c>
      <c r="S38" s="771" t="e">
        <f t="shared" si="10"/>
        <v>#N/A</v>
      </c>
      <c r="T38" s="770" t="s">
        <v>17</v>
      </c>
      <c r="U38" s="771" t="e">
        <f t="shared" si="11"/>
        <v>#N/A</v>
      </c>
      <c r="V38" s="770" t="s">
        <v>17</v>
      </c>
      <c r="W38" s="771" t="e">
        <f t="shared" si="12"/>
        <v>#N/A</v>
      </c>
      <c r="X38" s="1809"/>
      <c r="Y38" s="3689"/>
      <c r="Z38" s="1810" t="str">
        <f t="shared" si="13"/>
        <v>宗地面积</v>
      </c>
      <c r="AA38" s="1807" t="e">
        <f t="shared" si="3"/>
        <v>#N/A</v>
      </c>
      <c r="AB38" s="1807" t="e">
        <f t="shared" si="4"/>
        <v>#N/A</v>
      </c>
      <c r="AC38" s="1807" t="e">
        <f t="shared" si="5"/>
        <v>#N/A</v>
      </c>
    </row>
    <row r="39" spans="1:29" ht="15">
      <c r="A39" s="471"/>
      <c r="B39" s="421" t="s">
        <v>2755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6"/>
      <c r="M39" s="1127"/>
      <c r="N39" s="1127"/>
      <c r="O39" s="1135"/>
      <c r="P39" s="3689"/>
      <c r="Q39" s="1806" t="str">
        <f t="shared" ref="Q39:Q45" si="14">B39</f>
        <v>宗地形状</v>
      </c>
      <c r="R39" s="770" t="s">
        <v>17</v>
      </c>
      <c r="S39" s="771">
        <f t="shared" si="10"/>
        <v>100</v>
      </c>
      <c r="T39" s="770" t="s">
        <v>17</v>
      </c>
      <c r="U39" s="771">
        <f t="shared" si="11"/>
        <v>100</v>
      </c>
      <c r="V39" s="770" t="s">
        <v>17</v>
      </c>
      <c r="W39" s="771">
        <f t="shared" si="12"/>
        <v>100</v>
      </c>
      <c r="X39" s="1809"/>
      <c r="Y39" s="3689"/>
      <c r="Z39" s="1810" t="str">
        <f t="shared" si="13"/>
        <v>宗地形状</v>
      </c>
      <c r="AA39" s="1807">
        <f t="shared" si="3"/>
        <v>1</v>
      </c>
      <c r="AB39" s="1807">
        <f t="shared" si="4"/>
        <v>1</v>
      </c>
      <c r="AC39" s="1807">
        <f t="shared" si="5"/>
        <v>1</v>
      </c>
    </row>
    <row r="40" spans="1:29" ht="15">
      <c r="A40" s="471"/>
      <c r="B40" s="421" t="s">
        <v>2756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6"/>
      <c r="M40" s="1127"/>
      <c r="N40" s="1127"/>
      <c r="O40" s="1135"/>
      <c r="P40" s="3689"/>
      <c r="Q40" s="1806" t="str">
        <f t="shared" si="14"/>
        <v>临街宽度及深度</v>
      </c>
      <c r="R40" s="770" t="s">
        <v>17</v>
      </c>
      <c r="S40" s="771">
        <f t="shared" si="10"/>
        <v>100</v>
      </c>
      <c r="T40" s="770" t="s">
        <v>17</v>
      </c>
      <c r="U40" s="771">
        <f t="shared" si="11"/>
        <v>100</v>
      </c>
      <c r="V40" s="770" t="s">
        <v>17</v>
      </c>
      <c r="W40" s="771">
        <f t="shared" si="12"/>
        <v>100</v>
      </c>
      <c r="X40" s="1809"/>
      <c r="Y40" s="3689"/>
      <c r="Z40" s="1810" t="str">
        <f t="shared" si="13"/>
        <v>临街宽度及深度</v>
      </c>
      <c r="AA40" s="1807">
        <f t="shared" si="3"/>
        <v>1</v>
      </c>
      <c r="AB40" s="1807">
        <f t="shared" si="4"/>
        <v>1</v>
      </c>
      <c r="AC40" s="1807">
        <f t="shared" si="5"/>
        <v>1</v>
      </c>
    </row>
    <row r="41" spans="1:29" s="116" customFormat="1" ht="15">
      <c r="A41" s="472"/>
      <c r="B41" s="421" t="s">
        <v>2757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8"/>
      <c r="M41" s="1129"/>
      <c r="N41" s="1129"/>
      <c r="O41" s="1130"/>
      <c r="P41" s="3689"/>
      <c r="Q41" s="1806" t="str">
        <f t="shared" si="14"/>
        <v>宗地开发程度</v>
      </c>
      <c r="R41" s="766" t="s">
        <v>17</v>
      </c>
      <c r="S41" s="767">
        <f t="shared" si="10"/>
        <v>100</v>
      </c>
      <c r="T41" s="766" t="s">
        <v>17</v>
      </c>
      <c r="U41" s="767">
        <f t="shared" si="11"/>
        <v>100</v>
      </c>
      <c r="V41" s="766" t="s">
        <v>17</v>
      </c>
      <c r="W41" s="767">
        <f t="shared" si="12"/>
        <v>100</v>
      </c>
      <c r="X41" s="768"/>
      <c r="Y41" s="3689"/>
      <c r="Z41" s="55" t="str">
        <f t="shared" si="13"/>
        <v>宗地开发程度</v>
      </c>
      <c r="AA41" s="769">
        <f t="shared" si="3"/>
        <v>1</v>
      </c>
      <c r="AB41" s="769">
        <f t="shared" si="4"/>
        <v>1</v>
      </c>
      <c r="AC41" s="769">
        <f t="shared" si="5"/>
        <v>1</v>
      </c>
    </row>
    <row r="42" spans="1:29" ht="15">
      <c r="A42" s="471"/>
      <c r="B42" s="421" t="s">
        <v>2758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6"/>
      <c r="M42" s="1127"/>
      <c r="N42" s="1127"/>
      <c r="O42" s="1135"/>
      <c r="P42" s="3689" t="s">
        <v>2568</v>
      </c>
      <c r="Q42" s="1806" t="str">
        <f t="shared" si="14"/>
        <v>工程地质条件</v>
      </c>
      <c r="R42" s="770" t="s">
        <v>17</v>
      </c>
      <c r="S42" s="771">
        <f t="shared" si="10"/>
        <v>100</v>
      </c>
      <c r="T42" s="770" t="s">
        <v>17</v>
      </c>
      <c r="U42" s="771">
        <f t="shared" si="11"/>
        <v>100</v>
      </c>
      <c r="V42" s="770" t="s">
        <v>17</v>
      </c>
      <c r="W42" s="771">
        <f t="shared" si="12"/>
        <v>100</v>
      </c>
      <c r="X42" s="1809"/>
      <c r="Y42" s="3689" t="s">
        <v>2568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689"/>
      <c r="Q43" s="1806">
        <f t="shared" si="14"/>
        <v>111</v>
      </c>
      <c r="R43" s="770" t="s">
        <v>17</v>
      </c>
      <c r="S43" s="771">
        <f t="shared" si="10"/>
        <v>100</v>
      </c>
      <c r="T43" s="770" t="s">
        <v>17</v>
      </c>
      <c r="U43" s="771">
        <f t="shared" si="11"/>
        <v>100</v>
      </c>
      <c r="V43" s="770" t="s">
        <v>17</v>
      </c>
      <c r="W43" s="771">
        <f t="shared" si="12"/>
        <v>100</v>
      </c>
      <c r="X43" s="1809"/>
      <c r="Y43" s="3689"/>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689"/>
      <c r="Q44" s="1806">
        <f t="shared" si="14"/>
        <v>111</v>
      </c>
      <c r="R44" s="770" t="s">
        <v>17</v>
      </c>
      <c r="S44" s="771">
        <f t="shared" si="10"/>
        <v>100</v>
      </c>
      <c r="T44" s="770" t="s">
        <v>17</v>
      </c>
      <c r="U44" s="771">
        <f t="shared" si="11"/>
        <v>100</v>
      </c>
      <c r="V44" s="770" t="s">
        <v>17</v>
      </c>
      <c r="W44" s="771">
        <f t="shared" si="12"/>
        <v>100</v>
      </c>
      <c r="X44" s="1809"/>
      <c r="Y44" s="3689"/>
      <c r="Z44" s="1810">
        <f t="shared" si="13"/>
        <v>111</v>
      </c>
      <c r="AA44" s="1807">
        <f t="shared" si="3"/>
        <v>1</v>
      </c>
      <c r="AB44" s="1807">
        <f t="shared" si="4"/>
        <v>1</v>
      </c>
      <c r="AC44" s="1807">
        <f t="shared" si="5"/>
        <v>1</v>
      </c>
    </row>
    <row r="45" spans="1:29" s="470" customFormat="1" ht="15.75" thickBot="1">
      <c r="A45" s="467"/>
      <c r="B45" s="1383">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689"/>
      <c r="Q45" s="1806">
        <f t="shared" si="14"/>
        <v>111</v>
      </c>
      <c r="R45" s="773" t="s">
        <v>17</v>
      </c>
      <c r="S45" s="774">
        <f t="shared" si="10"/>
        <v>100</v>
      </c>
      <c r="T45" s="773" t="s">
        <v>17</v>
      </c>
      <c r="U45" s="774">
        <f t="shared" si="11"/>
        <v>100</v>
      </c>
      <c r="V45" s="773" t="s">
        <v>17</v>
      </c>
      <c r="W45" s="774">
        <f t="shared" si="12"/>
        <v>100</v>
      </c>
      <c r="X45" s="775"/>
      <c r="Y45" s="3689"/>
      <c r="Z45" s="776">
        <f t="shared" si="13"/>
        <v>111</v>
      </c>
      <c r="AA45" s="1807">
        <f t="shared" si="3"/>
        <v>1</v>
      </c>
      <c r="AB45" s="1807">
        <f t="shared" si="4"/>
        <v>1</v>
      </c>
      <c r="AC45" s="1807">
        <f t="shared" si="5"/>
        <v>1</v>
      </c>
    </row>
    <row r="46" spans="1:29" ht="15">
      <c r="A46" s="478" t="s">
        <v>2723</v>
      </c>
      <c r="B46" s="2703" t="s">
        <v>2759</v>
      </c>
      <c r="C46" s="681" t="s">
        <v>1</v>
      </c>
      <c r="D46" s="480"/>
      <c r="E46" s="481"/>
      <c r="F46" s="482"/>
      <c r="G46" s="483"/>
      <c r="H46" s="484"/>
      <c r="I46" s="481"/>
      <c r="J46" s="484"/>
      <c r="K46" s="779"/>
      <c r="L46" s="1139"/>
      <c r="M46" s="1140"/>
      <c r="N46" s="1127"/>
      <c r="O46" s="1140"/>
      <c r="P46" s="3682" t="str">
        <f>A46</f>
        <v>成交单价</v>
      </c>
      <c r="Q46" s="3682"/>
      <c r="R46" s="3677">
        <f>E46</f>
        <v>0</v>
      </c>
      <c r="S46" s="3677"/>
      <c r="T46" s="3677">
        <f>G46</f>
        <v>0</v>
      </c>
      <c r="U46" s="3677"/>
      <c r="V46" s="3677">
        <f>I46</f>
        <v>0</v>
      </c>
      <c r="W46" s="3677"/>
      <c r="X46" s="755"/>
      <c r="Y46" s="777"/>
      <c r="Z46" s="755"/>
      <c r="AA46" s="755"/>
      <c r="AB46" s="755"/>
      <c r="AC46" s="755"/>
    </row>
    <row r="47" spans="1:29" ht="15.75" thickBot="1">
      <c r="A47" s="485" t="s">
        <v>2672</v>
      </c>
      <c r="B47" s="682"/>
      <c r="C47" s="489" t="e">
        <f>R48</f>
        <v>#DIV/0!</v>
      </c>
      <c r="D47" s="488"/>
      <c r="E47" s="489" t="e">
        <f>R47</f>
        <v>#DIV/0!</v>
      </c>
      <c r="F47" s="490"/>
      <c r="G47" s="487" t="e">
        <f>T47</f>
        <v>#DIV/0!</v>
      </c>
      <c r="H47" s="488"/>
      <c r="I47" s="489" t="e">
        <f>V47</f>
        <v>#DIV/0!</v>
      </c>
      <c r="J47" s="488"/>
      <c r="K47" s="780"/>
      <c r="L47" s="1139"/>
      <c r="M47" s="1140"/>
      <c r="N47" s="1140"/>
      <c r="O47" s="1140"/>
      <c r="P47" s="3682" t="str">
        <f>A47</f>
        <v>比较价值（元/平方米）</v>
      </c>
      <c r="Q47" s="3682"/>
      <c r="R47" s="3813" t="e">
        <f>ROUND(PRODUCT(R46,AA7:AA45),0)</f>
        <v>#DIV/0!</v>
      </c>
      <c r="S47" s="3813"/>
      <c r="T47" s="3813" t="e">
        <f>ROUND(PRODUCT(T46,AB7:AB45),0)</f>
        <v>#DIV/0!</v>
      </c>
      <c r="U47" s="3813"/>
      <c r="V47" s="3813" t="e">
        <f>ROUND(PRODUCT(V46,AC7:AC45),0)</f>
        <v>#DIV/0!</v>
      </c>
      <c r="W47" s="3813"/>
      <c r="X47" s="755"/>
      <c r="Y47" s="755"/>
      <c r="Z47" s="755"/>
      <c r="AA47" s="755"/>
      <c r="AB47" s="755"/>
      <c r="AC47" s="755"/>
    </row>
    <row r="48" spans="1:29" ht="15.75" thickBot="1">
      <c r="A48" s="491" t="s">
        <v>2760</v>
      </c>
      <c r="B48" s="492"/>
      <c r="C48" s="493" t="e">
        <f>R48</f>
        <v>#DIV/0!</v>
      </c>
      <c r="D48" s="493"/>
      <c r="E48" s="493"/>
      <c r="F48" s="493"/>
      <c r="G48" s="493"/>
      <c r="H48" s="493"/>
      <c r="I48" s="493"/>
      <c r="J48" s="493"/>
      <c r="K48" s="781"/>
      <c r="L48" s="1139"/>
      <c r="M48" s="1140"/>
      <c r="N48" s="1140"/>
      <c r="O48" s="1140"/>
      <c r="P48" s="3679" t="str">
        <f>A48</f>
        <v>估价对象XX用房的比较价值（楼面单价，元/平方米）</v>
      </c>
      <c r="Q48" s="3680"/>
      <c r="R48" s="3814" t="e">
        <f>ROUND(AVERAGE(R47:V47),0)</f>
        <v>#DIV/0!</v>
      </c>
      <c r="S48" s="3814"/>
      <c r="T48" s="3814"/>
      <c r="U48" s="3814"/>
      <c r="V48" s="3814"/>
      <c r="W48" s="381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2761</v>
      </c>
      <c r="B55" s="684" t="s">
        <v>2762</v>
      </c>
      <c r="C55" s="2704" t="s">
        <v>2763</v>
      </c>
      <c r="D55" s="2705" t="s">
        <v>2764</v>
      </c>
      <c r="E55" s="685" t="s">
        <v>2765</v>
      </c>
      <c r="F55" s="1103" t="s">
        <v>2766</v>
      </c>
      <c r="G55" s="3665" t="s">
        <v>2767</v>
      </c>
      <c r="H55" s="3815"/>
      <c r="I55" s="143" t="s">
        <v>2768</v>
      </c>
      <c r="J55" s="2706">
        <f>项目基本情况!F35</f>
        <v>0</v>
      </c>
      <c r="K55" s="2707" t="s">
        <v>2769</v>
      </c>
      <c r="L55" s="1102"/>
      <c r="M55" s="1140"/>
      <c r="N55" s="1140"/>
      <c r="O55" s="1140"/>
    </row>
    <row r="56" spans="1:15" s="691" customFormat="1">
      <c r="A56" s="687" t="s">
        <v>2770</v>
      </c>
      <c r="B56" s="688" t="e">
        <f>C48</f>
        <v>#DIV/0!</v>
      </c>
      <c r="C56" s="689">
        <v>1</v>
      </c>
      <c r="D56" s="1159">
        <v>1</v>
      </c>
      <c r="E56" s="689">
        <f>'数据-汇总表'!E8+'数据-汇总表'!E9</f>
        <v>5963.72</v>
      </c>
      <c r="F56" s="1099" t="e">
        <f t="shared" ref="F56:F65" si="15">ROUND(B56*E56/10000,0)</f>
        <v>#DIV/0!</v>
      </c>
      <c r="G56" s="3664"/>
      <c r="H56" s="3682"/>
      <c r="I56" s="1104">
        <v>1</v>
      </c>
      <c r="J56" s="1107">
        <v>1</v>
      </c>
      <c r="K56" s="1141"/>
      <c r="L56" s="937"/>
      <c r="M56" s="937"/>
      <c r="N56" s="937"/>
      <c r="O56" s="937"/>
    </row>
    <row r="57" spans="1:15" s="691" customFormat="1">
      <c r="A57" s="692" t="s">
        <v>2771</v>
      </c>
      <c r="B57" s="261" t="e">
        <f>ROUND($C$48*C57*D57,0)</f>
        <v>#DIV/0!</v>
      </c>
      <c r="C57" s="199">
        <f t="shared" ref="C57:C65" si="16">IF($C$55="北京市系数",I57,J57)</f>
        <v>0.7</v>
      </c>
      <c r="D57" s="1160">
        <v>0.25</v>
      </c>
      <c r="E57" s="693"/>
      <c r="F57" s="1099" t="e">
        <f t="shared" si="15"/>
        <v>#DIV/0!</v>
      </c>
      <c r="G57" s="3816" t="s">
        <v>2772</v>
      </c>
      <c r="H57" s="1100" t="str">
        <f>项目基本情况!B37</f>
        <v>六级</v>
      </c>
      <c r="I57" s="1104">
        <f>SUMIF(修正!A45:A56,H57,修正!B45:B56)</f>
        <v>0.7</v>
      </c>
      <c r="J57" s="1108"/>
      <c r="K57" s="1140"/>
      <c r="L57" s="937"/>
      <c r="M57" s="937"/>
      <c r="N57" s="937"/>
      <c r="O57" s="937"/>
    </row>
    <row r="58" spans="1:15" s="691" customFormat="1">
      <c r="A58" s="692" t="s">
        <v>2773</v>
      </c>
      <c r="B58" s="261" t="e">
        <f t="shared" ref="B58:B65" si="17">ROUND($C$48*C58*D58,0)</f>
        <v>#DIV/0!</v>
      </c>
      <c r="C58" s="199">
        <f t="shared" si="16"/>
        <v>0.4</v>
      </c>
      <c r="D58" s="1160">
        <v>0.25</v>
      </c>
      <c r="E58" s="693"/>
      <c r="F58" s="1099" t="e">
        <f t="shared" si="15"/>
        <v>#DIV/0!</v>
      </c>
      <c r="G58" s="3816"/>
      <c r="H58" s="1100" t="str">
        <f>项目基本情况!B37</f>
        <v>六级</v>
      </c>
      <c r="I58" s="1104">
        <f>SUMIF(修正!A45:A56,H58,修正!C45:C56)</f>
        <v>0.4</v>
      </c>
      <c r="J58" s="1108"/>
      <c r="K58" s="1141"/>
      <c r="L58" s="937"/>
      <c r="M58" s="937"/>
      <c r="N58" s="937"/>
      <c r="O58" s="937"/>
    </row>
    <row r="59" spans="1:15" s="691" customFormat="1">
      <c r="A59" s="692" t="s">
        <v>2774</v>
      </c>
      <c r="B59" s="261" t="e">
        <f t="shared" si="17"/>
        <v>#DIV/0!</v>
      </c>
      <c r="C59" s="199">
        <f t="shared" si="16"/>
        <v>0.28000000000000003</v>
      </c>
      <c r="D59" s="1160">
        <v>0.25</v>
      </c>
      <c r="E59" s="693"/>
      <c r="F59" s="1099" t="e">
        <f t="shared" si="15"/>
        <v>#DIV/0!</v>
      </c>
      <c r="G59" s="3816"/>
      <c r="H59" s="1100" t="str">
        <f>项目基本情况!B37</f>
        <v>六级</v>
      </c>
      <c r="I59" s="1104">
        <f>SUMIF(修正!A45:A56,H59,修正!D45:D56)</f>
        <v>0.28000000000000003</v>
      </c>
      <c r="J59" s="1108"/>
      <c r="K59" s="1140"/>
      <c r="L59" s="937"/>
      <c r="M59" s="937"/>
      <c r="N59" s="937"/>
      <c r="O59" s="937"/>
    </row>
    <row r="60" spans="1:15" s="691" customFormat="1">
      <c r="A60" s="692" t="s">
        <v>2775</v>
      </c>
      <c r="B60" s="261" t="e">
        <f t="shared" si="17"/>
        <v>#DIV/0!</v>
      </c>
      <c r="C60" s="199">
        <f t="shared" si="16"/>
        <v>0.25</v>
      </c>
      <c r="D60" s="1160">
        <v>0.25</v>
      </c>
      <c r="E60" s="693"/>
      <c r="F60" s="1099" t="e">
        <f t="shared" si="15"/>
        <v>#DIV/0!</v>
      </c>
      <c r="G60" s="3816"/>
      <c r="H60" s="1100" t="str">
        <f>项目基本情况!B37</f>
        <v>六级</v>
      </c>
      <c r="I60" s="1104">
        <f>SUMIF(修正!A45:A56,H60,修正!E45:E56)</f>
        <v>0.25</v>
      </c>
      <c r="J60" s="1108"/>
      <c r="K60" s="1141"/>
      <c r="L60" s="937"/>
      <c r="M60" s="937"/>
      <c r="N60" s="937"/>
      <c r="O60" s="937"/>
    </row>
    <row r="61" spans="1:15" s="691" customFormat="1">
      <c r="A61" s="692" t="s">
        <v>2776</v>
      </c>
      <c r="B61" s="261" t="e">
        <f t="shared" si="17"/>
        <v>#DIV/0!</v>
      </c>
      <c r="C61" s="199">
        <f t="shared" si="16"/>
        <v>0</v>
      </c>
      <c r="D61" s="1160">
        <v>0.25</v>
      </c>
      <c r="E61" s="260">
        <f>'数据-汇总表'!E11</f>
        <v>0</v>
      </c>
      <c r="F61" s="1099" t="e">
        <f t="shared" si="15"/>
        <v>#DIV/0!</v>
      </c>
      <c r="G61" s="2708" t="s">
        <v>2777</v>
      </c>
      <c r="H61" s="1100">
        <f>项目基本情况!C37</f>
        <v>0</v>
      </c>
      <c r="I61" s="1104">
        <f>SUMIF(修正!A45:A56,H61,修正!F45:F56)</f>
        <v>0</v>
      </c>
      <c r="J61" s="1108"/>
      <c r="K61" s="1140"/>
      <c r="L61" s="937"/>
      <c r="M61" s="937"/>
      <c r="N61" s="937"/>
      <c r="O61" s="937"/>
    </row>
    <row r="62" spans="1:15" s="691" customFormat="1">
      <c r="A62" s="692" t="s">
        <v>2778</v>
      </c>
      <c r="B62" s="261" t="e">
        <f t="shared" si="17"/>
        <v>#DIV/0!</v>
      </c>
      <c r="C62" s="199">
        <f t="shared" si="16"/>
        <v>0</v>
      </c>
      <c r="D62" s="1160">
        <v>0.25</v>
      </c>
      <c r="E62" s="260">
        <f>'数据-汇总表'!E12</f>
        <v>0</v>
      </c>
      <c r="F62" s="1099" t="e">
        <f t="shared" si="15"/>
        <v>#DIV/0!</v>
      </c>
      <c r="G62" s="1105" t="s">
        <v>2779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2780</v>
      </c>
      <c r="B63" s="261" t="e">
        <f t="shared" si="17"/>
        <v>#DIV/0!</v>
      </c>
      <c r="C63" s="199">
        <f t="shared" si="16"/>
        <v>0.2</v>
      </c>
      <c r="D63" s="1160">
        <v>0.25</v>
      </c>
      <c r="E63" s="260">
        <f>'数据-汇总表'!E13</f>
        <v>0</v>
      </c>
      <c r="F63" s="1099" t="e">
        <f t="shared" si="15"/>
        <v>#DIV/0!</v>
      </c>
      <c r="G63" s="1105" t="s">
        <v>2781</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91" customFormat="1">
      <c r="A64" s="692" t="s">
        <v>2782</v>
      </c>
      <c r="B64" s="261" t="e">
        <f t="shared" si="17"/>
        <v>#DIV/0!</v>
      </c>
      <c r="C64" s="199">
        <f t="shared" si="16"/>
        <v>0.2</v>
      </c>
      <c r="D64" s="1160">
        <v>0.25</v>
      </c>
      <c r="E64" s="260">
        <f>'数据-汇总表'!E14</f>
        <v>0</v>
      </c>
      <c r="F64" s="1099" t="e">
        <f t="shared" si="15"/>
        <v>#DIV/0!</v>
      </c>
      <c r="G64" s="2708" t="s">
        <v>2772</v>
      </c>
      <c r="H64" s="1100" t="str">
        <f>项目基本情况!B37</f>
        <v>六级</v>
      </c>
      <c r="I64" s="1104">
        <f>SUMIF(修正!A45:A56,H64,修正!H45:H56)</f>
        <v>0.2</v>
      </c>
      <c r="J64" s="1108"/>
      <c r="K64" s="1141"/>
      <c r="L64" s="937"/>
      <c r="M64" s="937"/>
      <c r="N64" s="937"/>
      <c r="O64" s="937"/>
    </row>
    <row r="65" spans="1:17" s="691" customFormat="1" ht="15" thickBot="1">
      <c r="A65" s="692" t="s">
        <v>2783</v>
      </c>
      <c r="B65" s="261" t="e">
        <f t="shared" si="17"/>
        <v>#DIV/0!</v>
      </c>
      <c r="C65" s="199">
        <f t="shared" si="16"/>
        <v>0</v>
      </c>
      <c r="D65" s="1160">
        <v>0.25</v>
      </c>
      <c r="E65" s="260">
        <f>'数据-汇总表'!E15</f>
        <v>0</v>
      </c>
      <c r="F65" s="1099" t="e">
        <f t="shared" si="15"/>
        <v>#DIV/0!</v>
      </c>
      <c r="G65" s="2709" t="s">
        <v>2777</v>
      </c>
      <c r="H65" s="1110">
        <f>项目基本情况!C37</f>
        <v>0</v>
      </c>
      <c r="I65" s="1106">
        <f>SUMIF(修正!A45:A56,H65,修正!H45:H56)</f>
        <v>0</v>
      </c>
      <c r="J65" s="1109"/>
      <c r="K65" s="1140"/>
      <c r="L65" s="937"/>
      <c r="M65" s="937"/>
      <c r="N65" s="937"/>
      <c r="O65" s="937"/>
    </row>
    <row r="66" spans="1:17" s="691" customFormat="1" ht="13.5" thickBot="1">
      <c r="A66" s="694" t="s">
        <v>2784</v>
      </c>
      <c r="B66" s="695" t="s">
        <v>28</v>
      </c>
      <c r="C66" s="695" t="s">
        <v>29</v>
      </c>
      <c r="D66" s="695" t="s">
        <v>1028</v>
      </c>
      <c r="E66" s="695">
        <f>IF(B46="楼面地价",SUM(E56:E65),'数据-汇总表'!D3)</f>
        <v>5963.72</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2677</v>
      </c>
      <c r="B69" s="755"/>
      <c r="C69" s="760"/>
      <c r="D69" s="760"/>
      <c r="E69" s="760"/>
      <c r="F69" s="761"/>
      <c r="G69" s="761"/>
      <c r="H69" s="760"/>
      <c r="I69" s="760"/>
      <c r="J69" s="1155"/>
      <c r="K69" s="1156"/>
      <c r="L69" s="1157"/>
      <c r="M69" s="1155"/>
      <c r="N69" s="1155"/>
      <c r="O69" s="1155"/>
      <c r="P69" s="502"/>
      <c r="Q69" s="503"/>
    </row>
    <row r="70" spans="1:17" s="507" customFormat="1" ht="15">
      <c r="A70" s="2710" t="s">
        <v>2785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11"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2588</v>
      </c>
      <c r="B72" s="515"/>
      <c r="C72" s="516"/>
      <c r="D72" s="517"/>
      <c r="E72" s="517"/>
      <c r="F72" s="517"/>
      <c r="G72" s="517"/>
      <c r="H72" s="517"/>
      <c r="I72" s="517"/>
      <c r="J72" s="517"/>
      <c r="K72" s="517"/>
      <c r="L72" s="517"/>
      <c r="M72" s="518"/>
      <c r="N72" s="517"/>
      <c r="O72" s="1158"/>
      <c r="P72" s="503"/>
      <c r="Q72" s="503"/>
    </row>
    <row r="73" spans="1:17" s="116" customFormat="1" ht="15">
      <c r="A73" s="520" t="s">
        <v>2553</v>
      </c>
      <c r="B73" s="509"/>
      <c r="C73" s="521" t="s">
        <v>2655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2591</v>
      </c>
      <c r="B75" s="527" t="s">
        <v>2557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2560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2694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2753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2795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2796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2330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65" t="s">
        <v>2649</v>
      </c>
      <c r="D4" s="3666"/>
      <c r="E4" s="3667" t="s">
        <v>2650</v>
      </c>
      <c r="F4" s="3668"/>
      <c r="G4" s="3665" t="s">
        <v>2651</v>
      </c>
      <c r="H4" s="3666"/>
      <c r="I4" s="3665" t="s">
        <v>2652</v>
      </c>
      <c r="J4" s="3666"/>
      <c r="K4" s="609" t="s">
        <v>2653</v>
      </c>
      <c r="L4" s="1126"/>
      <c r="M4" s="1127"/>
      <c r="N4" s="1127"/>
      <c r="O4" s="1127"/>
      <c r="P4" s="3669" t="s">
        <v>2654</v>
      </c>
      <c r="Q4" s="3670"/>
      <c r="R4" s="3650" t="s">
        <v>2650</v>
      </c>
      <c r="S4" s="3651"/>
      <c r="T4" s="3650" t="s">
        <v>2651</v>
      </c>
      <c r="U4" s="3651"/>
      <c r="V4" s="3677" t="s">
        <v>2652</v>
      </c>
      <c r="W4" s="3677"/>
      <c r="X4" s="1809"/>
      <c r="Y4" s="3650" t="s">
        <v>2654</v>
      </c>
      <c r="Z4" s="3651"/>
      <c r="AA4" s="3645" t="s">
        <v>2650</v>
      </c>
      <c r="AB4" s="3646" t="s">
        <v>2651</v>
      </c>
      <c r="AC4" s="3645" t="s">
        <v>2652</v>
      </c>
    </row>
    <row r="5" spans="1:29" ht="15">
      <c r="A5" s="403"/>
      <c r="B5" s="404"/>
      <c r="C5" s="3656" t="s">
        <v>2545</v>
      </c>
      <c r="D5" s="3657"/>
      <c r="E5" s="3799" t="s">
        <v>2546</v>
      </c>
      <c r="F5" s="3761"/>
      <c r="G5" s="3656" t="s">
        <v>2547</v>
      </c>
      <c r="H5" s="3657"/>
      <c r="I5" s="3656" t="s">
        <v>2548</v>
      </c>
      <c r="J5" s="3657"/>
      <c r="K5" s="609"/>
      <c r="L5" s="1126"/>
      <c r="M5" s="1127"/>
      <c r="N5" s="1127"/>
      <c r="O5" s="1127"/>
      <c r="P5" s="3671"/>
      <c r="Q5" s="3672"/>
      <c r="R5" s="3652"/>
      <c r="S5" s="3653"/>
      <c r="T5" s="3652"/>
      <c r="U5" s="3653"/>
      <c r="V5" s="3677"/>
      <c r="W5" s="3677"/>
      <c r="X5" s="1809"/>
      <c r="Y5" s="3652"/>
      <c r="Z5" s="3653"/>
      <c r="AA5" s="3646"/>
      <c r="AB5" s="3646"/>
      <c r="AC5" s="3646"/>
    </row>
    <row r="6" spans="1:29" ht="15.75" thickBot="1">
      <c r="A6" s="405"/>
      <c r="B6" s="406"/>
      <c r="C6" s="3817" t="s">
        <v>2800</v>
      </c>
      <c r="D6" s="3818"/>
      <c r="E6" s="3819" t="s">
        <v>2800</v>
      </c>
      <c r="F6" s="3820"/>
      <c r="G6" s="3817" t="s">
        <v>2800</v>
      </c>
      <c r="H6" s="3818"/>
      <c r="I6" s="3817" t="s">
        <v>2800</v>
      </c>
      <c r="J6" s="3818"/>
      <c r="K6" s="609" t="s">
        <v>2550</v>
      </c>
      <c r="L6" s="1126"/>
      <c r="M6" s="1127"/>
      <c r="N6" s="1127"/>
      <c r="O6" s="1127"/>
      <c r="P6" s="3673"/>
      <c r="Q6" s="3674"/>
      <c r="R6" s="3652"/>
      <c r="S6" s="3653"/>
      <c r="T6" s="3675"/>
      <c r="U6" s="3676"/>
      <c r="V6" s="3677"/>
      <c r="W6" s="3677"/>
      <c r="X6" s="1809"/>
      <c r="Y6" s="3675"/>
      <c r="Z6" s="3676"/>
      <c r="AA6" s="3647"/>
      <c r="AB6" s="3647"/>
      <c r="AC6" s="3647"/>
    </row>
    <row r="7" spans="1:29" s="116" customFormat="1" ht="15.75" thickBot="1">
      <c r="A7" s="407" t="s">
        <v>2551</v>
      </c>
      <c r="B7" s="408"/>
      <c r="C7" s="409">
        <f>'数据-取费表'!B2</f>
        <v>43155</v>
      </c>
      <c r="D7" s="410">
        <v>100</v>
      </c>
      <c r="E7" s="411"/>
      <c r="F7" s="412">
        <f>SUMIF(65:65,YEAR(E7)&amp;"-"&amp;INT((MONTH(E7)+2)/3),66:66)</f>
        <v>0</v>
      </c>
      <c r="G7" s="2695"/>
      <c r="H7" s="410">
        <f>SUMIF(65:65,YEAR(G7)&amp;"-"&amp;INT((MONTH(G7)+2)/3),66:66)</f>
        <v>0</v>
      </c>
      <c r="I7" s="2695"/>
      <c r="J7" s="410">
        <f>SUMIF(65:65,YEAR(I7)&amp;"-"&amp;INT((MONTH(I7)+2)/3),66:66)</f>
        <v>0</v>
      </c>
      <c r="K7" s="610"/>
      <c r="L7" s="1128"/>
      <c r="M7" s="1129"/>
      <c r="N7" s="1129"/>
      <c r="O7" s="1129"/>
      <c r="P7" s="3648" t="s">
        <v>2552</v>
      </c>
      <c r="Q7" s="3678"/>
      <c r="R7" s="766" t="s">
        <v>17</v>
      </c>
      <c r="S7" s="767">
        <f t="shared" ref="S7:S15" si="0">F7</f>
        <v>0</v>
      </c>
      <c r="T7" s="766" t="s">
        <v>17</v>
      </c>
      <c r="U7" s="767">
        <f t="shared" ref="U7:U15" si="1">H7</f>
        <v>0</v>
      </c>
      <c r="V7" s="766" t="s">
        <v>17</v>
      </c>
      <c r="W7" s="767">
        <f t="shared" ref="W7:W15" si="2">J7</f>
        <v>0</v>
      </c>
      <c r="X7" s="768"/>
      <c r="Y7" s="3648" t="s">
        <v>2552</v>
      </c>
      <c r="Z7" s="3649"/>
      <c r="AA7" s="769" t="e">
        <f>D7/F7</f>
        <v>#DIV/0!</v>
      </c>
      <c r="AB7" s="769" t="e">
        <f>D7/H7</f>
        <v>#DIV/0!</v>
      </c>
      <c r="AC7" s="769"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648" t="s">
        <v>2555</v>
      </c>
      <c r="Q8" s="3649"/>
      <c r="R8" s="766" t="s">
        <v>17</v>
      </c>
      <c r="S8" s="767">
        <f t="shared" si="0"/>
        <v>0</v>
      </c>
      <c r="T8" s="766" t="s">
        <v>17</v>
      </c>
      <c r="U8" s="767">
        <f t="shared" si="1"/>
        <v>0</v>
      </c>
      <c r="V8" s="766" t="s">
        <v>17</v>
      </c>
      <c r="W8" s="767">
        <f t="shared" si="2"/>
        <v>0</v>
      </c>
      <c r="X8" s="768"/>
      <c r="Y8" s="3648" t="s">
        <v>2555</v>
      </c>
      <c r="Z8" s="3649"/>
      <c r="AA8" s="769" t="e">
        <f t="shared" ref="AA8:AA40" si="3">D8/F8</f>
        <v>#DIV/0!</v>
      </c>
      <c r="AB8" s="769" t="e">
        <f t="shared" ref="AB8:AB40" si="4">D8/H8</f>
        <v>#DIV/0!</v>
      </c>
      <c r="AC8" s="769" t="e">
        <f t="shared" ref="AC8:AC40" si="5">D8/J8</f>
        <v>#DIV/0!</v>
      </c>
    </row>
    <row r="9" spans="1:29" s="116" customFormat="1">
      <c r="A9" s="414" t="s">
        <v>2556</v>
      </c>
      <c r="B9" s="71" t="s">
        <v>2557</v>
      </c>
      <c r="C9" s="2698"/>
      <c r="D9" s="134">
        <v>100</v>
      </c>
      <c r="E9" s="2698"/>
      <c r="F9" s="134">
        <f>SUMIF(70:70,E9,71:71)-SUMIF(70:70,C9,71:71)+100</f>
        <v>100</v>
      </c>
      <c r="G9" s="2698"/>
      <c r="H9" s="134">
        <f>SUMIF(70:70,G9,71:71)-SUMIF(70:70,C9,71:71)+100</f>
        <v>100</v>
      </c>
      <c r="I9" s="2698"/>
      <c r="J9" s="134">
        <f>SUMIF(70:70,I9,71:71)-SUMIF(70:70,C9,71:71)+100</f>
        <v>100</v>
      </c>
      <c r="K9" s="610"/>
      <c r="L9" s="1128"/>
      <c r="M9" s="1129"/>
      <c r="N9" s="1129"/>
      <c r="O9" s="1130"/>
      <c r="P9" s="3682" t="s">
        <v>2558</v>
      </c>
      <c r="Q9" s="1791" t="str">
        <f t="shared" ref="Q9:Q15" si="6">B9</f>
        <v>用途</v>
      </c>
      <c r="R9" s="766" t="s">
        <v>17</v>
      </c>
      <c r="S9" s="767">
        <f t="shared" si="0"/>
        <v>100</v>
      </c>
      <c r="T9" s="766" t="s">
        <v>17</v>
      </c>
      <c r="U9" s="767">
        <f t="shared" si="1"/>
        <v>100</v>
      </c>
      <c r="V9" s="766" t="s">
        <v>17</v>
      </c>
      <c r="W9" s="767">
        <f t="shared" si="2"/>
        <v>100</v>
      </c>
      <c r="X9" s="768"/>
      <c r="Y9" s="3525" t="s">
        <v>2559</v>
      </c>
      <c r="Z9" s="55" t="str">
        <f t="shared" ref="Z9:Z15" si="7">Q9</f>
        <v>用途</v>
      </c>
      <c r="AA9" s="769">
        <f t="shared" si="3"/>
        <v>1</v>
      </c>
      <c r="AB9" s="769">
        <f t="shared" si="4"/>
        <v>1</v>
      </c>
      <c r="AC9" s="769">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682"/>
      <c r="Q10" s="1791" t="str">
        <f t="shared" si="6"/>
        <v>土地使用年限（年）</v>
      </c>
      <c r="R10" s="766" t="s">
        <v>17</v>
      </c>
      <c r="S10" s="767">
        <f t="shared" si="0"/>
        <v>103</v>
      </c>
      <c r="T10" s="766" t="s">
        <v>17</v>
      </c>
      <c r="U10" s="767">
        <f t="shared" si="1"/>
        <v>103</v>
      </c>
      <c r="V10" s="766" t="s">
        <v>17</v>
      </c>
      <c r="W10" s="767">
        <f t="shared" si="2"/>
        <v>103</v>
      </c>
      <c r="X10" s="768"/>
      <c r="Y10" s="3525"/>
      <c r="Z10" s="55" t="str">
        <f t="shared" si="7"/>
        <v>土地使用年限（年）</v>
      </c>
      <c r="AA10" s="769">
        <f t="shared" si="3"/>
        <v>0.970873786407767</v>
      </c>
      <c r="AB10" s="769">
        <f t="shared" si="4"/>
        <v>0.970873786407767</v>
      </c>
      <c r="AC10" s="769">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682"/>
      <c r="Q11" s="1791" t="str">
        <f t="shared" si="6"/>
        <v>容积率</v>
      </c>
      <c r="R11" s="766" t="s">
        <v>17</v>
      </c>
      <c r="S11" s="767" t="e">
        <f t="shared" si="0"/>
        <v>#N/A</v>
      </c>
      <c r="T11" s="766" t="s">
        <v>17</v>
      </c>
      <c r="U11" s="767" t="e">
        <f t="shared" si="1"/>
        <v>#N/A</v>
      </c>
      <c r="V11" s="766" t="s">
        <v>17</v>
      </c>
      <c r="W11" s="767" t="e">
        <f t="shared" si="2"/>
        <v>#N/A</v>
      </c>
      <c r="X11" s="768"/>
      <c r="Y11" s="3525"/>
      <c r="Z11" s="55" t="str">
        <f t="shared" si="7"/>
        <v>容积率</v>
      </c>
      <c r="AA11" s="769" t="e">
        <f t="shared" si="3"/>
        <v>#N/A</v>
      </c>
      <c r="AB11" s="769" t="e">
        <f t="shared" si="4"/>
        <v>#N/A</v>
      </c>
      <c r="AC11" s="769"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682"/>
      <c r="Q12" s="1791">
        <f t="shared" si="6"/>
        <v>111</v>
      </c>
      <c r="R12" s="766" t="s">
        <v>17</v>
      </c>
      <c r="S12" s="767">
        <f t="shared" si="0"/>
        <v>100</v>
      </c>
      <c r="T12" s="766" t="s">
        <v>17</v>
      </c>
      <c r="U12" s="767">
        <f t="shared" si="1"/>
        <v>100</v>
      </c>
      <c r="V12" s="766" t="s">
        <v>17</v>
      </c>
      <c r="W12" s="767">
        <f t="shared" si="2"/>
        <v>100</v>
      </c>
      <c r="X12" s="768"/>
      <c r="Y12" s="3525"/>
      <c r="Z12" s="55">
        <f t="shared" si="7"/>
        <v>111</v>
      </c>
      <c r="AA12" s="769">
        <f>D12/F12</f>
        <v>1</v>
      </c>
      <c r="AB12" s="769">
        <f>D12/H12</f>
        <v>1</v>
      </c>
      <c r="AC12" s="769">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682"/>
      <c r="Q13" s="1791">
        <f t="shared" si="6"/>
        <v>111</v>
      </c>
      <c r="R13" s="766" t="s">
        <v>17</v>
      </c>
      <c r="S13" s="767">
        <f t="shared" si="0"/>
        <v>100</v>
      </c>
      <c r="T13" s="766" t="s">
        <v>17</v>
      </c>
      <c r="U13" s="767">
        <f t="shared" si="1"/>
        <v>100</v>
      </c>
      <c r="V13" s="766" t="s">
        <v>17</v>
      </c>
      <c r="W13" s="767">
        <f t="shared" si="2"/>
        <v>100</v>
      </c>
      <c r="X13" s="768"/>
      <c r="Y13" s="3525"/>
      <c r="Z13" s="55">
        <f t="shared" si="7"/>
        <v>111</v>
      </c>
      <c r="AA13" s="769">
        <f t="shared" si="3"/>
        <v>1</v>
      </c>
      <c r="AB13" s="769">
        <f t="shared" si="4"/>
        <v>1</v>
      </c>
      <c r="AC13" s="769">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682"/>
      <c r="Q14" s="1791">
        <f t="shared" si="6"/>
        <v>111</v>
      </c>
      <c r="R14" s="766" t="s">
        <v>17</v>
      </c>
      <c r="S14" s="767">
        <f t="shared" si="0"/>
        <v>100</v>
      </c>
      <c r="T14" s="766" t="s">
        <v>17</v>
      </c>
      <c r="U14" s="767">
        <f t="shared" si="1"/>
        <v>100</v>
      </c>
      <c r="V14" s="766" t="s">
        <v>17</v>
      </c>
      <c r="W14" s="767">
        <f t="shared" si="2"/>
        <v>100</v>
      </c>
      <c r="X14" s="768"/>
      <c r="Y14" s="3525"/>
      <c r="Z14" s="55">
        <f t="shared" si="7"/>
        <v>111</v>
      </c>
      <c r="AA14" s="769">
        <f t="shared" si="3"/>
        <v>1</v>
      </c>
      <c r="AB14" s="769">
        <f t="shared" si="4"/>
        <v>1</v>
      </c>
      <c r="AC14" s="769">
        <f t="shared" si="5"/>
        <v>1</v>
      </c>
    </row>
    <row r="15" spans="1:29" ht="57">
      <c r="A15" s="439" t="s">
        <v>2562</v>
      </c>
      <c r="B15" s="628" t="s">
        <v>2801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684" t="s">
        <v>2563</v>
      </c>
      <c r="Q15" s="1806" t="str">
        <f t="shared" si="6"/>
        <v>产业集聚程度</v>
      </c>
      <c r="R15" s="770" t="s">
        <v>17</v>
      </c>
      <c r="S15" s="771">
        <f t="shared" si="0"/>
        <v>100</v>
      </c>
      <c r="T15" s="770" t="s">
        <v>17</v>
      </c>
      <c r="U15" s="771">
        <f t="shared" si="1"/>
        <v>100</v>
      </c>
      <c r="V15" s="770" t="s">
        <v>17</v>
      </c>
      <c r="W15" s="771">
        <f t="shared" si="2"/>
        <v>100</v>
      </c>
      <c r="X15" s="1809"/>
      <c r="Y15" s="3684" t="s">
        <v>2563</v>
      </c>
      <c r="Z15" s="1810" t="str">
        <f t="shared" si="7"/>
        <v>产业集聚程度</v>
      </c>
      <c r="AA15" s="1807">
        <f t="shared" si="3"/>
        <v>1</v>
      </c>
      <c r="AB15" s="1807">
        <f t="shared" si="4"/>
        <v>1</v>
      </c>
      <c r="AC15" s="1807">
        <f t="shared" si="5"/>
        <v>1</v>
      </c>
    </row>
    <row r="16" spans="1:29" ht="15">
      <c r="A16" s="427"/>
      <c r="B16" s="629"/>
      <c r="C16" s="446"/>
      <c r="D16" s="447"/>
      <c r="E16" s="2610"/>
      <c r="F16" s="447"/>
      <c r="G16" s="2610"/>
      <c r="H16" s="449"/>
      <c r="I16" s="2610"/>
      <c r="J16" s="447"/>
      <c r="K16" s="671"/>
      <c r="L16" s="1136"/>
      <c r="M16" s="1127"/>
      <c r="N16" s="1127"/>
      <c r="O16" s="1135"/>
      <c r="P16" s="3685"/>
      <c r="Q16" s="1806"/>
      <c r="R16" s="770"/>
      <c r="S16" s="771"/>
      <c r="T16" s="770"/>
      <c r="U16" s="771"/>
      <c r="V16" s="770"/>
      <c r="W16" s="771"/>
      <c r="X16" s="1809"/>
      <c r="Y16" s="3685"/>
      <c r="Z16" s="1810"/>
      <c r="AA16" s="1807">
        <v>1</v>
      </c>
      <c r="AB16" s="1807">
        <v>1</v>
      </c>
      <c r="AC16" s="1807">
        <v>1</v>
      </c>
    </row>
    <row r="17" spans="1:29" ht="85.5">
      <c r="A17" s="427"/>
      <c r="B17" s="630" t="s">
        <v>2712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685"/>
      <c r="Q17" s="1806" t="str">
        <f>B17</f>
        <v>交通便捷度</v>
      </c>
      <c r="R17" s="770" t="s">
        <v>17</v>
      </c>
      <c r="S17" s="771">
        <f>F17</f>
        <v>100</v>
      </c>
      <c r="T17" s="770" t="s">
        <v>17</v>
      </c>
      <c r="U17" s="771">
        <f>H17</f>
        <v>100</v>
      </c>
      <c r="V17" s="770" t="s">
        <v>17</v>
      </c>
      <c r="W17" s="771">
        <f>J17</f>
        <v>100</v>
      </c>
      <c r="X17" s="1809"/>
      <c r="Y17" s="3685"/>
      <c r="Z17" s="1810" t="str">
        <f>Q17</f>
        <v>交通便捷度</v>
      </c>
      <c r="AA17" s="1807">
        <f t="shared" si="3"/>
        <v>1</v>
      </c>
      <c r="AB17" s="1807">
        <f t="shared" si="4"/>
        <v>1</v>
      </c>
      <c r="AC17" s="1807">
        <f t="shared" si="5"/>
        <v>1</v>
      </c>
    </row>
    <row r="18" spans="1:29" ht="15">
      <c r="A18" s="427"/>
      <c r="B18" s="631"/>
      <c r="C18" s="446"/>
      <c r="D18" s="447"/>
      <c r="E18" s="2604"/>
      <c r="F18" s="447"/>
      <c r="G18" s="2604"/>
      <c r="H18" s="447"/>
      <c r="I18" s="2603"/>
      <c r="J18" s="447"/>
      <c r="K18" s="671"/>
      <c r="L18" s="1136"/>
      <c r="M18" s="1127"/>
      <c r="N18" s="1127"/>
      <c r="O18" s="1135"/>
      <c r="P18" s="3685"/>
      <c r="Q18" s="1806"/>
      <c r="R18" s="770"/>
      <c r="S18" s="771"/>
      <c r="T18" s="770"/>
      <c r="U18" s="771"/>
      <c r="V18" s="770"/>
      <c r="W18" s="771"/>
      <c r="X18" s="1809"/>
      <c r="Y18" s="3685"/>
      <c r="Z18" s="1810"/>
      <c r="AA18" s="1807">
        <v>1</v>
      </c>
      <c r="AB18" s="1807">
        <v>1</v>
      </c>
      <c r="AC18" s="1807">
        <v>1</v>
      </c>
    </row>
    <row r="19" spans="1:29" ht="15">
      <c r="A19" s="427"/>
      <c r="B19" s="630" t="s">
        <v>2751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685"/>
      <c r="Q19" s="1806" t="str">
        <f t="shared" ref="Q19:Q33" si="8">B19</f>
        <v>区域土地利用方向</v>
      </c>
      <c r="R19" s="770" t="s">
        <v>17</v>
      </c>
      <c r="S19" s="771">
        <f>F19</f>
        <v>100</v>
      </c>
      <c r="T19" s="770" t="s">
        <v>17</v>
      </c>
      <c r="U19" s="771">
        <f>H19</f>
        <v>100</v>
      </c>
      <c r="V19" s="770" t="s">
        <v>17</v>
      </c>
      <c r="W19" s="771">
        <f>J19</f>
        <v>100</v>
      </c>
      <c r="X19" s="1809"/>
      <c r="Y19" s="3685"/>
      <c r="Z19" s="1810" t="str">
        <f>Q19</f>
        <v>区域土地利用方向</v>
      </c>
      <c r="AA19" s="1807">
        <f t="shared" si="3"/>
        <v>1</v>
      </c>
      <c r="AB19" s="1807">
        <f t="shared" si="4"/>
        <v>1</v>
      </c>
      <c r="AC19" s="1807">
        <f t="shared" si="5"/>
        <v>1</v>
      </c>
    </row>
    <row r="20" spans="1:29" ht="15">
      <c r="A20" s="403"/>
      <c r="B20" s="631"/>
      <c r="C20" s="446"/>
      <c r="D20" s="447"/>
      <c r="E20" s="2604"/>
      <c r="F20" s="447"/>
      <c r="G20" s="2604"/>
      <c r="H20" s="447"/>
      <c r="I20" s="2604"/>
      <c r="J20" s="447"/>
      <c r="K20" s="805"/>
      <c r="L20" s="1136"/>
      <c r="M20" s="1127"/>
      <c r="N20" s="1127"/>
      <c r="O20" s="1135"/>
      <c r="P20" s="3685"/>
      <c r="Q20" s="1806"/>
      <c r="R20" s="770"/>
      <c r="S20" s="771"/>
      <c r="T20" s="770"/>
      <c r="U20" s="771"/>
      <c r="V20" s="770"/>
      <c r="W20" s="771"/>
      <c r="X20" s="1809"/>
      <c r="Y20" s="3685"/>
      <c r="Z20" s="1810"/>
      <c r="AA20" s="1807"/>
      <c r="AB20" s="1807"/>
      <c r="AC20" s="1807"/>
    </row>
    <row r="21" spans="1:29" ht="71.25">
      <c r="A21" s="403"/>
      <c r="B21" s="630" t="s">
        <v>2802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685"/>
      <c r="Q21" s="1806" t="str">
        <f t="shared" si="8"/>
        <v>环境状况</v>
      </c>
      <c r="R21" s="770" t="s">
        <v>17</v>
      </c>
      <c r="S21" s="771">
        <f>F21</f>
        <v>100</v>
      </c>
      <c r="T21" s="770" t="s">
        <v>17</v>
      </c>
      <c r="U21" s="771">
        <f>H21</f>
        <v>100</v>
      </c>
      <c r="V21" s="770" t="s">
        <v>17</v>
      </c>
      <c r="W21" s="771">
        <f>J21</f>
        <v>100</v>
      </c>
      <c r="X21" s="1809"/>
      <c r="Y21" s="3685"/>
      <c r="Z21" s="1810" t="str">
        <f>Q21</f>
        <v>环境状况</v>
      </c>
      <c r="AA21" s="1807">
        <f t="shared" si="3"/>
        <v>1</v>
      </c>
      <c r="AB21" s="1807">
        <f t="shared" si="4"/>
        <v>1</v>
      </c>
      <c r="AC21" s="1807">
        <f t="shared" si="5"/>
        <v>1</v>
      </c>
    </row>
    <row r="22" spans="1:29" ht="15">
      <c r="A22" s="403"/>
      <c r="B22" s="631"/>
      <c r="C22" s="446"/>
      <c r="D22" s="447"/>
      <c r="E22" s="2610"/>
      <c r="F22" s="447"/>
      <c r="G22" s="2610"/>
      <c r="H22" s="447"/>
      <c r="I22" s="446"/>
      <c r="J22" s="447"/>
      <c r="K22" s="671"/>
      <c r="L22" s="1136"/>
      <c r="M22" s="1127"/>
      <c r="N22" s="1127"/>
      <c r="O22" s="1135"/>
      <c r="P22" s="3685"/>
      <c r="Q22" s="1806"/>
      <c r="R22" s="770"/>
      <c r="S22" s="771"/>
      <c r="T22" s="770"/>
      <c r="U22" s="771"/>
      <c r="V22" s="770"/>
      <c r="W22" s="771"/>
      <c r="X22" s="1809"/>
      <c r="Y22" s="3685"/>
      <c r="Z22" s="1810"/>
      <c r="AA22" s="1807">
        <v>1</v>
      </c>
      <c r="AB22" s="1807">
        <v>1</v>
      </c>
      <c r="AC22" s="1807">
        <v>1</v>
      </c>
    </row>
    <row r="23" spans="1:29" s="116" customFormat="1" ht="42.75">
      <c r="A23" s="648"/>
      <c r="B23" s="632" t="s">
        <v>2657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685"/>
      <c r="Q23" s="1791" t="str">
        <f t="shared" si="8"/>
        <v>公共配套设施</v>
      </c>
      <c r="R23" s="766" t="s">
        <v>17</v>
      </c>
      <c r="S23" s="767">
        <f>F23</f>
        <v>100</v>
      </c>
      <c r="T23" s="766" t="s">
        <v>17</v>
      </c>
      <c r="U23" s="767">
        <f>H23</f>
        <v>100</v>
      </c>
      <c r="V23" s="766" t="s">
        <v>17</v>
      </c>
      <c r="W23" s="767">
        <f>J23</f>
        <v>100</v>
      </c>
      <c r="X23" s="768"/>
      <c r="Y23" s="3685"/>
      <c r="Z23" s="55" t="str">
        <f>Q23</f>
        <v>公共配套设施</v>
      </c>
      <c r="AA23" s="1807">
        <f>D23/F23</f>
        <v>1</v>
      </c>
      <c r="AB23" s="1807">
        <f>D23/H23</f>
        <v>1</v>
      </c>
      <c r="AC23" s="1807">
        <f>D23/J23</f>
        <v>1</v>
      </c>
    </row>
    <row r="24" spans="1:29" s="116" customFormat="1" ht="15">
      <c r="A24" s="648"/>
      <c r="B24" s="631"/>
      <c r="C24" s="2699"/>
      <c r="D24" s="447"/>
      <c r="E24" s="2610"/>
      <c r="F24" s="447"/>
      <c r="G24" s="2610"/>
      <c r="H24" s="447"/>
      <c r="I24" s="446"/>
      <c r="J24" s="447"/>
      <c r="K24" s="671"/>
      <c r="L24" s="1128"/>
      <c r="M24" s="1129"/>
      <c r="N24" s="1129"/>
      <c r="O24" s="1130"/>
      <c r="P24" s="3685"/>
      <c r="Q24" s="1791"/>
      <c r="R24" s="766"/>
      <c r="S24" s="767"/>
      <c r="T24" s="766"/>
      <c r="U24" s="767"/>
      <c r="V24" s="766"/>
      <c r="W24" s="767"/>
      <c r="X24" s="768"/>
      <c r="Y24" s="3685"/>
      <c r="Z24" s="55"/>
      <c r="AA24" s="769">
        <v>1</v>
      </c>
      <c r="AB24" s="769">
        <v>1</v>
      </c>
      <c r="AC24" s="769">
        <v>1</v>
      </c>
    </row>
    <row r="25" spans="1:29" s="116" customFormat="1" ht="28.5">
      <c r="A25" s="648"/>
      <c r="B25" s="632" t="s">
        <v>2658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685"/>
      <c r="Q25" s="1791" t="str">
        <f t="shared" ref="Q25" si="9">B25</f>
        <v>基础设施水平</v>
      </c>
      <c r="R25" s="766" t="s">
        <v>17</v>
      </c>
      <c r="S25" s="767">
        <f>F25</f>
        <v>100</v>
      </c>
      <c r="T25" s="766" t="s">
        <v>17</v>
      </c>
      <c r="U25" s="767">
        <f>H25</f>
        <v>100</v>
      </c>
      <c r="V25" s="766" t="s">
        <v>17</v>
      </c>
      <c r="W25" s="767">
        <f>J25</f>
        <v>100</v>
      </c>
      <c r="X25" s="768"/>
      <c r="Y25" s="3685"/>
      <c r="Z25" s="55" t="str">
        <f>Q25</f>
        <v>基础设施水平</v>
      </c>
      <c r="AA25" s="1807">
        <f>D25/F25</f>
        <v>1</v>
      </c>
      <c r="AB25" s="1807">
        <f>D25/H25</f>
        <v>1</v>
      </c>
      <c r="AC25" s="1807">
        <f>D25/J25</f>
        <v>1</v>
      </c>
    </row>
    <row r="26" spans="1:29" s="116" customFormat="1" ht="15">
      <c r="A26" s="648"/>
      <c r="B26" s="631"/>
      <c r="C26" s="2699"/>
      <c r="D26" s="447"/>
      <c r="E26" s="2700"/>
      <c r="F26" s="447"/>
      <c r="G26" s="2700"/>
      <c r="H26" s="447"/>
      <c r="I26" s="2700"/>
      <c r="J26" s="447"/>
      <c r="K26" s="671"/>
      <c r="L26" s="1128"/>
      <c r="M26" s="1129"/>
      <c r="N26" s="1129"/>
      <c r="O26" s="1130"/>
      <c r="P26" s="3685"/>
      <c r="Q26" s="1791"/>
      <c r="R26" s="766"/>
      <c r="S26" s="767"/>
      <c r="T26" s="766"/>
      <c r="U26" s="767"/>
      <c r="V26" s="766"/>
      <c r="W26" s="767"/>
      <c r="X26" s="768"/>
      <c r="Y26" s="3685"/>
      <c r="Z26" s="55"/>
      <c r="AA26" s="769">
        <v>1</v>
      </c>
      <c r="AB26" s="769">
        <v>1</v>
      </c>
      <c r="AC26" s="769">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685"/>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685"/>
      <c r="Z27" s="1810" t="str">
        <f t="shared" ref="Z27:Z40" si="13">Q27</f>
        <v>临街状况</v>
      </c>
      <c r="AA27" s="1807">
        <f t="shared" si="3"/>
        <v>1</v>
      </c>
      <c r="AB27" s="1807">
        <f t="shared" si="4"/>
        <v>1</v>
      </c>
      <c r="AC27" s="1807">
        <f t="shared" si="5"/>
        <v>1</v>
      </c>
    </row>
    <row r="28" spans="1:29" ht="27">
      <c r="A28" s="427"/>
      <c r="B28" s="632" t="s">
        <v>2694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685"/>
      <c r="Q28" s="1806" t="str">
        <f t="shared" si="8"/>
        <v>毗邻道路的类型与等级</v>
      </c>
      <c r="R28" s="770" t="s">
        <v>17</v>
      </c>
      <c r="S28" s="771">
        <f t="shared" si="10"/>
        <v>100</v>
      </c>
      <c r="T28" s="770" t="s">
        <v>17</v>
      </c>
      <c r="U28" s="771">
        <f t="shared" si="11"/>
        <v>100</v>
      </c>
      <c r="V28" s="770" t="s">
        <v>17</v>
      </c>
      <c r="W28" s="771">
        <f t="shared" si="12"/>
        <v>100</v>
      </c>
      <c r="X28" s="1809"/>
      <c r="Y28" s="3685"/>
      <c r="Z28" s="1810" t="str">
        <f t="shared" si="13"/>
        <v>毗邻道路的类型与等级</v>
      </c>
      <c r="AA28" s="1807">
        <f t="shared" si="3"/>
        <v>1</v>
      </c>
      <c r="AB28" s="1807">
        <f t="shared" si="4"/>
        <v>1</v>
      </c>
      <c r="AC28" s="1807">
        <f t="shared" si="5"/>
        <v>1</v>
      </c>
    </row>
    <row r="29" spans="1:29" ht="15">
      <c r="A29" s="427"/>
      <c r="B29" s="631"/>
      <c r="C29" s="446"/>
      <c r="D29" s="447"/>
      <c r="E29" s="2610"/>
      <c r="F29" s="447"/>
      <c r="G29" s="2610"/>
      <c r="H29" s="447"/>
      <c r="I29" s="2610"/>
      <c r="J29" s="447"/>
      <c r="K29" s="612"/>
      <c r="L29" s="1136"/>
      <c r="M29" s="1127"/>
      <c r="N29" s="1127"/>
      <c r="O29" s="1135"/>
      <c r="P29" s="3685"/>
      <c r="Q29" s="1806"/>
      <c r="R29" s="770"/>
      <c r="S29" s="771"/>
      <c r="T29" s="770"/>
      <c r="U29" s="771"/>
      <c r="V29" s="770"/>
      <c r="W29" s="771"/>
      <c r="X29" s="1809"/>
      <c r="Y29" s="3685"/>
      <c r="Z29" s="1810"/>
      <c r="AA29" s="1807">
        <v>1</v>
      </c>
      <c r="AB29" s="1807">
        <v>1</v>
      </c>
      <c r="AC29" s="1807">
        <v>1</v>
      </c>
    </row>
    <row r="30" spans="1:29" ht="15">
      <c r="A30" s="427"/>
      <c r="B30" s="653" t="s">
        <v>2753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685"/>
      <c r="Q30" s="1806" t="str">
        <f t="shared" si="8"/>
        <v>土地级别</v>
      </c>
      <c r="R30" s="770" t="s">
        <v>17</v>
      </c>
      <c r="S30" s="771">
        <f t="shared" si="10"/>
        <v>100</v>
      </c>
      <c r="T30" s="770" t="s">
        <v>17</v>
      </c>
      <c r="U30" s="771">
        <f t="shared" si="11"/>
        <v>100</v>
      </c>
      <c r="V30" s="770" t="s">
        <v>17</v>
      </c>
      <c r="W30" s="771">
        <f t="shared" si="12"/>
        <v>100</v>
      </c>
      <c r="X30" s="1809"/>
      <c r="Y30" s="3685"/>
      <c r="Z30" s="1810" t="str">
        <f t="shared" si="13"/>
        <v>土地级别</v>
      </c>
      <c r="AA30" s="1807">
        <f t="shared" si="3"/>
        <v>1</v>
      </c>
      <c r="AB30" s="1807">
        <f t="shared" si="4"/>
        <v>1</v>
      </c>
      <c r="AC30" s="1807">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685"/>
      <c r="Q31" s="1806">
        <f t="shared" si="8"/>
        <v>111</v>
      </c>
      <c r="R31" s="770" t="s">
        <v>17</v>
      </c>
      <c r="S31" s="771">
        <f t="shared" si="10"/>
        <v>100</v>
      </c>
      <c r="T31" s="770" t="s">
        <v>17</v>
      </c>
      <c r="U31" s="771">
        <f t="shared" si="11"/>
        <v>100</v>
      </c>
      <c r="V31" s="770" t="s">
        <v>17</v>
      </c>
      <c r="W31" s="771">
        <f t="shared" si="12"/>
        <v>100</v>
      </c>
      <c r="X31" s="1809"/>
      <c r="Y31" s="3685"/>
      <c r="Z31" s="1810">
        <f t="shared" si="13"/>
        <v>111</v>
      </c>
      <c r="AA31" s="1807">
        <f t="shared" si="3"/>
        <v>1</v>
      </c>
      <c r="AB31" s="1807">
        <f t="shared" si="4"/>
        <v>1</v>
      </c>
      <c r="AC31" s="1807">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812" t="s">
        <v>2568</v>
      </c>
      <c r="Q32" s="1806">
        <f t="shared" si="8"/>
        <v>111</v>
      </c>
      <c r="R32" s="770" t="s">
        <v>17</v>
      </c>
      <c r="S32" s="771">
        <f t="shared" si="10"/>
        <v>100</v>
      </c>
      <c r="T32" s="770" t="s">
        <v>17</v>
      </c>
      <c r="U32" s="771">
        <f t="shared" si="11"/>
        <v>100</v>
      </c>
      <c r="V32" s="770" t="s">
        <v>17</v>
      </c>
      <c r="W32" s="771">
        <f t="shared" si="12"/>
        <v>100</v>
      </c>
      <c r="X32" s="1809"/>
      <c r="Y32" s="3689" t="s">
        <v>2568</v>
      </c>
      <c r="Z32" s="1810">
        <f t="shared" si="13"/>
        <v>111</v>
      </c>
      <c r="AA32" s="1807">
        <f t="shared" si="3"/>
        <v>1</v>
      </c>
      <c r="AB32" s="1807">
        <f t="shared" si="4"/>
        <v>1</v>
      </c>
      <c r="AC32" s="1807">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689"/>
      <c r="Q33" s="1806">
        <f t="shared" si="8"/>
        <v>111</v>
      </c>
      <c r="R33" s="773" t="s">
        <v>17</v>
      </c>
      <c r="S33" s="774">
        <f t="shared" si="10"/>
        <v>100</v>
      </c>
      <c r="T33" s="773" t="s">
        <v>17</v>
      </c>
      <c r="U33" s="774">
        <f t="shared" si="11"/>
        <v>100</v>
      </c>
      <c r="V33" s="773" t="s">
        <v>17</v>
      </c>
      <c r="W33" s="774">
        <f t="shared" si="12"/>
        <v>100</v>
      </c>
      <c r="X33" s="775"/>
      <c r="Y33" s="3689"/>
      <c r="Z33" s="776">
        <f t="shared" si="13"/>
        <v>111</v>
      </c>
      <c r="AA33" s="1807">
        <f t="shared" si="3"/>
        <v>1</v>
      </c>
      <c r="AB33" s="1807">
        <f t="shared" si="4"/>
        <v>1</v>
      </c>
      <c r="AC33" s="1807">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689"/>
      <c r="Q34" s="1806" t="str">
        <f>B34</f>
        <v>宗地面积</v>
      </c>
      <c r="R34" s="770" t="s">
        <v>17</v>
      </c>
      <c r="S34" s="771" t="e">
        <f t="shared" si="10"/>
        <v>#N/A</v>
      </c>
      <c r="T34" s="770" t="s">
        <v>17</v>
      </c>
      <c r="U34" s="771" t="e">
        <f t="shared" si="11"/>
        <v>#N/A</v>
      </c>
      <c r="V34" s="770" t="s">
        <v>17</v>
      </c>
      <c r="W34" s="771" t="e">
        <f t="shared" si="12"/>
        <v>#N/A</v>
      </c>
      <c r="X34" s="1809"/>
      <c r="Y34" s="3689"/>
      <c r="Z34" s="1810" t="str">
        <f t="shared" si="13"/>
        <v>宗地面积</v>
      </c>
      <c r="AA34" s="1807" t="e">
        <f t="shared" si="3"/>
        <v>#N/A</v>
      </c>
      <c r="AB34" s="1807" t="e">
        <f t="shared" si="4"/>
        <v>#N/A</v>
      </c>
      <c r="AC34" s="1807" t="e">
        <f t="shared" si="5"/>
        <v>#N/A</v>
      </c>
    </row>
    <row r="35" spans="1:29" ht="15">
      <c r="A35" s="471"/>
      <c r="B35" s="421" t="s">
        <v>2755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6"/>
      <c r="M35" s="1127"/>
      <c r="N35" s="1127"/>
      <c r="O35" s="1135"/>
      <c r="P35" s="3689"/>
      <c r="Q35" s="1806" t="str">
        <f t="shared" ref="Q35:Q40" si="14">B35</f>
        <v>宗地形状</v>
      </c>
      <c r="R35" s="770" t="s">
        <v>17</v>
      </c>
      <c r="S35" s="771">
        <f t="shared" si="10"/>
        <v>100</v>
      </c>
      <c r="T35" s="770" t="s">
        <v>17</v>
      </c>
      <c r="U35" s="771">
        <f t="shared" si="11"/>
        <v>100</v>
      </c>
      <c r="V35" s="770" t="s">
        <v>17</v>
      </c>
      <c r="W35" s="771">
        <f t="shared" si="12"/>
        <v>100</v>
      </c>
      <c r="X35" s="1809"/>
      <c r="Y35" s="3689"/>
      <c r="Z35" s="1810" t="str">
        <f t="shared" si="13"/>
        <v>宗地形状</v>
      </c>
      <c r="AA35" s="1807">
        <f t="shared" si="3"/>
        <v>1</v>
      </c>
      <c r="AB35" s="1807">
        <f t="shared" si="4"/>
        <v>1</v>
      </c>
      <c r="AC35" s="1807">
        <f t="shared" si="5"/>
        <v>1</v>
      </c>
    </row>
    <row r="36" spans="1:29" s="116" customFormat="1" ht="15">
      <c r="A36" s="472"/>
      <c r="B36" s="421" t="s">
        <v>2757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8"/>
      <c r="M36" s="1129"/>
      <c r="N36" s="1129"/>
      <c r="O36" s="1130"/>
      <c r="P36" s="3689"/>
      <c r="Q36" s="1806" t="str">
        <f t="shared" si="14"/>
        <v>宗地开发程度</v>
      </c>
      <c r="R36" s="766" t="s">
        <v>17</v>
      </c>
      <c r="S36" s="767">
        <f t="shared" si="10"/>
        <v>100</v>
      </c>
      <c r="T36" s="766" t="s">
        <v>17</v>
      </c>
      <c r="U36" s="767">
        <f t="shared" si="11"/>
        <v>100</v>
      </c>
      <c r="V36" s="766" t="s">
        <v>17</v>
      </c>
      <c r="W36" s="767">
        <f t="shared" si="12"/>
        <v>100</v>
      </c>
      <c r="X36" s="768"/>
      <c r="Y36" s="3689"/>
      <c r="Z36" s="55" t="str">
        <f t="shared" si="13"/>
        <v>宗地开发程度</v>
      </c>
      <c r="AA36" s="769">
        <f t="shared" si="3"/>
        <v>1</v>
      </c>
      <c r="AB36" s="769">
        <f t="shared" si="4"/>
        <v>1</v>
      </c>
      <c r="AC36" s="769">
        <f t="shared" si="5"/>
        <v>1</v>
      </c>
    </row>
    <row r="37" spans="1:29" ht="15">
      <c r="A37" s="471"/>
      <c r="B37" s="421" t="s">
        <v>2758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6"/>
      <c r="M37" s="1127"/>
      <c r="N37" s="1127"/>
      <c r="O37" s="1135"/>
      <c r="P37" s="3689" t="s">
        <v>2568</v>
      </c>
      <c r="Q37" s="1806" t="str">
        <f t="shared" si="14"/>
        <v>工程地质条件</v>
      </c>
      <c r="R37" s="770" t="s">
        <v>17</v>
      </c>
      <c r="S37" s="771">
        <f t="shared" si="10"/>
        <v>100</v>
      </c>
      <c r="T37" s="770" t="s">
        <v>17</v>
      </c>
      <c r="U37" s="771">
        <f t="shared" si="11"/>
        <v>100</v>
      </c>
      <c r="V37" s="770" t="s">
        <v>17</v>
      </c>
      <c r="W37" s="771">
        <f t="shared" si="12"/>
        <v>100</v>
      </c>
      <c r="X37" s="1809"/>
      <c r="Y37" s="3689" t="s">
        <v>2568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689"/>
      <c r="Q38" s="1806">
        <f t="shared" si="14"/>
        <v>111</v>
      </c>
      <c r="R38" s="770" t="s">
        <v>17</v>
      </c>
      <c r="S38" s="771">
        <f t="shared" si="10"/>
        <v>100</v>
      </c>
      <c r="T38" s="770" t="s">
        <v>17</v>
      </c>
      <c r="U38" s="771">
        <f t="shared" si="11"/>
        <v>100</v>
      </c>
      <c r="V38" s="770" t="s">
        <v>17</v>
      </c>
      <c r="W38" s="771">
        <f t="shared" si="12"/>
        <v>100</v>
      </c>
      <c r="X38" s="1809"/>
      <c r="Y38" s="3689"/>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689"/>
      <c r="Q39" s="1806">
        <f t="shared" si="14"/>
        <v>111</v>
      </c>
      <c r="R39" s="770" t="s">
        <v>17</v>
      </c>
      <c r="S39" s="771">
        <f t="shared" si="10"/>
        <v>100</v>
      </c>
      <c r="T39" s="770" t="s">
        <v>17</v>
      </c>
      <c r="U39" s="771">
        <f t="shared" si="11"/>
        <v>100</v>
      </c>
      <c r="V39" s="770" t="s">
        <v>17</v>
      </c>
      <c r="W39" s="771">
        <f t="shared" si="12"/>
        <v>100</v>
      </c>
      <c r="X39" s="1809"/>
      <c r="Y39" s="3689"/>
      <c r="Z39" s="1810">
        <f t="shared" si="13"/>
        <v>111</v>
      </c>
      <c r="AA39" s="1807">
        <f t="shared" si="3"/>
        <v>1</v>
      </c>
      <c r="AB39" s="1807">
        <f t="shared" si="4"/>
        <v>1</v>
      </c>
      <c r="AC39" s="1807">
        <f t="shared" si="5"/>
        <v>1</v>
      </c>
    </row>
    <row r="40" spans="1:29" s="470" customFormat="1" ht="15.75" thickBot="1">
      <c r="A40" s="467"/>
      <c r="B40" s="1383">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689"/>
      <c r="Q40" s="1806">
        <f t="shared" si="14"/>
        <v>111</v>
      </c>
      <c r="R40" s="773" t="s">
        <v>17</v>
      </c>
      <c r="S40" s="774">
        <f t="shared" si="10"/>
        <v>100</v>
      </c>
      <c r="T40" s="773" t="s">
        <v>17</v>
      </c>
      <c r="U40" s="774">
        <f t="shared" si="11"/>
        <v>100</v>
      </c>
      <c r="V40" s="773" t="s">
        <v>17</v>
      </c>
      <c r="W40" s="774">
        <f t="shared" si="12"/>
        <v>100</v>
      </c>
      <c r="X40" s="775"/>
      <c r="Y40" s="3689"/>
      <c r="Z40" s="776">
        <f t="shared" si="13"/>
        <v>111</v>
      </c>
      <c r="AA40" s="1807">
        <f t="shared" si="3"/>
        <v>1</v>
      </c>
      <c r="AB40" s="1807">
        <f t="shared" si="4"/>
        <v>1</v>
      </c>
      <c r="AC40" s="1807">
        <f t="shared" si="5"/>
        <v>1</v>
      </c>
    </row>
    <row r="41" spans="1:29" ht="15">
      <c r="A41" s="478" t="s">
        <v>2723</v>
      </c>
      <c r="B41" s="2703" t="s">
        <v>2803</v>
      </c>
      <c r="C41" s="681" t="s">
        <v>1</v>
      </c>
      <c r="D41" s="480"/>
      <c r="E41" s="481"/>
      <c r="F41" s="482"/>
      <c r="G41" s="483"/>
      <c r="H41" s="484"/>
      <c r="I41" s="481"/>
      <c r="J41" s="484"/>
      <c r="K41" s="779"/>
      <c r="L41" s="1139"/>
      <c r="M41" s="1127"/>
      <c r="N41" s="1127"/>
      <c r="O41" s="1140"/>
      <c r="P41" s="3682" t="str">
        <f>A41</f>
        <v>成交单价</v>
      </c>
      <c r="Q41" s="3682"/>
      <c r="R41" s="3677">
        <f>E41</f>
        <v>0</v>
      </c>
      <c r="S41" s="3677"/>
      <c r="T41" s="3677">
        <f>G41</f>
        <v>0</v>
      </c>
      <c r="U41" s="3677"/>
      <c r="V41" s="3677">
        <f>I41</f>
        <v>0</v>
      </c>
      <c r="W41" s="3677"/>
      <c r="X41" s="755"/>
      <c r="Y41" s="777"/>
      <c r="Z41" s="755"/>
      <c r="AA41" s="755"/>
      <c r="AB41" s="755"/>
      <c r="AC41" s="755"/>
    </row>
    <row r="42" spans="1:29" ht="15.75" thickBot="1">
      <c r="A42" s="485" t="s">
        <v>2672</v>
      </c>
      <c r="B42" s="682"/>
      <c r="C42" s="489" t="e">
        <f>R43</f>
        <v>#DIV/0!</v>
      </c>
      <c r="D42" s="488"/>
      <c r="E42" s="489" t="e">
        <f>R42</f>
        <v>#DIV/0!</v>
      </c>
      <c r="F42" s="490"/>
      <c r="G42" s="487" t="e">
        <f>T42</f>
        <v>#DIV/0!</v>
      </c>
      <c r="H42" s="488"/>
      <c r="I42" s="489" t="e">
        <f>V42</f>
        <v>#DIV/0!</v>
      </c>
      <c r="J42" s="488"/>
      <c r="K42" s="780"/>
      <c r="L42" s="1139"/>
      <c r="M42" s="1127"/>
      <c r="N42" s="1127"/>
      <c r="O42" s="1140"/>
      <c r="P42" s="3682" t="str">
        <f>A42</f>
        <v>比较价值（元/平方米）</v>
      </c>
      <c r="Q42" s="3682"/>
      <c r="R42" s="3813" t="e">
        <f>ROUND(PRODUCT(R41,AA7:AA40),0)</f>
        <v>#DIV/0!</v>
      </c>
      <c r="S42" s="3813"/>
      <c r="T42" s="3813" t="e">
        <f>ROUND(PRODUCT(T41,AB7:AB40),0)</f>
        <v>#DIV/0!</v>
      </c>
      <c r="U42" s="3813"/>
      <c r="V42" s="3813" t="e">
        <f>ROUND(PRODUCT(V41,AC7:AC40),0)</f>
        <v>#DIV/0!</v>
      </c>
      <c r="W42" s="3813"/>
      <c r="X42" s="755"/>
      <c r="Y42" s="755"/>
      <c r="Z42" s="755"/>
      <c r="AA42" s="755"/>
      <c r="AB42" s="755"/>
      <c r="AC42" s="755"/>
    </row>
    <row r="43" spans="1:29" ht="15.75" thickBot="1">
      <c r="A43" s="491" t="s">
        <v>2673</v>
      </c>
      <c r="B43" s="492"/>
      <c r="C43" s="493" t="e">
        <f>R43</f>
        <v>#DIV/0!</v>
      </c>
      <c r="D43" s="493"/>
      <c r="E43" s="493"/>
      <c r="F43" s="493"/>
      <c r="G43" s="493"/>
      <c r="H43" s="493"/>
      <c r="I43" s="493"/>
      <c r="J43" s="493"/>
      <c r="K43" s="781"/>
      <c r="L43" s="1139"/>
      <c r="M43" s="1127"/>
      <c r="N43" s="1127"/>
      <c r="O43" s="1140"/>
      <c r="P43" s="3679" t="str">
        <f>A43</f>
        <v>估价对象XX用房的比较价值（楼面单价，元/平方米）</v>
      </c>
      <c r="Q43" s="3680"/>
      <c r="R43" s="3814" t="e">
        <f>ROUND(AVERAGE(R42:V42),0)</f>
        <v>#DIV/0!</v>
      </c>
      <c r="S43" s="3814"/>
      <c r="T43" s="3814"/>
      <c r="U43" s="3814"/>
      <c r="V43" s="3814"/>
      <c r="W43" s="381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2761</v>
      </c>
      <c r="B50" s="684" t="s">
        <v>2762</v>
      </c>
      <c r="C50" s="2704" t="s">
        <v>2763</v>
      </c>
      <c r="D50" s="2705" t="s">
        <v>2764</v>
      </c>
      <c r="E50" s="685" t="s">
        <v>2765</v>
      </c>
      <c r="F50" s="686" t="s">
        <v>2766</v>
      </c>
      <c r="G50" s="3665" t="s">
        <v>2767</v>
      </c>
      <c r="H50" s="3815"/>
      <c r="I50" s="1810" t="s">
        <v>2804</v>
      </c>
      <c r="J50" s="1810">
        <f>项目基本情况!F35</f>
        <v>0</v>
      </c>
      <c r="K50" s="2707" t="s">
        <v>2769</v>
      </c>
      <c r="L50" s="1102"/>
      <c r="M50" s="1140"/>
      <c r="N50" s="1140"/>
      <c r="O50" s="1140"/>
    </row>
    <row r="51" spans="1:17" s="691" customFormat="1">
      <c r="A51" s="687" t="s">
        <v>2770</v>
      </c>
      <c r="B51" s="688" t="e">
        <f>C43</f>
        <v>#DIV/0!</v>
      </c>
      <c r="C51" s="689">
        <v>1</v>
      </c>
      <c r="D51" s="1159">
        <v>1</v>
      </c>
      <c r="E51" s="689">
        <f>'数据-汇总表'!E8+'数据-汇总表'!E9</f>
        <v>5963.72</v>
      </c>
      <c r="F51" s="690" t="e">
        <f t="shared" ref="F51:F60" si="15">ROUND(B51*E51/10000,0)</f>
        <v>#DIV/0!</v>
      </c>
      <c r="G51" s="3664"/>
      <c r="H51" s="3682"/>
      <c r="I51" s="938">
        <v>1</v>
      </c>
      <c r="J51" s="938">
        <v>1</v>
      </c>
      <c r="K51" s="1141"/>
      <c r="L51" s="937"/>
      <c r="M51" s="937"/>
      <c r="N51" s="937"/>
      <c r="O51" s="937"/>
    </row>
    <row r="52" spans="1:17" s="691" customFormat="1">
      <c r="A52" s="692" t="s">
        <v>2771</v>
      </c>
      <c r="B52" s="261" t="e">
        <f>ROUND($C$43*C52*D52,0)</f>
        <v>#DIV/0!</v>
      </c>
      <c r="C52" s="199">
        <f t="shared" ref="C52:C60" si="16">IF($C$50="北京市系数",I52,J52)</f>
        <v>0.7</v>
      </c>
      <c r="D52" s="1160">
        <v>0.25</v>
      </c>
      <c r="E52" s="693"/>
      <c r="F52" s="690" t="e">
        <f t="shared" si="15"/>
        <v>#DIV/0!</v>
      </c>
      <c r="G52" s="3816" t="s">
        <v>2772</v>
      </c>
      <c r="H52" s="1100" t="str">
        <f>项目基本情况!B37</f>
        <v>六级</v>
      </c>
      <c r="I52" s="938">
        <f>SUMIF(修正!A45:A56,H52,修正!B45:B56)</f>
        <v>0.7</v>
      </c>
      <c r="J52" s="939"/>
      <c r="K52" s="1140"/>
      <c r="L52" s="937"/>
      <c r="M52" s="937"/>
      <c r="N52" s="937"/>
      <c r="O52" s="937"/>
    </row>
    <row r="53" spans="1:17" s="691" customFormat="1">
      <c r="A53" s="692" t="s">
        <v>2773</v>
      </c>
      <c r="B53" s="261" t="e">
        <f t="shared" ref="B53:B60" si="17">ROUND($C$43*C53*D53,0)</f>
        <v>#DIV/0!</v>
      </c>
      <c r="C53" s="199">
        <f t="shared" si="16"/>
        <v>0.4</v>
      </c>
      <c r="D53" s="1160">
        <v>0.25</v>
      </c>
      <c r="E53" s="693"/>
      <c r="F53" s="690" t="e">
        <f t="shared" si="15"/>
        <v>#DIV/0!</v>
      </c>
      <c r="G53" s="3816"/>
      <c r="H53" s="1100" t="str">
        <f>项目基本情况!B37</f>
        <v>六级</v>
      </c>
      <c r="I53" s="938">
        <f>SUMIF(修正!A45:A56,H53,修正!C45:C56)</f>
        <v>0.4</v>
      </c>
      <c r="J53" s="939"/>
      <c r="K53" s="1141"/>
      <c r="L53" s="937"/>
      <c r="M53" s="937"/>
      <c r="N53" s="937"/>
      <c r="O53" s="937"/>
    </row>
    <row r="54" spans="1:17" s="691" customFormat="1">
      <c r="A54" s="692" t="s">
        <v>2774</v>
      </c>
      <c r="B54" s="261" t="e">
        <f t="shared" si="17"/>
        <v>#DIV/0!</v>
      </c>
      <c r="C54" s="199">
        <f t="shared" si="16"/>
        <v>0.28000000000000003</v>
      </c>
      <c r="D54" s="1160">
        <v>0.25</v>
      </c>
      <c r="E54" s="693"/>
      <c r="F54" s="690" t="e">
        <f t="shared" si="15"/>
        <v>#DIV/0!</v>
      </c>
      <c r="G54" s="3816"/>
      <c r="H54" s="1100" t="str">
        <f>项目基本情况!B37</f>
        <v>六级</v>
      </c>
      <c r="I54" s="938">
        <f>SUMIF(修正!A45:A56,H54,修正!D45:D56)</f>
        <v>0.28000000000000003</v>
      </c>
      <c r="J54" s="939"/>
      <c r="K54" s="1140"/>
      <c r="L54" s="937"/>
      <c r="M54" s="937"/>
      <c r="N54" s="937"/>
      <c r="O54" s="937"/>
    </row>
    <row r="55" spans="1:17" s="691" customFormat="1">
      <c r="A55" s="692" t="s">
        <v>2775</v>
      </c>
      <c r="B55" s="261" t="e">
        <f t="shared" si="17"/>
        <v>#DIV/0!</v>
      </c>
      <c r="C55" s="199">
        <f t="shared" si="16"/>
        <v>0.25</v>
      </c>
      <c r="D55" s="1160">
        <v>0.25</v>
      </c>
      <c r="E55" s="693"/>
      <c r="F55" s="690" t="e">
        <f t="shared" si="15"/>
        <v>#DIV/0!</v>
      </c>
      <c r="G55" s="3816"/>
      <c r="H55" s="1100" t="str">
        <f>项目基本情况!B37</f>
        <v>六级</v>
      </c>
      <c r="I55" s="938">
        <f>SUMIF(修正!A45:A56,H55,修正!E45:E56)</f>
        <v>0.25</v>
      </c>
      <c r="J55" s="939"/>
      <c r="K55" s="1141"/>
      <c r="L55" s="937"/>
      <c r="M55" s="937"/>
      <c r="N55" s="937"/>
      <c r="O55" s="937"/>
    </row>
    <row r="56" spans="1:17" s="691" customFormat="1">
      <c r="A56" s="692" t="s">
        <v>2776</v>
      </c>
      <c r="B56" s="261" t="e">
        <f t="shared" si="17"/>
        <v>#DIV/0!</v>
      </c>
      <c r="C56" s="199">
        <f t="shared" si="16"/>
        <v>0</v>
      </c>
      <c r="D56" s="1160">
        <v>0.25</v>
      </c>
      <c r="E56" s="260">
        <f>'数据-汇总表'!E11</f>
        <v>0</v>
      </c>
      <c r="F56" s="690" t="e">
        <f t="shared" si="15"/>
        <v>#DIV/0!</v>
      </c>
      <c r="G56" s="2708" t="s">
        <v>2777</v>
      </c>
      <c r="H56" s="1100">
        <f>项目基本情况!C37</f>
        <v>0</v>
      </c>
      <c r="I56" s="938">
        <f>SUMIF(修正!A45:A56,H56,修正!F45:F56)</f>
        <v>0</v>
      </c>
      <c r="J56" s="939"/>
      <c r="K56" s="1140"/>
      <c r="L56" s="937"/>
      <c r="M56" s="937"/>
      <c r="N56" s="937"/>
      <c r="O56" s="937"/>
    </row>
    <row r="57" spans="1:17" s="691" customFormat="1">
      <c r="A57" s="692" t="s">
        <v>2778</v>
      </c>
      <c r="B57" s="261" t="e">
        <f t="shared" si="17"/>
        <v>#DIV/0!</v>
      </c>
      <c r="C57" s="199">
        <f t="shared" si="16"/>
        <v>0</v>
      </c>
      <c r="D57" s="1160">
        <v>0.25</v>
      </c>
      <c r="E57" s="260">
        <f>'数据-汇总表'!E12</f>
        <v>0</v>
      </c>
      <c r="F57" s="690" t="e">
        <f t="shared" si="15"/>
        <v>#DIV/0!</v>
      </c>
      <c r="G57" s="1105" t="s">
        <v>2779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2780</v>
      </c>
      <c r="B58" s="261" t="e">
        <f t="shared" si="17"/>
        <v>#DIV/0!</v>
      </c>
      <c r="C58" s="199">
        <f t="shared" si="16"/>
        <v>0.2</v>
      </c>
      <c r="D58" s="1160">
        <v>0.25</v>
      </c>
      <c r="E58" s="260">
        <f>'数据-汇总表'!E13</f>
        <v>0</v>
      </c>
      <c r="F58" s="690" t="e">
        <f t="shared" si="15"/>
        <v>#DIV/0!</v>
      </c>
      <c r="G58" s="1105" t="s">
        <v>2781</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91" customFormat="1">
      <c r="A59" s="692" t="s">
        <v>2782</v>
      </c>
      <c r="B59" s="261" t="e">
        <f t="shared" si="17"/>
        <v>#DIV/0!</v>
      </c>
      <c r="C59" s="199">
        <f t="shared" si="16"/>
        <v>0.2</v>
      </c>
      <c r="D59" s="1160">
        <v>0.25</v>
      </c>
      <c r="E59" s="260">
        <f>'数据-汇总表'!E14</f>
        <v>0</v>
      </c>
      <c r="F59" s="690" t="e">
        <f t="shared" si="15"/>
        <v>#DIV/0!</v>
      </c>
      <c r="G59" s="2708" t="s">
        <v>2772</v>
      </c>
      <c r="H59" s="1100" t="str">
        <f>项目基本情况!B37</f>
        <v>六级</v>
      </c>
      <c r="I59" s="938">
        <f>SUMIF(修正!A45:A56,H59,修正!H45:H56)</f>
        <v>0.2</v>
      </c>
      <c r="J59" s="939"/>
      <c r="K59" s="1141"/>
      <c r="L59" s="937"/>
      <c r="M59" s="937"/>
      <c r="N59" s="937"/>
      <c r="O59" s="937"/>
    </row>
    <row r="60" spans="1:17" s="691" customFormat="1" ht="15" thickBot="1">
      <c r="A60" s="692" t="s">
        <v>2783</v>
      </c>
      <c r="B60" s="261" t="e">
        <f t="shared" si="17"/>
        <v>#DIV/0!</v>
      </c>
      <c r="C60" s="199">
        <f t="shared" si="16"/>
        <v>0</v>
      </c>
      <c r="D60" s="1160">
        <v>0.25</v>
      </c>
      <c r="E60" s="260">
        <f>'数据-汇总表'!E15</f>
        <v>0</v>
      </c>
      <c r="F60" s="690" t="e">
        <f t="shared" si="15"/>
        <v>#DIV/0!</v>
      </c>
      <c r="G60" s="2709" t="s">
        <v>2777</v>
      </c>
      <c r="H60" s="1110">
        <f>项目基本情况!C37</f>
        <v>0</v>
      </c>
      <c r="I60" s="938">
        <f>SUMIF(修正!A45:A56,H60,修正!H45:H56)</f>
        <v>0</v>
      </c>
      <c r="J60" s="939"/>
      <c r="K60" s="1140"/>
      <c r="L60" s="937"/>
      <c r="M60" s="937"/>
      <c r="N60" s="937"/>
      <c r="O60" s="937"/>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2677</v>
      </c>
      <c r="B64" s="755"/>
      <c r="C64" s="760"/>
      <c r="D64" s="760"/>
      <c r="E64" s="760"/>
      <c r="F64" s="761"/>
      <c r="G64" s="761"/>
      <c r="H64" s="760"/>
      <c r="I64" s="760"/>
      <c r="J64" s="760"/>
      <c r="K64" s="762"/>
      <c r="L64" s="763"/>
      <c r="M64" s="760"/>
      <c r="N64" s="760"/>
      <c r="O64" s="1155"/>
      <c r="P64" s="502"/>
      <c r="Q64" s="503"/>
    </row>
    <row r="65" spans="1:17" s="507" customFormat="1" ht="15">
      <c r="A65" s="2710" t="s">
        <v>2785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15" t="s">
        <v>2805</v>
      </c>
      <c r="B66" s="331" t="str">
        <f>"北京市平均增长率"&amp;TEXT(基准地价修正住宅!P24,"0.00%")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2591</v>
      </c>
      <c r="B70" s="527" t="s">
        <v>2557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2560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2694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2753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2795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957"/>
      <c r="B4" s="3463" t="s">
        <v>1629</v>
      </c>
      <c r="C4" s="3463"/>
      <c r="D4" s="3463"/>
      <c r="E4" s="1957"/>
    </row>
    <row r="5" spans="1:5" ht="16.5" thickTop="1">
      <c r="A5" s="1955"/>
      <c r="B5" s="3461" t="s">
        <v>1621</v>
      </c>
      <c r="C5" s="1958" t="s">
        <v>1622</v>
      </c>
      <c r="D5" s="1036">
        <f ca="1">结果表住宅!H101</f>
        <v>34360</v>
      </c>
      <c r="E5" s="1955"/>
    </row>
    <row r="6" spans="1:5" ht="15.75">
      <c r="A6" s="1955"/>
      <c r="B6" s="3461"/>
      <c r="C6" s="1958" t="s">
        <v>1623</v>
      </c>
      <c r="D6" s="1036" t="str">
        <f ca="1">NUMBERSTRING(INT(D5*10000),2)&amp;"元整"</f>
        <v>叁亿肆仟叁佰陆拾万元整</v>
      </c>
      <c r="E6" s="1955"/>
    </row>
    <row r="7" spans="1:5" ht="15.75">
      <c r="A7" s="1955"/>
      <c r="B7" s="3466"/>
      <c r="C7" s="1959" t="s">
        <v>1624</v>
      </c>
      <c r="D7" s="1037">
        <f ca="1">结果表住宅!H102</f>
        <v>64739</v>
      </c>
      <c r="E7" s="1955"/>
    </row>
    <row r="8" spans="1:5" ht="15.75">
      <c r="A8" s="1955"/>
      <c r="B8" s="3467" t="str">
        <f>结果表住宅!E103</f>
        <v>2.估价师知悉的法定优先受偿款</v>
      </c>
      <c r="C8" s="1960" t="s">
        <v>1625</v>
      </c>
      <c r="D8" s="1037">
        <f>结果表住宅!H103</f>
        <v>0</v>
      </c>
      <c r="E8" s="1955"/>
    </row>
    <row r="9" spans="1:5" ht="15.75">
      <c r="A9" s="1955"/>
      <c r="B9" s="3469"/>
      <c r="C9" s="1958" t="s">
        <v>1623</v>
      </c>
      <c r="D9" s="1036" t="str">
        <f>NUMBERSTRING(INT(D8*10000),2)&amp;"元整"</f>
        <v>零元整</v>
      </c>
      <c r="E9" s="1955"/>
    </row>
    <row r="10" spans="1:5" ht="15">
      <c r="A10" s="1955"/>
      <c r="B10" s="1961" t="s">
        <v>1628</v>
      </c>
      <c r="C10" s="1962" t="s">
        <v>1626</v>
      </c>
      <c r="D10" s="1038">
        <f>结果表住宅!H104</f>
        <v>0</v>
      </c>
      <c r="E10" s="1955"/>
    </row>
    <row r="11" spans="1:5" ht="15">
      <c r="A11" s="1955"/>
      <c r="B11" s="1961" t="s">
        <v>1630</v>
      </c>
      <c r="C11" s="1962" t="s">
        <v>1631</v>
      </c>
      <c r="D11" s="1038">
        <f>结果表住宅!H105</f>
        <v>0</v>
      </c>
      <c r="E11" s="1955"/>
    </row>
    <row r="12" spans="1:5" ht="15">
      <c r="A12" s="1955"/>
      <c r="B12" s="1961" t="s">
        <v>1632</v>
      </c>
      <c r="C12" s="1962" t="s">
        <v>1631</v>
      </c>
      <c r="D12" s="1038">
        <f>结果表住宅!H106</f>
        <v>0</v>
      </c>
      <c r="E12" s="1955"/>
    </row>
    <row r="13" spans="1:5" ht="15.75">
      <c r="A13" s="1955"/>
      <c r="B13" s="3460" t="str">
        <f>结果表住宅!E107</f>
        <v>3.房地产抵押价值</v>
      </c>
      <c r="C13" s="1963" t="s">
        <v>1622</v>
      </c>
      <c r="D13" s="1039">
        <f ca="1">结果表住宅!H107</f>
        <v>34360</v>
      </c>
      <c r="E13" s="1955"/>
    </row>
    <row r="14" spans="1:5" ht="15.75">
      <c r="A14" s="1955"/>
      <c r="B14" s="3461"/>
      <c r="C14" s="1958" t="s">
        <v>1623</v>
      </c>
      <c r="D14" s="1036" t="str">
        <f ca="1">NUMBERSTRING(INT(D13*10000),2)&amp;"元整"</f>
        <v>叁亿肆仟叁佰陆拾万元整</v>
      </c>
      <c r="E14" s="1955"/>
    </row>
    <row r="15" spans="1:5" ht="15">
      <c r="A15" s="1955"/>
      <c r="B15" s="3466"/>
      <c r="C15" s="1959" t="s">
        <v>1633</v>
      </c>
      <c r="D15" s="1048">
        <f ca="1">结果表住宅!H108</f>
        <v>57615</v>
      </c>
      <c r="E15" s="1955"/>
    </row>
    <row r="16" spans="1:5" ht="15">
      <c r="A16" s="1955"/>
      <c r="B16" s="3467" t="str">
        <f>结果表住宅!E109</f>
        <v>——</v>
      </c>
      <c r="C16" s="1963" t="s">
        <v>1634</v>
      </c>
      <c r="D16" s="1964" t="str">
        <f>结果表住宅!H109</f>
        <v>——</v>
      </c>
      <c r="E16" s="1955"/>
    </row>
    <row r="17" spans="1:5" ht="15.75">
      <c r="A17" s="1955"/>
      <c r="B17" s="3468"/>
      <c r="C17" s="1958" t="s">
        <v>1635</v>
      </c>
      <c r="D17" s="1036" t="e">
        <f>NUMBERSTRING(INT(D16*10000),2)&amp;"元整"</f>
        <v>#VALUE!</v>
      </c>
      <c r="E17" s="1955"/>
    </row>
    <row r="18" spans="1:5" ht="15">
      <c r="A18" s="1955"/>
      <c r="B18" s="3469"/>
      <c r="C18" s="1959" t="s">
        <v>1624</v>
      </c>
      <c r="D18" s="1048" t="str">
        <f>结果表住宅!H110</f>
        <v>——</v>
      </c>
      <c r="E18" s="1955"/>
    </row>
    <row r="19" spans="1:5" ht="15.75">
      <c r="A19" s="1955"/>
      <c r="B19" s="3460" t="str">
        <f>结果表住宅!E111</f>
        <v>——</v>
      </c>
      <c r="C19" s="1963" t="s">
        <v>1622</v>
      </c>
      <c r="D19" s="1037" t="str">
        <f>结果表住宅!H111</f>
        <v>——</v>
      </c>
      <c r="E19" s="1955"/>
    </row>
    <row r="20" spans="1:5" ht="15.75">
      <c r="A20" s="1955"/>
      <c r="B20" s="3461"/>
      <c r="C20" s="1958" t="s">
        <v>1635</v>
      </c>
      <c r="D20" s="1036" t="e">
        <f>NUMBERSTRING(INT(D19*10000),2)&amp;"元整"</f>
        <v>#VALUE!</v>
      </c>
      <c r="E20" s="1955"/>
    </row>
    <row r="21" spans="1:5" ht="15.75" thickBot="1">
      <c r="A21" s="1955"/>
      <c r="B21" s="3462"/>
      <c r="C21" s="1965" t="s">
        <v>1633</v>
      </c>
      <c r="D21" s="1049" t="str">
        <f>结果表住宅!H112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821" t="s">
        <v>183</v>
      </c>
      <c r="B18" s="875" t="s">
        <v>560</v>
      </c>
      <c r="C18" s="876" t="s">
        <v>561</v>
      </c>
      <c r="D18" s="877"/>
      <c r="E18" s="875">
        <v>1</v>
      </c>
      <c r="F18" s="878" t="s">
        <v>562</v>
      </c>
      <c r="G18" s="879"/>
      <c r="H18" s="871"/>
      <c r="I18" s="871"/>
    </row>
    <row r="19" spans="1:9" s="880" customFormat="1" ht="19.5" customHeight="1">
      <c r="A19" s="3821"/>
      <c r="B19" s="3821" t="s">
        <v>563</v>
      </c>
      <c r="C19" s="876" t="s">
        <v>564</v>
      </c>
      <c r="D19" s="877"/>
      <c r="E19" s="875">
        <v>0.9</v>
      </c>
      <c r="F19" s="878" t="s">
        <v>565</v>
      </c>
      <c r="G19" s="879"/>
      <c r="H19" s="871"/>
      <c r="I19" s="871"/>
    </row>
    <row r="20" spans="1:9" s="880" customFormat="1" ht="19.5" customHeight="1">
      <c r="A20" s="3821"/>
      <c r="B20" s="3821"/>
      <c r="C20" s="876" t="s">
        <v>566</v>
      </c>
      <c r="D20" s="877"/>
      <c r="E20" s="875">
        <v>1.1000000000000001</v>
      </c>
      <c r="F20" s="878" t="s">
        <v>567</v>
      </c>
      <c r="G20" s="879"/>
      <c r="H20" s="871"/>
      <c r="I20" s="871"/>
    </row>
    <row r="21" spans="1:9" s="880" customFormat="1" ht="19.5" customHeight="1">
      <c r="A21" s="3821"/>
      <c r="B21" s="3821"/>
      <c r="C21" s="876" t="s">
        <v>568</v>
      </c>
      <c r="D21" s="877"/>
      <c r="E21" s="875">
        <v>0.8</v>
      </c>
      <c r="F21" s="878" t="s">
        <v>569</v>
      </c>
      <c r="G21" s="879"/>
      <c r="H21" s="871"/>
      <c r="I21" s="871"/>
    </row>
    <row r="22" spans="1:9" s="880" customFormat="1" ht="19.5" customHeight="1">
      <c r="A22" s="3821"/>
      <c r="B22" s="3821"/>
      <c r="C22" s="876" t="s">
        <v>570</v>
      </c>
      <c r="D22" s="877"/>
      <c r="E22" s="875">
        <v>0.5</v>
      </c>
      <c r="F22" s="878"/>
      <c r="G22" s="879"/>
      <c r="H22" s="871"/>
      <c r="I22" s="871"/>
    </row>
    <row r="23" spans="1:9" s="880" customFormat="1" ht="19.5" customHeight="1">
      <c r="A23" s="3821" t="s">
        <v>184</v>
      </c>
      <c r="B23" s="875" t="s">
        <v>560</v>
      </c>
      <c r="C23" s="876" t="s">
        <v>571</v>
      </c>
      <c r="D23" s="877"/>
      <c r="E23" s="875">
        <v>1</v>
      </c>
      <c r="F23" s="878" t="s">
        <v>572</v>
      </c>
      <c r="G23" s="879"/>
      <c r="H23" s="871"/>
      <c r="I23" s="871"/>
    </row>
    <row r="24" spans="1:9" s="880" customFormat="1" ht="19.5" customHeight="1">
      <c r="A24" s="3821"/>
      <c r="B24" s="3821" t="s">
        <v>563</v>
      </c>
      <c r="C24" s="876" t="s">
        <v>573</v>
      </c>
      <c r="D24" s="877"/>
      <c r="E24" s="875">
        <v>0.5</v>
      </c>
      <c r="F24" s="878"/>
      <c r="G24" s="879"/>
      <c r="H24" s="871"/>
      <c r="I24" s="871"/>
    </row>
    <row r="25" spans="1:9" s="880" customFormat="1" ht="19.5" customHeight="1">
      <c r="A25" s="3821"/>
      <c r="B25" s="3821"/>
      <c r="C25" s="876" t="s">
        <v>574</v>
      </c>
      <c r="D25" s="877"/>
      <c r="E25" s="875">
        <v>1.1000000000000001</v>
      </c>
      <c r="F25" s="878"/>
      <c r="G25" s="879"/>
      <c r="H25" s="871"/>
      <c r="I25" s="871"/>
    </row>
    <row r="26" spans="1:9" s="880" customFormat="1" ht="19.5" customHeight="1">
      <c r="A26" s="3821"/>
      <c r="B26" s="3821"/>
      <c r="C26" s="876" t="s">
        <v>575</v>
      </c>
      <c r="D26" s="877"/>
      <c r="E26" s="875">
        <v>1.1000000000000001</v>
      </c>
      <c r="F26" s="878"/>
      <c r="G26" s="879"/>
      <c r="H26" s="871"/>
      <c r="I26" s="871"/>
    </row>
    <row r="27" spans="1:9" s="880" customFormat="1" ht="19.5" customHeight="1">
      <c r="A27" s="3821"/>
      <c r="B27" s="3821"/>
      <c r="C27" s="876" t="s">
        <v>576</v>
      </c>
      <c r="D27" s="877"/>
      <c r="E27" s="875">
        <v>0.9</v>
      </c>
      <c r="F27" s="878" t="s">
        <v>577</v>
      </c>
      <c r="G27" s="879"/>
      <c r="H27" s="871"/>
      <c r="I27" s="871"/>
    </row>
    <row r="28" spans="1:9" s="880" customFormat="1" ht="19.5" customHeight="1">
      <c r="A28" s="3821"/>
      <c r="B28" s="3821"/>
      <c r="C28" s="876" t="s">
        <v>578</v>
      </c>
      <c r="D28" s="877"/>
      <c r="E28" s="875">
        <v>0.9</v>
      </c>
      <c r="F28" s="878" t="s">
        <v>579</v>
      </c>
      <c r="G28" s="879"/>
      <c r="H28" s="871"/>
      <c r="I28" s="871"/>
    </row>
    <row r="29" spans="1:9" s="880" customFormat="1" ht="19.5" customHeight="1">
      <c r="A29" s="3821"/>
      <c r="B29" s="3821"/>
      <c r="C29" s="876" t="s">
        <v>580</v>
      </c>
      <c r="D29" s="877"/>
      <c r="E29" s="875">
        <v>0.9</v>
      </c>
      <c r="F29" s="878" t="s">
        <v>581</v>
      </c>
      <c r="G29" s="879"/>
      <c r="H29" s="871"/>
      <c r="I29" s="871"/>
    </row>
    <row r="30" spans="1:9" s="880" customFormat="1" ht="19.5" customHeight="1">
      <c r="A30" s="3821"/>
      <c r="B30" s="3821"/>
      <c r="C30" s="876" t="s">
        <v>582</v>
      </c>
      <c r="D30" s="877"/>
      <c r="E30" s="875">
        <v>0.9</v>
      </c>
      <c r="F30" s="878" t="s">
        <v>583</v>
      </c>
      <c r="G30" s="879"/>
      <c r="H30" s="871"/>
      <c r="I30" s="871"/>
    </row>
    <row r="31" spans="1:9" s="880" customFormat="1" ht="19.5" customHeight="1">
      <c r="A31" s="3821"/>
      <c r="B31" s="3821"/>
      <c r="C31" s="876" t="s">
        <v>584</v>
      </c>
      <c r="D31" s="877"/>
      <c r="E31" s="875">
        <v>0.8</v>
      </c>
      <c r="F31" s="878" t="s">
        <v>585</v>
      </c>
      <c r="G31" s="879"/>
      <c r="H31" s="871"/>
      <c r="I31" s="871"/>
    </row>
    <row r="32" spans="1:9" s="880" customFormat="1" ht="19.5" customHeight="1">
      <c r="A32" s="3821"/>
      <c r="B32" s="3821"/>
      <c r="C32" s="876" t="s">
        <v>586</v>
      </c>
      <c r="D32" s="877"/>
      <c r="E32" s="875">
        <v>0.8</v>
      </c>
      <c r="F32" s="878" t="s">
        <v>587</v>
      </c>
      <c r="G32" s="879"/>
      <c r="H32" s="871"/>
      <c r="I32" s="871"/>
    </row>
    <row r="33" spans="1:9" s="880" customFormat="1" ht="19.5" customHeight="1">
      <c r="A33" s="3821" t="s">
        <v>185</v>
      </c>
      <c r="B33" s="875" t="s">
        <v>560</v>
      </c>
      <c r="C33" s="876" t="s">
        <v>588</v>
      </c>
      <c r="D33" s="877"/>
      <c r="E33" s="875">
        <v>1</v>
      </c>
      <c r="F33" s="878" t="s">
        <v>589</v>
      </c>
      <c r="G33" s="879"/>
      <c r="H33" s="871"/>
      <c r="I33" s="871"/>
    </row>
    <row r="34" spans="1:9" s="880" customFormat="1" ht="19.5" customHeight="1">
      <c r="A34" s="3821"/>
      <c r="B34" s="875" t="s">
        <v>563</v>
      </c>
      <c r="C34" s="876" t="s">
        <v>590</v>
      </c>
      <c r="D34" s="877"/>
      <c r="E34" s="875">
        <v>1.5</v>
      </c>
      <c r="F34" s="878" t="s">
        <v>591</v>
      </c>
      <c r="G34" s="879"/>
      <c r="H34" s="871"/>
      <c r="I34" s="871"/>
    </row>
    <row r="35" spans="1:9" s="880" customFormat="1" ht="19.5" customHeight="1">
      <c r="A35" s="3821" t="s">
        <v>186</v>
      </c>
      <c r="B35" s="875" t="s">
        <v>560</v>
      </c>
      <c r="C35" s="876" t="s">
        <v>592</v>
      </c>
      <c r="D35" s="877"/>
      <c r="E35" s="875">
        <v>1</v>
      </c>
      <c r="F35" s="878" t="s">
        <v>593</v>
      </c>
      <c r="G35" s="879"/>
      <c r="H35" s="871"/>
      <c r="I35" s="871"/>
    </row>
    <row r="36" spans="1:9" s="880" customFormat="1" ht="19.5" customHeight="1">
      <c r="A36" s="3821"/>
      <c r="B36" s="3821" t="s">
        <v>563</v>
      </c>
      <c r="C36" s="876" t="s">
        <v>594</v>
      </c>
      <c r="D36" s="877"/>
      <c r="E36" s="875">
        <v>1</v>
      </c>
      <c r="F36" s="878" t="s">
        <v>595</v>
      </c>
      <c r="G36" s="879"/>
      <c r="H36" s="871"/>
      <c r="I36" s="871"/>
    </row>
    <row r="37" spans="1:9" s="880" customFormat="1" ht="19.5" customHeight="1">
      <c r="A37" s="3821"/>
      <c r="B37" s="3821"/>
      <c r="C37" s="876" t="s">
        <v>596</v>
      </c>
      <c r="D37" s="877"/>
      <c r="E37" s="875">
        <v>1.5</v>
      </c>
      <c r="F37" s="878" t="s">
        <v>597</v>
      </c>
      <c r="G37" s="879"/>
      <c r="H37" s="871"/>
      <c r="I37" s="871"/>
    </row>
    <row r="38" spans="1:9" s="880" customFormat="1" ht="19.5" customHeight="1">
      <c r="A38" s="3821"/>
      <c r="B38" s="3821"/>
      <c r="C38" s="876" t="s">
        <v>598</v>
      </c>
      <c r="D38" s="877"/>
      <c r="E38" s="875">
        <v>1</v>
      </c>
      <c r="F38" s="878" t="s">
        <v>599</v>
      </c>
      <c r="G38" s="879"/>
      <c r="H38" s="871"/>
      <c r="I38" s="871"/>
    </row>
    <row r="39" spans="1:9" s="880" customFormat="1" ht="19.5" customHeight="1">
      <c r="A39" s="3821"/>
      <c r="B39" s="382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821" t="s">
        <v>614</v>
      </c>
      <c r="C61" s="811" t="s">
        <v>615</v>
      </c>
      <c r="D61" s="811" t="s">
        <v>616</v>
      </c>
      <c r="E61" s="888">
        <v>0.5</v>
      </c>
      <c r="F61" s="875">
        <v>80</v>
      </c>
    </row>
    <row r="62" spans="1:8" s="871" customFormat="1" ht="24">
      <c r="A62" s="875">
        <v>2</v>
      </c>
      <c r="B62" s="3821"/>
      <c r="C62" s="811" t="s">
        <v>617</v>
      </c>
      <c r="D62" s="811" t="s">
        <v>618</v>
      </c>
      <c r="E62" s="888">
        <v>0.5</v>
      </c>
      <c r="F62" s="875">
        <v>80</v>
      </c>
    </row>
    <row r="63" spans="1:8" s="871" customFormat="1" ht="36">
      <c r="A63" s="875">
        <v>3</v>
      </c>
      <c r="B63" s="3821"/>
      <c r="C63" s="811" t="s">
        <v>619</v>
      </c>
      <c r="D63" s="811" t="s">
        <v>620</v>
      </c>
      <c r="E63" s="888">
        <v>0.5</v>
      </c>
      <c r="F63" s="875">
        <v>80</v>
      </c>
    </row>
    <row r="64" spans="1:8" s="871" customFormat="1" ht="36">
      <c r="A64" s="875">
        <v>4</v>
      </c>
      <c r="B64" s="3821"/>
      <c r="C64" s="811" t="s">
        <v>621</v>
      </c>
      <c r="D64" s="811" t="s">
        <v>622</v>
      </c>
      <c r="E64" s="888">
        <v>0.4</v>
      </c>
      <c r="F64" s="875">
        <v>60</v>
      </c>
    </row>
    <row r="65" spans="1:6" s="871" customFormat="1" ht="36">
      <c r="A65" s="875">
        <v>5</v>
      </c>
      <c r="B65" s="3821"/>
      <c r="C65" s="811" t="s">
        <v>623</v>
      </c>
      <c r="D65" s="811" t="s">
        <v>624</v>
      </c>
      <c r="E65" s="888">
        <v>0.2</v>
      </c>
      <c r="F65" s="875">
        <v>30</v>
      </c>
    </row>
    <row r="66" spans="1:6" s="871" customFormat="1" ht="36">
      <c r="A66" s="875">
        <v>6</v>
      </c>
      <c r="B66" s="3821"/>
      <c r="C66" s="811" t="s">
        <v>625</v>
      </c>
      <c r="D66" s="811" t="s">
        <v>626</v>
      </c>
      <c r="E66" s="888">
        <v>0.3</v>
      </c>
      <c r="F66" s="875">
        <v>50</v>
      </c>
    </row>
    <row r="67" spans="1:6" s="871" customFormat="1" ht="36">
      <c r="A67" s="875">
        <v>7</v>
      </c>
      <c r="B67" s="3821"/>
      <c r="C67" s="811" t="s">
        <v>627</v>
      </c>
      <c r="D67" s="811" t="s">
        <v>628</v>
      </c>
      <c r="E67" s="888">
        <v>0.2</v>
      </c>
      <c r="F67" s="875">
        <v>30</v>
      </c>
    </row>
    <row r="68" spans="1:6" s="871" customFormat="1" ht="36">
      <c r="A68" s="875">
        <v>8</v>
      </c>
      <c r="B68" s="3821"/>
      <c r="C68" s="811" t="s">
        <v>629</v>
      </c>
      <c r="D68" s="811" t="s">
        <v>630</v>
      </c>
      <c r="E68" s="888">
        <v>0.2</v>
      </c>
      <c r="F68" s="875">
        <v>30</v>
      </c>
    </row>
    <row r="69" spans="1:6" s="871" customFormat="1" ht="36">
      <c r="A69" s="875">
        <v>9</v>
      </c>
      <c r="B69" s="3821"/>
      <c r="C69" s="811" t="s">
        <v>631</v>
      </c>
      <c r="D69" s="811" t="s">
        <v>632</v>
      </c>
      <c r="E69" s="888">
        <v>0.2</v>
      </c>
      <c r="F69" s="875">
        <v>30</v>
      </c>
    </row>
    <row r="70" spans="1:6" s="871" customFormat="1" ht="48">
      <c r="A70" s="875">
        <v>10</v>
      </c>
      <c r="B70" s="3821"/>
      <c r="C70" s="811" t="s">
        <v>633</v>
      </c>
      <c r="D70" s="811" t="s">
        <v>634</v>
      </c>
      <c r="E70" s="888">
        <v>0.2</v>
      </c>
      <c r="F70" s="875">
        <v>30</v>
      </c>
    </row>
    <row r="71" spans="1:6" s="871" customFormat="1" ht="48">
      <c r="A71" s="875">
        <v>11</v>
      </c>
      <c r="B71" s="3821"/>
      <c r="C71" s="811" t="s">
        <v>635</v>
      </c>
      <c r="D71" s="811" t="s">
        <v>636</v>
      </c>
      <c r="E71" s="888">
        <v>0.2</v>
      </c>
      <c r="F71" s="875">
        <v>30</v>
      </c>
    </row>
    <row r="72" spans="1:6" s="871" customFormat="1" ht="36">
      <c r="A72" s="875">
        <v>12</v>
      </c>
      <c r="B72" s="3821"/>
      <c r="C72" s="811" t="s">
        <v>637</v>
      </c>
      <c r="D72" s="811" t="s">
        <v>638</v>
      </c>
      <c r="E72" s="888">
        <v>0.5</v>
      </c>
      <c r="F72" s="875">
        <v>80</v>
      </c>
    </row>
    <row r="73" spans="1:6" s="871" customFormat="1" ht="24">
      <c r="A73" s="875">
        <v>13</v>
      </c>
      <c r="B73" s="3821"/>
      <c r="C73" s="811" t="s">
        <v>639</v>
      </c>
      <c r="D73" s="811" t="s">
        <v>640</v>
      </c>
      <c r="E73" s="888">
        <v>0.4</v>
      </c>
      <c r="F73" s="875">
        <v>60</v>
      </c>
    </row>
    <row r="74" spans="1:6" s="871" customFormat="1" ht="24">
      <c r="A74" s="875">
        <v>14</v>
      </c>
      <c r="B74" s="3821"/>
      <c r="C74" s="811" t="s">
        <v>641</v>
      </c>
      <c r="D74" s="811" t="s">
        <v>642</v>
      </c>
      <c r="E74" s="888">
        <v>0.2</v>
      </c>
      <c r="F74" s="875">
        <v>30</v>
      </c>
    </row>
    <row r="75" spans="1:6" s="871" customFormat="1" ht="24">
      <c r="A75" s="875">
        <v>15</v>
      </c>
      <c r="B75" s="3821"/>
      <c r="C75" s="811" t="s">
        <v>643</v>
      </c>
      <c r="D75" s="811" t="s">
        <v>644</v>
      </c>
      <c r="E75" s="888">
        <v>0.2</v>
      </c>
      <c r="F75" s="875">
        <v>30</v>
      </c>
    </row>
    <row r="76" spans="1:6" s="871" customFormat="1" ht="24">
      <c r="A76" s="875">
        <v>16</v>
      </c>
      <c r="B76" s="3821" t="s">
        <v>645</v>
      </c>
      <c r="C76" s="811" t="s">
        <v>646</v>
      </c>
      <c r="D76" s="811" t="s">
        <v>647</v>
      </c>
      <c r="E76" s="888">
        <v>0.5</v>
      </c>
      <c r="F76" s="875">
        <v>80</v>
      </c>
    </row>
    <row r="77" spans="1:6" s="871" customFormat="1" ht="24">
      <c r="A77" s="875">
        <v>17</v>
      </c>
      <c r="B77" s="3821"/>
      <c r="C77" s="811" t="s">
        <v>648</v>
      </c>
      <c r="D77" s="811" t="s">
        <v>649</v>
      </c>
      <c r="E77" s="888">
        <v>0.5</v>
      </c>
      <c r="F77" s="875">
        <v>80</v>
      </c>
    </row>
    <row r="78" spans="1:6" s="871" customFormat="1" ht="24">
      <c r="A78" s="875">
        <v>18</v>
      </c>
      <c r="B78" s="3821"/>
      <c r="C78" s="811" t="s">
        <v>650</v>
      </c>
      <c r="D78" s="811" t="s">
        <v>651</v>
      </c>
      <c r="E78" s="888">
        <v>0.2</v>
      </c>
      <c r="F78" s="875">
        <v>30</v>
      </c>
    </row>
    <row r="79" spans="1:6" s="871" customFormat="1" ht="24">
      <c r="A79" s="875">
        <v>19</v>
      </c>
      <c r="B79" s="3821"/>
      <c r="C79" s="811" t="s">
        <v>652</v>
      </c>
      <c r="D79" s="811" t="s">
        <v>653</v>
      </c>
      <c r="E79" s="888">
        <v>0.5</v>
      </c>
      <c r="F79" s="875">
        <v>80</v>
      </c>
    </row>
    <row r="80" spans="1:6" s="871" customFormat="1" ht="36">
      <c r="A80" s="875">
        <v>20</v>
      </c>
      <c r="B80" s="3821"/>
      <c r="C80" s="811" t="s">
        <v>654</v>
      </c>
      <c r="D80" s="811" t="s">
        <v>655</v>
      </c>
      <c r="E80" s="888">
        <v>0.2</v>
      </c>
      <c r="F80" s="875">
        <v>30</v>
      </c>
    </row>
    <row r="81" spans="1:6" s="871" customFormat="1" ht="36">
      <c r="A81" s="875">
        <v>21</v>
      </c>
      <c r="B81" s="3821"/>
      <c r="C81" s="811" t="s">
        <v>656</v>
      </c>
      <c r="D81" s="811" t="s">
        <v>657</v>
      </c>
      <c r="E81" s="888">
        <v>0.2</v>
      </c>
      <c r="F81" s="875">
        <v>30</v>
      </c>
    </row>
    <row r="82" spans="1:6" s="871" customFormat="1" ht="48">
      <c r="A82" s="875">
        <v>22</v>
      </c>
      <c r="B82" s="3821"/>
      <c r="C82" s="811" t="s">
        <v>658</v>
      </c>
      <c r="D82" s="811" t="s">
        <v>659</v>
      </c>
      <c r="E82" s="888">
        <v>0.2</v>
      </c>
      <c r="F82" s="875">
        <v>30</v>
      </c>
    </row>
    <row r="83" spans="1:6" s="871" customFormat="1" ht="48">
      <c r="A83" s="875">
        <v>23</v>
      </c>
      <c r="B83" s="3821"/>
      <c r="C83" s="811" t="s">
        <v>660</v>
      </c>
      <c r="D83" s="811" t="s">
        <v>661</v>
      </c>
      <c r="E83" s="888">
        <v>0.2</v>
      </c>
      <c r="F83" s="875">
        <v>30</v>
      </c>
    </row>
    <row r="84" spans="1:6" s="871" customFormat="1" ht="36">
      <c r="A84" s="875">
        <v>24</v>
      </c>
      <c r="B84" s="3821"/>
      <c r="C84" s="811" t="s">
        <v>662</v>
      </c>
      <c r="D84" s="811" t="s">
        <v>663</v>
      </c>
      <c r="E84" s="888">
        <v>0.2</v>
      </c>
      <c r="F84" s="875">
        <v>30</v>
      </c>
    </row>
    <row r="85" spans="1:6" s="871" customFormat="1" ht="36">
      <c r="A85" s="875">
        <v>25</v>
      </c>
      <c r="B85" s="3821"/>
      <c r="C85" s="811" t="s">
        <v>664</v>
      </c>
      <c r="D85" s="811" t="s">
        <v>665</v>
      </c>
      <c r="E85" s="888">
        <v>0.5</v>
      </c>
      <c r="F85" s="875">
        <v>80</v>
      </c>
    </row>
    <row r="86" spans="1:6" s="871" customFormat="1" ht="36">
      <c r="A86" s="875">
        <v>26</v>
      </c>
      <c r="B86" s="3821"/>
      <c r="C86" s="811" t="s">
        <v>666</v>
      </c>
      <c r="D86" s="811" t="s">
        <v>667</v>
      </c>
      <c r="E86" s="888">
        <v>0.2</v>
      </c>
      <c r="F86" s="875">
        <v>30</v>
      </c>
    </row>
    <row r="87" spans="1:6" s="871" customFormat="1" ht="36">
      <c r="A87" s="875">
        <v>27</v>
      </c>
      <c r="B87" s="3821"/>
      <c r="C87" s="811" t="s">
        <v>668</v>
      </c>
      <c r="D87" s="811" t="s">
        <v>669</v>
      </c>
      <c r="E87" s="888">
        <v>0.2</v>
      </c>
      <c r="F87" s="875">
        <v>30</v>
      </c>
    </row>
    <row r="88" spans="1:6" s="871" customFormat="1" ht="36">
      <c r="A88" s="875">
        <v>28</v>
      </c>
      <c r="B88" s="3821"/>
      <c r="C88" s="811" t="s">
        <v>670</v>
      </c>
      <c r="D88" s="811" t="s">
        <v>671</v>
      </c>
      <c r="E88" s="888">
        <v>0.2</v>
      </c>
      <c r="F88" s="875">
        <v>30</v>
      </c>
    </row>
    <row r="89" spans="1:6" s="871" customFormat="1" ht="24">
      <c r="A89" s="875">
        <v>29</v>
      </c>
      <c r="B89" s="3821"/>
      <c r="C89" s="811" t="s">
        <v>672</v>
      </c>
      <c r="D89" s="811" t="s">
        <v>673</v>
      </c>
      <c r="E89" s="888">
        <v>0.2</v>
      </c>
      <c r="F89" s="875">
        <v>30</v>
      </c>
    </row>
    <row r="90" spans="1:6" s="871" customFormat="1" ht="24">
      <c r="A90" s="875">
        <v>30</v>
      </c>
      <c r="B90" s="3821"/>
      <c r="C90" s="811" t="s">
        <v>674</v>
      </c>
      <c r="D90" s="811" t="s">
        <v>675</v>
      </c>
      <c r="E90" s="888">
        <v>0.2</v>
      </c>
      <c r="F90" s="875">
        <v>30</v>
      </c>
    </row>
    <row r="91" spans="1:6" s="871" customFormat="1" ht="36">
      <c r="A91" s="875">
        <v>31</v>
      </c>
      <c r="B91" s="3821"/>
      <c r="C91" s="811" t="s">
        <v>676</v>
      </c>
      <c r="D91" s="811" t="s">
        <v>677</v>
      </c>
      <c r="E91" s="888">
        <v>0.2</v>
      </c>
      <c r="F91" s="875">
        <v>30</v>
      </c>
    </row>
    <row r="92" spans="1:6" s="871" customFormat="1" ht="24">
      <c r="A92" s="875">
        <v>32</v>
      </c>
      <c r="B92" s="3821" t="s">
        <v>678</v>
      </c>
      <c r="C92" s="875" t="s">
        <v>679</v>
      </c>
      <c r="D92" s="811" t="s">
        <v>680</v>
      </c>
      <c r="E92" s="888">
        <v>0.2</v>
      </c>
      <c r="F92" s="875">
        <v>30</v>
      </c>
    </row>
    <row r="93" spans="1:6" s="871" customFormat="1" ht="36">
      <c r="A93" s="875">
        <v>33</v>
      </c>
      <c r="B93" s="3821"/>
      <c r="C93" s="875" t="s">
        <v>681</v>
      </c>
      <c r="D93" s="811" t="s">
        <v>682</v>
      </c>
      <c r="E93" s="888">
        <v>0.2</v>
      </c>
      <c r="F93" s="875">
        <v>30</v>
      </c>
    </row>
    <row r="94" spans="1:6" s="871" customFormat="1" ht="48">
      <c r="A94" s="875">
        <v>34</v>
      </c>
      <c r="B94" s="3821"/>
      <c r="C94" s="875" t="s">
        <v>683</v>
      </c>
      <c r="D94" s="811" t="s">
        <v>684</v>
      </c>
      <c r="E94" s="888">
        <v>0.2</v>
      </c>
      <c r="F94" s="875">
        <v>30</v>
      </c>
    </row>
    <row r="95" spans="1:6" s="871" customFormat="1" ht="36">
      <c r="A95" s="875">
        <v>35</v>
      </c>
      <c r="B95" s="3821"/>
      <c r="C95" s="875" t="s">
        <v>685</v>
      </c>
      <c r="D95" s="811" t="s">
        <v>686</v>
      </c>
      <c r="E95" s="888">
        <v>0.2</v>
      </c>
      <c r="F95" s="875">
        <v>30</v>
      </c>
    </row>
    <row r="96" spans="1:6" s="871" customFormat="1" ht="48">
      <c r="A96" s="875">
        <v>36</v>
      </c>
      <c r="B96" s="3821"/>
      <c r="C96" s="811" t="s">
        <v>687</v>
      </c>
      <c r="D96" s="811" t="s">
        <v>688</v>
      </c>
      <c r="E96" s="888">
        <v>0.2</v>
      </c>
      <c r="F96" s="875">
        <v>30</v>
      </c>
    </row>
    <row r="97" spans="1:6" s="871" customFormat="1" ht="36">
      <c r="A97" s="875">
        <v>37</v>
      </c>
      <c r="B97" s="3821"/>
      <c r="C97" s="875" t="s">
        <v>689</v>
      </c>
      <c r="D97" s="811" t="s">
        <v>690</v>
      </c>
      <c r="E97" s="888">
        <v>0.2</v>
      </c>
      <c r="F97" s="875">
        <v>30</v>
      </c>
    </row>
    <row r="98" spans="1:6" s="871" customFormat="1" ht="36">
      <c r="A98" s="875">
        <v>38</v>
      </c>
      <c r="B98" s="3821"/>
      <c r="C98" s="875" t="s">
        <v>691</v>
      </c>
      <c r="D98" s="811" t="s">
        <v>692</v>
      </c>
      <c r="E98" s="888">
        <v>0.2</v>
      </c>
      <c r="F98" s="875">
        <v>30</v>
      </c>
    </row>
    <row r="99" spans="1:6" s="871" customFormat="1" ht="36">
      <c r="A99" s="875">
        <v>39</v>
      </c>
      <c r="B99" s="3821" t="s">
        <v>693</v>
      </c>
      <c r="C99" s="875" t="s">
        <v>694</v>
      </c>
      <c r="D99" s="811" t="s">
        <v>695</v>
      </c>
      <c r="E99" s="888">
        <v>0.3</v>
      </c>
      <c r="F99" s="875">
        <v>50</v>
      </c>
    </row>
    <row r="100" spans="1:6" s="871" customFormat="1" ht="24">
      <c r="A100" s="875">
        <v>40</v>
      </c>
      <c r="B100" s="3821"/>
      <c r="C100" s="875" t="s">
        <v>696</v>
      </c>
      <c r="D100" s="811" t="s">
        <v>697</v>
      </c>
      <c r="E100" s="888">
        <v>0.2</v>
      </c>
      <c r="F100" s="875">
        <v>30</v>
      </c>
    </row>
    <row r="101" spans="1:6" s="871" customFormat="1" ht="36">
      <c r="A101" s="875">
        <v>41</v>
      </c>
      <c r="B101" s="382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821" t="s">
        <v>708</v>
      </c>
      <c r="C105" s="875" t="s">
        <v>709</v>
      </c>
      <c r="D105" s="811" t="s">
        <v>710</v>
      </c>
      <c r="E105" s="888">
        <v>0.2</v>
      </c>
      <c r="F105" s="875">
        <v>30</v>
      </c>
    </row>
    <row r="106" spans="1:6" s="871" customFormat="1" ht="36">
      <c r="A106" s="875">
        <v>46</v>
      </c>
      <c r="B106" s="3821"/>
      <c r="C106" s="875" t="s">
        <v>711</v>
      </c>
      <c r="D106" s="811" t="s">
        <v>712</v>
      </c>
      <c r="E106" s="888">
        <v>0.2</v>
      </c>
      <c r="F106" s="875">
        <v>30</v>
      </c>
    </row>
    <row r="107" spans="1:6" s="871" customFormat="1" ht="36">
      <c r="A107" s="875">
        <v>47</v>
      </c>
      <c r="B107" s="3821" t="s">
        <v>713</v>
      </c>
      <c r="C107" s="875" t="s">
        <v>714</v>
      </c>
      <c r="D107" s="811" t="s">
        <v>715</v>
      </c>
      <c r="E107" s="888">
        <v>0.3</v>
      </c>
      <c r="F107" s="875">
        <v>50</v>
      </c>
    </row>
    <row r="108" spans="1:6" s="871" customFormat="1" ht="36">
      <c r="A108" s="875">
        <v>48</v>
      </c>
      <c r="B108" s="382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821" t="s">
        <v>724</v>
      </c>
      <c r="C111" s="875" t="s">
        <v>725</v>
      </c>
      <c r="D111" s="811" t="s">
        <v>726</v>
      </c>
      <c r="E111" s="888">
        <v>0.2</v>
      </c>
      <c r="F111" s="875">
        <v>30</v>
      </c>
    </row>
    <row r="112" spans="1:6" s="871" customFormat="1" ht="24">
      <c r="A112" s="875">
        <v>52</v>
      </c>
      <c r="B112" s="3821"/>
      <c r="C112" s="875" t="s">
        <v>727</v>
      </c>
      <c r="D112" s="811" t="s">
        <v>728</v>
      </c>
      <c r="E112" s="888">
        <v>0.2</v>
      </c>
      <c r="F112" s="875">
        <v>30</v>
      </c>
    </row>
    <row r="113" spans="1:6" s="871" customFormat="1" ht="24">
      <c r="A113" s="875">
        <v>53</v>
      </c>
      <c r="B113" s="382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821" t="s">
        <v>737</v>
      </c>
      <c r="C116" s="875" t="s">
        <v>738</v>
      </c>
      <c r="D116" s="811" t="s">
        <v>739</v>
      </c>
      <c r="E116" s="888">
        <v>0.2</v>
      </c>
      <c r="F116" s="875">
        <v>30</v>
      </c>
    </row>
    <row r="117" spans="1:6" ht="36">
      <c r="A117" s="875">
        <v>57</v>
      </c>
      <c r="B117" s="382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SUMPRODUCT((A105:A204=ROUNDDOWN(基准地价修正住宅!G3,1))*(B104:M104=基准地价修正住宅!G2)*(B105:M204))</f>
        <v>0.83579999999999999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60" t="s">
        <v>3005</v>
      </c>
    </row>
    <row r="2" spans="1:5" ht="15.75">
      <c r="A2" s="2909" t="s">
        <v>2997</v>
      </c>
      <c r="B2" s="2910">
        <f ca="1">SUMIF(B6:B13,"&lt;&gt;#ref!",B6:B13)</f>
        <v>0</v>
      </c>
      <c r="C2" s="2909" t="s">
        <v>2998</v>
      </c>
      <c r="D2" s="2909" t="s">
        <v>2999</v>
      </c>
      <c r="E2" s="2910" t="e">
        <f ca="1">SUM(E6:E13)</f>
        <v>#REF!</v>
      </c>
    </row>
    <row r="3" spans="1:5" ht="15.75">
      <c r="A3" s="2909" t="s">
        <v>3000</v>
      </c>
      <c r="B3" s="2910" t="e">
        <f ca="1">ROUND(B2*10000/E2,0)</f>
        <v>#REF!</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#REF!</v>
      </c>
      <c r="C6" s="2909" t="s">
        <v>2998</v>
      </c>
      <c r="D6" s="2911"/>
      <c r="E6" s="2574" t="e">
        <f ca="1">SUMIF(INDIRECT("'"&amp;A6&amp;"'"&amp;"!C:C"),"建筑面积",INDIRECT("'"&amp;A6&amp;"'"&amp;"!D:D"))</f>
        <v>#REF!</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827" t="s">
        <v>1149</v>
      </c>
      <c r="C1" s="3827"/>
      <c r="D1" s="3827"/>
      <c r="E1" s="3827"/>
      <c r="F1" s="3827"/>
      <c r="G1" s="3823" t="s">
        <v>1150</v>
      </c>
      <c r="H1" s="3823"/>
      <c r="I1" s="3823"/>
      <c r="J1" s="3823"/>
      <c r="K1" s="3823"/>
      <c r="L1" s="3823"/>
      <c r="N1" s="3823" t="s">
        <v>1151</v>
      </c>
      <c r="O1" s="3823"/>
      <c r="P1" s="3823"/>
      <c r="Q1" s="3823"/>
      <c r="R1" s="1442"/>
      <c r="S1" s="3823" t="s">
        <v>1152</v>
      </c>
      <c r="T1" s="3823"/>
      <c r="U1" s="3823"/>
      <c r="V1" s="3823"/>
      <c r="X1" s="3822" t="s">
        <v>1153</v>
      </c>
      <c r="Y1" s="3823"/>
      <c r="Z1" s="3823"/>
      <c r="AA1" s="3823"/>
      <c r="AB1" s="3823"/>
      <c r="AD1" s="3822" t="s">
        <v>1154</v>
      </c>
      <c r="AE1" s="3823"/>
      <c r="AF1" s="3823"/>
      <c r="AG1" s="3823"/>
      <c r="AH1" s="3823"/>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37" customFormat="1" ht="14.25">
      <c r="A3" s="2946" t="s">
        <v>3040</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49" customFormat="1" ht="14.25">
      <c r="B4" s="1450"/>
      <c r="C4" s="1450"/>
      <c r="D4" s="1451"/>
      <c r="E4" s="1451"/>
      <c r="F4" s="1450"/>
      <c r="G4" s="1452"/>
      <c r="H4" s="1453"/>
      <c r="I4" s="2922"/>
      <c r="J4" s="2922"/>
      <c r="K4" s="2922"/>
      <c r="L4" s="2922"/>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5">
        <v>2018</v>
      </c>
      <c r="H5" s="1726">
        <v>1</v>
      </c>
      <c r="I5" s="2923">
        <v>0</v>
      </c>
      <c r="J5" s="2923">
        <v>0</v>
      </c>
      <c r="K5" s="2923">
        <v>0</v>
      </c>
      <c r="L5" s="2923">
        <v>0</v>
      </c>
      <c r="N5" s="1463">
        <f t="shared" ref="N5:N10" si="7">I5/100</f>
        <v>0</v>
      </c>
      <c r="O5" s="1463">
        <f t="shared" ref="O5" si="8">J5/100</f>
        <v>0</v>
      </c>
      <c r="P5" s="1463">
        <f t="shared" ref="P5" si="9">K5/100</f>
        <v>0</v>
      </c>
      <c r="Q5" s="1463">
        <f t="shared" ref="Q5" si="10">L5/100</f>
        <v>0</v>
      </c>
      <c r="R5" s="1728"/>
      <c r="S5" s="1729"/>
      <c r="T5" s="1728"/>
      <c r="U5" s="1728"/>
      <c r="V5" s="1728"/>
      <c r="W5" s="2936"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5">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21"/>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1385</v>
      </c>
      <c r="B8" s="1473">
        <f t="shared" si="21"/>
        <v>419.31181600000002</v>
      </c>
      <c r="C8" s="1473">
        <f t="shared" si="22"/>
        <v>313.95436800000004</v>
      </c>
      <c r="D8" s="1473">
        <f t="shared" si="23"/>
        <v>313.95436800000004</v>
      </c>
      <c r="E8" s="1473">
        <f t="shared" si="24"/>
        <v>596.63028431999999</v>
      </c>
      <c r="F8" s="1473">
        <f t="shared" si="25"/>
        <v>274.74220703999998</v>
      </c>
      <c r="G8" s="2920"/>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1160</v>
      </c>
      <c r="B9" s="1473">
        <f>B10*(1+N9)</f>
        <v>405.524</v>
      </c>
      <c r="C9" s="1473">
        <f>C10*(1+O9)</f>
        <v>307.79840000000002</v>
      </c>
      <c r="D9" s="1473">
        <f>C9</f>
        <v>307.79840000000002</v>
      </c>
      <c r="E9" s="1473">
        <f>E10*(1+P9)</f>
        <v>574.67759999999998</v>
      </c>
      <c r="F9" s="1473">
        <f>F10*(1+Q9)</f>
        <v>270.20280000000002</v>
      </c>
      <c r="G9" s="2921"/>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828">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825"/>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825"/>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826"/>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824">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825"/>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825"/>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826"/>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824">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825"/>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825"/>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826"/>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1161</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1162</v>
      </c>
      <c r="B22" s="1465">
        <v>299</v>
      </c>
      <c r="C22" s="1465">
        <v>252</v>
      </c>
      <c r="D22" s="1465">
        <f t="shared" si="35"/>
        <v>252</v>
      </c>
      <c r="E22" s="1465">
        <v>409</v>
      </c>
      <c r="F22" s="1466">
        <v>227</v>
      </c>
      <c r="G22" s="3829">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1163</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830"/>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1164</v>
      </c>
      <c r="B24" s="1473">
        <f t="shared" si="44"/>
        <v>288.2649053828776</v>
      </c>
      <c r="C24" s="1473">
        <f t="shared" si="44"/>
        <v>243.64564425013293</v>
      </c>
      <c r="D24" s="1473">
        <f t="shared" si="35"/>
        <v>243.64564425013293</v>
      </c>
      <c r="E24" s="1473">
        <f t="shared" si="45"/>
        <v>393.31080825986544</v>
      </c>
      <c r="F24" s="1473">
        <f t="shared" si="45"/>
        <v>223.07903790551154</v>
      </c>
      <c r="G24" s="3830"/>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1165</v>
      </c>
      <c r="B25" s="1473">
        <f t="shared" si="44"/>
        <v>282.50186729015837</v>
      </c>
      <c r="C25" s="1473">
        <f t="shared" si="44"/>
        <v>238.09796174155468</v>
      </c>
      <c r="D25" s="1473">
        <f t="shared" si="35"/>
        <v>238.09796174155468</v>
      </c>
      <c r="E25" s="1473">
        <f t="shared" si="45"/>
        <v>385.33438646014054</v>
      </c>
      <c r="F25" s="1473">
        <f t="shared" si="45"/>
        <v>221.55034055567739</v>
      </c>
      <c r="G25" s="3831"/>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1166</v>
      </c>
      <c r="B26" s="1507">
        <v>278</v>
      </c>
      <c r="C26" s="1507">
        <v>234</v>
      </c>
      <c r="D26" s="1507">
        <f t="shared" si="35"/>
        <v>234</v>
      </c>
      <c r="E26" s="1507">
        <v>379</v>
      </c>
      <c r="F26" s="1508">
        <v>220</v>
      </c>
      <c r="G26" s="3824">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1167</v>
      </c>
      <c r="B27" s="1473">
        <f>B26/(1+N26)</f>
        <v>275.49301357645425</v>
      </c>
      <c r="C27" s="1473">
        <f>C26/(1+O26)</f>
        <v>232.41954707985698</v>
      </c>
      <c r="D27" s="1473">
        <f t="shared" si="35"/>
        <v>232.41954707985698</v>
      </c>
      <c r="E27" s="1473">
        <f t="shared" ref="E27:F29" si="46">E26/(1+P26)</f>
        <v>375.32184591008121</v>
      </c>
      <c r="F27" s="1473">
        <f t="shared" si="46"/>
        <v>218.03766105054513</v>
      </c>
      <c r="G27" s="3825"/>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1168</v>
      </c>
      <c r="B28" s="1473">
        <f>B27/(1+N27)</f>
        <v>275.24529281292263</v>
      </c>
      <c r="C28" s="1473">
        <f>C27/(1+O27)</f>
        <v>231.74747938962707</v>
      </c>
      <c r="D28" s="1473">
        <f t="shared" si="35"/>
        <v>231.74747938962707</v>
      </c>
      <c r="E28" s="1473">
        <f t="shared" si="46"/>
        <v>375.35938184826603</v>
      </c>
      <c r="F28" s="1473">
        <f t="shared" si="46"/>
        <v>216.78033510692495</v>
      </c>
      <c r="G28" s="3825"/>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1169</v>
      </c>
      <c r="B29" s="1473">
        <f>B28/(1+N28)</f>
        <v>275.19025476197027</v>
      </c>
      <c r="C29" s="1509">
        <v>232</v>
      </c>
      <c r="D29" s="1509">
        <f t="shared" si="35"/>
        <v>232</v>
      </c>
      <c r="E29" s="1473">
        <f t="shared" si="46"/>
        <v>375.65990977608692</v>
      </c>
      <c r="F29" s="1473">
        <f t="shared" si="46"/>
        <v>214.12518283971252</v>
      </c>
      <c r="G29" s="3826"/>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1170</v>
      </c>
      <c r="B30" s="1465">
        <v>275</v>
      </c>
      <c r="C30" s="1465">
        <v>232</v>
      </c>
      <c r="D30" s="1465">
        <f t="shared" si="35"/>
        <v>232</v>
      </c>
      <c r="E30" s="1465">
        <v>376</v>
      </c>
      <c r="F30" s="1466">
        <v>213</v>
      </c>
      <c r="G30" s="3824">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1171</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825">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1172</v>
      </c>
      <c r="B32" s="1473">
        <f t="shared" si="47"/>
        <v>275.19335084830601</v>
      </c>
      <c r="C32" s="1473">
        <f t="shared" si="47"/>
        <v>230.18088050139744</v>
      </c>
      <c r="D32" s="1473">
        <f t="shared" si="35"/>
        <v>230.18088050139744</v>
      </c>
      <c r="E32" s="1473">
        <f t="shared" si="48"/>
        <v>377.58482925212331</v>
      </c>
      <c r="F32" s="1473">
        <f t="shared" si="48"/>
        <v>210.90687997847917</v>
      </c>
      <c r="G32" s="3825">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1173</v>
      </c>
      <c r="B33" s="1473">
        <f t="shared" si="47"/>
        <v>276.29854502841971</v>
      </c>
      <c r="C33" s="1473">
        <f t="shared" si="47"/>
        <v>229.79023709833027</v>
      </c>
      <c r="D33" s="1473">
        <f t="shared" si="35"/>
        <v>229.79023709833027</v>
      </c>
      <c r="E33" s="1473">
        <f t="shared" si="48"/>
        <v>379.78759731655936</v>
      </c>
      <c r="F33" s="1473">
        <f t="shared" si="48"/>
        <v>211.32953905659235</v>
      </c>
      <c r="G33" s="3826">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1174</v>
      </c>
      <c r="B34" s="1465">
        <v>269</v>
      </c>
      <c r="C34" s="1465">
        <v>221</v>
      </c>
      <c r="D34" s="1465">
        <f t="shared" si="35"/>
        <v>221</v>
      </c>
      <c r="E34" s="1465">
        <v>373</v>
      </c>
      <c r="F34" s="1466">
        <v>196</v>
      </c>
      <c r="G34" s="3824">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1175</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825">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1176</v>
      </c>
      <c r="B36" s="1473">
        <f t="shared" si="49"/>
        <v>242.95398227588385</v>
      </c>
      <c r="C36" s="1473">
        <f t="shared" si="49"/>
        <v>199.59137053614126</v>
      </c>
      <c r="D36" s="1473">
        <f t="shared" si="35"/>
        <v>199.59137053614126</v>
      </c>
      <c r="E36" s="1473">
        <f t="shared" si="50"/>
        <v>335.92189522342125</v>
      </c>
      <c r="F36" s="1473">
        <f t="shared" si="50"/>
        <v>183.10139991109489</v>
      </c>
      <c r="G36" s="3825">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1177</v>
      </c>
      <c r="B37" s="1473">
        <f t="shared" si="49"/>
        <v>232.06990378821649</v>
      </c>
      <c r="C37" s="1473">
        <f t="shared" si="49"/>
        <v>192.74878854286936</v>
      </c>
      <c r="D37" s="1473">
        <f t="shared" si="35"/>
        <v>192.74878854286936</v>
      </c>
      <c r="E37" s="1473">
        <f t="shared" si="50"/>
        <v>319.71247284992984</v>
      </c>
      <c r="F37" s="1473">
        <f t="shared" si="50"/>
        <v>175.67053622862409</v>
      </c>
      <c r="G37" s="3826">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1178</v>
      </c>
      <c r="B38" s="1465">
        <v>220</v>
      </c>
      <c r="C38" s="1465">
        <v>187</v>
      </c>
      <c r="D38" s="1465">
        <f t="shared" si="35"/>
        <v>187</v>
      </c>
      <c r="E38" s="1465">
        <v>301</v>
      </c>
      <c r="F38" s="1466">
        <v>168</v>
      </c>
      <c r="G38" s="3824">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1179</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825">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1180</v>
      </c>
      <c r="B40" s="1473">
        <f t="shared" si="51"/>
        <v>210.630522469011</v>
      </c>
      <c r="C40" s="1473">
        <f t="shared" si="51"/>
        <v>181.69567812247232</v>
      </c>
      <c r="D40" s="1473">
        <f t="shared" si="35"/>
        <v>181.69567812247232</v>
      </c>
      <c r="E40" s="1473">
        <f t="shared" si="52"/>
        <v>286.13517466736738</v>
      </c>
      <c r="F40" s="1473">
        <f t="shared" si="52"/>
        <v>165.47535084591149</v>
      </c>
      <c r="G40" s="3825">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1181</v>
      </c>
      <c r="B41" s="1473">
        <f t="shared" si="51"/>
        <v>208.83454537875372</v>
      </c>
      <c r="C41" s="1473">
        <f t="shared" si="51"/>
        <v>183.77230517090351</v>
      </c>
      <c r="D41" s="1473">
        <f t="shared" si="35"/>
        <v>183.77230517090351</v>
      </c>
      <c r="E41" s="1473">
        <f t="shared" si="52"/>
        <v>281.10342338870947</v>
      </c>
      <c r="F41" s="1473">
        <f t="shared" si="52"/>
        <v>168.97309388942256</v>
      </c>
      <c r="G41" s="3826">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1182</v>
      </c>
      <c r="B42" s="1507">
        <v>214</v>
      </c>
      <c r="C42" s="1507">
        <v>188</v>
      </c>
      <c r="D42" s="1507">
        <f t="shared" si="35"/>
        <v>188</v>
      </c>
      <c r="E42" s="1507">
        <v>289</v>
      </c>
      <c r="F42" s="1508">
        <v>166</v>
      </c>
      <c r="G42" s="3824">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1183</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825">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1184</v>
      </c>
      <c r="B44" s="1473">
        <f t="shared" si="53"/>
        <v>206.31694671589116</v>
      </c>
      <c r="C44" s="1473">
        <f t="shared" si="53"/>
        <v>183.61041121036101</v>
      </c>
      <c r="D44" s="1473">
        <f t="shared" si="35"/>
        <v>183.61041121036101</v>
      </c>
      <c r="E44" s="1473">
        <f t="shared" si="54"/>
        <v>276.66850301795557</v>
      </c>
      <c r="F44" s="1473">
        <f t="shared" si="54"/>
        <v>165.1360938278614</v>
      </c>
      <c r="G44" s="3825">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1185</v>
      </c>
      <c r="B45" s="1510">
        <f t="shared" si="53"/>
        <v>196.62341248059772</v>
      </c>
      <c r="C45" s="1510">
        <f t="shared" si="53"/>
        <v>170.99125648199012</v>
      </c>
      <c r="D45" s="1510">
        <f t="shared" si="35"/>
        <v>170.99125648199012</v>
      </c>
      <c r="E45" s="1510">
        <f t="shared" si="54"/>
        <v>266.07857570490052</v>
      </c>
      <c r="F45" s="1510">
        <f t="shared" si="54"/>
        <v>154.53499328828505</v>
      </c>
      <c r="G45" s="3826">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1186</v>
      </c>
      <c r="B46" s="1465">
        <v>188</v>
      </c>
      <c r="C46" s="1465">
        <v>165</v>
      </c>
      <c r="D46" s="1465">
        <f t="shared" si="35"/>
        <v>165</v>
      </c>
      <c r="E46" s="1465">
        <v>254</v>
      </c>
      <c r="F46" s="1466">
        <v>148</v>
      </c>
      <c r="G46" s="3824">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1187</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825">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1188</v>
      </c>
      <c r="B48" s="1473">
        <f t="shared" si="57"/>
        <v>168.82017748715555</v>
      </c>
      <c r="C48" s="1473">
        <f t="shared" si="57"/>
        <v>148.06267029972753</v>
      </c>
      <c r="D48" s="1473">
        <f t="shared" si="35"/>
        <v>148.06267029972753</v>
      </c>
      <c r="E48" s="1473">
        <f t="shared" si="58"/>
        <v>216.46288379323747</v>
      </c>
      <c r="F48" s="1473">
        <f t="shared" si="58"/>
        <v>134.23529411764704</v>
      </c>
      <c r="G48" s="3825">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1189</v>
      </c>
      <c r="B49" s="1473">
        <f t="shared" si="57"/>
        <v>163.84913591779542</v>
      </c>
      <c r="C49" s="1473">
        <f t="shared" si="57"/>
        <v>145.0283378746594</v>
      </c>
      <c r="D49" s="1473">
        <f t="shared" si="35"/>
        <v>145.0283378746594</v>
      </c>
      <c r="E49" s="1473">
        <f t="shared" si="58"/>
        <v>204.95180722891567</v>
      </c>
      <c r="F49" s="1473">
        <f t="shared" si="58"/>
        <v>125.95920303605313</v>
      </c>
      <c r="G49" s="3826">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1190</v>
      </c>
      <c r="B50" s="1486">
        <v>159</v>
      </c>
      <c r="C50" s="1486">
        <v>141</v>
      </c>
      <c r="D50" s="1486">
        <f t="shared" si="35"/>
        <v>141</v>
      </c>
      <c r="E50" s="1486">
        <v>195</v>
      </c>
      <c r="F50" s="1487">
        <v>122</v>
      </c>
      <c r="G50" s="3824">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1191</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825">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1192</v>
      </c>
      <c r="B52" s="1473">
        <f t="shared" si="61"/>
        <v>146.57412060301507</v>
      </c>
      <c r="C52" s="1473">
        <f t="shared" si="61"/>
        <v>136.46831955922866</v>
      </c>
      <c r="D52" s="1473">
        <f t="shared" si="35"/>
        <v>136.46831955922866</v>
      </c>
      <c r="E52" s="1473">
        <f t="shared" si="62"/>
        <v>166.73864894795128</v>
      </c>
      <c r="F52" s="1473">
        <f t="shared" si="62"/>
        <v>115.05882352941177</v>
      </c>
      <c r="G52" s="3825">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1193</v>
      </c>
      <c r="B53" s="1473">
        <f t="shared" si="61"/>
        <v>144.04145728643215</v>
      </c>
      <c r="C53" s="1473">
        <f t="shared" si="61"/>
        <v>136.12396694214877</v>
      </c>
      <c r="D53" s="1473">
        <f t="shared" si="35"/>
        <v>136.12396694214877</v>
      </c>
      <c r="E53" s="1473">
        <f t="shared" si="62"/>
        <v>158.32225913621264</v>
      </c>
      <c r="F53" s="1473">
        <f t="shared" si="62"/>
        <v>114.04278074866311</v>
      </c>
      <c r="G53" s="3826">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1194</v>
      </c>
      <c r="B54" s="1486">
        <v>138</v>
      </c>
      <c r="C54" s="1486">
        <v>131</v>
      </c>
      <c r="D54" s="1486">
        <f t="shared" si="35"/>
        <v>131</v>
      </c>
      <c r="E54" s="1486">
        <v>155</v>
      </c>
      <c r="F54" s="1487">
        <v>114</v>
      </c>
      <c r="G54" s="3824">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1195</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825">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1196</v>
      </c>
      <c r="B56" s="1473">
        <f t="shared" si="65"/>
        <v>124.29032258064517</v>
      </c>
      <c r="C56" s="1473">
        <f t="shared" si="65"/>
        <v>123.8968609865471</v>
      </c>
      <c r="D56" s="1473">
        <f t="shared" si="35"/>
        <v>123.8968609865471</v>
      </c>
      <c r="E56" s="1473">
        <f t="shared" si="66"/>
        <v>138.00507614213197</v>
      </c>
      <c r="F56" s="1473">
        <f t="shared" si="66"/>
        <v>107.96106557377048</v>
      </c>
      <c r="G56" s="3825">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1197</v>
      </c>
      <c r="B57" s="1473">
        <f t="shared" si="65"/>
        <v>122.57204301075269</v>
      </c>
      <c r="C57" s="1473">
        <f t="shared" si="65"/>
        <v>123.4932735426009</v>
      </c>
      <c r="D57" s="1473">
        <f t="shared" si="35"/>
        <v>123.4932735426009</v>
      </c>
      <c r="E57" s="1473">
        <f t="shared" si="66"/>
        <v>129.82233502538071</v>
      </c>
      <c r="F57" s="1473">
        <f t="shared" si="66"/>
        <v>107.39446721311475</v>
      </c>
      <c r="G57" s="3826">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1198</v>
      </c>
      <c r="B58" s="1507">
        <v>121</v>
      </c>
      <c r="C58" s="1507">
        <v>122</v>
      </c>
      <c r="D58" s="1507">
        <f t="shared" si="35"/>
        <v>122</v>
      </c>
      <c r="E58" s="1507">
        <v>124</v>
      </c>
      <c r="F58" s="1508">
        <v>107</v>
      </c>
      <c r="G58" s="3824">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1199</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825">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1200</v>
      </c>
      <c r="B60" s="1473">
        <f t="shared" si="69"/>
        <v>116.99099099099099</v>
      </c>
      <c r="C60" s="1473">
        <f t="shared" si="69"/>
        <v>118.84848484848486</v>
      </c>
      <c r="D60" s="1473">
        <f t="shared" si="35"/>
        <v>118.84848484848486</v>
      </c>
      <c r="E60" s="1473">
        <f t="shared" si="70"/>
        <v>117.60960960960961</v>
      </c>
      <c r="F60" s="1473">
        <f t="shared" si="70"/>
        <v>104</v>
      </c>
      <c r="G60" s="3825">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1201</v>
      </c>
      <c r="B61" s="1510">
        <f t="shared" si="69"/>
        <v>112.48648648648648</v>
      </c>
      <c r="C61" s="1510">
        <f t="shared" si="69"/>
        <v>115.21212121212122</v>
      </c>
      <c r="D61" s="1510">
        <f t="shared" si="35"/>
        <v>115.21212121212122</v>
      </c>
      <c r="E61" s="1510">
        <f t="shared" si="70"/>
        <v>110.4024024024024</v>
      </c>
      <c r="F61" s="1510">
        <f t="shared" si="70"/>
        <v>104</v>
      </c>
      <c r="G61" s="3826">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1202</v>
      </c>
      <c r="B62" s="1528">
        <v>111</v>
      </c>
      <c r="C62" s="1528">
        <v>114</v>
      </c>
      <c r="D62" s="1528">
        <f t="shared" si="35"/>
        <v>114</v>
      </c>
      <c r="E62" s="1528">
        <v>108</v>
      </c>
      <c r="F62" s="1529">
        <v>104</v>
      </c>
      <c r="G62" s="3824">
        <v>2003</v>
      </c>
      <c r="H62" s="1518">
        <v>4</v>
      </c>
      <c r="I62" s="1530"/>
      <c r="J62" s="1530"/>
      <c r="K62" s="1530"/>
      <c r="L62" s="1530"/>
      <c r="N62" s="1531"/>
      <c r="O62" s="1530"/>
      <c r="P62" s="1530"/>
      <c r="Q62" s="1530"/>
      <c r="S62" s="1531"/>
      <c r="T62" s="1530"/>
      <c r="U62" s="1530"/>
      <c r="V62" s="1530"/>
      <c r="X62" s="1522"/>
      <c r="Y62" s="1522"/>
      <c r="Z62" s="1522"/>
    </row>
    <row r="63" spans="1:26">
      <c r="A63" s="1457" t="s">
        <v>1203</v>
      </c>
      <c r="B63" s="1532">
        <f t="shared" ref="B63:C65" si="71">B64+(B$62-B$66)/4</f>
        <v>109.75</v>
      </c>
      <c r="C63" s="1532">
        <f t="shared" si="71"/>
        <v>112.25</v>
      </c>
      <c r="D63" s="1532">
        <f t="shared" si="35"/>
        <v>112.25</v>
      </c>
      <c r="E63" s="1532">
        <f t="shared" ref="E63:F65" si="72">E64+(E$62-E$66)/4</f>
        <v>107.25</v>
      </c>
      <c r="F63" s="1532">
        <f t="shared" si="72"/>
        <v>103.5</v>
      </c>
      <c r="G63" s="3825">
        <v>2003</v>
      </c>
      <c r="H63" s="1483">
        <v>3</v>
      </c>
      <c r="I63" s="1530"/>
      <c r="J63" s="1530"/>
      <c r="K63" s="1530"/>
      <c r="L63" s="1530"/>
      <c r="X63" s="1522"/>
      <c r="Y63" s="1522"/>
      <c r="Z63" s="1522"/>
    </row>
    <row r="64" spans="1:26">
      <c r="A64" s="1457" t="s">
        <v>1204</v>
      </c>
      <c r="B64" s="1532">
        <f t="shared" si="71"/>
        <v>108.5</v>
      </c>
      <c r="C64" s="1532">
        <f t="shared" si="71"/>
        <v>110.5</v>
      </c>
      <c r="D64" s="1532">
        <f t="shared" si="35"/>
        <v>110.5</v>
      </c>
      <c r="E64" s="1532">
        <f t="shared" si="72"/>
        <v>106.5</v>
      </c>
      <c r="F64" s="1532">
        <f t="shared" si="72"/>
        <v>103</v>
      </c>
      <c r="G64" s="3825">
        <v>2003</v>
      </c>
      <c r="H64" s="1461">
        <v>2</v>
      </c>
      <c r="I64" s="1530"/>
      <c r="J64" s="1530"/>
      <c r="K64" s="1530"/>
      <c r="L64" s="1530"/>
      <c r="X64" s="1522"/>
      <c r="Y64" s="1522"/>
      <c r="Z64" s="1522"/>
    </row>
    <row r="65" spans="1:26" ht="13.5" thickBot="1">
      <c r="A65" s="1457" t="s">
        <v>1205</v>
      </c>
      <c r="B65" s="1532">
        <f t="shared" si="71"/>
        <v>107.25</v>
      </c>
      <c r="C65" s="1532">
        <f t="shared" si="71"/>
        <v>108.75</v>
      </c>
      <c r="D65" s="1532">
        <f t="shared" si="35"/>
        <v>108.75</v>
      </c>
      <c r="E65" s="1532">
        <f t="shared" si="72"/>
        <v>105.75</v>
      </c>
      <c r="F65" s="1532">
        <f t="shared" si="72"/>
        <v>102.5</v>
      </c>
      <c r="G65" s="3826">
        <v>2003</v>
      </c>
      <c r="H65" s="1533">
        <v>1</v>
      </c>
      <c r="I65" s="1530"/>
      <c r="J65" s="1530"/>
      <c r="K65" s="1530"/>
      <c r="L65" s="1530"/>
      <c r="S65" s="1468"/>
      <c r="T65" s="1469"/>
      <c r="U65" s="1469"/>
      <c r="X65" s="1522"/>
      <c r="Y65" s="1522"/>
      <c r="Z65" s="1522"/>
    </row>
    <row r="66" spans="1:26" ht="13.5" thickBot="1">
      <c r="A66" s="1457" t="s">
        <v>1206</v>
      </c>
      <c r="B66" s="1534">
        <v>106</v>
      </c>
      <c r="C66" s="1534">
        <v>107</v>
      </c>
      <c r="D66" s="1534">
        <f t="shared" si="35"/>
        <v>107</v>
      </c>
      <c r="E66" s="1534">
        <v>105</v>
      </c>
      <c r="F66" s="1535">
        <v>102</v>
      </c>
      <c r="G66" s="3824">
        <v>2002</v>
      </c>
      <c r="H66" s="1478">
        <v>4</v>
      </c>
      <c r="I66" s="1530"/>
      <c r="J66" s="1530"/>
      <c r="K66" s="1530"/>
      <c r="L66" s="1530"/>
      <c r="N66" s="1531"/>
      <c r="O66" s="1530"/>
      <c r="P66" s="1530"/>
      <c r="Q66" s="1530"/>
      <c r="S66" s="1531"/>
      <c r="T66" s="1530"/>
      <c r="U66" s="1530"/>
      <c r="V66" s="1530"/>
      <c r="X66" s="1522"/>
      <c r="Y66" s="1522"/>
      <c r="Z66" s="1522"/>
    </row>
    <row r="67" spans="1:26">
      <c r="A67" s="1457" t="s">
        <v>1207</v>
      </c>
      <c r="B67" s="1532">
        <f t="shared" ref="B67:C69" si="73">B68+(B$66-B$70)/4</f>
        <v>105</v>
      </c>
      <c r="C67" s="1532">
        <f t="shared" si="73"/>
        <v>106</v>
      </c>
      <c r="D67" s="1532">
        <f t="shared" si="35"/>
        <v>106</v>
      </c>
      <c r="E67" s="1532">
        <f t="shared" ref="E67:F69" si="74">E68+(E$66-E$70)/4</f>
        <v>104.5</v>
      </c>
      <c r="F67" s="1532">
        <f t="shared" si="74"/>
        <v>101.5</v>
      </c>
      <c r="G67" s="3825">
        <v>2002</v>
      </c>
      <c r="H67" s="1483">
        <v>3</v>
      </c>
      <c r="I67" s="1530"/>
      <c r="J67" s="1530"/>
      <c r="K67" s="1530"/>
      <c r="L67" s="1530"/>
      <c r="X67" s="1522"/>
      <c r="Y67" s="1522"/>
      <c r="Z67" s="1522"/>
    </row>
    <row r="68" spans="1:26">
      <c r="A68" s="1457" t="s">
        <v>1208</v>
      </c>
      <c r="B68" s="1532">
        <f t="shared" si="73"/>
        <v>104</v>
      </c>
      <c r="C68" s="1532">
        <f t="shared" si="73"/>
        <v>105</v>
      </c>
      <c r="D68" s="1532">
        <f t="shared" si="35"/>
        <v>105</v>
      </c>
      <c r="E68" s="1532">
        <f t="shared" si="74"/>
        <v>104</v>
      </c>
      <c r="F68" s="1532">
        <f t="shared" si="74"/>
        <v>101</v>
      </c>
      <c r="G68" s="3825">
        <v>2002</v>
      </c>
      <c r="H68" s="1461">
        <v>2</v>
      </c>
      <c r="I68" s="1530"/>
      <c r="J68" s="1530"/>
      <c r="K68" s="1530"/>
      <c r="L68" s="1530"/>
      <c r="X68" s="1522"/>
      <c r="Y68" s="1522"/>
      <c r="Z68" s="1522"/>
    </row>
    <row r="69" spans="1:26" s="1494" customFormat="1" ht="13.5" thickBot="1">
      <c r="A69" s="1490" t="s">
        <v>1209</v>
      </c>
      <c r="B69" s="1536">
        <f t="shared" si="73"/>
        <v>103</v>
      </c>
      <c r="C69" s="1536">
        <f t="shared" si="73"/>
        <v>104</v>
      </c>
      <c r="D69" s="1536">
        <f t="shared" si="35"/>
        <v>104</v>
      </c>
      <c r="E69" s="1536">
        <f t="shared" si="74"/>
        <v>103.5</v>
      </c>
      <c r="F69" s="1536">
        <f t="shared" si="74"/>
        <v>100.5</v>
      </c>
      <c r="G69" s="3826">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1210</v>
      </c>
      <c r="G72" s="1546"/>
      <c r="N72" s="1546"/>
      <c r="S72" s="1546"/>
    </row>
    <row r="73" spans="1:26" s="1545" customFormat="1">
      <c r="A73" s="1545" t="s">
        <v>1211</v>
      </c>
      <c r="G73" s="1546"/>
      <c r="N73" s="1546"/>
      <c r="S73" s="1546"/>
    </row>
    <row r="74" spans="1:26" s="1545" customFormat="1">
      <c r="A74" s="1545" t="s">
        <v>1212</v>
      </c>
      <c r="G74" s="1546"/>
      <c r="I74" s="1547"/>
      <c r="J74" s="1547"/>
      <c r="K74" s="1547"/>
      <c r="L74" s="1547"/>
      <c r="N74" s="1548"/>
      <c r="O74" s="1547"/>
      <c r="P74" s="1547"/>
      <c r="Q74" s="1547"/>
      <c r="S74" s="1548"/>
      <c r="T74" s="1547"/>
      <c r="U74" s="1547"/>
      <c r="V74" s="1547"/>
    </row>
    <row r="75" spans="1:26" s="1545" customFormat="1">
      <c r="A75" s="1545" t="s">
        <v>1213</v>
      </c>
      <c r="G75" s="1546"/>
      <c r="N75" s="1546"/>
      <c r="S75" s="1546"/>
    </row>
    <row r="82" spans="7:22" ht="13.5" thickBot="1"/>
    <row r="83" spans="7:22">
      <c r="G83" s="1467"/>
      <c r="S83" s="1549" t="s">
        <v>1214</v>
      </c>
      <c r="T83" s="1550" t="s">
        <v>1215</v>
      </c>
      <c r="U83" s="1550" t="s">
        <v>1216</v>
      </c>
      <c r="V83" s="1550" t="s">
        <v>1217</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39740</v>
      </c>
      <c r="C2" s="2" t="s">
        <v>133</v>
      </c>
      <c r="D2" s="242"/>
      <c r="E2" s="242"/>
      <c r="F2" s="242"/>
      <c r="G2" s="242"/>
    </row>
    <row r="3" spans="1:7" s="243" customFormat="1" ht="18" customHeight="1" thickBot="1">
      <c r="A3" s="246" t="s">
        <v>85</v>
      </c>
      <c r="B3" s="247">
        <f ca="1">ROUND(B2*10000/'数据-汇总表'!E3,0)</f>
        <v>66636</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5" t="s">
        <v>790</v>
      </c>
      <c r="B6" s="258" t="s">
        <v>91</v>
      </c>
      <c r="C6" s="259">
        <v>20000</v>
      </c>
      <c r="D6" s="260"/>
      <c r="E6" s="261"/>
      <c r="F6" s="261"/>
      <c r="G6" s="262"/>
    </row>
    <row r="7" spans="1:7" s="257" customFormat="1" ht="13.5" customHeight="1">
      <c r="A7" s="945" t="s">
        <v>791</v>
      </c>
      <c r="B7" s="258" t="s">
        <v>57</v>
      </c>
      <c r="C7" s="263">
        <f>ROUND(C6*F7,0)</f>
        <v>610</v>
      </c>
      <c r="D7" s="263"/>
      <c r="E7" s="261"/>
      <c r="F7" s="264">
        <f>'数据-取费表'!B48+'数据-取费表'!B49</f>
        <v>3.0499999999999999E-2</v>
      </c>
      <c r="G7" s="262"/>
    </row>
    <row r="8" spans="1:7" s="266" customFormat="1">
      <c r="A8" s="945" t="s">
        <v>792</v>
      </c>
      <c r="B8" s="258" t="s">
        <v>92</v>
      </c>
      <c r="C8" s="263" t="str">
        <f>IF(G8="已包含在土地购买价格中","0",'数据-取费表'!B29)</f>
        <v>0</v>
      </c>
      <c r="D8" s="265"/>
      <c r="E8" s="263"/>
      <c r="F8" s="264"/>
      <c r="G8" s="1" t="s">
        <v>1147</v>
      </c>
    </row>
    <row r="9" spans="1:7" s="257" customFormat="1" ht="13.5" customHeight="1">
      <c r="A9" s="946" t="s">
        <v>799</v>
      </c>
      <c r="B9" s="267" t="s">
        <v>93</v>
      </c>
      <c r="C9" s="268">
        <f>ROUND(D9*E9/10000,0)</f>
        <v>85</v>
      </c>
      <c r="D9" s="1028">
        <f>'数据-汇总表'!E5</f>
        <v>5307.46</v>
      </c>
      <c r="E9" s="268">
        <f>'数据-取费表'!B27</f>
        <v>160</v>
      </c>
      <c r="F9" s="264"/>
      <c r="G9" s="269"/>
    </row>
    <row r="10" spans="1:7" s="257" customFormat="1" ht="13.5" customHeight="1">
      <c r="A10" s="946" t="s">
        <v>800</v>
      </c>
      <c r="B10" s="267" t="s">
        <v>94</v>
      </c>
      <c r="C10" s="268">
        <f>ROUND(D10*E10/10000,0)</f>
        <v>13</v>
      </c>
      <c r="D10" s="1028">
        <f>'数据-汇总表'!E6</f>
        <v>656.26000000000022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1054</v>
      </c>
      <c r="B19" s="253" t="s">
        <v>111</v>
      </c>
      <c r="C19" s="254">
        <f>IF(G19="已包含在土地取得成本中","0",ROUND(D19*E19/10000,0))</f>
        <v>119</v>
      </c>
      <c r="D19" s="1032">
        <f>'数据-汇总表'!E3</f>
        <v>5963.72</v>
      </c>
      <c r="E19" s="254">
        <f>'数据-取费表'!B31</f>
        <v>200</v>
      </c>
      <c r="F19" s="274"/>
      <c r="G19" s="1" t="s">
        <v>1073</v>
      </c>
    </row>
    <row r="20" spans="1:7" s="257" customFormat="1" ht="13.5" customHeight="1">
      <c r="A20" s="944" t="s">
        <v>1056</v>
      </c>
      <c r="B20" s="253" t="s">
        <v>104</v>
      </c>
      <c r="C20" s="275">
        <f>ROUND((C5+C19)*F20,0)</f>
        <v>622</v>
      </c>
      <c r="D20" s="275"/>
      <c r="E20" s="275"/>
      <c r="F20" s="276">
        <f>'数据-取费表'!B37</f>
        <v>0.03</v>
      </c>
      <c r="G20" s="1285" t="s">
        <v>1067</v>
      </c>
    </row>
    <row r="21" spans="1:7" s="257" customFormat="1" ht="13.5" customHeight="1">
      <c r="A21" s="944" t="s">
        <v>1058</v>
      </c>
      <c r="B21" s="253" t="s">
        <v>105</v>
      </c>
      <c r="C21" s="278">
        <f>F21</f>
        <v>0.03</v>
      </c>
      <c r="D21" s="279" t="s">
        <v>126</v>
      </c>
      <c r="E21" s="275"/>
      <c r="F21" s="276">
        <f>'数据-取费表'!B38</f>
        <v>0.03</v>
      </c>
      <c r="G21" s="277" t="s">
        <v>106</v>
      </c>
    </row>
    <row r="22" spans="1:7" s="257" customFormat="1" ht="13.5" customHeight="1">
      <c r="A22" s="944" t="s">
        <v>785</v>
      </c>
      <c r="B22" s="253" t="s">
        <v>107</v>
      </c>
      <c r="C22" s="1350">
        <f ca="1">ROUND(SUM(C23:C25),0)</f>
        <v>2046</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793</v>
      </c>
      <c r="B23" s="258" t="s">
        <v>1060</v>
      </c>
      <c r="C23" s="1351">
        <f ca="1">ROUND(IF('数据-取费表'!B22&lt;=1,C5*F22*'数据-取费表'!B23,C5*(POWER((1+F22),'数据-取费表'!B23)-1)),0)</f>
        <v>2004</v>
      </c>
      <c r="D23" s="281"/>
      <c r="E23" s="281"/>
      <c r="F23" s="282"/>
      <c r="G23" s="283" t="s">
        <v>108</v>
      </c>
    </row>
    <row r="24" spans="1:7" s="257" customFormat="1" ht="13.5" customHeight="1">
      <c r="A24" s="947" t="s">
        <v>791</v>
      </c>
      <c r="B24" s="258" t="s">
        <v>1055</v>
      </c>
      <c r="C24" s="1351">
        <f ca="1">ROUND(IF('数据-取费表'!B22&lt;=1,C19*F22*('数据-取费表'!B19/2+'数据-取费表'!B21),C19*(POWER((1+F22),('数据-取费表'!B19/2+'数据-取费表'!B21))-1)),0)</f>
        <v>12</v>
      </c>
      <c r="D24" s="281"/>
      <c r="E24" s="281"/>
      <c r="F24" s="282"/>
      <c r="G24" s="283" t="s">
        <v>109</v>
      </c>
    </row>
    <row r="25" spans="1:7" s="257" customFormat="1" ht="24">
      <c r="A25" s="947" t="s">
        <v>792</v>
      </c>
      <c r="B25" s="258" t="s">
        <v>1057</v>
      </c>
      <c r="C25" s="1351">
        <f ca="1">ROUND(IF('数据-取费表'!B22&lt;=1,C20*F22*'数据-取费表'!B23/2,C20*(POWER((1+F22),'数据-取费表'!B23/2)-1)),0)</f>
        <v>30</v>
      </c>
      <c r="D25" s="281"/>
      <c r="E25" s="284"/>
      <c r="F25" s="282"/>
      <c r="G25" s="285" t="s">
        <v>110</v>
      </c>
    </row>
    <row r="26" spans="1:7" s="257" customFormat="1">
      <c r="A26" s="947" t="s">
        <v>794</v>
      </c>
      <c r="B26" s="258" t="s">
        <v>1059</v>
      </c>
      <c r="C26" s="281">
        <f ca="1">ROUND(IF('数据-取费表'!B22&lt;=1,F21*F22*'数据-取费表'!B23/2,F21*(POWER((1+F22),'数据-取费表'!B23/2)-1)),4)</f>
        <v>1.4E-3</v>
      </c>
      <c r="D26" s="281"/>
      <c r="E26" s="284"/>
      <c r="F26" s="282"/>
      <c r="G26" s="286"/>
    </row>
    <row r="27" spans="1:7" s="257" customFormat="1" ht="24.75">
      <c r="A27" s="944" t="s">
        <v>786</v>
      </c>
      <c r="B27" s="287" t="s">
        <v>112</v>
      </c>
      <c r="C27" s="288">
        <f>C28</f>
        <v>7473</v>
      </c>
      <c r="D27" s="278">
        <f>C29</f>
        <v>1.0500000000000001E-2</v>
      </c>
      <c r="E27" s="279" t="s">
        <v>126</v>
      </c>
      <c r="F27" s="289">
        <f>'数据-取费表'!Q16</f>
        <v>0.35</v>
      </c>
      <c r="G27" s="290" t="s">
        <v>1068</v>
      </c>
    </row>
    <row r="28" spans="1:7" s="257" customFormat="1" ht="13.5" customHeight="1">
      <c r="A28" s="947" t="s">
        <v>793</v>
      </c>
      <c r="B28" s="291" t="s">
        <v>1061</v>
      </c>
      <c r="C28" s="292">
        <f>ROUND((C5+C19+C20)*F27*'数据-取费表'!B21/'数据-取费表'!B20,0)</f>
        <v>7473</v>
      </c>
      <c r="D28" s="278"/>
      <c r="E28" s="279"/>
      <c r="F28" s="289"/>
      <c r="G28" s="290"/>
    </row>
    <row r="29" spans="1:7" s="257" customFormat="1" ht="13.5" customHeight="1">
      <c r="A29" s="947" t="s">
        <v>791</v>
      </c>
      <c r="B29" s="291" t="s">
        <v>1062</v>
      </c>
      <c r="C29" s="281">
        <f>ROUND(C21*F27*'数据-取费表'!B21/'数据-取费表'!B20,4)</f>
        <v>1.0500000000000001E-2</v>
      </c>
      <c r="D29" s="278"/>
      <c r="E29" s="279"/>
      <c r="F29" s="289"/>
      <c r="G29" s="290"/>
    </row>
    <row r="30" spans="1:7" s="257" customFormat="1" ht="13.5" customHeight="1">
      <c r="A30" s="944"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34083</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3748</v>
      </c>
      <c r="D33" s="275"/>
      <c r="E33" s="255"/>
      <c r="F33" s="284"/>
      <c r="G33" s="277"/>
    </row>
    <row r="34" spans="1:7" s="301" customFormat="1" ht="13.5" customHeight="1">
      <c r="A34" s="947" t="s">
        <v>793</v>
      </c>
      <c r="B34" s="258" t="s">
        <v>59</v>
      </c>
      <c r="C34" s="263">
        <f>IF(F34=100%,'数据-取费表'!M16-SUMIF('数据-取费表'!C:C,"公共配套",'数据-取费表'!M:M),'数据-取费表'!O16-SUMIF('数据-取费表'!C:C,"公共配套",'数据-取费表'!O:O))</f>
        <v>3381</v>
      </c>
      <c r="D34" s="260"/>
      <c r="E34" s="263"/>
      <c r="F34" s="300">
        <f>IF('数据-取费表'!B24=0,1,'数据-取费表'!N16)</f>
        <v>1</v>
      </c>
      <c r="G34" s="262" t="s">
        <v>116</v>
      </c>
    </row>
    <row r="35" spans="1:7" ht="13.5" customHeight="1">
      <c r="A35" s="947" t="s">
        <v>795</v>
      </c>
      <c r="B35" s="258" t="s">
        <v>60</v>
      </c>
      <c r="C35" s="263">
        <f>ROUND(C34*F35,0)</f>
        <v>101</v>
      </c>
      <c r="D35" s="263"/>
      <c r="E35" s="263"/>
      <c r="F35" s="302">
        <f>'数据-取费表'!B33</f>
        <v>0.03</v>
      </c>
      <c r="G35" s="262" t="s">
        <v>117</v>
      </c>
    </row>
    <row r="36" spans="1:7" ht="24">
      <c r="A36" s="947"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96</v>
      </c>
      <c r="D36" s="263"/>
      <c r="E36" s="263"/>
      <c r="F36" s="302">
        <f>'数据-取费表'!B34</f>
        <v>0.03</v>
      </c>
      <c r="G36" s="303" t="s">
        <v>62</v>
      </c>
    </row>
    <row r="37" spans="1:7" s="301" customFormat="1" ht="13.5" customHeight="1">
      <c r="A37" s="947" t="s">
        <v>797</v>
      </c>
      <c r="B37" s="258" t="s">
        <v>118</v>
      </c>
      <c r="C37" s="292">
        <f>ROUND(E37*D37*F34/10000,0)</f>
        <v>119</v>
      </c>
      <c r="D37" s="260">
        <f>'数据-汇总表'!E3</f>
        <v>5963.72</v>
      </c>
      <c r="E37" s="292">
        <f>'数据-取费表'!B35</f>
        <v>200</v>
      </c>
      <c r="F37" s="302"/>
      <c r="G37" s="304" t="s">
        <v>119</v>
      </c>
    </row>
    <row r="38" spans="1:7" ht="13.5" customHeight="1">
      <c r="A38" s="947" t="s">
        <v>798</v>
      </c>
      <c r="B38" s="258" t="s">
        <v>63</v>
      </c>
      <c r="C38" s="263">
        <f>ROUND(C34*F38,0)</f>
        <v>51</v>
      </c>
      <c r="D38" s="263"/>
      <c r="E38" s="263"/>
      <c r="F38" s="302">
        <f>'数据-取费表'!B36</f>
        <v>1.4999999999999999E-2</v>
      </c>
      <c r="G38" s="262" t="s">
        <v>117</v>
      </c>
    </row>
    <row r="39" spans="1:7" s="257" customFormat="1" ht="13.5" customHeight="1">
      <c r="A39" s="944" t="s">
        <v>782</v>
      </c>
      <c r="B39" s="253" t="s">
        <v>104</v>
      </c>
      <c r="C39" s="275">
        <f>ROUND(C33*F20,0)</f>
        <v>112</v>
      </c>
      <c r="D39" s="275"/>
      <c r="E39" s="275"/>
      <c r="F39" s="276"/>
      <c r="G39" s="1285" t="s">
        <v>1070</v>
      </c>
    </row>
    <row r="40" spans="1:7" s="257" customFormat="1" ht="13.5" customHeight="1">
      <c r="A40" s="944" t="s">
        <v>783</v>
      </c>
      <c r="B40" s="253" t="s">
        <v>105</v>
      </c>
      <c r="C40" s="305">
        <f>F21</f>
        <v>0.03</v>
      </c>
      <c r="D40" s="279" t="s">
        <v>129</v>
      </c>
      <c r="E40" s="275"/>
      <c r="F40" s="276"/>
      <c r="G40" s="277" t="s">
        <v>120</v>
      </c>
    </row>
    <row r="41" spans="1:7" s="257" customFormat="1" ht="13.5" customHeight="1">
      <c r="A41" s="944" t="s">
        <v>784</v>
      </c>
      <c r="B41" s="253" t="s">
        <v>107</v>
      </c>
      <c r="C41" s="275">
        <f ca="1">ROUND(SUM(C42:C43),0)</f>
        <v>183</v>
      </c>
      <c r="D41" s="278">
        <f ca="1">C44</f>
        <v>1.4E-3</v>
      </c>
      <c r="E41" s="279" t="s">
        <v>129</v>
      </c>
      <c r="F41" s="280"/>
      <c r="G41" s="1285" t="str">
        <f>IF('数据-取费表'!B22&lt;=1,"单利计息","复利计息")</f>
        <v>复利计息</v>
      </c>
    </row>
    <row r="42" spans="1:7" ht="13.5" customHeight="1">
      <c r="A42" s="947" t="s">
        <v>793</v>
      </c>
      <c r="B42" s="258" t="s">
        <v>1060</v>
      </c>
      <c r="C42" s="281">
        <f ca="1">ROUND(IF('数据-取费表'!B22&lt;=1,C33*F22*'数据-取费表'!B21/2,C33*(POWER((1+F22),'数据-取费表'!B21/2)-1)),0)</f>
        <v>178</v>
      </c>
      <c r="D42" s="281"/>
      <c r="E42" s="281"/>
      <c r="F42" s="282"/>
      <c r="G42" s="3693" t="s">
        <v>121</v>
      </c>
    </row>
    <row r="43" spans="1:7" ht="13.5" customHeight="1">
      <c r="A43" s="947" t="s">
        <v>791</v>
      </c>
      <c r="B43" s="258" t="s">
        <v>1063</v>
      </c>
      <c r="C43" s="281">
        <f ca="1">ROUND(IF('数据-取费表'!B22&lt;=1,C39*F22*'数据-取费表'!B21/2,C39*(POWER((1+F22),'数据-取费表'!B21/2)-1)),0)</f>
        <v>5</v>
      </c>
      <c r="D43" s="281"/>
      <c r="E43" s="281"/>
      <c r="F43" s="282"/>
      <c r="G43" s="3694"/>
    </row>
    <row r="44" spans="1:7" ht="13.5" customHeight="1">
      <c r="A44" s="947" t="s">
        <v>792</v>
      </c>
      <c r="B44" s="258" t="s">
        <v>1065</v>
      </c>
      <c r="C44" s="281">
        <f ca="1">ROUND(IF('数据-取费表'!B22&lt;=1,C40*F22*'数据-取费表'!B21/2,C40*(POWER((1+F22),'数据-取费表'!B21/2)-1)),4)</f>
        <v>1.4E-3</v>
      </c>
      <c r="D44" s="281"/>
      <c r="E44" s="281"/>
      <c r="F44" s="282"/>
      <c r="G44" s="3695"/>
    </row>
    <row r="45" spans="1:7" s="257" customFormat="1" ht="13.5" customHeight="1">
      <c r="A45" s="944" t="s">
        <v>785</v>
      </c>
      <c r="B45" s="287" t="s">
        <v>112</v>
      </c>
      <c r="C45" s="288">
        <f>C46</f>
        <v>1351</v>
      </c>
      <c r="D45" s="278">
        <f>C47</f>
        <v>1.0500000000000001E-2</v>
      </c>
      <c r="E45" s="279" t="s">
        <v>129</v>
      </c>
      <c r="F45" s="289"/>
      <c r="G45" s="290" t="s">
        <v>1071</v>
      </c>
    </row>
    <row r="46" spans="1:7" s="257" customFormat="1" ht="13.5" customHeight="1">
      <c r="A46" s="947" t="s">
        <v>793</v>
      </c>
      <c r="B46" s="291" t="s">
        <v>1064</v>
      </c>
      <c r="C46" s="292">
        <f>ROUND((C33+C39)*F27,0)</f>
        <v>1351</v>
      </c>
      <c r="D46" s="306"/>
      <c r="E46" s="279"/>
      <c r="F46" s="289"/>
      <c r="G46" s="290"/>
    </row>
    <row r="47" spans="1:7" s="257" customFormat="1" ht="13.5" customHeight="1">
      <c r="A47" s="947" t="s">
        <v>791</v>
      </c>
      <c r="B47" s="291" t="s">
        <v>1066</v>
      </c>
      <c r="C47" s="281">
        <f>ROUND(C40*F27,4)</f>
        <v>1.0500000000000001E-2</v>
      </c>
      <c r="D47" s="306"/>
      <c r="E47" s="279"/>
      <c r="F47" s="289"/>
      <c r="G47" s="290"/>
    </row>
    <row r="48" spans="1:7" s="257" customFormat="1" ht="13.5" customHeight="1">
      <c r="A48" s="944" t="s">
        <v>786</v>
      </c>
      <c r="B48" s="253" t="s">
        <v>122</v>
      </c>
      <c r="C48" s="305">
        <f>F30</f>
        <v>5.5000000000000007E-2</v>
      </c>
      <c r="D48" s="279" t="s">
        <v>130</v>
      </c>
      <c r="E48" s="275"/>
      <c r="F48" s="280"/>
      <c r="G48" s="277" t="s">
        <v>123</v>
      </c>
    </row>
    <row r="49" spans="1:7" ht="16.5" customHeight="1">
      <c r="A49" s="944" t="s">
        <v>787</v>
      </c>
      <c r="B49" s="253" t="s">
        <v>131</v>
      </c>
      <c r="C49" s="275">
        <f ca="1">ROUND((C33+C39+C41+C45)/(1-C40-D41-D45-C48/(1+'数据-取费表'!B42)),0)</f>
        <v>5955</v>
      </c>
      <c r="D49" s="275"/>
      <c r="E49" s="275"/>
      <c r="F49" s="307"/>
      <c r="G49" s="277" t="s">
        <v>1072</v>
      </c>
    </row>
    <row r="50" spans="1:7" s="301" customFormat="1" ht="24">
      <c r="A50" s="944" t="s">
        <v>788</v>
      </c>
      <c r="B50" s="253" t="s">
        <v>124</v>
      </c>
      <c r="C50" s="275"/>
      <c r="D50" s="275"/>
      <c r="E50" s="275"/>
      <c r="F50" s="307">
        <f>IF('数据-取费表'!B24=0,'数据-取费表'!N16,1)</f>
        <v>0.95</v>
      </c>
      <c r="G50" s="290" t="s">
        <v>125</v>
      </c>
    </row>
    <row r="51" spans="1:7" ht="16.5" customHeight="1">
      <c r="A51" s="944" t="s">
        <v>789</v>
      </c>
      <c r="B51" s="253" t="s">
        <v>132</v>
      </c>
      <c r="C51" s="275">
        <f ca="1">ROUND(C49*F50,0)</f>
        <v>5657</v>
      </c>
      <c r="D51" s="275"/>
      <c r="E51" s="275"/>
      <c r="F51" s="307"/>
      <c r="G51" s="277" t="s">
        <v>64</v>
      </c>
    </row>
    <row r="52" spans="1:7" s="251" customFormat="1" ht="16.5" thickBot="1">
      <c r="A52" s="308" t="s">
        <v>65</v>
      </c>
      <c r="B52" s="309"/>
      <c r="C52" s="310">
        <f ca="1">C31+C51</f>
        <v>39740</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832" t="s">
        <v>156</v>
      </c>
      <c r="B1" s="3832"/>
      <c r="C1" s="3832"/>
      <c r="D1" s="3832"/>
      <c r="E1" s="3832"/>
      <c r="F1" s="383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833" t="s">
        <v>169</v>
      </c>
      <c r="B2" s="3833"/>
      <c r="C2" s="3833"/>
      <c r="D2" s="3833"/>
      <c r="E2" s="3833"/>
      <c r="F2" s="383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83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83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832" t="s">
        <v>870</v>
      </c>
      <c r="B1" s="3832"/>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43155</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1376</v>
      </c>
      <c r="C1" s="241"/>
      <c r="D1" s="241"/>
      <c r="E1" s="241"/>
      <c r="F1" s="241"/>
      <c r="G1" s="1375">
        <f>MATCH(B1,'数据-取费表'!A6:A16,0)+5</f>
        <v>7</v>
      </c>
    </row>
    <row r="2" spans="1:9" s="243" customFormat="1" ht="18" customHeight="1">
      <c r="A2" s="244" t="s">
        <v>1393</v>
      </c>
      <c r="B2" s="245">
        <f ca="1">IF(D2="——",C52,C52-E2)</f>
        <v>15483</v>
      </c>
      <c r="C2" s="242" t="s">
        <v>2331</v>
      </c>
      <c r="D2" s="2546" t="s">
        <v>70</v>
      </c>
      <c r="E2" s="1436">
        <f ca="1">SUMIF(INDIRECT("'"&amp;G2&amp;"'"&amp;"!A:A"),"承租人权益价值",INDIRECT("'"&amp;G2&amp;"'"&amp;"!c:c"))</f>
        <v>0</v>
      </c>
      <c r="F2" s="2547" t="s">
        <v>2331</v>
      </c>
      <c r="G2" s="2548"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5" t="s">
        <v>790</v>
      </c>
      <c r="B6" s="258" t="s">
        <v>2341</v>
      </c>
      <c r="C6" s="259">
        <f ca="1">基准地价修正商业!C26</f>
        <v>8931</v>
      </c>
      <c r="D6" s="260"/>
      <c r="E6" s="261"/>
      <c r="F6" s="261"/>
      <c r="G6" s="262"/>
    </row>
    <row r="7" spans="1:9" s="257" customFormat="1" ht="13.5" customHeight="1">
      <c r="A7" s="945" t="s">
        <v>2342</v>
      </c>
      <c r="B7" s="258" t="s">
        <v>2343</v>
      </c>
      <c r="C7" s="263">
        <f ca="1">ROUND(C6*F7,0)</f>
        <v>272</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13</v>
      </c>
      <c r="D8" s="265"/>
      <c r="E8" s="263"/>
      <c r="F8" s="264"/>
      <c r="G8" s="2549" t="s">
        <v>3212</v>
      </c>
    </row>
    <row r="9" spans="1:9" s="257" customFormat="1" ht="13.5" customHeight="1">
      <c r="A9" s="946" t="s">
        <v>799</v>
      </c>
      <c r="B9" s="267" t="s">
        <v>2346</v>
      </c>
      <c r="C9" s="268">
        <f ca="1">ROUND(D9*E9/10000,0)</f>
        <v>0</v>
      </c>
      <c r="D9" s="1028">
        <f ca="1">IF(B1="",'数据-汇总表'!E5,IF(INDIRECT("'数据-取费表'!c"&amp;$G$1)="住宅",INDIRECT("'数据-取费表'!k"&amp;$G$1),0))</f>
        <v>0</v>
      </c>
      <c r="E9" s="268">
        <f>'数据-取费表'!B27</f>
        <v>160</v>
      </c>
      <c r="F9" s="264"/>
      <c r="G9" s="2550" t="s">
        <v>3213</v>
      </c>
      <c r="H9" s="1386">
        <v>0</v>
      </c>
      <c r="I9" s="2551" t="s">
        <v>2347</v>
      </c>
    </row>
    <row r="10" spans="1:9" s="257" customFormat="1" ht="13.5" customHeight="1">
      <c r="A10" s="946" t="s">
        <v>800</v>
      </c>
      <c r="B10" s="267" t="s">
        <v>2348</v>
      </c>
      <c r="C10" s="268">
        <f ca="1">ROUND(D10*E10/10000,0)</f>
        <v>13</v>
      </c>
      <c r="D10" s="1028">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2345</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656.26</v>
      </c>
      <c r="E19" s="254">
        <f>'数据-取费表'!B31</f>
        <v>200</v>
      </c>
      <c r="F19" s="274"/>
      <c r="G19" s="2549"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7" t="s">
        <v>790</v>
      </c>
      <c r="B23" s="258" t="s">
        <v>2371</v>
      </c>
      <c r="C23" s="1351">
        <f ca="1">ROUND(IF('数据-取费表'!B22&lt;=1,C5*F22*'数据-取费表'!B23,C5*(POWER((1+F22),'数据-取费表'!B23)-1)),0)</f>
        <v>896</v>
      </c>
      <c r="D23" s="281"/>
      <c r="E23" s="281"/>
      <c r="F23" s="282"/>
      <c r="G23" s="283" t="s">
        <v>2372</v>
      </c>
    </row>
    <row r="24" spans="1:7" s="257" customFormat="1" ht="13.5" customHeight="1">
      <c r="A24" s="947" t="s">
        <v>2342</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2344</v>
      </c>
      <c r="B25" s="258" t="s">
        <v>2377</v>
      </c>
      <c r="C25" s="1351">
        <f ca="1">ROUND(IF('数据-取费表'!B22&lt;=1,C20*F22*'数据-取费表'!B23/2,C20*(POWER((1+F22),'数据-取费表'!B23/2)-1)),0)</f>
        <v>13</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3322</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7" t="s">
        <v>795</v>
      </c>
      <c r="B35" s="258" t="s">
        <v>2395</v>
      </c>
      <c r="C35" s="263">
        <f ca="1">ROUND(C34*F35,0)</f>
        <v>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7" t="s">
        <v>797</v>
      </c>
      <c r="B37" s="258" t="s">
        <v>2399</v>
      </c>
      <c r="C37" s="292">
        <f ca="1">ROUND(E37*D37*F34/10000,0)</f>
        <v>13</v>
      </c>
      <c r="D37" s="260">
        <f ca="1">D19</f>
        <v>656.26</v>
      </c>
      <c r="E37" s="292">
        <f>'数据-取费表'!B35</f>
        <v>200</v>
      </c>
      <c r="F37" s="302"/>
      <c r="G37" s="304" t="s">
        <v>2400</v>
      </c>
    </row>
    <row r="38" spans="1:7" ht="13.5" customHeight="1">
      <c r="A38" s="947"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4">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7" t="s">
        <v>790</v>
      </c>
      <c r="B42" s="258" t="s">
        <v>2371</v>
      </c>
      <c r="C42" s="281">
        <f ca="1">ROUND(IF('数据-取费表'!B22&lt;=1,C33*F22*'数据-取费表'!B21/2,C33*(POWER((1+F22),'数据-取费表'!B21/2)-1)),0)</f>
        <v>10</v>
      </c>
      <c r="D42" s="281"/>
      <c r="E42" s="281"/>
      <c r="F42" s="282"/>
      <c r="G42" s="3693" t="s">
        <v>2412</v>
      </c>
    </row>
    <row r="43" spans="1:7" ht="13.5" customHeight="1">
      <c r="A43" s="947" t="s">
        <v>791</v>
      </c>
      <c r="B43" s="258" t="s">
        <v>2374</v>
      </c>
      <c r="C43" s="281">
        <f ca="1">ROUND(IF('数据-取费表'!B22&lt;=1,C39*F22*'数据-取费表'!B21/2,C39*(POWER((1+F22),'数据-取费表'!B21/2)-1)),0)</f>
        <v>0</v>
      </c>
      <c r="D43" s="281"/>
      <c r="E43" s="281"/>
      <c r="F43" s="282"/>
      <c r="G43" s="3694"/>
    </row>
    <row r="44" spans="1:7" ht="13.5" customHeight="1">
      <c r="A44" s="947" t="s">
        <v>792</v>
      </c>
      <c r="B44" s="258" t="s">
        <v>2377</v>
      </c>
      <c r="C44" s="281">
        <f ca="1">ROUND(IF('数据-取费表'!B22&lt;=1,C40*F22*'数据-取费表'!B21/2,C40*(POWER((1+F22),'数据-取费表'!B21/2)-1)),4)</f>
        <v>1.4E-3</v>
      </c>
      <c r="D44" s="281"/>
      <c r="E44" s="281"/>
      <c r="F44" s="282"/>
      <c r="G44" s="3695"/>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7" t="s">
        <v>790</v>
      </c>
      <c r="B46" s="291" t="s">
        <v>2417</v>
      </c>
      <c r="C46" s="292">
        <f ca="1">ROUND((C33+C39)*F27,0)</f>
        <v>79</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1640</v>
      </c>
      <c r="B2" s="3471" t="s">
        <v>1641</v>
      </c>
      <c r="C2" s="3471" t="s">
        <v>1642</v>
      </c>
      <c r="D2" s="3471" t="str">
        <f>结果表住宅!D116</f>
        <v>出让国有建设用地使用权价值</v>
      </c>
      <c r="E2" s="3471"/>
      <c r="F2" s="3471" t="str">
        <f>结果表住宅!F116</f>
        <v>在建建筑物价值</v>
      </c>
      <c r="G2" s="3471"/>
      <c r="H2" s="3471" t="str">
        <f>IF(项目基本情况!B9="房地产市场价值","房地产市场价值","房地产价值")</f>
        <v>房地产价值</v>
      </c>
      <c r="I2" s="3471"/>
    </row>
    <row r="3" spans="1:9" ht="15">
      <c r="A3" s="3472"/>
      <c r="B3" s="3472"/>
      <c r="C3" s="3472"/>
      <c r="D3" s="1040" t="s">
        <v>1637</v>
      </c>
      <c r="E3" s="1040" t="s">
        <v>1643</v>
      </c>
      <c r="F3" s="1040" t="s">
        <v>1637</v>
      </c>
      <c r="G3" s="1040" t="s">
        <v>1638</v>
      </c>
      <c r="H3" s="1040" t="s">
        <v>1637</v>
      </c>
      <c r="I3" s="1040" t="s">
        <v>1638</v>
      </c>
    </row>
    <row r="4" spans="1:9" ht="15">
      <c r="A4" s="1969" t="str">
        <f>项目基本情况!S2</f>
        <v>北京市房地产</v>
      </c>
      <c r="B4" s="1040">
        <f>项目基本情况!C17</f>
        <v>5963.72</v>
      </c>
      <c r="C4" s="1040">
        <f>项目基本情况!C18</f>
        <v>0</v>
      </c>
      <c r="D4" s="1040" t="e">
        <f ca="1">结果表住宅!D118</f>
        <v>#REF!</v>
      </c>
      <c r="E4" s="1040" t="e">
        <f ca="1">结果表住宅!E118</f>
        <v>#REF!</v>
      </c>
      <c r="F4" s="1040" t="e">
        <f ca="1">结果表住宅!F118</f>
        <v>#REF!</v>
      </c>
      <c r="G4" s="1040" t="e">
        <f ca="1">结果表住宅!G118</f>
        <v>#REF!</v>
      </c>
      <c r="H4" s="1040">
        <f ca="1">结果表住宅!H118</f>
        <v>34360</v>
      </c>
      <c r="I4" s="1040">
        <f ca="1">结果表住宅!I118</f>
        <v>64739</v>
      </c>
    </row>
    <row r="5" spans="1:9" ht="30" customHeight="1">
      <c r="A5" s="3472" t="s">
        <v>1639</v>
      </c>
      <c r="B5" s="3472"/>
      <c r="C5" s="3472"/>
      <c r="D5" s="3473" t="e">
        <f ca="1">结果表住宅!D119</f>
        <v>#REF!</v>
      </c>
      <c r="E5" s="3473"/>
      <c r="F5" s="3473" t="e">
        <f ca="1">结果表住宅!F119</f>
        <v>#REF!</v>
      </c>
      <c r="G5" s="3473"/>
      <c r="H5" s="3473" t="str">
        <f ca="1">结果表住宅!H119</f>
        <v>叁亿肆仟叁佰陆拾万元整</v>
      </c>
      <c r="I5" s="3473"/>
    </row>
    <row r="6" spans="1:9" ht="15.75">
      <c r="A6" s="3474" t="str">
        <f>结果表住宅!A120</f>
        <v>估价师知悉的法定优先受偿款</v>
      </c>
      <c r="B6" s="3474"/>
      <c r="C6" s="3474"/>
      <c r="D6" s="3474">
        <f>结果表住宅!D120</f>
        <v>0</v>
      </c>
      <c r="E6" s="3474"/>
      <c r="F6" s="3474"/>
      <c r="G6" s="3474"/>
      <c r="H6" s="3474"/>
      <c r="I6" s="3474"/>
    </row>
    <row r="7" spans="1:9" ht="15">
      <c r="A7" s="3472" t="s">
        <v>1639</v>
      </c>
      <c r="B7" s="3472"/>
      <c r="C7" s="3472"/>
      <c r="D7" s="3475" t="str">
        <f>结果表住宅!D121</f>
        <v>零元整</v>
      </c>
      <c r="E7" s="3476"/>
      <c r="F7" s="3476"/>
      <c r="G7" s="3476"/>
      <c r="H7" s="3476"/>
      <c r="I7" s="3477"/>
    </row>
    <row r="8" spans="1:9" ht="15.75">
      <c r="A8" s="3474" t="str">
        <f>结果表住宅!A122</f>
        <v>房地产抵押价值</v>
      </c>
      <c r="B8" s="3474"/>
      <c r="C8" s="3474"/>
      <c r="D8" s="3474">
        <f ca="1">结果表住宅!D122</f>
        <v>34360</v>
      </c>
      <c r="E8" s="3474"/>
      <c r="F8" s="3474"/>
      <c r="G8" s="3474"/>
      <c r="H8" s="3474"/>
      <c r="I8" s="3474"/>
    </row>
    <row r="9" spans="1:9" ht="15">
      <c r="A9" s="3472" t="s">
        <v>1639</v>
      </c>
      <c r="B9" s="3472"/>
      <c r="C9" s="3472"/>
      <c r="D9" s="3473" t="str">
        <f ca="1">结果表住宅!D123</f>
        <v>叁亿肆仟叁佰陆拾万元整</v>
      </c>
      <c r="E9" s="3473"/>
      <c r="F9" s="3473"/>
      <c r="G9" s="3473"/>
      <c r="H9" s="3473"/>
      <c r="I9" s="3473"/>
    </row>
    <row r="10" spans="1:9" ht="15.75">
      <c r="A10" s="3474" t="str">
        <f>结果表住宅!A124</f>
        <v/>
      </c>
      <c r="B10" s="3474"/>
      <c r="C10" s="3474"/>
      <c r="D10" s="3474" t="str">
        <f>结果表住宅!D124</f>
        <v>——</v>
      </c>
      <c r="E10" s="3474"/>
      <c r="F10" s="3474"/>
      <c r="G10" s="3474"/>
      <c r="H10" s="3474"/>
      <c r="I10" s="3474"/>
    </row>
    <row r="11" spans="1:9" ht="15">
      <c r="A11" s="3472" t="s">
        <v>1639</v>
      </c>
      <c r="B11" s="3472"/>
      <c r="C11" s="3472"/>
      <c r="D11" s="3473" t="e">
        <f>结果表住宅!D125</f>
        <v>#VALUE!</v>
      </c>
      <c r="E11" s="3473"/>
      <c r="F11" s="3473"/>
      <c r="G11" s="3473"/>
      <c r="H11" s="3473"/>
      <c r="I11" s="3473"/>
    </row>
    <row r="12" spans="1:9" ht="15.75">
      <c r="A12" s="3474" t="str">
        <f>结果表住宅!A126</f>
        <v/>
      </c>
      <c r="B12" s="3474"/>
      <c r="C12" s="3474"/>
      <c r="D12" s="3474" t="str">
        <f>结果表住宅!D126</f>
        <v>——</v>
      </c>
      <c r="E12" s="3474"/>
      <c r="F12" s="3474"/>
      <c r="G12" s="3474"/>
      <c r="H12" s="3474"/>
      <c r="I12" s="3474"/>
    </row>
    <row r="13" spans="1:9" ht="15.75" thickBot="1">
      <c r="A13" s="3478" t="s">
        <v>1639</v>
      </c>
      <c r="B13" s="3478"/>
      <c r="C13" s="3478"/>
      <c r="D13" s="3479" t="e">
        <f>结果表住宅!D127</f>
        <v>#VALUE!</v>
      </c>
      <c r="E13" s="3479"/>
      <c r="F13" s="3479"/>
      <c r="G13" s="3479"/>
      <c r="H13" s="3479"/>
      <c r="I13" s="3479"/>
    </row>
    <row r="14" spans="1:9" ht="15" thickTop="1">
      <c r="A14" s="3480" t="s">
        <v>1644</v>
      </c>
      <c r="B14" s="3480"/>
      <c r="C14" s="3480"/>
      <c r="D14" s="3480"/>
      <c r="E14" s="3480"/>
      <c r="F14" s="3480"/>
      <c r="G14" s="3480"/>
      <c r="H14" s="3480"/>
      <c r="I14" s="3480"/>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9401.5500000000029</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8931</v>
      </c>
      <c r="C2" s="2720" t="s">
        <v>2816</v>
      </c>
      <c r="D2" s="2721" t="s">
        <v>2817</v>
      </c>
      <c r="E2" s="2722" t="s">
        <v>1376</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21344</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9499</v>
      </c>
      <c r="C3" s="2720" t="s">
        <v>2822</v>
      </c>
      <c r="D3" s="2721" t="s">
        <v>2823</v>
      </c>
      <c r="E3" s="2726" t="s">
        <v>3081</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15321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54"/>
      <c r="B4" s="3755"/>
      <c r="C4" s="3755"/>
      <c r="D4" s="3756"/>
      <c r="E4" s="3756"/>
      <c r="F4" s="3756"/>
      <c r="G4" s="3756"/>
      <c r="H4" s="3756"/>
      <c r="I4" s="3756"/>
      <c r="J4" s="3757"/>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12361</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9820</v>
      </c>
      <c r="D5" s="1783">
        <f>ROUND(IF(E2="商业",IF(F16="增加",C6+C16,C6-C16)),0)</f>
        <v>9820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9918</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9820</v>
      </c>
      <c r="D6" s="2740" t="s">
        <v>2832</v>
      </c>
      <c r="E6" s="2741"/>
      <c r="F6" s="2741"/>
      <c r="G6" s="2742"/>
      <c r="H6" s="2742"/>
      <c r="I6" s="2742"/>
      <c r="J6" s="2743"/>
      <c r="K6" s="1838"/>
      <c r="L6" s="2725" t="s">
        <v>2833</v>
      </c>
      <c r="M6" s="1077">
        <f>SUMPRODUCT((区片价!B110:B157=I2)*(区片价!C3:F3=E2)*(区片价!C110:F157))</f>
        <v>9820</v>
      </c>
      <c r="N6" s="1079">
        <f>SUMPRODUCT((因素修正幅度!B110:B157=I2)*(因素修正幅度!C3:F3=E2)*(因素修正幅度!C110:F157))</f>
        <v>0.126</v>
      </c>
      <c r="O6" s="1366"/>
      <c r="P6" s="1366"/>
      <c r="Q6" s="1366"/>
      <c r="R6" s="1598">
        <v>5</v>
      </c>
      <c r="S6" s="1598">
        <f>ROUND(IF(G3&gt;1,IF(R6&lt;7,SUMPRODUCT((B93:B98=R6)*(C92:N92=G2)*(C93:N98)),SUMIF(C92:N92,G2,C100:N100)),IF(R6&lt;7,SUMPRODUCT((B102:B107=R6)*(C92:N92=G2)*(C102:N107)),SUMIF(C92:N92,G2,C109:N109))),4)</f>
        <v>0.73709999999999998</v>
      </c>
      <c r="T6" s="1598">
        <f t="shared" ca="1" si="0"/>
        <v>8445</v>
      </c>
      <c r="U6" s="1599"/>
      <c r="V6" s="1598">
        <f t="shared" ca="1" si="1"/>
        <v>0</v>
      </c>
      <c r="W6" s="1602"/>
      <c r="X6" s="1602"/>
      <c r="Y6" s="1602"/>
      <c r="Z6" s="1602"/>
      <c r="AA6" s="1602"/>
      <c r="AB6" s="1602"/>
      <c r="AC6" s="2734"/>
      <c r="AD6" s="2735"/>
      <c r="AE6" s="2735"/>
      <c r="AF6" s="2735"/>
      <c r="AG6" s="2735"/>
      <c r="AH6" s="2735"/>
      <c r="AI6" s="2735"/>
      <c r="AJ6" s="2736"/>
    </row>
    <row r="7" spans="1:36" ht="24">
      <c r="A7" s="3740" t="str">
        <f>IF(E2="商业",IF(C8="不临58条商业街","",2),"")</f>
        <v/>
      </c>
      <c r="B7" s="2744" t="s">
        <v>2834</v>
      </c>
      <c r="C7" s="912">
        <f>IF(C8="不临58条商业街",1,ROUND(1+(1.6*E8+1.2*E9+0.8*E10+0.4*E11)*C9,4))</f>
        <v>1</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7427</v>
      </c>
      <c r="U7" s="1599"/>
      <c r="V7" s="1598">
        <f t="shared" ca="1" si="1"/>
        <v>0</v>
      </c>
      <c r="W7" s="2934" t="s">
        <v>2837</v>
      </c>
      <c r="X7" s="1600" t="str">
        <f>G2</f>
        <v>六级</v>
      </c>
      <c r="Y7" s="1600" t="s">
        <v>2838</v>
      </c>
      <c r="Z7" s="1601">
        <f>G3</f>
        <v>4.5999999999999996</v>
      </c>
      <c r="AA7" s="1602"/>
      <c r="AB7" s="1602"/>
      <c r="AC7" s="1603"/>
      <c r="AD7" s="1604"/>
      <c r="AE7" s="1604"/>
      <c r="AF7" s="1604"/>
      <c r="AG7" s="1604"/>
      <c r="AH7" s="1604"/>
      <c r="AI7" s="1604"/>
      <c r="AJ7" s="1605"/>
    </row>
    <row r="8" spans="1:36" ht="25.5">
      <c r="A8" s="3741"/>
      <c r="B8" s="197" t="s">
        <v>2839</v>
      </c>
      <c r="C8" s="2749" t="s">
        <v>3082</v>
      </c>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51" t="s">
        <v>2842</v>
      </c>
      <c r="X8" s="3752"/>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41"/>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53"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41"/>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5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41"/>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53" t="s">
        <v>2866</v>
      </c>
      <c r="X11" s="1610" t="s">
        <v>2838</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40"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53"/>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58"/>
      <c r="B13" s="2763" t="s">
        <v>2873</v>
      </c>
      <c r="C13" s="2764" t="s">
        <v>2874</v>
      </c>
      <c r="D13" s="2927" t="s">
        <v>2875</v>
      </c>
      <c r="E13" s="2927"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53"/>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58"/>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59"/>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40" t="s">
        <v>2885</v>
      </c>
      <c r="B16" s="2744" t="s">
        <v>2886</v>
      </c>
      <c r="C16" s="2928">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41"/>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1.2685</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258</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0.91979999999999995</v>
      </c>
      <c r="D20" s="2805" t="s">
        <v>2900</v>
      </c>
      <c r="E20" s="1764">
        <f ca="1">存贷款利率!D4/100</f>
        <v>4.3499999999999997E-2</v>
      </c>
      <c r="F20" s="2805" t="s">
        <v>2892</v>
      </c>
      <c r="G20" s="930">
        <f ca="1">SUMIF(M15:P15,E2,M17:P17)</f>
        <v>5.3999999999999999E-2</v>
      </c>
      <c r="H20" s="2805" t="s">
        <v>2901</v>
      </c>
      <c r="I20" s="931">
        <f>SUMIF('数据-取费表'!C6:C15,E2,'数据-取费表'!F6:F15)/COUNTIF('数据-取费表'!C6:C15,E2)</f>
        <v>31.34</v>
      </c>
      <c r="J20" s="932">
        <f>IF(E2="住宅",70,IF(E2="商业",40,50))</f>
        <v>40</v>
      </c>
      <c r="K20" s="1373"/>
      <c r="L20" s="2806" t="s">
        <v>2902</v>
      </c>
      <c r="M20" s="1731">
        <f>ROUND(SUMPRODUCT((地价!A4:A21=YEAR(G19)&amp;"-"&amp;ROUNDUP(MONTH(G19)/3,0))*(地价!B2:F2=E2)*(地价!B4:F21)),0)</f>
        <v>326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2930">
        <f>IF(B21="容积率修正",IF(G3&lt;=10,D22,J22),C23)</f>
        <v>0.83709999999999996</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2929" t="s">
        <v>2909</v>
      </c>
      <c r="D22" s="2929">
        <f>IF(E22=G22,F22,IF(G3&lt;=10,ROUND(F22+(H22-F22)*(G3-E22)/(G22-E22),4),"——"))</f>
        <v>0.83709999999999996</v>
      </c>
      <c r="E22" s="909">
        <f>ROUNDDOWN(G3,1)</f>
        <v>4.5999999999999996</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9">
        <f>ROUNDUP(G3,1)</f>
        <v>4.5999999999999996</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9"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8931</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9591</v>
      </c>
      <c r="D29" s="2844">
        <f>'数据-基础表'!K5</f>
        <v>8854.5300000000025</v>
      </c>
      <c r="E29" s="2933">
        <f ca="1">ROUND(C29*D29/10000,0)</f>
        <v>8492</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2398</v>
      </c>
      <c r="D30" s="2850"/>
      <c r="E30" s="2933">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48" t="s">
        <v>2932</v>
      </c>
      <c r="B33" s="2860" t="s">
        <v>2933</v>
      </c>
      <c r="C33" s="205">
        <f ca="1">ROUND(D5*C19*C20*C24*F33,0)</f>
        <v>8020</v>
      </c>
      <c r="D33" s="2844">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49"/>
      <c r="B34" s="2764" t="s">
        <v>2934</v>
      </c>
      <c r="C34" s="205">
        <f ca="1">ROUND(D5*C19*C20*C24*F34,0)</f>
        <v>4583</v>
      </c>
      <c r="D34" s="2844"/>
      <c r="E34" s="199">
        <f t="shared" ref="E34:E39" ca="1" si="7">ROUND(C34*D34/10000,0)</f>
        <v>0</v>
      </c>
      <c r="F34" s="199">
        <f>SUMIF(修正!A45:A56,G2,修正!C45:C56)</f>
        <v>0.4</v>
      </c>
      <c r="G34" s="199">
        <f t="shared" ca="1" si="6"/>
        <v>1146</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49"/>
      <c r="B35" s="2764" t="s">
        <v>2935</v>
      </c>
      <c r="C35" s="205">
        <f ca="1">ROUND(D5*C19*C20*C24*F35,0)</f>
        <v>3208</v>
      </c>
      <c r="D35" s="2844"/>
      <c r="E35" s="199">
        <f t="shared" ca="1" si="7"/>
        <v>0</v>
      </c>
      <c r="F35" s="199">
        <f>SUMIF(修正!A45:A56,G2,修正!D45:D56)</f>
        <v>0.28000000000000003</v>
      </c>
      <c r="G35" s="199">
        <f t="shared" ca="1" si="6"/>
        <v>802</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50"/>
      <c r="B36" s="2764" t="s">
        <v>2936</v>
      </c>
      <c r="C36" s="205">
        <f ca="1">ROUND(D5*C19*C20*C24*F36,0)</f>
        <v>2864</v>
      </c>
      <c r="D36" s="2844"/>
      <c r="E36" s="199">
        <f t="shared" ca="1" si="7"/>
        <v>0</v>
      </c>
      <c r="F36" s="199">
        <f>SUMIF(修正!A45:A56,G2,修正!E45:E56)</f>
        <v>0.25</v>
      </c>
      <c r="G36" s="199">
        <f t="shared" ca="1" si="6"/>
        <v>716</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2864</v>
      </c>
      <c r="D37" s="2844"/>
      <c r="E37" s="199">
        <f t="shared" ca="1" si="7"/>
        <v>0</v>
      </c>
      <c r="F37" s="205">
        <f>SUMIF(修正!A45:A56,G2,修正!F45:F56)</f>
        <v>0.25</v>
      </c>
      <c r="G37" s="199">
        <f t="shared" ca="1" si="6"/>
        <v>716</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2864</v>
      </c>
      <c r="D38" s="2844"/>
      <c r="E38" s="199">
        <f t="shared" ca="1" si="7"/>
        <v>0</v>
      </c>
      <c r="F38" s="205">
        <f>SUMIF(修正!A45:A56,G2,修正!G45:G56)</f>
        <v>0.25</v>
      </c>
      <c r="G38" s="199">
        <f t="shared" ca="1" si="6"/>
        <v>716</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2292</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2926" t="s">
        <v>2945</v>
      </c>
      <c r="C47" s="2926" t="s">
        <v>2946</v>
      </c>
      <c r="D47" s="2926" t="s">
        <v>2947</v>
      </c>
      <c r="E47" s="812" t="s">
        <v>2948</v>
      </c>
      <c r="F47" s="2878" t="s">
        <v>2949</v>
      </c>
      <c r="G47" s="2926" t="s">
        <v>754</v>
      </c>
      <c r="H47" s="2879" t="s">
        <v>2950</v>
      </c>
      <c r="I47" s="2926"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f>IF(E2="商业",SUMIF(L1:L12,G2,N1:N12),"——")</f>
        <v>0.126</v>
      </c>
      <c r="G48" s="1280"/>
      <c r="H48" s="1284">
        <f t="shared" ref="H48:H56" si="11">IFERROR(ROUNDDOWN($F$48*I48/2,4),"——")</f>
        <v>2.07E-2</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f t="shared" si="11"/>
        <v>1.5699999999999999E-2</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f t="shared" si="11"/>
        <v>3.0999999999999999E-3</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f t="shared" si="11"/>
        <v>3.0999999999999999E-3</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f t="shared" si="11"/>
        <v>5.0000000000000001E-3</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f t="shared" si="11"/>
        <v>1.8E-3</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f t="shared" si="11"/>
        <v>3.0999999999999999E-3</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f t="shared" si="11"/>
        <v>6.3E-3</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f t="shared" si="11"/>
        <v>3.7000000000000002E-3</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2926"/>
      <c r="C58" s="2926" t="s">
        <v>2946</v>
      </c>
      <c r="D58" s="2926" t="s">
        <v>2947</v>
      </c>
      <c r="E58" s="812" t="s">
        <v>2948</v>
      </c>
      <c r="F58" s="2878" t="s">
        <v>2964</v>
      </c>
      <c r="G58" s="2926" t="s">
        <v>754</v>
      </c>
      <c r="H58" s="2879" t="s">
        <v>2950</v>
      </c>
      <c r="I58" s="2926"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2926"/>
      <c r="C69" s="2926" t="s">
        <v>2946</v>
      </c>
      <c r="D69" s="2926" t="s">
        <v>2947</v>
      </c>
      <c r="E69" s="812" t="s">
        <v>2948</v>
      </c>
      <c r="F69" s="2878" t="s">
        <v>2964</v>
      </c>
      <c r="G69" s="2926" t="s">
        <v>754</v>
      </c>
      <c r="H69" s="2879" t="s">
        <v>2950</v>
      </c>
      <c r="I69" s="2926"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c r="D70" s="1282">
        <f t="shared" ref="D70:D78" si="20">SUMIF($J$69:$N$69,C70,J70:N70)</f>
        <v>0</v>
      </c>
      <c r="E70" s="814">
        <f>ROUND(SUM(D70:D78),4)</f>
        <v>0</v>
      </c>
      <c r="F70" s="2500"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c r="D71" s="1282">
        <f t="shared" si="20"/>
        <v>0</v>
      </c>
      <c r="E71" s="819"/>
      <c r="F71" s="2500"/>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c r="D72" s="1282">
        <f t="shared" si="20"/>
        <v>0</v>
      </c>
      <c r="E72" s="819"/>
      <c r="F72" s="2500"/>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c r="D73" s="1282">
        <f t="shared" si="20"/>
        <v>0</v>
      </c>
      <c r="E73" s="819"/>
      <c r="F73" s="2500"/>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c r="D74" s="1282">
        <f t="shared" si="20"/>
        <v>0</v>
      </c>
      <c r="E74" s="819"/>
      <c r="F74" s="2500"/>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c r="D75" s="1282">
        <f t="shared" si="20"/>
        <v>0</v>
      </c>
      <c r="E75" s="819"/>
      <c r="F75" s="2500"/>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8" customFormat="1" ht="24">
      <c r="A76" s="2877" t="s">
        <v>2958</v>
      </c>
      <c r="B76" s="2883" t="s">
        <v>2959</v>
      </c>
      <c r="C76" s="2769"/>
      <c r="D76" s="1282">
        <f t="shared" si="20"/>
        <v>0</v>
      </c>
      <c r="E76" s="819"/>
      <c r="F76" s="2500"/>
      <c r="G76" s="1280"/>
      <c r="H76" s="1284" t="str">
        <f t="shared" si="21"/>
        <v>——</v>
      </c>
      <c r="I76" s="813">
        <v>0.05</v>
      </c>
      <c r="J76" s="1281">
        <f t="shared" si="22"/>
        <v>0</v>
      </c>
      <c r="K76" s="1281">
        <f t="shared" si="23"/>
        <v>0</v>
      </c>
      <c r="L76" s="1281">
        <v>0</v>
      </c>
      <c r="M76" s="1281">
        <f t="shared" si="24"/>
        <v>0</v>
      </c>
      <c r="N76" s="1281">
        <f t="shared" si="24"/>
        <v>0</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c r="D77" s="1282">
        <f t="shared" si="20"/>
        <v>0</v>
      </c>
      <c r="E77" s="819"/>
      <c r="F77" s="2500"/>
      <c r="G77" s="1280"/>
      <c r="H77" s="1284" t="str">
        <f t="shared" si="21"/>
        <v>——</v>
      </c>
      <c r="I77" s="813">
        <v>0.15</v>
      </c>
      <c r="J77" s="1281">
        <f t="shared" si="22"/>
        <v>0</v>
      </c>
      <c r="K77" s="1281">
        <f t="shared" si="23"/>
        <v>0</v>
      </c>
      <c r="L77" s="1281">
        <v>0</v>
      </c>
      <c r="M77" s="1281">
        <f t="shared" si="24"/>
        <v>0</v>
      </c>
      <c r="N77" s="1281">
        <f t="shared" si="24"/>
        <v>0</v>
      </c>
      <c r="Z77" s="2719"/>
      <c r="AA77" s="2795"/>
      <c r="AG77" s="1368"/>
      <c r="AK77" s="2795"/>
    </row>
    <row r="78" spans="1:37" ht="24.75" thickBot="1">
      <c r="A78" s="2885" t="s">
        <v>2969</v>
      </c>
      <c r="B78" s="2889"/>
      <c r="C78" s="2769"/>
      <c r="D78" s="1282">
        <f t="shared" si="20"/>
        <v>0</v>
      </c>
      <c r="E78" s="820"/>
      <c r="F78" s="2500"/>
      <c r="G78" s="1280"/>
      <c r="H78" s="1284" t="str">
        <f t="shared" si="21"/>
        <v>——</v>
      </c>
      <c r="I78" s="817">
        <v>0.04</v>
      </c>
      <c r="J78" s="1281">
        <f t="shared" si="22"/>
        <v>0</v>
      </c>
      <c r="K78" s="1281">
        <f t="shared" si="23"/>
        <v>0</v>
      </c>
      <c r="L78" s="1281">
        <v>0</v>
      </c>
      <c r="M78" s="1281">
        <f t="shared" si="24"/>
        <v>0</v>
      </c>
      <c r="N78" s="1281">
        <f t="shared" si="24"/>
        <v>0</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2926"/>
      <c r="C80" s="2926" t="s">
        <v>2946</v>
      </c>
      <c r="D80" s="2926" t="s">
        <v>2947</v>
      </c>
      <c r="E80" s="812" t="s">
        <v>2948</v>
      </c>
      <c r="F80" s="2878" t="s">
        <v>2964</v>
      </c>
      <c r="G80" s="2926" t="s">
        <v>754</v>
      </c>
      <c r="H80" s="2879" t="s">
        <v>2950</v>
      </c>
      <c r="I80" s="2926"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42" t="s">
        <v>2974</v>
      </c>
      <c r="B90" s="3742"/>
      <c r="C90" s="3742"/>
      <c r="D90" s="3742"/>
      <c r="E90" s="3742"/>
      <c r="F90" s="3742"/>
      <c r="G90" s="3742"/>
      <c r="H90" s="3742"/>
      <c r="I90" s="3742"/>
      <c r="J90" s="3742"/>
      <c r="K90" s="2931"/>
      <c r="L90" s="2931"/>
      <c r="M90" s="2931"/>
      <c r="N90" s="2931"/>
    </row>
    <row r="91" spans="1:37">
      <c r="A91" s="3744" t="s">
        <v>2975</v>
      </c>
      <c r="B91" s="3744" t="s">
        <v>2976</v>
      </c>
      <c r="C91" s="2845" t="s">
        <v>2977</v>
      </c>
      <c r="D91" s="2846"/>
      <c r="E91" s="2846"/>
      <c r="F91" s="2846"/>
      <c r="G91" s="2846"/>
      <c r="H91" s="2846"/>
      <c r="I91" s="2846"/>
      <c r="J91" s="2892"/>
      <c r="K91" s="2893"/>
      <c r="L91" s="2893"/>
      <c r="M91" s="2893"/>
      <c r="N91" s="2893"/>
    </row>
    <row r="92" spans="1:37">
      <c r="A92" s="3744"/>
      <c r="B92" s="3744"/>
      <c r="C92" s="2933" t="s">
        <v>2843</v>
      </c>
      <c r="D92" s="2933" t="s">
        <v>2844</v>
      </c>
      <c r="E92" s="2933" t="s">
        <v>2845</v>
      </c>
      <c r="F92" s="2933" t="s">
        <v>2846</v>
      </c>
      <c r="G92" s="2933" t="s">
        <v>2847</v>
      </c>
      <c r="H92" s="2933" t="s">
        <v>2848</v>
      </c>
      <c r="I92" s="2933" t="s">
        <v>2849</v>
      </c>
      <c r="J92" s="2933" t="s">
        <v>2850</v>
      </c>
      <c r="K92" s="2933" t="s">
        <v>2851</v>
      </c>
      <c r="L92" s="2933" t="s">
        <v>2852</v>
      </c>
      <c r="M92" s="2933" t="s">
        <v>2853</v>
      </c>
      <c r="N92" s="2933" t="s">
        <v>2854</v>
      </c>
    </row>
    <row r="93" spans="1:37">
      <c r="A93" s="3745"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4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4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4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4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4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46"/>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4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45"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46"/>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46"/>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46"/>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46"/>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46"/>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46"/>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46"/>
      <c r="B108" s="3579" t="s">
        <v>2872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47"/>
      <c r="B109" s="3580"/>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43" t="s">
        <v>2982</v>
      </c>
      <c r="B110" s="3743"/>
      <c r="C110" s="3743"/>
      <c r="D110" s="3743"/>
      <c r="E110" s="3743"/>
      <c r="F110" s="3743"/>
      <c r="G110" s="3743"/>
      <c r="H110" s="3743"/>
      <c r="I110" s="3743"/>
      <c r="J110" s="3743"/>
      <c r="K110" s="2932"/>
      <c r="L110" s="2932"/>
      <c r="M110" s="2932"/>
      <c r="N110" s="2932"/>
    </row>
    <row r="112" spans="1:14" ht="13.5" thickBot="1"/>
    <row r="113" spans="1:13" ht="25.5" thickBot="1">
      <c r="A113" s="896" t="s">
        <v>2983</v>
      </c>
      <c r="B113" s="1283">
        <f>G3</f>
        <v>4.5999999999999996</v>
      </c>
      <c r="C113" s="897" t="s">
        <v>2984</v>
      </c>
      <c r="D113" s="898">
        <f>SUMPRODUCT((A115:A118=F113)*(B114:M114=H113)*B115:M118)</f>
        <v>0.78300000000000003</v>
      </c>
      <c r="E113" s="2723" t="s">
        <v>2817</v>
      </c>
      <c r="F113" s="2902" t="str">
        <f>E2</f>
        <v>商业</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41" t="s">
        <v>3321</v>
      </c>
      <c r="B1" s="3842"/>
      <c r="C1" s="3842"/>
      <c r="D1" s="3842"/>
      <c r="E1" s="3842"/>
      <c r="F1" s="3842"/>
      <c r="G1" s="3842"/>
      <c r="H1" s="3842"/>
      <c r="I1" s="3842"/>
      <c r="J1" s="3842"/>
      <c r="K1" s="3363"/>
      <c r="L1" s="3363"/>
      <c r="M1" s="3354"/>
      <c r="N1" s="3355" t="s">
        <v>3277</v>
      </c>
      <c r="O1" s="3355" t="s">
        <v>3278</v>
      </c>
      <c r="P1" s="3355" t="s">
        <v>3279</v>
      </c>
      <c r="Q1" s="3355" t="s">
        <v>3280</v>
      </c>
      <c r="R1" s="3355" t="s">
        <v>3281</v>
      </c>
      <c r="S1" s="3447" t="s">
        <v>3396</v>
      </c>
      <c r="W1" s="3355" t="s">
        <v>3304</v>
      </c>
      <c r="X1" s="3355" t="s">
        <v>3305</v>
      </c>
      <c r="Y1" s="3355" t="s">
        <v>3306</v>
      </c>
      <c r="Z1" s="3355" t="s">
        <v>3307</v>
      </c>
    </row>
    <row r="2" spans="1:26">
      <c r="A2" s="3361" t="s">
        <v>3269</v>
      </c>
      <c r="B2" s="3361" t="s">
        <v>3271</v>
      </c>
      <c r="C2" s="3361" t="s">
        <v>3383</v>
      </c>
      <c r="D2" s="3361" t="s">
        <v>3384</v>
      </c>
      <c r="E2" s="3361" t="s">
        <v>3404</v>
      </c>
      <c r="F2" s="3361" t="s">
        <v>3271</v>
      </c>
      <c r="G2" s="3361" t="s">
        <v>3272</v>
      </c>
      <c r="H2" s="3361" t="s">
        <v>3271</v>
      </c>
      <c r="I2" s="3361" t="s">
        <v>3370</v>
      </c>
      <c r="J2" s="3361" t="s">
        <v>3320</v>
      </c>
      <c r="K2" s="3364"/>
      <c r="L2" s="3364"/>
      <c r="N2" s="3843" t="s">
        <v>3282</v>
      </c>
      <c r="O2" s="3355">
        <v>-103</v>
      </c>
      <c r="P2" s="3355">
        <v>70.56</v>
      </c>
      <c r="Q2" s="3355" t="s">
        <v>3283</v>
      </c>
      <c r="R2" s="3355" t="s">
        <v>3284</v>
      </c>
      <c r="S2" s="3430" t="s">
        <v>3391</v>
      </c>
      <c r="T2">
        <f>P5</f>
        <v>656.26</v>
      </c>
      <c r="W2" s="3355" t="s">
        <v>3308</v>
      </c>
      <c r="X2" s="3355">
        <f>70.56+70.56</f>
        <v>141.12</v>
      </c>
      <c r="Y2" s="3355">
        <f>356.83+656.26+80.42*2+744.05+361.96</f>
        <v>2279.9399999999996</v>
      </c>
      <c r="Z2" s="3355">
        <f>80.42+77.94</f>
        <v>158.36000000000001</v>
      </c>
    </row>
    <row r="3" spans="1:26">
      <c r="A3" s="3361" t="s">
        <v>3270</v>
      </c>
      <c r="B3" s="3361">
        <v>1</v>
      </c>
      <c r="C3" s="3361">
        <f>Y6-P7-P9-P16-P18-P19-P20</f>
        <v>6343.3399999999992</v>
      </c>
      <c r="D3" s="3361">
        <f>P7+P9+P16+P18+P19+P20</f>
        <v>1901.15</v>
      </c>
      <c r="E3" s="3361">
        <f>D3+C3</f>
        <v>8244.49</v>
      </c>
      <c r="F3" s="3356">
        <v>1</v>
      </c>
      <c r="G3" s="3361" t="s">
        <v>3274</v>
      </c>
      <c r="H3" s="3356">
        <v>1</v>
      </c>
      <c r="I3" s="3375">
        <f>'比较法-商业 (租金)'!C49</f>
        <v>7.2</v>
      </c>
      <c r="J3" s="3356">
        <f>ROUND(I3*B3*F3*H3,1)</f>
        <v>7.2</v>
      </c>
      <c r="K3" s="3363"/>
      <c r="L3" s="3363"/>
      <c r="N3" s="3843"/>
      <c r="O3" s="3376">
        <v>-104</v>
      </c>
      <c r="P3" s="3376">
        <v>70.56</v>
      </c>
      <c r="Q3" s="3376" t="s">
        <v>3283</v>
      </c>
      <c r="R3" s="3376" t="s">
        <v>3284</v>
      </c>
      <c r="S3" s="3430">
        <v>105</v>
      </c>
      <c r="T3">
        <f>P8</f>
        <v>744.05</v>
      </c>
      <c r="W3" s="3355" t="s">
        <v>3309</v>
      </c>
      <c r="X3" s="3355">
        <f>65.99*2</f>
        <v>131.97999999999999</v>
      </c>
      <c r="Y3" s="3355">
        <f>306.71+538.85+74.86*2+538.35+306.71</f>
        <v>1840.3400000000001</v>
      </c>
      <c r="Z3" s="3355">
        <f>73.33*2</f>
        <v>146.66</v>
      </c>
    </row>
    <row r="4" spans="1:26">
      <c r="A4" s="3361" t="s">
        <v>3268</v>
      </c>
      <c r="B4" s="3356">
        <f>典型户型修正!D18/100</f>
        <v>0.8</v>
      </c>
      <c r="C4" s="3356">
        <f>Z6-P11-P22</f>
        <v>458.76999999999992</v>
      </c>
      <c r="D4" s="3438">
        <f>P11+P22</f>
        <v>151.26999999999998</v>
      </c>
      <c r="E4" s="3444">
        <f>C4+D4</f>
        <v>610.04</v>
      </c>
      <c r="F4" s="3356">
        <v>1</v>
      </c>
      <c r="G4" s="3361" t="s">
        <v>3275</v>
      </c>
      <c r="H4" s="3356">
        <v>0.98</v>
      </c>
      <c r="I4" s="3361" t="s">
        <v>3385</v>
      </c>
      <c r="J4" s="3356">
        <f>ROUND(I3*B4*F4*H4,1)</f>
        <v>5.6</v>
      </c>
      <c r="K4" s="3363"/>
      <c r="L4" s="3363"/>
      <c r="N4" s="3843"/>
      <c r="O4" s="3355">
        <v>101</v>
      </c>
      <c r="P4" s="3355">
        <v>356.83</v>
      </c>
      <c r="Q4" s="3355" t="s">
        <v>3283</v>
      </c>
      <c r="R4" s="3355" t="s">
        <v>3285</v>
      </c>
      <c r="S4" s="3430" t="s">
        <v>3394</v>
      </c>
      <c r="T4" s="3446">
        <f>P4+P6+P2+P10</f>
        <v>588.23</v>
      </c>
      <c r="W4" s="3355" t="s">
        <v>3310</v>
      </c>
      <c r="X4" s="3355">
        <f>66.39*2</f>
        <v>132.78</v>
      </c>
      <c r="Y4" s="3355">
        <f>306.67+539.1+539.1+306.67+74.85+74.85</f>
        <v>1841.2399999999998</v>
      </c>
      <c r="Z4" s="3359">
        <f>73.32*2</f>
        <v>146.63999999999999</v>
      </c>
    </row>
    <row r="5" spans="1:26">
      <c r="A5" s="3361" t="s">
        <v>3273</v>
      </c>
      <c r="B5" s="3356">
        <f>B4</f>
        <v>0.8</v>
      </c>
      <c r="C5" s="3356">
        <f>X6-P3-P14</f>
        <v>410.46999999999997</v>
      </c>
      <c r="D5" s="3438">
        <f>P3+P14</f>
        <v>136.55000000000001</v>
      </c>
      <c r="E5" s="3444">
        <f>C5+D5</f>
        <v>547.02</v>
      </c>
      <c r="F5" s="3356">
        <v>1</v>
      </c>
      <c r="G5" s="3361" t="s">
        <v>3276</v>
      </c>
      <c r="H5" s="3356">
        <v>0.96</v>
      </c>
      <c r="I5" s="3361" t="s">
        <v>3385</v>
      </c>
      <c r="J5" s="3356">
        <f>ROUND(I3*B5*F5*H5,1)</f>
        <v>5.5</v>
      </c>
      <c r="K5" s="3363"/>
      <c r="L5" s="3363"/>
      <c r="N5" s="3843"/>
      <c r="O5" s="3355">
        <v>102</v>
      </c>
      <c r="P5" s="3355">
        <v>656.26</v>
      </c>
      <c r="Q5" s="3355" t="s">
        <v>3283</v>
      </c>
      <c r="R5" s="3355" t="s">
        <v>3285</v>
      </c>
      <c r="S5" s="3430" t="s">
        <v>3395</v>
      </c>
      <c r="T5">
        <f>P3+P7+P9+P11</f>
        <v>590.88000000000011</v>
      </c>
      <c r="W5" s="3355" t="s">
        <v>3311</v>
      </c>
      <c r="X5" s="3355">
        <f>70.57*2</f>
        <v>141.13999999999999</v>
      </c>
      <c r="Y5" s="3355">
        <f>362.03+744.31+655.83+359.94+80.43+80.43</f>
        <v>2282.9699999999998</v>
      </c>
      <c r="Z5" s="3355">
        <f>77.95+80.43</f>
        <v>158.38</v>
      </c>
    </row>
    <row r="6" spans="1:26">
      <c r="A6" s="3844" t="s">
        <v>3371</v>
      </c>
      <c r="B6" s="3845"/>
      <c r="C6" s="3360">
        <f>SUM(C3:C5)</f>
        <v>7212.579999999999</v>
      </c>
      <c r="D6" s="3360">
        <f>D3+D4+D5</f>
        <v>2188.9700000000003</v>
      </c>
      <c r="E6" s="3443">
        <f>E3+E4+E5</f>
        <v>9401.5499999999993</v>
      </c>
      <c r="F6" s="3848" t="s">
        <v>3385</v>
      </c>
      <c r="G6" s="3849"/>
      <c r="H6" s="3846" t="s">
        <v>3405</v>
      </c>
      <c r="I6" s="3847"/>
      <c r="J6" s="3362">
        <f>ROUND((J3*E3+J4*E4+J5*E5)/E6,2)</f>
        <v>7</v>
      </c>
      <c r="K6" s="3365"/>
      <c r="L6" s="3365"/>
      <c r="N6" s="3843"/>
      <c r="O6" s="3355">
        <v>103</v>
      </c>
      <c r="P6" s="3355">
        <v>80.42</v>
      </c>
      <c r="Q6" s="3355" t="s">
        <v>3283</v>
      </c>
      <c r="R6" s="3355" t="s">
        <v>3285</v>
      </c>
      <c r="W6" s="3360" t="s">
        <v>3312</v>
      </c>
      <c r="X6" s="3360">
        <f>SUM(X2:X5)</f>
        <v>547.02</v>
      </c>
      <c r="Y6" s="3360">
        <f>SUM(Y2:Y5)</f>
        <v>8244.49</v>
      </c>
      <c r="Z6" s="3360">
        <f>SUM(Z2:Z5)</f>
        <v>610.04</v>
      </c>
    </row>
    <row r="7" spans="1:26">
      <c r="H7" s="3846"/>
      <c r="I7" s="3847"/>
      <c r="J7" s="3362"/>
      <c r="N7" s="3843"/>
      <c r="O7" s="3376">
        <v>104</v>
      </c>
      <c r="P7" s="3376">
        <v>80.42</v>
      </c>
      <c r="Q7" s="3376" t="s">
        <v>3283</v>
      </c>
      <c r="R7" s="3376" t="s">
        <v>3285</v>
      </c>
      <c r="W7" s="3838"/>
      <c r="X7" s="3839"/>
      <c r="Y7" s="3839"/>
      <c r="Z7" s="3840"/>
    </row>
    <row r="8" spans="1:26">
      <c r="N8" s="3843"/>
      <c r="O8" s="3355">
        <v>105</v>
      </c>
      <c r="P8" s="3355">
        <v>744.05</v>
      </c>
      <c r="Q8" s="3355" t="s">
        <v>3283</v>
      </c>
      <c r="R8" s="3355" t="s">
        <v>3285</v>
      </c>
      <c r="W8" s="3360" t="s">
        <v>3313</v>
      </c>
      <c r="X8" s="3360">
        <v>55000</v>
      </c>
      <c r="Y8" s="3355" t="s">
        <v>3314</v>
      </c>
      <c r="Z8" s="3355"/>
    </row>
    <row r="9" spans="1:26">
      <c r="N9" s="3843"/>
      <c r="O9" s="3376">
        <v>106</v>
      </c>
      <c r="P9" s="3376">
        <v>361.96</v>
      </c>
      <c r="Q9" s="3376" t="s">
        <v>3283</v>
      </c>
      <c r="R9" s="3376" t="s">
        <v>3285</v>
      </c>
      <c r="W9" s="3360" t="s">
        <v>3315</v>
      </c>
      <c r="X9" s="3360">
        <f>ROUND(X8*Y9,0)</f>
        <v>35750</v>
      </c>
      <c r="Y9" s="3355">
        <v>0.65</v>
      </c>
      <c r="Z9" s="3355"/>
    </row>
    <row r="10" spans="1:26">
      <c r="N10" s="3843"/>
      <c r="O10" s="3355">
        <v>203</v>
      </c>
      <c r="P10" s="3355">
        <v>80.42</v>
      </c>
      <c r="Q10" s="3355" t="s">
        <v>3283</v>
      </c>
      <c r="R10" s="3355" t="s">
        <v>3286</v>
      </c>
      <c r="W10" s="3360" t="s">
        <v>3316</v>
      </c>
      <c r="X10" s="3360">
        <f>ROUND(X8*Y10,0)</f>
        <v>27500</v>
      </c>
      <c r="Y10" s="3355">
        <v>0.5</v>
      </c>
      <c r="Z10" s="3355"/>
    </row>
    <row r="11" spans="1:26">
      <c r="N11" s="3843"/>
      <c r="O11" s="3376">
        <v>204</v>
      </c>
      <c r="P11" s="3376">
        <v>77.94</v>
      </c>
      <c r="Q11" s="3376" t="s">
        <v>3283</v>
      </c>
      <c r="R11" s="3376" t="s">
        <v>3286</v>
      </c>
      <c r="W11" s="3838"/>
      <c r="X11" s="3839"/>
      <c r="Y11" s="3839"/>
      <c r="Z11" s="3840"/>
    </row>
    <row r="12" spans="1:26">
      <c r="N12" s="3843"/>
      <c r="O12" s="3357" t="s">
        <v>3287</v>
      </c>
      <c r="P12" s="3357">
        <f>SUM(P2:P11)</f>
        <v>2579.4200000000005</v>
      </c>
      <c r="Q12" s="3357" t="s">
        <v>3288</v>
      </c>
      <c r="R12" s="3357" t="s">
        <v>3288</v>
      </c>
      <c r="W12" s="3360" t="s">
        <v>3317</v>
      </c>
      <c r="X12" s="3360">
        <f>ROUND(X8*Y6/10000,0)</f>
        <v>45345</v>
      </c>
      <c r="Y12" s="3355"/>
      <c r="Z12" s="3355"/>
    </row>
    <row r="13" spans="1:26">
      <c r="N13" s="3843" t="s">
        <v>3289</v>
      </c>
      <c r="O13" s="3355">
        <v>-103</v>
      </c>
      <c r="P13" s="3355">
        <v>65.989999999999995</v>
      </c>
      <c r="Q13" s="3355" t="s">
        <v>3290</v>
      </c>
      <c r="R13" s="3355" t="s">
        <v>3291</v>
      </c>
      <c r="S13" s="3430" t="s">
        <v>3397</v>
      </c>
      <c r="T13">
        <f>P16</f>
        <v>538.85</v>
      </c>
      <c r="W13" s="3360" t="s">
        <v>3318</v>
      </c>
      <c r="X13" s="3360">
        <f>ROUND(X9*Z6/10000,0)</f>
        <v>2181</v>
      </c>
      <c r="Y13" s="3355"/>
      <c r="Z13" s="3355"/>
    </row>
    <row r="14" spans="1:26">
      <c r="N14" s="3843"/>
      <c r="O14" s="3376">
        <v>-104</v>
      </c>
      <c r="P14" s="3376">
        <v>65.989999999999995</v>
      </c>
      <c r="Q14" s="3376" t="s">
        <v>3290</v>
      </c>
      <c r="R14" s="3376" t="s">
        <v>3291</v>
      </c>
      <c r="S14" s="3430">
        <v>105</v>
      </c>
      <c r="T14">
        <f>P19</f>
        <v>538.35</v>
      </c>
      <c r="W14" s="3360" t="s">
        <v>3319</v>
      </c>
      <c r="X14" s="3360">
        <f>ROUND(X10*X6/10000,0)</f>
        <v>1504</v>
      </c>
      <c r="Y14" s="3355"/>
      <c r="Z14" s="3355"/>
    </row>
    <row r="15" spans="1:26">
      <c r="N15" s="3843"/>
      <c r="O15" s="3355">
        <v>101</v>
      </c>
      <c r="P15" s="3355">
        <v>306.70999999999998</v>
      </c>
      <c r="Q15" s="3355" t="s">
        <v>3290</v>
      </c>
      <c r="R15" s="3355" t="s">
        <v>3292</v>
      </c>
      <c r="S15" s="3430" t="s">
        <v>3394</v>
      </c>
      <c r="T15">
        <f>P13+P15+P17+P21</f>
        <v>520.89</v>
      </c>
      <c r="W15" s="3360" t="s">
        <v>3312</v>
      </c>
      <c r="X15" s="3360">
        <f>X14+X13+X12</f>
        <v>49030</v>
      </c>
    </row>
    <row r="16" spans="1:26">
      <c r="N16" s="3843"/>
      <c r="O16" s="3425">
        <v>102</v>
      </c>
      <c r="P16" s="3425">
        <v>538.85</v>
      </c>
      <c r="Q16" s="3425" t="s">
        <v>3290</v>
      </c>
      <c r="R16" s="3425" t="s">
        <v>3292</v>
      </c>
      <c r="S16" s="3430" t="s">
        <v>3395</v>
      </c>
      <c r="T16">
        <f>P14+P18+P20+P22</f>
        <v>520.89</v>
      </c>
    </row>
    <row r="17" spans="3:24">
      <c r="N17" s="3843"/>
      <c r="O17" s="3355">
        <v>103</v>
      </c>
      <c r="P17" s="3355">
        <v>74.86</v>
      </c>
      <c r="Q17" s="3355" t="s">
        <v>3290</v>
      </c>
      <c r="R17" s="3355" t="s">
        <v>3292</v>
      </c>
    </row>
    <row r="18" spans="3:24">
      <c r="N18" s="3843"/>
      <c r="O18" s="3376">
        <v>104</v>
      </c>
      <c r="P18" s="3376">
        <v>74.86</v>
      </c>
      <c r="Q18" s="3376" t="s">
        <v>3290</v>
      </c>
      <c r="R18" s="3376" t="s">
        <v>3292</v>
      </c>
      <c r="W18" s="3426" t="s">
        <v>3368</v>
      </c>
      <c r="X18" s="3427" t="s">
        <v>3369</v>
      </c>
    </row>
    <row r="19" spans="3:24">
      <c r="N19" s="3843"/>
      <c r="O19" s="3376">
        <v>105</v>
      </c>
      <c r="P19" s="3376">
        <v>538.35</v>
      </c>
      <c r="Q19" s="3376" t="s">
        <v>3290</v>
      </c>
      <c r="R19" s="3376" t="s">
        <v>3292</v>
      </c>
      <c r="W19">
        <f>P7+P9+P11+P18+P19+P20+P22+P16</f>
        <v>2052.42</v>
      </c>
      <c r="X19">
        <f>P3+P14</f>
        <v>136.55000000000001</v>
      </c>
    </row>
    <row r="20" spans="3:24">
      <c r="N20" s="3843"/>
      <c r="O20" s="3376">
        <v>106</v>
      </c>
      <c r="P20" s="3376">
        <v>306.70999999999998</v>
      </c>
      <c r="Q20" s="3376" t="s">
        <v>3290</v>
      </c>
      <c r="R20" s="3376" t="s">
        <v>3292</v>
      </c>
      <c r="W20">
        <f>P14+P18+P19+P20+P22</f>
        <v>1059.24</v>
      </c>
    </row>
    <row r="21" spans="3:24">
      <c r="N21" s="3843"/>
      <c r="O21" s="3355">
        <v>203</v>
      </c>
      <c r="P21" s="3355">
        <v>73.33</v>
      </c>
      <c r="Q21" s="3355" t="s">
        <v>3290</v>
      </c>
      <c r="R21" s="3355" t="s">
        <v>3293</v>
      </c>
    </row>
    <row r="22" spans="3:24">
      <c r="N22" s="3843"/>
      <c r="O22" s="3376">
        <v>204</v>
      </c>
      <c r="P22" s="3376">
        <v>73.33</v>
      </c>
      <c r="Q22" s="3376" t="s">
        <v>3290</v>
      </c>
      <c r="R22" s="3376" t="s">
        <v>3293</v>
      </c>
    </row>
    <row r="23" spans="3:24">
      <c r="N23" s="3843"/>
      <c r="O23" s="3357" t="s">
        <v>3294</v>
      </c>
      <c r="P23" s="3357">
        <f>SUM(P13:P22)</f>
        <v>2118.9799999999996</v>
      </c>
      <c r="Q23" s="3357" t="s">
        <v>3295</v>
      </c>
      <c r="R23" s="3357" t="s">
        <v>3295</v>
      </c>
    </row>
    <row r="24" spans="3:24">
      <c r="N24" s="3843" t="s">
        <v>3296</v>
      </c>
      <c r="O24" s="3355">
        <v>-103</v>
      </c>
      <c r="P24" s="3355">
        <v>66.39</v>
      </c>
      <c r="Q24" s="3355" t="s">
        <v>3297</v>
      </c>
      <c r="R24" s="3355" t="s">
        <v>3298</v>
      </c>
      <c r="S24" s="3430" t="s">
        <v>3397</v>
      </c>
      <c r="T24">
        <f>P27</f>
        <v>539.1</v>
      </c>
    </row>
    <row r="25" spans="3:24">
      <c r="N25" s="3843"/>
      <c r="O25" s="3355">
        <v>-104</v>
      </c>
      <c r="P25" s="3355">
        <v>66.39</v>
      </c>
      <c r="Q25" s="3355" t="s">
        <v>3297</v>
      </c>
      <c r="R25" s="3355" t="s">
        <v>3298</v>
      </c>
      <c r="S25" s="3430">
        <v>105</v>
      </c>
      <c r="T25">
        <f>P30</f>
        <v>539.1</v>
      </c>
    </row>
    <row r="26" spans="3:24">
      <c r="N26" s="3843"/>
      <c r="O26" s="3355">
        <v>101</v>
      </c>
      <c r="P26" s="3355">
        <v>306.67</v>
      </c>
      <c r="Q26" s="3355" t="s">
        <v>3297</v>
      </c>
      <c r="R26" s="3355" t="s">
        <v>3299</v>
      </c>
      <c r="S26" s="3430" t="s">
        <v>3394</v>
      </c>
      <c r="T26">
        <f>P24+P26+P28+P32</f>
        <v>521.23</v>
      </c>
    </row>
    <row r="27" spans="3:24">
      <c r="N27" s="3843"/>
      <c r="O27" s="3355">
        <v>102</v>
      </c>
      <c r="P27" s="3355">
        <v>539.1</v>
      </c>
      <c r="Q27" s="3355" t="s">
        <v>3297</v>
      </c>
      <c r="R27" s="3355" t="s">
        <v>3299</v>
      </c>
      <c r="S27" s="3430" t="s">
        <v>3395</v>
      </c>
      <c r="T27">
        <f>P25+P29+P31+P33</f>
        <v>521.23</v>
      </c>
    </row>
    <row r="28" spans="3:24">
      <c r="G28" s="3354" t="s">
        <v>3389</v>
      </c>
      <c r="H28" s="3354" t="s">
        <v>3390</v>
      </c>
      <c r="N28" s="3843"/>
      <c r="O28" s="3355">
        <v>103</v>
      </c>
      <c r="P28" s="3355">
        <v>74.849999999999994</v>
      </c>
      <c r="Q28" s="3355" t="s">
        <v>3297</v>
      </c>
      <c r="R28" s="3355" t="s">
        <v>3299</v>
      </c>
    </row>
    <row r="29" spans="3:24">
      <c r="C29">
        <v>-104</v>
      </c>
      <c r="D29">
        <v>65.989999999999995</v>
      </c>
      <c r="G29" s="3850">
        <v>6.55</v>
      </c>
      <c r="H29" s="3354">
        <v>1</v>
      </c>
      <c r="I29">
        <f>I30*H29</f>
        <v>6.58</v>
      </c>
      <c r="J29">
        <f>(I29*D29+I30*D30+I31*D31+I32*D32)/D33</f>
        <v>6.5522103668720844</v>
      </c>
      <c r="N29" s="3843"/>
      <c r="O29" s="3355">
        <v>104</v>
      </c>
      <c r="P29" s="3355">
        <v>74.849999999999994</v>
      </c>
      <c r="Q29" s="3355" t="s">
        <v>3297</v>
      </c>
      <c r="R29" s="3355" t="s">
        <v>3299</v>
      </c>
    </row>
    <row r="30" spans="3:24">
      <c r="C30">
        <v>104</v>
      </c>
      <c r="D30">
        <v>74.86</v>
      </c>
      <c r="G30" s="3850"/>
      <c r="H30">
        <v>1</v>
      </c>
      <c r="I30">
        <v>6.58</v>
      </c>
      <c r="N30" s="3843"/>
      <c r="O30" s="3355">
        <v>105</v>
      </c>
      <c r="P30" s="3355">
        <v>539.1</v>
      </c>
      <c r="Q30" s="3355" t="s">
        <v>3297</v>
      </c>
      <c r="R30" s="3355" t="s">
        <v>3299</v>
      </c>
    </row>
    <row r="31" spans="3:24">
      <c r="C31">
        <v>106</v>
      </c>
      <c r="D31">
        <v>306.70999999999998</v>
      </c>
      <c r="G31" s="3850"/>
      <c r="H31">
        <v>1</v>
      </c>
      <c r="I31">
        <f>I30</f>
        <v>6.58</v>
      </c>
      <c r="N31" s="3843"/>
      <c r="O31" s="3355">
        <v>106</v>
      </c>
      <c r="P31" s="3355">
        <v>306.67</v>
      </c>
      <c r="Q31" s="3355" t="s">
        <v>3297</v>
      </c>
      <c r="R31" s="3355" t="s">
        <v>3299</v>
      </c>
    </row>
    <row r="32" spans="3:24">
      <c r="C32">
        <v>204</v>
      </c>
      <c r="D32">
        <v>73.33</v>
      </c>
      <c r="G32" s="3850"/>
      <c r="H32">
        <v>0.97</v>
      </c>
      <c r="I32">
        <f>I30*H32</f>
        <v>6.3826000000000001</v>
      </c>
      <c r="N32" s="3843"/>
      <c r="O32" s="3355">
        <v>203</v>
      </c>
      <c r="P32" s="3355">
        <v>73.319999999999993</v>
      </c>
      <c r="Q32" s="3355" t="s">
        <v>3297</v>
      </c>
      <c r="R32" s="3355" t="s">
        <v>3300</v>
      </c>
    </row>
    <row r="33" spans="4:20">
      <c r="D33">
        <f>D29+D30+D31+D32</f>
        <v>520.89</v>
      </c>
      <c r="N33" s="3843"/>
      <c r="O33" s="3355">
        <v>204</v>
      </c>
      <c r="P33" s="3355">
        <v>73.319999999999993</v>
      </c>
      <c r="Q33" s="3355" t="s">
        <v>3297</v>
      </c>
      <c r="R33" s="3355" t="s">
        <v>3300</v>
      </c>
    </row>
    <row r="34" spans="4:20">
      <c r="N34" s="3843"/>
      <c r="O34" s="3357" t="s">
        <v>3301</v>
      </c>
      <c r="P34" s="3357">
        <f>SUM(P24:P33)</f>
        <v>2120.66</v>
      </c>
      <c r="Q34" s="3357" t="s">
        <v>3295</v>
      </c>
      <c r="R34" s="3357" t="s">
        <v>3295</v>
      </c>
    </row>
    <row r="35" spans="4:20">
      <c r="N35" s="3843" t="s">
        <v>3302</v>
      </c>
      <c r="O35" s="3355">
        <v>-103</v>
      </c>
      <c r="P35" s="3355">
        <v>70.569999999999993</v>
      </c>
      <c r="Q35" s="3355" t="s">
        <v>3297</v>
      </c>
      <c r="R35" s="3355" t="s">
        <v>3298</v>
      </c>
      <c r="S35" s="3430" t="s">
        <v>3397</v>
      </c>
      <c r="T35">
        <f>P38</f>
        <v>744.31</v>
      </c>
    </row>
    <row r="36" spans="4:20">
      <c r="N36" s="3843"/>
      <c r="O36" s="3355">
        <v>-104</v>
      </c>
      <c r="P36" s="3355">
        <v>70.569999999999993</v>
      </c>
      <c r="Q36" s="3355" t="s">
        <v>3297</v>
      </c>
      <c r="R36" s="3355" t="s">
        <v>3298</v>
      </c>
      <c r="S36" s="3430">
        <v>105</v>
      </c>
      <c r="T36">
        <f>P41</f>
        <v>655.83</v>
      </c>
    </row>
    <row r="37" spans="4:20">
      <c r="N37" s="3843"/>
      <c r="O37" s="3355">
        <v>101</v>
      </c>
      <c r="P37" s="3355">
        <v>362.03</v>
      </c>
      <c r="Q37" s="3355" t="s">
        <v>3297</v>
      </c>
      <c r="R37" s="3355" t="s">
        <v>3299</v>
      </c>
      <c r="S37" s="3430" t="s">
        <v>3394</v>
      </c>
      <c r="T37">
        <f>P35+P37+P39+P43</f>
        <v>590.98</v>
      </c>
    </row>
    <row r="38" spans="4:20">
      <c r="N38" s="3843"/>
      <c r="O38" s="3355">
        <v>102</v>
      </c>
      <c r="P38" s="3355">
        <v>744.31</v>
      </c>
      <c r="Q38" s="3355" t="s">
        <v>3297</v>
      </c>
      <c r="R38" s="3355" t="s">
        <v>3299</v>
      </c>
      <c r="S38" s="3430" t="s">
        <v>3395</v>
      </c>
      <c r="T38">
        <f>P36+P40+P42+P44</f>
        <v>591.37</v>
      </c>
    </row>
    <row r="39" spans="4:20">
      <c r="N39" s="3843"/>
      <c r="O39" s="3355">
        <v>103</v>
      </c>
      <c r="P39" s="3355">
        <v>80.430000000000007</v>
      </c>
      <c r="Q39" s="3355" t="s">
        <v>3297</v>
      </c>
      <c r="R39" s="3355" t="s">
        <v>3299</v>
      </c>
    </row>
    <row r="40" spans="4:20">
      <c r="N40" s="3843"/>
      <c r="O40" s="3355">
        <v>104</v>
      </c>
      <c r="P40" s="3355">
        <v>80.430000000000007</v>
      </c>
      <c r="Q40" s="3355" t="s">
        <v>3297</v>
      </c>
      <c r="R40" s="3355" t="s">
        <v>3299</v>
      </c>
    </row>
    <row r="41" spans="4:20">
      <c r="N41" s="3843"/>
      <c r="O41" s="3355">
        <v>105</v>
      </c>
      <c r="P41" s="3355">
        <v>655.83</v>
      </c>
      <c r="Q41" s="3355" t="s">
        <v>3297</v>
      </c>
      <c r="R41" s="3355" t="s">
        <v>3299</v>
      </c>
    </row>
    <row r="42" spans="4:20">
      <c r="N42" s="3843"/>
      <c r="O42" s="3355">
        <v>106</v>
      </c>
      <c r="P42" s="3355">
        <v>359.94</v>
      </c>
      <c r="Q42" s="3355" t="s">
        <v>3297</v>
      </c>
      <c r="R42" s="3355" t="s">
        <v>3299</v>
      </c>
    </row>
    <row r="43" spans="4:20">
      <c r="N43" s="3843"/>
      <c r="O43" s="3355">
        <v>203</v>
      </c>
      <c r="P43" s="3355">
        <v>77.95</v>
      </c>
      <c r="Q43" s="3355" t="s">
        <v>3297</v>
      </c>
      <c r="R43" s="3355" t="s">
        <v>3300</v>
      </c>
    </row>
    <row r="44" spans="4:20">
      <c r="N44" s="3843"/>
      <c r="O44" s="3355">
        <v>204</v>
      </c>
      <c r="P44" s="3355">
        <v>80.430000000000007</v>
      </c>
      <c r="Q44" s="3355" t="s">
        <v>3297</v>
      </c>
      <c r="R44" s="3355" t="s">
        <v>3300</v>
      </c>
    </row>
    <row r="45" spans="4:20">
      <c r="N45" s="3843"/>
      <c r="O45" s="3357" t="s">
        <v>3301</v>
      </c>
      <c r="P45" s="3357">
        <f>SUM(P35:P44)</f>
        <v>2582.4899999999998</v>
      </c>
      <c r="Q45" s="3357" t="s">
        <v>3295</v>
      </c>
      <c r="R45" s="3357" t="s">
        <v>3295</v>
      </c>
    </row>
    <row r="46" spans="4:20">
      <c r="N46" s="3836" t="s">
        <v>3303</v>
      </c>
      <c r="O46" s="3837"/>
      <c r="P46" s="3358">
        <f>P45+P34+P23+P12</f>
        <v>9401.5499999999993</v>
      </c>
      <c r="Q46" s="3358" t="s">
        <v>3288</v>
      </c>
      <c r="R46" s="3358" t="s">
        <v>3288</v>
      </c>
    </row>
    <row r="88" spans="2:10">
      <c r="B88" s="3354"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5">
        <v>45338</v>
      </c>
      <c r="K109" s="3354"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D22" sqref="D2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41" t="s">
        <v>3361</v>
      </c>
      <c r="B1" s="3842"/>
      <c r="C1" s="3842"/>
      <c r="D1" s="3842"/>
      <c r="E1" s="3842"/>
      <c r="F1" s="3842"/>
      <c r="G1" s="3842"/>
      <c r="H1" s="3842"/>
    </row>
    <row r="2" spans="1:12">
      <c r="A2" s="3361" t="s">
        <v>3356</v>
      </c>
      <c r="B2" s="3361" t="s">
        <v>3348</v>
      </c>
      <c r="C2" s="3361" t="s">
        <v>3349</v>
      </c>
      <c r="D2" s="3361" t="s">
        <v>3353</v>
      </c>
      <c r="E2" s="3361" t="s">
        <v>3352</v>
      </c>
      <c r="F2" s="3361" t="s">
        <v>3350</v>
      </c>
      <c r="G2" s="3361" t="s">
        <v>3362</v>
      </c>
      <c r="H2" s="3361" t="s">
        <v>3354</v>
      </c>
      <c r="J2" s="3440" t="s">
        <v>3379</v>
      </c>
      <c r="K2" s="3440" t="s">
        <v>3381</v>
      </c>
      <c r="L2" s="3440" t="s">
        <v>3380</v>
      </c>
    </row>
    <row r="3" spans="1:12">
      <c r="A3" s="3361" t="s">
        <v>3357</v>
      </c>
      <c r="B3" s="3420" t="s">
        <v>3351</v>
      </c>
      <c r="C3" s="3375">
        <f>楼层修正!P3+楼层修正!P7+楼层修正!P9+楼层修正!P11</f>
        <v>590.88000000000011</v>
      </c>
      <c r="D3" s="3421">
        <v>43070</v>
      </c>
      <c r="E3" s="3421">
        <v>44895</v>
      </c>
      <c r="F3" s="3375">
        <v>5.5</v>
      </c>
      <c r="G3" s="3375">
        <v>5705581.5999999996</v>
      </c>
      <c r="H3" s="3361" t="s">
        <v>3355</v>
      </c>
      <c r="I3">
        <f>ROUND(G3/C3/L3/365,2)</f>
        <v>5.56</v>
      </c>
      <c r="J3" s="3421">
        <v>43155</v>
      </c>
      <c r="K3" s="3421">
        <f>E3</f>
        <v>44895</v>
      </c>
      <c r="L3" s="3437">
        <v>4.76</v>
      </c>
    </row>
    <row r="4" spans="1:12">
      <c r="A4" s="3361" t="s">
        <v>3309</v>
      </c>
      <c r="B4" s="3420" t="s">
        <v>3358</v>
      </c>
      <c r="C4" s="3375">
        <f>楼层修正!P14+楼层修正!P18+楼层修正!P19+楼层修正!P20+楼层修正!P22</f>
        <v>1059.24</v>
      </c>
      <c r="D4" s="3421">
        <v>42979</v>
      </c>
      <c r="E4" s="3421">
        <v>44804</v>
      </c>
      <c r="F4" s="3375">
        <f>ROUND((6.58*楼层修正!P19+6.55*(楼层修正!P14+楼层修正!P18+楼层修正!P20+楼层修正!P22))/楼层修正!W20,2)</f>
        <v>6.57</v>
      </c>
      <c r="G4" s="3438">
        <f>ROUND(4/28*211522.75+634568.24*2+2326750.21+2538272.96+2792100.24+3071310.28+3071310.28,2)</f>
        <v>15099097.99</v>
      </c>
      <c r="H4" s="3361" t="s">
        <v>3355</v>
      </c>
      <c r="I4">
        <f>ROUND(G4/C4/L4/365,2)</f>
        <v>8.5299999999999994</v>
      </c>
      <c r="J4" s="3421">
        <v>43155</v>
      </c>
      <c r="K4" s="3421">
        <f>E4</f>
        <v>44804</v>
      </c>
      <c r="L4" s="3437">
        <v>4.58</v>
      </c>
    </row>
    <row r="5" spans="1:12">
      <c r="A5" s="3361" t="s">
        <v>3309</v>
      </c>
      <c r="B5" s="3420" t="s">
        <v>3359</v>
      </c>
      <c r="C5" s="3375">
        <f>楼层修正!P16</f>
        <v>538.85</v>
      </c>
      <c r="D5" s="3422">
        <v>42983</v>
      </c>
      <c r="E5" s="3421">
        <v>44808</v>
      </c>
      <c r="F5" s="3375">
        <v>6.02</v>
      </c>
      <c r="G5" s="3375">
        <f>ROUND(4/28*98667.93+296003.78*2+1085347.19+1184015.12+1302416.6+1432658.28+119388.19*2+26/30*119388.19,2)</f>
        <v>5952786.3099999996</v>
      </c>
      <c r="H5" s="3361" t="s">
        <v>3355</v>
      </c>
      <c r="I5">
        <f>ROUND(G5/C5/5/365,2)</f>
        <v>6.05</v>
      </c>
      <c r="J5" s="3421">
        <v>43155</v>
      </c>
      <c r="K5" s="3421">
        <f>E5</f>
        <v>44808</v>
      </c>
      <c r="L5" s="3437">
        <v>4.58</v>
      </c>
    </row>
    <row r="6" spans="1:12">
      <c r="A6" s="3361" t="s">
        <v>3360</v>
      </c>
      <c r="B6" s="3420"/>
      <c r="C6" s="3375">
        <f>SUM(C3:C5)</f>
        <v>2188.9700000000003</v>
      </c>
      <c r="D6" s="3375"/>
      <c r="E6" s="3361"/>
      <c r="F6" s="3375"/>
      <c r="G6" s="3375">
        <f>G5+G4+G3</f>
        <v>26757465.899999999</v>
      </c>
      <c r="H6" s="3375"/>
    </row>
    <row r="7" spans="1:12">
      <c r="B7" s="3419"/>
      <c r="F7" s="3423" t="s">
        <v>3363</v>
      </c>
      <c r="G7" s="3424">
        <f>ROUND(G6/C6/年期修正系数!C3/365,2)</f>
        <v>7.04</v>
      </c>
    </row>
    <row r="8" spans="1:12">
      <c r="B8" s="3419"/>
    </row>
    <row r="9" spans="1:12">
      <c r="B9" s="3419"/>
    </row>
    <row r="10" spans="1:12">
      <c r="B10" s="3419"/>
    </row>
    <row r="11" spans="1:12">
      <c r="B11" s="3419"/>
    </row>
    <row r="12" spans="1:12">
      <c r="B12" s="3419"/>
    </row>
    <row r="13" spans="1:12">
      <c r="B13" s="3419"/>
    </row>
    <row r="14" spans="1:12">
      <c r="B14" s="3419"/>
    </row>
    <row r="15" spans="1:12">
      <c r="B15" s="3419"/>
    </row>
    <row r="16" spans="1:12">
      <c r="B16" s="3419"/>
    </row>
    <row r="17" spans="2:2">
      <c r="B17" s="3419"/>
    </row>
    <row r="18" spans="2:2">
      <c r="B18" s="3419"/>
    </row>
    <row r="19" spans="2:2">
      <c r="B19" s="3419"/>
    </row>
    <row r="20" spans="2:2">
      <c r="B20" s="3419"/>
    </row>
    <row r="21" spans="2:2">
      <c r="B21" s="3419"/>
    </row>
    <row r="22" spans="2:2">
      <c r="B22" s="3419"/>
    </row>
    <row r="23" spans="2:2">
      <c r="B23" s="3419"/>
    </row>
    <row r="24" spans="2:2">
      <c r="B24" s="3419"/>
    </row>
    <row r="25" spans="2:2">
      <c r="B25" s="3419"/>
    </row>
    <row r="26" spans="2:2">
      <c r="B26" s="3419"/>
    </row>
    <row r="27" spans="2:2">
      <c r="B27" s="3419"/>
    </row>
    <row r="28" spans="2:2">
      <c r="B28" s="3419"/>
    </row>
    <row r="29" spans="2:2">
      <c r="B29" s="3419"/>
    </row>
    <row r="30" spans="2:2">
      <c r="B30" s="3419"/>
    </row>
    <row r="31" spans="2:2">
      <c r="B31" s="3419"/>
    </row>
    <row r="32" spans="2:2">
      <c r="B32" s="3419"/>
    </row>
    <row r="33" spans="2:10">
      <c r="B33" s="3419"/>
    </row>
    <row r="34" spans="2:10">
      <c r="B34" s="3419"/>
    </row>
    <row r="35" spans="2:10">
      <c r="B35" s="3419"/>
    </row>
    <row r="36" spans="2:10">
      <c r="B36" s="3419"/>
    </row>
    <row r="37" spans="2:10">
      <c r="B37" s="3419"/>
    </row>
    <row r="38" spans="2:10">
      <c r="B38" s="3419"/>
    </row>
    <row r="44" spans="2:10">
      <c r="H44" s="3439">
        <v>43189</v>
      </c>
    </row>
    <row r="45" spans="2:10">
      <c r="G45" s="3439">
        <v>42979</v>
      </c>
      <c r="H45" s="3439">
        <v>43008</v>
      </c>
      <c r="I45">
        <v>1</v>
      </c>
      <c r="J45" s="3441"/>
    </row>
    <row r="46" spans="2:10">
      <c r="G46" s="3439">
        <v>43009</v>
      </c>
      <c r="H46" s="3439">
        <v>43039</v>
      </c>
      <c r="I46">
        <v>2</v>
      </c>
      <c r="J46" s="3441"/>
    </row>
    <row r="47" spans="2:10">
      <c r="G47" s="3439">
        <v>43040</v>
      </c>
      <c r="H47" s="3439">
        <v>43069</v>
      </c>
      <c r="I47">
        <v>3</v>
      </c>
      <c r="J47" s="3441"/>
    </row>
    <row r="48" spans="2:10">
      <c r="G48" s="3439">
        <v>43070</v>
      </c>
      <c r="H48" s="3439">
        <v>43100</v>
      </c>
      <c r="I48">
        <v>4</v>
      </c>
      <c r="J48" s="3441"/>
    </row>
    <row r="49" spans="7:10">
      <c r="G49" s="3439">
        <v>43101</v>
      </c>
      <c r="H49" s="3439">
        <v>43131</v>
      </c>
      <c r="I49">
        <v>5</v>
      </c>
      <c r="J49" s="3441"/>
    </row>
    <row r="50" spans="7:10">
      <c r="G50" s="3442">
        <v>43132</v>
      </c>
      <c r="H50" s="3442">
        <v>43159</v>
      </c>
      <c r="I50" s="3441">
        <v>6</v>
      </c>
      <c r="J50" s="3441">
        <v>211522.75</v>
      </c>
    </row>
    <row r="51" spans="7:10">
      <c r="G51" s="3439">
        <v>43160</v>
      </c>
      <c r="H51" s="3439">
        <v>43190</v>
      </c>
      <c r="I51">
        <v>7</v>
      </c>
      <c r="J51">
        <v>211522.75</v>
      </c>
    </row>
    <row r="52" spans="7:10">
      <c r="G52" s="3439">
        <v>43191</v>
      </c>
      <c r="H52" s="3439">
        <v>43220</v>
      </c>
      <c r="I52">
        <v>8</v>
      </c>
      <c r="J52">
        <v>211522.75</v>
      </c>
    </row>
    <row r="53" spans="7:10">
      <c r="G53" s="3439">
        <v>43221</v>
      </c>
      <c r="H53" s="3439">
        <v>43251</v>
      </c>
      <c r="I53">
        <v>9</v>
      </c>
      <c r="J53">
        <v>211522.75</v>
      </c>
    </row>
    <row r="54" spans="7:10">
      <c r="G54" s="3439">
        <v>43252</v>
      </c>
      <c r="H54" s="3439">
        <v>43281</v>
      </c>
      <c r="I54">
        <v>10</v>
      </c>
      <c r="J54">
        <v>211522.75</v>
      </c>
    </row>
    <row r="55" spans="7:10">
      <c r="G55" s="3439">
        <v>43282</v>
      </c>
      <c r="H55" s="3439">
        <v>43312</v>
      </c>
      <c r="I55">
        <v>11</v>
      </c>
      <c r="J55">
        <v>211522.75</v>
      </c>
    </row>
    <row r="56" spans="7:10">
      <c r="G56" s="3439">
        <v>43313</v>
      </c>
      <c r="H56" s="3439">
        <v>43343</v>
      </c>
      <c r="I56">
        <v>12</v>
      </c>
      <c r="J56">
        <v>211522.75</v>
      </c>
    </row>
    <row r="57" spans="7:10">
      <c r="G57" s="3439">
        <v>43344</v>
      </c>
      <c r="H57" s="3439">
        <v>43373</v>
      </c>
      <c r="I57">
        <v>13</v>
      </c>
      <c r="J57">
        <f>J56*2</f>
        <v>423045.5</v>
      </c>
    </row>
    <row r="58" spans="7:10">
      <c r="G58" s="3439">
        <v>43374</v>
      </c>
      <c r="H58" s="3439">
        <v>43404</v>
      </c>
      <c r="I58">
        <v>14</v>
      </c>
    </row>
    <row r="59" spans="7:10">
      <c r="G59" s="3439">
        <v>43405</v>
      </c>
      <c r="H59" s="3439">
        <v>43434</v>
      </c>
      <c r="I59">
        <v>15</v>
      </c>
    </row>
    <row r="60" spans="7:10">
      <c r="G60" s="3439">
        <v>43435</v>
      </c>
      <c r="H60" s="3439">
        <v>43465</v>
      </c>
      <c r="I60">
        <v>16</v>
      </c>
    </row>
    <row r="61" spans="7:10">
      <c r="G61" s="3439">
        <v>43466</v>
      </c>
      <c r="H61" s="3439">
        <v>43496</v>
      </c>
      <c r="I61">
        <v>17</v>
      </c>
    </row>
    <row r="62" spans="7:10">
      <c r="G62" s="3439">
        <v>43497</v>
      </c>
      <c r="H62" s="3439">
        <v>43524</v>
      </c>
      <c r="I62">
        <v>18</v>
      </c>
    </row>
    <row r="63" spans="7:10">
      <c r="G63" s="3439">
        <v>43525</v>
      </c>
      <c r="H63" s="3439">
        <v>43555</v>
      </c>
      <c r="I63">
        <v>19</v>
      </c>
    </row>
    <row r="64" spans="7:10">
      <c r="G64" s="3439">
        <v>43556</v>
      </c>
      <c r="H64" s="3439">
        <v>43585</v>
      </c>
      <c r="I64">
        <v>20</v>
      </c>
    </row>
    <row r="65" spans="7:9">
      <c r="G65" s="3439">
        <v>43586</v>
      </c>
      <c r="H65" s="3439">
        <v>43616</v>
      </c>
      <c r="I65">
        <v>21</v>
      </c>
    </row>
    <row r="66" spans="7:9">
      <c r="G66" s="3439">
        <v>43617</v>
      </c>
      <c r="H66" s="3439">
        <v>43646</v>
      </c>
      <c r="I66">
        <v>22</v>
      </c>
    </row>
    <row r="67" spans="7:9">
      <c r="G67" s="3439">
        <v>43647</v>
      </c>
      <c r="H67" s="3439">
        <v>43677</v>
      </c>
      <c r="I67">
        <v>23</v>
      </c>
    </row>
    <row r="68" spans="7:9">
      <c r="G68" s="3439">
        <v>43678</v>
      </c>
      <c r="H68" s="3439">
        <v>43708</v>
      </c>
      <c r="I68">
        <v>24</v>
      </c>
    </row>
    <row r="69" spans="7:9">
      <c r="G69" s="3439">
        <v>43709</v>
      </c>
      <c r="H69" s="3439">
        <v>43738</v>
      </c>
      <c r="I69">
        <v>25</v>
      </c>
    </row>
    <row r="70" spans="7:9">
      <c r="G70" s="3439">
        <v>43739</v>
      </c>
      <c r="H70" s="3439">
        <v>43769</v>
      </c>
      <c r="I70">
        <v>26</v>
      </c>
    </row>
    <row r="71" spans="7:9">
      <c r="G71" s="3439">
        <v>43770</v>
      </c>
      <c r="H71" s="3439">
        <v>43799</v>
      </c>
      <c r="I71">
        <v>27</v>
      </c>
    </row>
    <row r="72" spans="7:9">
      <c r="G72" s="3439">
        <v>43800</v>
      </c>
      <c r="H72" s="3439">
        <v>43830</v>
      </c>
      <c r="I72">
        <v>28</v>
      </c>
    </row>
    <row r="73" spans="7:9">
      <c r="G73" s="3439">
        <v>43831</v>
      </c>
      <c r="H73" s="3439">
        <v>43861</v>
      </c>
      <c r="I73">
        <v>29</v>
      </c>
    </row>
    <row r="74" spans="7:9">
      <c r="G74" s="3439">
        <v>43862</v>
      </c>
      <c r="H74" s="3439">
        <v>43890</v>
      </c>
      <c r="I74">
        <v>30</v>
      </c>
    </row>
    <row r="75" spans="7:9">
      <c r="G75" s="3439">
        <v>43891</v>
      </c>
      <c r="H75" s="3439">
        <v>43921</v>
      </c>
      <c r="I75">
        <v>31</v>
      </c>
    </row>
    <row r="76" spans="7:9">
      <c r="G76" s="3439">
        <v>43922</v>
      </c>
      <c r="H76" s="3439">
        <v>43951</v>
      </c>
      <c r="I76">
        <v>32</v>
      </c>
    </row>
    <row r="77" spans="7:9">
      <c r="G77" s="3439">
        <v>43952</v>
      </c>
      <c r="H77" s="3439">
        <v>43982</v>
      </c>
      <c r="I77">
        <v>33</v>
      </c>
    </row>
    <row r="78" spans="7:9">
      <c r="G78" s="3439">
        <v>43983</v>
      </c>
      <c r="H78" s="3439">
        <v>44012</v>
      </c>
      <c r="I78">
        <v>34</v>
      </c>
    </row>
    <row r="79" spans="7:9">
      <c r="G79" s="3439">
        <v>44013</v>
      </c>
      <c r="H79" s="3439">
        <v>44043</v>
      </c>
      <c r="I79">
        <v>35</v>
      </c>
    </row>
    <row r="80" spans="7:9">
      <c r="G80" s="3439">
        <v>44044</v>
      </c>
      <c r="H80" s="3439">
        <v>44074</v>
      </c>
      <c r="I80">
        <v>36</v>
      </c>
    </row>
    <row r="81" spans="7:9">
      <c r="G81" s="3439">
        <v>44075</v>
      </c>
      <c r="H81" s="3439">
        <v>44104</v>
      </c>
      <c r="I81">
        <v>37</v>
      </c>
    </row>
    <row r="82" spans="7:9">
      <c r="G82" s="3439">
        <v>44105</v>
      </c>
      <c r="H82" s="3439">
        <v>44135</v>
      </c>
      <c r="I82">
        <v>38</v>
      </c>
    </row>
    <row r="83" spans="7:9">
      <c r="G83" s="3439">
        <v>44136</v>
      </c>
      <c r="H83" s="3439">
        <v>44165</v>
      </c>
      <c r="I83">
        <v>39</v>
      </c>
    </row>
    <row r="84" spans="7:9">
      <c r="G84" s="3439">
        <v>44166</v>
      </c>
      <c r="H84" s="3439">
        <v>44196</v>
      </c>
      <c r="I84">
        <v>40</v>
      </c>
    </row>
    <row r="85" spans="7:9">
      <c r="G85" s="3439">
        <v>44197</v>
      </c>
      <c r="H85" s="3439">
        <v>44227</v>
      </c>
      <c r="I85">
        <v>41</v>
      </c>
    </row>
    <row r="86" spans="7:9">
      <c r="G86" s="3439">
        <v>44228</v>
      </c>
      <c r="H86" s="3439">
        <v>44255</v>
      </c>
      <c r="I86">
        <v>42</v>
      </c>
    </row>
    <row r="87" spans="7:9">
      <c r="G87" s="3439">
        <v>44256</v>
      </c>
      <c r="H87" s="3439">
        <v>44286</v>
      </c>
      <c r="I87">
        <v>43</v>
      </c>
    </row>
    <row r="88" spans="7:9">
      <c r="G88" s="3439">
        <v>44287</v>
      </c>
      <c r="H88" s="3439">
        <v>44316</v>
      </c>
      <c r="I88">
        <v>44</v>
      </c>
    </row>
    <row r="89" spans="7:9">
      <c r="G89" s="3439">
        <v>44317</v>
      </c>
      <c r="H89" s="3439">
        <v>44347</v>
      </c>
      <c r="I89">
        <v>45</v>
      </c>
    </row>
    <row r="90" spans="7:9">
      <c r="G90" s="3439">
        <v>44348</v>
      </c>
      <c r="H90" s="3439">
        <v>44377</v>
      </c>
      <c r="I90">
        <v>46</v>
      </c>
    </row>
    <row r="91" spans="7:9">
      <c r="G91" s="3439">
        <v>44378</v>
      </c>
      <c r="H91" s="3439">
        <v>44408</v>
      </c>
      <c r="I91">
        <v>47</v>
      </c>
    </row>
    <row r="92" spans="7:9">
      <c r="G92" s="3439">
        <v>44409</v>
      </c>
      <c r="H92" s="3439">
        <v>44439</v>
      </c>
      <c r="I92">
        <v>48</v>
      </c>
    </row>
    <row r="93" spans="7:9">
      <c r="G93" s="3439">
        <v>44440</v>
      </c>
      <c r="H93" s="3439">
        <v>44469</v>
      </c>
      <c r="I93">
        <v>49</v>
      </c>
    </row>
    <row r="94" spans="7:9">
      <c r="G94" s="3439">
        <v>44470</v>
      </c>
      <c r="H94" s="3439">
        <v>44500</v>
      </c>
      <c r="I94">
        <v>50</v>
      </c>
    </row>
    <row r="95" spans="7:9">
      <c r="G95" s="3439">
        <v>44501</v>
      </c>
      <c r="H95" s="3439">
        <v>44530</v>
      </c>
      <c r="I95">
        <v>51</v>
      </c>
    </row>
    <row r="96" spans="7:9">
      <c r="G96" s="3439">
        <v>44531</v>
      </c>
      <c r="H96" s="3439">
        <v>44561</v>
      </c>
      <c r="I96">
        <v>52</v>
      </c>
    </row>
    <row r="97" spans="7:9">
      <c r="G97" s="3439">
        <v>44562</v>
      </c>
      <c r="H97" s="3439">
        <v>44592</v>
      </c>
      <c r="I97">
        <v>53</v>
      </c>
    </row>
    <row r="98" spans="7:9">
      <c r="G98" s="3439">
        <v>44593</v>
      </c>
      <c r="H98" s="3439">
        <v>44620</v>
      </c>
      <c r="I98">
        <v>54</v>
      </c>
    </row>
    <row r="99" spans="7:9">
      <c r="G99" s="3439">
        <v>44621</v>
      </c>
      <c r="H99" s="3439">
        <v>44651</v>
      </c>
      <c r="I99">
        <v>55</v>
      </c>
    </row>
    <row r="100" spans="7:9">
      <c r="G100" s="3439">
        <v>44652</v>
      </c>
      <c r="H100" s="3439">
        <v>44681</v>
      </c>
      <c r="I100">
        <v>56</v>
      </c>
    </row>
    <row r="101" spans="7:9">
      <c r="G101" s="3439">
        <v>44682</v>
      </c>
      <c r="H101" s="3439">
        <v>44712</v>
      </c>
      <c r="I101">
        <v>57</v>
      </c>
    </row>
    <row r="102" spans="7:9">
      <c r="G102" s="3439">
        <v>44713</v>
      </c>
      <c r="H102" s="3439">
        <v>44742</v>
      </c>
      <c r="I102">
        <v>58</v>
      </c>
    </row>
    <row r="103" spans="7:9">
      <c r="G103" s="3439">
        <v>44743</v>
      </c>
      <c r="H103" s="3439">
        <v>44773</v>
      </c>
      <c r="I103">
        <v>59</v>
      </c>
    </row>
    <row r="104" spans="7:9">
      <c r="G104" s="3439">
        <v>44774</v>
      </c>
      <c r="H104" s="3439">
        <v>44804</v>
      </c>
      <c r="I104">
        <v>60</v>
      </c>
    </row>
    <row r="105" spans="7:9">
      <c r="G105" s="3439">
        <v>44805</v>
      </c>
      <c r="H105" s="3439">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9" customWidth="1"/>
    <col min="2" max="2" width="18.75" style="3379" customWidth="1"/>
    <col min="3" max="5" width="14.25" style="3379" customWidth="1"/>
    <col min="6" max="6" width="11" style="3379" customWidth="1"/>
    <col min="7" max="7" width="9" style="3379"/>
    <col min="8" max="8" width="13.75" style="3379" customWidth="1"/>
    <col min="9" max="256" width="9" style="3379"/>
    <col min="257" max="257" width="14.25" style="3379" customWidth="1"/>
    <col min="258" max="258" width="18.75" style="3379" customWidth="1"/>
    <col min="259" max="261" width="14.25" style="3379" customWidth="1"/>
    <col min="262" max="262" width="11" style="3379" customWidth="1"/>
    <col min="263" max="263" width="9" style="3379"/>
    <col min="264" max="264" width="13.75" style="3379" customWidth="1"/>
    <col min="265" max="512" width="9" style="3379"/>
    <col min="513" max="513" width="14.25" style="3379" customWidth="1"/>
    <col min="514" max="514" width="18.75" style="3379" customWidth="1"/>
    <col min="515" max="517" width="14.25" style="3379" customWidth="1"/>
    <col min="518" max="518" width="11" style="3379" customWidth="1"/>
    <col min="519" max="519" width="9" style="3379"/>
    <col min="520" max="520" width="13.75" style="3379" customWidth="1"/>
    <col min="521" max="768" width="9" style="3379"/>
    <col min="769" max="769" width="14.25" style="3379" customWidth="1"/>
    <col min="770" max="770" width="18.75" style="3379" customWidth="1"/>
    <col min="771" max="773" width="14.25" style="3379" customWidth="1"/>
    <col min="774" max="774" width="11" style="3379" customWidth="1"/>
    <col min="775" max="775" width="9" style="3379"/>
    <col min="776" max="776" width="13.75" style="3379" customWidth="1"/>
    <col min="777" max="1024" width="9" style="3379"/>
    <col min="1025" max="1025" width="14.25" style="3379" customWidth="1"/>
    <col min="1026" max="1026" width="18.75" style="3379" customWidth="1"/>
    <col min="1027" max="1029" width="14.25" style="3379" customWidth="1"/>
    <col min="1030" max="1030" width="11" style="3379" customWidth="1"/>
    <col min="1031" max="1031" width="9" style="3379"/>
    <col min="1032" max="1032" width="13.75" style="3379" customWidth="1"/>
    <col min="1033" max="1280" width="9" style="3379"/>
    <col min="1281" max="1281" width="14.25" style="3379" customWidth="1"/>
    <col min="1282" max="1282" width="18.75" style="3379" customWidth="1"/>
    <col min="1283" max="1285" width="14.25" style="3379" customWidth="1"/>
    <col min="1286" max="1286" width="11" style="3379" customWidth="1"/>
    <col min="1287" max="1287" width="9" style="3379"/>
    <col min="1288" max="1288" width="13.75" style="3379" customWidth="1"/>
    <col min="1289" max="1536" width="9" style="3379"/>
    <col min="1537" max="1537" width="14.25" style="3379" customWidth="1"/>
    <col min="1538" max="1538" width="18.75" style="3379" customWidth="1"/>
    <col min="1539" max="1541" width="14.25" style="3379" customWidth="1"/>
    <col min="1542" max="1542" width="11" style="3379" customWidth="1"/>
    <col min="1543" max="1543" width="9" style="3379"/>
    <col min="1544" max="1544" width="13.75" style="3379" customWidth="1"/>
    <col min="1545" max="1792" width="9" style="3379"/>
    <col min="1793" max="1793" width="14.25" style="3379" customWidth="1"/>
    <col min="1794" max="1794" width="18.75" style="3379" customWidth="1"/>
    <col min="1795" max="1797" width="14.25" style="3379" customWidth="1"/>
    <col min="1798" max="1798" width="11" style="3379" customWidth="1"/>
    <col min="1799" max="1799" width="9" style="3379"/>
    <col min="1800" max="1800" width="13.75" style="3379" customWidth="1"/>
    <col min="1801" max="2048" width="9" style="3379"/>
    <col min="2049" max="2049" width="14.25" style="3379" customWidth="1"/>
    <col min="2050" max="2050" width="18.75" style="3379" customWidth="1"/>
    <col min="2051" max="2053" width="14.25" style="3379" customWidth="1"/>
    <col min="2054" max="2054" width="11" style="3379" customWidth="1"/>
    <col min="2055" max="2055" width="9" style="3379"/>
    <col min="2056" max="2056" width="13.75" style="3379" customWidth="1"/>
    <col min="2057" max="2304" width="9" style="3379"/>
    <col min="2305" max="2305" width="14.25" style="3379" customWidth="1"/>
    <col min="2306" max="2306" width="18.75" style="3379" customWidth="1"/>
    <col min="2307" max="2309" width="14.25" style="3379" customWidth="1"/>
    <col min="2310" max="2310" width="11" style="3379" customWidth="1"/>
    <col min="2311" max="2311" width="9" style="3379"/>
    <col min="2312" max="2312" width="13.75" style="3379" customWidth="1"/>
    <col min="2313" max="2560" width="9" style="3379"/>
    <col min="2561" max="2561" width="14.25" style="3379" customWidth="1"/>
    <col min="2562" max="2562" width="18.75" style="3379" customWidth="1"/>
    <col min="2563" max="2565" width="14.25" style="3379" customWidth="1"/>
    <col min="2566" max="2566" width="11" style="3379" customWidth="1"/>
    <col min="2567" max="2567" width="9" style="3379"/>
    <col min="2568" max="2568" width="13.75" style="3379" customWidth="1"/>
    <col min="2569" max="2816" width="9" style="3379"/>
    <col min="2817" max="2817" width="14.25" style="3379" customWidth="1"/>
    <col min="2818" max="2818" width="18.75" style="3379" customWidth="1"/>
    <col min="2819" max="2821" width="14.25" style="3379" customWidth="1"/>
    <col min="2822" max="2822" width="11" style="3379" customWidth="1"/>
    <col min="2823" max="2823" width="9" style="3379"/>
    <col min="2824" max="2824" width="13.75" style="3379" customWidth="1"/>
    <col min="2825" max="3072" width="9" style="3379"/>
    <col min="3073" max="3073" width="14.25" style="3379" customWidth="1"/>
    <col min="3074" max="3074" width="18.75" style="3379" customWidth="1"/>
    <col min="3075" max="3077" width="14.25" style="3379" customWidth="1"/>
    <col min="3078" max="3078" width="11" style="3379" customWidth="1"/>
    <col min="3079" max="3079" width="9" style="3379"/>
    <col min="3080" max="3080" width="13.75" style="3379" customWidth="1"/>
    <col min="3081" max="3328" width="9" style="3379"/>
    <col min="3329" max="3329" width="14.25" style="3379" customWidth="1"/>
    <col min="3330" max="3330" width="18.75" style="3379" customWidth="1"/>
    <col min="3331" max="3333" width="14.25" style="3379" customWidth="1"/>
    <col min="3334" max="3334" width="11" style="3379" customWidth="1"/>
    <col min="3335" max="3335" width="9" style="3379"/>
    <col min="3336" max="3336" width="13.75" style="3379" customWidth="1"/>
    <col min="3337" max="3584" width="9" style="3379"/>
    <col min="3585" max="3585" width="14.25" style="3379" customWidth="1"/>
    <col min="3586" max="3586" width="18.75" style="3379" customWidth="1"/>
    <col min="3587" max="3589" width="14.25" style="3379" customWidth="1"/>
    <col min="3590" max="3590" width="11" style="3379" customWidth="1"/>
    <col min="3591" max="3591" width="9" style="3379"/>
    <col min="3592" max="3592" width="13.75" style="3379" customWidth="1"/>
    <col min="3593" max="3840" width="9" style="3379"/>
    <col min="3841" max="3841" width="14.25" style="3379" customWidth="1"/>
    <col min="3842" max="3842" width="18.75" style="3379" customWidth="1"/>
    <col min="3843" max="3845" width="14.25" style="3379" customWidth="1"/>
    <col min="3846" max="3846" width="11" style="3379" customWidth="1"/>
    <col min="3847" max="3847" width="9" style="3379"/>
    <col min="3848" max="3848" width="13.75" style="3379" customWidth="1"/>
    <col min="3849" max="4096" width="9" style="3379"/>
    <col min="4097" max="4097" width="14.25" style="3379" customWidth="1"/>
    <col min="4098" max="4098" width="18.75" style="3379" customWidth="1"/>
    <col min="4099" max="4101" width="14.25" style="3379" customWidth="1"/>
    <col min="4102" max="4102" width="11" style="3379" customWidth="1"/>
    <col min="4103" max="4103" width="9" style="3379"/>
    <col min="4104" max="4104" width="13.75" style="3379" customWidth="1"/>
    <col min="4105" max="4352" width="9" style="3379"/>
    <col min="4353" max="4353" width="14.25" style="3379" customWidth="1"/>
    <col min="4354" max="4354" width="18.75" style="3379" customWidth="1"/>
    <col min="4355" max="4357" width="14.25" style="3379" customWidth="1"/>
    <col min="4358" max="4358" width="11" style="3379" customWidth="1"/>
    <col min="4359" max="4359" width="9" style="3379"/>
    <col min="4360" max="4360" width="13.75" style="3379" customWidth="1"/>
    <col min="4361" max="4608" width="9" style="3379"/>
    <col min="4609" max="4609" width="14.25" style="3379" customWidth="1"/>
    <col min="4610" max="4610" width="18.75" style="3379" customWidth="1"/>
    <col min="4611" max="4613" width="14.25" style="3379" customWidth="1"/>
    <col min="4614" max="4614" width="11" style="3379" customWidth="1"/>
    <col min="4615" max="4615" width="9" style="3379"/>
    <col min="4616" max="4616" width="13.75" style="3379" customWidth="1"/>
    <col min="4617" max="4864" width="9" style="3379"/>
    <col min="4865" max="4865" width="14.25" style="3379" customWidth="1"/>
    <col min="4866" max="4866" width="18.75" style="3379" customWidth="1"/>
    <col min="4867" max="4869" width="14.25" style="3379" customWidth="1"/>
    <col min="4870" max="4870" width="11" style="3379" customWidth="1"/>
    <col min="4871" max="4871" width="9" style="3379"/>
    <col min="4872" max="4872" width="13.75" style="3379" customWidth="1"/>
    <col min="4873" max="5120" width="9" style="3379"/>
    <col min="5121" max="5121" width="14.25" style="3379" customWidth="1"/>
    <col min="5122" max="5122" width="18.75" style="3379" customWidth="1"/>
    <col min="5123" max="5125" width="14.25" style="3379" customWidth="1"/>
    <col min="5126" max="5126" width="11" style="3379" customWidth="1"/>
    <col min="5127" max="5127" width="9" style="3379"/>
    <col min="5128" max="5128" width="13.75" style="3379" customWidth="1"/>
    <col min="5129" max="5376" width="9" style="3379"/>
    <col min="5377" max="5377" width="14.25" style="3379" customWidth="1"/>
    <col min="5378" max="5378" width="18.75" style="3379" customWidth="1"/>
    <col min="5379" max="5381" width="14.25" style="3379" customWidth="1"/>
    <col min="5382" max="5382" width="11" style="3379" customWidth="1"/>
    <col min="5383" max="5383" width="9" style="3379"/>
    <col min="5384" max="5384" width="13.75" style="3379" customWidth="1"/>
    <col min="5385" max="5632" width="9" style="3379"/>
    <col min="5633" max="5633" width="14.25" style="3379" customWidth="1"/>
    <col min="5634" max="5634" width="18.75" style="3379" customWidth="1"/>
    <col min="5635" max="5637" width="14.25" style="3379" customWidth="1"/>
    <col min="5638" max="5638" width="11" style="3379" customWidth="1"/>
    <col min="5639" max="5639" width="9" style="3379"/>
    <col min="5640" max="5640" width="13.75" style="3379" customWidth="1"/>
    <col min="5641" max="5888" width="9" style="3379"/>
    <col min="5889" max="5889" width="14.25" style="3379" customWidth="1"/>
    <col min="5890" max="5890" width="18.75" style="3379" customWidth="1"/>
    <col min="5891" max="5893" width="14.25" style="3379" customWidth="1"/>
    <col min="5894" max="5894" width="11" style="3379" customWidth="1"/>
    <col min="5895" max="5895" width="9" style="3379"/>
    <col min="5896" max="5896" width="13.75" style="3379" customWidth="1"/>
    <col min="5897" max="6144" width="9" style="3379"/>
    <col min="6145" max="6145" width="14.25" style="3379" customWidth="1"/>
    <col min="6146" max="6146" width="18.75" style="3379" customWidth="1"/>
    <col min="6147" max="6149" width="14.25" style="3379" customWidth="1"/>
    <col min="6150" max="6150" width="11" style="3379" customWidth="1"/>
    <col min="6151" max="6151" width="9" style="3379"/>
    <col min="6152" max="6152" width="13.75" style="3379" customWidth="1"/>
    <col min="6153" max="6400" width="9" style="3379"/>
    <col min="6401" max="6401" width="14.25" style="3379" customWidth="1"/>
    <col min="6402" max="6402" width="18.75" style="3379" customWidth="1"/>
    <col min="6403" max="6405" width="14.25" style="3379" customWidth="1"/>
    <col min="6406" max="6406" width="11" style="3379" customWidth="1"/>
    <col min="6407" max="6407" width="9" style="3379"/>
    <col min="6408" max="6408" width="13.75" style="3379" customWidth="1"/>
    <col min="6409" max="6656" width="9" style="3379"/>
    <col min="6657" max="6657" width="14.25" style="3379" customWidth="1"/>
    <col min="6658" max="6658" width="18.75" style="3379" customWidth="1"/>
    <col min="6659" max="6661" width="14.25" style="3379" customWidth="1"/>
    <col min="6662" max="6662" width="11" style="3379" customWidth="1"/>
    <col min="6663" max="6663" width="9" style="3379"/>
    <col min="6664" max="6664" width="13.75" style="3379" customWidth="1"/>
    <col min="6665" max="6912" width="9" style="3379"/>
    <col min="6913" max="6913" width="14.25" style="3379" customWidth="1"/>
    <col min="6914" max="6914" width="18.75" style="3379" customWidth="1"/>
    <col min="6915" max="6917" width="14.25" style="3379" customWidth="1"/>
    <col min="6918" max="6918" width="11" style="3379" customWidth="1"/>
    <col min="6919" max="6919" width="9" style="3379"/>
    <col min="6920" max="6920" width="13.75" style="3379" customWidth="1"/>
    <col min="6921" max="7168" width="9" style="3379"/>
    <col min="7169" max="7169" width="14.25" style="3379" customWidth="1"/>
    <col min="7170" max="7170" width="18.75" style="3379" customWidth="1"/>
    <col min="7171" max="7173" width="14.25" style="3379" customWidth="1"/>
    <col min="7174" max="7174" width="11" style="3379" customWidth="1"/>
    <col min="7175" max="7175" width="9" style="3379"/>
    <col min="7176" max="7176" width="13.75" style="3379" customWidth="1"/>
    <col min="7177" max="7424" width="9" style="3379"/>
    <col min="7425" max="7425" width="14.25" style="3379" customWidth="1"/>
    <col min="7426" max="7426" width="18.75" style="3379" customWidth="1"/>
    <col min="7427" max="7429" width="14.25" style="3379" customWidth="1"/>
    <col min="7430" max="7430" width="11" style="3379" customWidth="1"/>
    <col min="7431" max="7431" width="9" style="3379"/>
    <col min="7432" max="7432" width="13.75" style="3379" customWidth="1"/>
    <col min="7433" max="7680" width="9" style="3379"/>
    <col min="7681" max="7681" width="14.25" style="3379" customWidth="1"/>
    <col min="7682" max="7682" width="18.75" style="3379" customWidth="1"/>
    <col min="7683" max="7685" width="14.25" style="3379" customWidth="1"/>
    <col min="7686" max="7686" width="11" style="3379" customWidth="1"/>
    <col min="7687" max="7687" width="9" style="3379"/>
    <col min="7688" max="7688" width="13.75" style="3379" customWidth="1"/>
    <col min="7689" max="7936" width="9" style="3379"/>
    <col min="7937" max="7937" width="14.25" style="3379" customWidth="1"/>
    <col min="7938" max="7938" width="18.75" style="3379" customWidth="1"/>
    <col min="7939" max="7941" width="14.25" style="3379" customWidth="1"/>
    <col min="7942" max="7942" width="11" style="3379" customWidth="1"/>
    <col min="7943" max="7943" width="9" style="3379"/>
    <col min="7944" max="7944" width="13.75" style="3379" customWidth="1"/>
    <col min="7945" max="8192" width="9" style="3379"/>
    <col min="8193" max="8193" width="14.25" style="3379" customWidth="1"/>
    <col min="8194" max="8194" width="18.75" style="3379" customWidth="1"/>
    <col min="8195" max="8197" width="14.25" style="3379" customWidth="1"/>
    <col min="8198" max="8198" width="11" style="3379" customWidth="1"/>
    <col min="8199" max="8199" width="9" style="3379"/>
    <col min="8200" max="8200" width="13.75" style="3379" customWidth="1"/>
    <col min="8201" max="8448" width="9" style="3379"/>
    <col min="8449" max="8449" width="14.25" style="3379" customWidth="1"/>
    <col min="8450" max="8450" width="18.75" style="3379" customWidth="1"/>
    <col min="8451" max="8453" width="14.25" style="3379" customWidth="1"/>
    <col min="8454" max="8454" width="11" style="3379" customWidth="1"/>
    <col min="8455" max="8455" width="9" style="3379"/>
    <col min="8456" max="8456" width="13.75" style="3379" customWidth="1"/>
    <col min="8457" max="8704" width="9" style="3379"/>
    <col min="8705" max="8705" width="14.25" style="3379" customWidth="1"/>
    <col min="8706" max="8706" width="18.75" style="3379" customWidth="1"/>
    <col min="8707" max="8709" width="14.25" style="3379" customWidth="1"/>
    <col min="8710" max="8710" width="11" style="3379" customWidth="1"/>
    <col min="8711" max="8711" width="9" style="3379"/>
    <col min="8712" max="8712" width="13.75" style="3379" customWidth="1"/>
    <col min="8713" max="8960" width="9" style="3379"/>
    <col min="8961" max="8961" width="14.25" style="3379" customWidth="1"/>
    <col min="8962" max="8962" width="18.75" style="3379" customWidth="1"/>
    <col min="8963" max="8965" width="14.25" style="3379" customWidth="1"/>
    <col min="8966" max="8966" width="11" style="3379" customWidth="1"/>
    <col min="8967" max="8967" width="9" style="3379"/>
    <col min="8968" max="8968" width="13.75" style="3379" customWidth="1"/>
    <col min="8969" max="9216" width="9" style="3379"/>
    <col min="9217" max="9217" width="14.25" style="3379" customWidth="1"/>
    <col min="9218" max="9218" width="18.75" style="3379" customWidth="1"/>
    <col min="9219" max="9221" width="14.25" style="3379" customWidth="1"/>
    <col min="9222" max="9222" width="11" style="3379" customWidth="1"/>
    <col min="9223" max="9223" width="9" style="3379"/>
    <col min="9224" max="9224" width="13.75" style="3379" customWidth="1"/>
    <col min="9225" max="9472" width="9" style="3379"/>
    <col min="9473" max="9473" width="14.25" style="3379" customWidth="1"/>
    <col min="9474" max="9474" width="18.75" style="3379" customWidth="1"/>
    <col min="9475" max="9477" width="14.25" style="3379" customWidth="1"/>
    <col min="9478" max="9478" width="11" style="3379" customWidth="1"/>
    <col min="9479" max="9479" width="9" style="3379"/>
    <col min="9480" max="9480" width="13.75" style="3379" customWidth="1"/>
    <col min="9481" max="9728" width="9" style="3379"/>
    <col min="9729" max="9729" width="14.25" style="3379" customWidth="1"/>
    <col min="9730" max="9730" width="18.75" style="3379" customWidth="1"/>
    <col min="9731" max="9733" width="14.25" style="3379" customWidth="1"/>
    <col min="9734" max="9734" width="11" style="3379" customWidth="1"/>
    <col min="9735" max="9735" width="9" style="3379"/>
    <col min="9736" max="9736" width="13.75" style="3379" customWidth="1"/>
    <col min="9737" max="9984" width="9" style="3379"/>
    <col min="9985" max="9985" width="14.25" style="3379" customWidth="1"/>
    <col min="9986" max="9986" width="18.75" style="3379" customWidth="1"/>
    <col min="9987" max="9989" width="14.25" style="3379" customWidth="1"/>
    <col min="9990" max="9990" width="11" style="3379" customWidth="1"/>
    <col min="9991" max="9991" width="9" style="3379"/>
    <col min="9992" max="9992" width="13.75" style="3379" customWidth="1"/>
    <col min="9993" max="10240" width="9" style="3379"/>
    <col min="10241" max="10241" width="14.25" style="3379" customWidth="1"/>
    <col min="10242" max="10242" width="18.75" style="3379" customWidth="1"/>
    <col min="10243" max="10245" width="14.25" style="3379" customWidth="1"/>
    <col min="10246" max="10246" width="11" style="3379" customWidth="1"/>
    <col min="10247" max="10247" width="9" style="3379"/>
    <col min="10248" max="10248" width="13.75" style="3379" customWidth="1"/>
    <col min="10249" max="10496" width="9" style="3379"/>
    <col min="10497" max="10497" width="14.25" style="3379" customWidth="1"/>
    <col min="10498" max="10498" width="18.75" style="3379" customWidth="1"/>
    <col min="10499" max="10501" width="14.25" style="3379" customWidth="1"/>
    <col min="10502" max="10502" width="11" style="3379" customWidth="1"/>
    <col min="10503" max="10503" width="9" style="3379"/>
    <col min="10504" max="10504" width="13.75" style="3379" customWidth="1"/>
    <col min="10505" max="10752" width="9" style="3379"/>
    <col min="10753" max="10753" width="14.25" style="3379" customWidth="1"/>
    <col min="10754" max="10754" width="18.75" style="3379" customWidth="1"/>
    <col min="10755" max="10757" width="14.25" style="3379" customWidth="1"/>
    <col min="10758" max="10758" width="11" style="3379" customWidth="1"/>
    <col min="10759" max="10759" width="9" style="3379"/>
    <col min="10760" max="10760" width="13.75" style="3379" customWidth="1"/>
    <col min="10761" max="11008" width="9" style="3379"/>
    <col min="11009" max="11009" width="14.25" style="3379" customWidth="1"/>
    <col min="11010" max="11010" width="18.75" style="3379" customWidth="1"/>
    <col min="11011" max="11013" width="14.25" style="3379" customWidth="1"/>
    <col min="11014" max="11014" width="11" style="3379" customWidth="1"/>
    <col min="11015" max="11015" width="9" style="3379"/>
    <col min="11016" max="11016" width="13.75" style="3379" customWidth="1"/>
    <col min="11017" max="11264" width="9" style="3379"/>
    <col min="11265" max="11265" width="14.25" style="3379" customWidth="1"/>
    <col min="11266" max="11266" width="18.75" style="3379" customWidth="1"/>
    <col min="11267" max="11269" width="14.25" style="3379" customWidth="1"/>
    <col min="11270" max="11270" width="11" style="3379" customWidth="1"/>
    <col min="11271" max="11271" width="9" style="3379"/>
    <col min="11272" max="11272" width="13.75" style="3379" customWidth="1"/>
    <col min="11273" max="11520" width="9" style="3379"/>
    <col min="11521" max="11521" width="14.25" style="3379" customWidth="1"/>
    <col min="11522" max="11522" width="18.75" style="3379" customWidth="1"/>
    <col min="11523" max="11525" width="14.25" style="3379" customWidth="1"/>
    <col min="11526" max="11526" width="11" style="3379" customWidth="1"/>
    <col min="11527" max="11527" width="9" style="3379"/>
    <col min="11528" max="11528" width="13.75" style="3379" customWidth="1"/>
    <col min="11529" max="11776" width="9" style="3379"/>
    <col min="11777" max="11777" width="14.25" style="3379" customWidth="1"/>
    <col min="11778" max="11778" width="18.75" style="3379" customWidth="1"/>
    <col min="11779" max="11781" width="14.25" style="3379" customWidth="1"/>
    <col min="11782" max="11782" width="11" style="3379" customWidth="1"/>
    <col min="11783" max="11783" width="9" style="3379"/>
    <col min="11784" max="11784" width="13.75" style="3379" customWidth="1"/>
    <col min="11785" max="12032" width="9" style="3379"/>
    <col min="12033" max="12033" width="14.25" style="3379" customWidth="1"/>
    <col min="12034" max="12034" width="18.75" style="3379" customWidth="1"/>
    <col min="12035" max="12037" width="14.25" style="3379" customWidth="1"/>
    <col min="12038" max="12038" width="11" style="3379" customWidth="1"/>
    <col min="12039" max="12039" width="9" style="3379"/>
    <col min="12040" max="12040" width="13.75" style="3379" customWidth="1"/>
    <col min="12041" max="12288" width="9" style="3379"/>
    <col min="12289" max="12289" width="14.25" style="3379" customWidth="1"/>
    <col min="12290" max="12290" width="18.75" style="3379" customWidth="1"/>
    <col min="12291" max="12293" width="14.25" style="3379" customWidth="1"/>
    <col min="12294" max="12294" width="11" style="3379" customWidth="1"/>
    <col min="12295" max="12295" width="9" style="3379"/>
    <col min="12296" max="12296" width="13.75" style="3379" customWidth="1"/>
    <col min="12297" max="12544" width="9" style="3379"/>
    <col min="12545" max="12545" width="14.25" style="3379" customWidth="1"/>
    <col min="12546" max="12546" width="18.75" style="3379" customWidth="1"/>
    <col min="12547" max="12549" width="14.25" style="3379" customWidth="1"/>
    <col min="12550" max="12550" width="11" style="3379" customWidth="1"/>
    <col min="12551" max="12551" width="9" style="3379"/>
    <col min="12552" max="12552" width="13.75" style="3379" customWidth="1"/>
    <col min="12553" max="12800" width="9" style="3379"/>
    <col min="12801" max="12801" width="14.25" style="3379" customWidth="1"/>
    <col min="12802" max="12802" width="18.75" style="3379" customWidth="1"/>
    <col min="12803" max="12805" width="14.25" style="3379" customWidth="1"/>
    <col min="12806" max="12806" width="11" style="3379" customWidth="1"/>
    <col min="12807" max="12807" width="9" style="3379"/>
    <col min="12808" max="12808" width="13.75" style="3379" customWidth="1"/>
    <col min="12809" max="13056" width="9" style="3379"/>
    <col min="13057" max="13057" width="14.25" style="3379" customWidth="1"/>
    <col min="13058" max="13058" width="18.75" style="3379" customWidth="1"/>
    <col min="13059" max="13061" width="14.25" style="3379" customWidth="1"/>
    <col min="13062" max="13062" width="11" style="3379" customWidth="1"/>
    <col min="13063" max="13063" width="9" style="3379"/>
    <col min="13064" max="13064" width="13.75" style="3379" customWidth="1"/>
    <col min="13065" max="13312" width="9" style="3379"/>
    <col min="13313" max="13313" width="14.25" style="3379" customWidth="1"/>
    <col min="13314" max="13314" width="18.75" style="3379" customWidth="1"/>
    <col min="13315" max="13317" width="14.25" style="3379" customWidth="1"/>
    <col min="13318" max="13318" width="11" style="3379" customWidth="1"/>
    <col min="13319" max="13319" width="9" style="3379"/>
    <col min="13320" max="13320" width="13.75" style="3379" customWidth="1"/>
    <col min="13321" max="13568" width="9" style="3379"/>
    <col min="13569" max="13569" width="14.25" style="3379" customWidth="1"/>
    <col min="13570" max="13570" width="18.75" style="3379" customWidth="1"/>
    <col min="13571" max="13573" width="14.25" style="3379" customWidth="1"/>
    <col min="13574" max="13574" width="11" style="3379" customWidth="1"/>
    <col min="13575" max="13575" width="9" style="3379"/>
    <col min="13576" max="13576" width="13.75" style="3379" customWidth="1"/>
    <col min="13577" max="13824" width="9" style="3379"/>
    <col min="13825" max="13825" width="14.25" style="3379" customWidth="1"/>
    <col min="13826" max="13826" width="18.75" style="3379" customWidth="1"/>
    <col min="13827" max="13829" width="14.25" style="3379" customWidth="1"/>
    <col min="13830" max="13830" width="11" style="3379" customWidth="1"/>
    <col min="13831" max="13831" width="9" style="3379"/>
    <col min="13832" max="13832" width="13.75" style="3379" customWidth="1"/>
    <col min="13833" max="14080" width="9" style="3379"/>
    <col min="14081" max="14081" width="14.25" style="3379" customWidth="1"/>
    <col min="14082" max="14082" width="18.75" style="3379" customWidth="1"/>
    <col min="14083" max="14085" width="14.25" style="3379" customWidth="1"/>
    <col min="14086" max="14086" width="11" style="3379" customWidth="1"/>
    <col min="14087" max="14087" width="9" style="3379"/>
    <col min="14088" max="14088" width="13.75" style="3379" customWidth="1"/>
    <col min="14089" max="14336" width="9" style="3379"/>
    <col min="14337" max="14337" width="14.25" style="3379" customWidth="1"/>
    <col min="14338" max="14338" width="18.75" style="3379" customWidth="1"/>
    <col min="14339" max="14341" width="14.25" style="3379" customWidth="1"/>
    <col min="14342" max="14342" width="11" style="3379" customWidth="1"/>
    <col min="14343" max="14343" width="9" style="3379"/>
    <col min="14344" max="14344" width="13.75" style="3379" customWidth="1"/>
    <col min="14345" max="14592" width="9" style="3379"/>
    <col min="14593" max="14593" width="14.25" style="3379" customWidth="1"/>
    <col min="14594" max="14594" width="18.75" style="3379" customWidth="1"/>
    <col min="14595" max="14597" width="14.25" style="3379" customWidth="1"/>
    <col min="14598" max="14598" width="11" style="3379" customWidth="1"/>
    <col min="14599" max="14599" width="9" style="3379"/>
    <col min="14600" max="14600" width="13.75" style="3379" customWidth="1"/>
    <col min="14601" max="14848" width="9" style="3379"/>
    <col min="14849" max="14849" width="14.25" style="3379" customWidth="1"/>
    <col min="14850" max="14850" width="18.75" style="3379" customWidth="1"/>
    <col min="14851" max="14853" width="14.25" style="3379" customWidth="1"/>
    <col min="14854" max="14854" width="11" style="3379" customWidth="1"/>
    <col min="14855" max="14855" width="9" style="3379"/>
    <col min="14856" max="14856" width="13.75" style="3379" customWidth="1"/>
    <col min="14857" max="15104" width="9" style="3379"/>
    <col min="15105" max="15105" width="14.25" style="3379" customWidth="1"/>
    <col min="15106" max="15106" width="18.75" style="3379" customWidth="1"/>
    <col min="15107" max="15109" width="14.25" style="3379" customWidth="1"/>
    <col min="15110" max="15110" width="11" style="3379" customWidth="1"/>
    <col min="15111" max="15111" width="9" style="3379"/>
    <col min="15112" max="15112" width="13.75" style="3379" customWidth="1"/>
    <col min="15113" max="15360" width="9" style="3379"/>
    <col min="15361" max="15361" width="14.25" style="3379" customWidth="1"/>
    <col min="15362" max="15362" width="18.75" style="3379" customWidth="1"/>
    <col min="15363" max="15365" width="14.25" style="3379" customWidth="1"/>
    <col min="15366" max="15366" width="11" style="3379" customWidth="1"/>
    <col min="15367" max="15367" width="9" style="3379"/>
    <col min="15368" max="15368" width="13.75" style="3379" customWidth="1"/>
    <col min="15369" max="15616" width="9" style="3379"/>
    <col min="15617" max="15617" width="14.25" style="3379" customWidth="1"/>
    <col min="15618" max="15618" width="18.75" style="3379" customWidth="1"/>
    <col min="15619" max="15621" width="14.25" style="3379" customWidth="1"/>
    <col min="15622" max="15622" width="11" style="3379" customWidth="1"/>
    <col min="15623" max="15623" width="9" style="3379"/>
    <col min="15624" max="15624" width="13.75" style="3379" customWidth="1"/>
    <col min="15625" max="15872" width="9" style="3379"/>
    <col min="15873" max="15873" width="14.25" style="3379" customWidth="1"/>
    <col min="15874" max="15874" width="18.75" style="3379" customWidth="1"/>
    <col min="15875" max="15877" width="14.25" style="3379" customWidth="1"/>
    <col min="15878" max="15878" width="11" style="3379" customWidth="1"/>
    <col min="15879" max="15879" width="9" style="3379"/>
    <col min="15880" max="15880" width="13.75" style="3379" customWidth="1"/>
    <col min="15881" max="16128" width="9" style="3379"/>
    <col min="16129" max="16129" width="14.25" style="3379" customWidth="1"/>
    <col min="16130" max="16130" width="18.75" style="3379" customWidth="1"/>
    <col min="16131" max="16133" width="14.25" style="3379" customWidth="1"/>
    <col min="16134" max="16134" width="11" style="3379" customWidth="1"/>
    <col min="16135" max="16135" width="9" style="3379"/>
    <col min="16136" max="16136" width="13.75" style="3379" customWidth="1"/>
    <col min="16137" max="16384" width="9" style="3379"/>
  </cols>
  <sheetData>
    <row r="1" spans="1:6" ht="20.25" customHeight="1" thickBot="1">
      <c r="A1" s="3377" t="s">
        <v>3328</v>
      </c>
      <c r="B1" s="3378">
        <f>项目基本情况!D3</f>
        <v>43155</v>
      </c>
    </row>
    <row r="2" spans="1:6" ht="33" customHeight="1">
      <c r="A2" s="3380" t="s">
        <v>3329</v>
      </c>
      <c r="B2" s="3381" t="s">
        <v>3330</v>
      </c>
      <c r="C2" s="3382" t="s">
        <v>3331</v>
      </c>
      <c r="D2" s="3381" t="s">
        <v>3332</v>
      </c>
      <c r="E2" s="3383" t="s">
        <v>3333</v>
      </c>
    </row>
    <row r="3" spans="1:6" ht="20.25" customHeight="1">
      <c r="A3" s="3384">
        <v>40</v>
      </c>
      <c r="B3" s="3385">
        <f>已出租明细表!E3</f>
        <v>44895</v>
      </c>
      <c r="C3" s="3386">
        <f>ROUNDDOWN(MIN((B3-$B$1)/365,A3),2)</f>
        <v>4.76</v>
      </c>
      <c r="D3" s="3387">
        <f>IF(ISERROR(ROUND(POWER(1+E3,A3-C3)*(POWER(1+E3,C3)-1)/(POWER(1+E3,A3)-1),3)),0,ROUND(POWER(1+E3,A3-C3)*(POWER(1+E3,C3)-1)/(POWER(1+E3,A3)-1),3))</f>
        <v>0.24199999999999999</v>
      </c>
      <c r="E3" s="3388">
        <f>'数据-取费表'!H7</f>
        <v>0.05</v>
      </c>
    </row>
    <row r="4" spans="1:6" ht="20.25" customHeight="1">
      <c r="A4" s="3384">
        <v>50</v>
      </c>
      <c r="B4" s="3385">
        <v>50028</v>
      </c>
      <c r="C4" s="3386">
        <f>ROUNDDOWN(MIN((B4-$B$1)/365,A4),2)</f>
        <v>18.829999999999998</v>
      </c>
      <c r="D4" s="3387">
        <f>IF(ISERROR(ROUND(POWER(1+E4,A4-C4)*(POWER(1+E4,C4)-1)/(POWER(1+E4,A4)-1),3)),0,ROUND(POWER(1+E4,A4-C4)*(POWER(1+E4,C4)-1)/(POWER(1+E4,A4)-1),3))</f>
        <v>0.60799999999999998</v>
      </c>
      <c r="E4" s="3388">
        <v>0.04</v>
      </c>
    </row>
    <row r="5" spans="1:6" ht="20.25" customHeight="1" thickBot="1">
      <c r="A5" s="3389">
        <v>70</v>
      </c>
      <c r="B5" s="3390">
        <v>57333</v>
      </c>
      <c r="C5" s="3391">
        <f>ROUNDDOWN(MIN((B5-$B$1)/365,A5),2)</f>
        <v>38.840000000000003</v>
      </c>
      <c r="D5" s="3392">
        <f>IF(ISERROR(ROUND(POWER(1+E5,A5-C5)*(POWER(1+E5,C5)-1)/(POWER(1+E5,A5)-1),3)),0,ROUND(POWER(1+E5,A5-C5)*(POWER(1+E5,C5)-1)/(POWER(1+E5,A5)-1),3))</f>
        <v>0.83599999999999997</v>
      </c>
      <c r="E5" s="3393">
        <v>0.04</v>
      </c>
    </row>
    <row r="6" spans="1:6" ht="20.25" customHeight="1" thickBot="1"/>
    <row r="7" spans="1:6" s="3396" customFormat="1" ht="20.25" customHeight="1" thickBot="1">
      <c r="A7" s="3394" t="s">
        <v>3334</v>
      </c>
      <c r="B7" s="3395"/>
    </row>
    <row r="8" spans="1:6" ht="20.25" customHeight="1" thickBot="1">
      <c r="A8" s="3851" t="s">
        <v>3335</v>
      </c>
      <c r="B8" s="3852"/>
      <c r="C8" s="3397"/>
      <c r="D8" s="3398" t="s">
        <v>3333</v>
      </c>
      <c r="E8" s="3397"/>
      <c r="F8" s="3399" t="s">
        <v>3332</v>
      </c>
    </row>
    <row r="9" spans="1:6" ht="20.25" customHeight="1">
      <c r="A9" s="3400" t="s">
        <v>3336</v>
      </c>
      <c r="B9" s="3401">
        <v>70</v>
      </c>
      <c r="C9" s="3402" t="s">
        <v>3337</v>
      </c>
      <c r="D9" s="3403">
        <v>4.4999999999999998E-2</v>
      </c>
      <c r="E9" s="3402" t="s">
        <v>3338</v>
      </c>
      <c r="F9" s="3404">
        <f>1-(1/(POWER(1+D9,B9)))</f>
        <v>0.95409503414356267</v>
      </c>
    </row>
    <row r="10" spans="1:6" ht="20.25" customHeight="1" thickBot="1">
      <c r="A10" s="3405" t="s">
        <v>3339</v>
      </c>
      <c r="B10" s="3406">
        <v>40</v>
      </c>
      <c r="C10" s="3407" t="s">
        <v>3340</v>
      </c>
      <c r="D10" s="3408">
        <v>4.4999999999999998E-2</v>
      </c>
      <c r="E10" s="3407" t="s">
        <v>3341</v>
      </c>
      <c r="F10" s="3409">
        <f>1-(1/(POWER(1+D10,B10)))</f>
        <v>0.8280712989125899</v>
      </c>
    </row>
    <row r="11" spans="1:6" ht="20.25" customHeight="1" thickBot="1">
      <c r="A11" s="3410" t="s">
        <v>3342</v>
      </c>
      <c r="B11" s="3411"/>
      <c r="C11" s="3411"/>
      <c r="D11" s="3411"/>
      <c r="E11" s="3411"/>
      <c r="F11" s="3411"/>
    </row>
    <row r="12" spans="1:6" ht="20.25" customHeight="1">
      <c r="A12" s="3400" t="s">
        <v>3343</v>
      </c>
      <c r="B12" s="3412">
        <v>5000</v>
      </c>
      <c r="E12" s="3413"/>
      <c r="F12" s="3413"/>
    </row>
    <row r="13" spans="1:6" ht="20.25" customHeight="1" thickBot="1">
      <c r="A13" s="3405" t="s">
        <v>3344</v>
      </c>
      <c r="B13" s="3414">
        <f>ROUND(B12*F10/F9,2)</f>
        <v>4339.5600000000004</v>
      </c>
      <c r="C13" s="3415">
        <f>ROUND(F10/F9,4)</f>
        <v>0.8679</v>
      </c>
      <c r="E13" s="3413"/>
      <c r="F13" s="3413"/>
    </row>
    <row r="14" spans="1:6" ht="20.25" customHeight="1" thickBot="1">
      <c r="A14" s="3410" t="s">
        <v>3345</v>
      </c>
      <c r="B14" s="3416"/>
      <c r="C14" s="3413"/>
    </row>
    <row r="15" spans="1:6" ht="20.25" customHeight="1">
      <c r="A15" s="3402" t="s">
        <v>3346</v>
      </c>
      <c r="B15" s="3417">
        <v>4810</v>
      </c>
      <c r="C15" s="3413"/>
    </row>
    <row r="16" spans="1:6" ht="20.25" customHeight="1" thickBot="1">
      <c r="A16" s="3407" t="s">
        <v>3347</v>
      </c>
      <c r="B16" s="3418">
        <f>ROUND(B15*F9/F10,2)</f>
        <v>5542.03</v>
      </c>
      <c r="C16" s="3415">
        <f>ROUND(F9/F10,4)</f>
        <v>1.1521999999999999</v>
      </c>
    </row>
    <row r="17" spans="3:3" ht="20.25" customHeight="1">
      <c r="C17" s="341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481" t="s">
        <v>1661</v>
      </c>
      <c r="B1" s="3481"/>
      <c r="C1" s="3481"/>
      <c r="D1" s="3481"/>
    </row>
    <row r="2" spans="1:4" ht="18">
      <c r="A2" s="3482" t="s">
        <v>1645</v>
      </c>
      <c r="B2" s="3482"/>
      <c r="C2" s="3482"/>
      <c r="D2" s="3482"/>
    </row>
    <row r="3" spans="1:4" ht="18.75">
      <c r="A3" s="1973" t="s">
        <v>1646</v>
      </c>
      <c r="B3" s="1973" t="s">
        <v>1647</v>
      </c>
      <c r="C3" s="1973" t="s">
        <v>1648</v>
      </c>
      <c r="D3" s="1973" t="s">
        <v>1649</v>
      </c>
    </row>
    <row r="4" spans="1:4" ht="56.25" customHeight="1">
      <c r="A4" s="1974" t="str">
        <f>项目基本情况!B4</f>
        <v>刘梅</v>
      </c>
      <c r="B4" s="1975">
        <f ca="1">项目基本情况!C4</f>
        <v>1120140022</v>
      </c>
      <c r="C4" s="1976"/>
      <c r="D4" s="1977" t="s">
        <v>1650</v>
      </c>
    </row>
    <row r="5" spans="1:4" ht="56.25" customHeight="1">
      <c r="A5" s="1974" t="str">
        <f>项目基本情况!D4</f>
        <v>吴薇</v>
      </c>
      <c r="B5" s="1975">
        <f ca="1">项目基本情况!E4</f>
        <v>1419970001</v>
      </c>
      <c r="C5" s="1978"/>
      <c r="D5" s="1977" t="s">
        <v>1650</v>
      </c>
    </row>
    <row r="6" spans="1:4" ht="18">
      <c r="A6" s="3482" t="s">
        <v>1651</v>
      </c>
      <c r="B6" s="3482"/>
      <c r="C6" s="3482"/>
      <c r="D6" s="3482"/>
    </row>
    <row r="7" spans="1:4" ht="18.75">
      <c r="A7" s="1973" t="s">
        <v>1646</v>
      </c>
      <c r="B7" s="1975" t="s">
        <v>1652</v>
      </c>
      <c r="C7" s="1973" t="s">
        <v>1648</v>
      </c>
      <c r="D7" s="1973" t="s">
        <v>1649</v>
      </c>
    </row>
    <row r="8" spans="1:4" ht="56.25" customHeight="1">
      <c r="A8" s="1979" t="s">
        <v>868</v>
      </c>
      <c r="B8" s="1979" t="s">
        <v>1</v>
      </c>
      <c r="C8" s="1976"/>
      <c r="D8" s="1977" t="s">
        <v>1650</v>
      </c>
    </row>
    <row r="9" spans="1:4">
      <c r="A9" s="724"/>
      <c r="B9" s="724"/>
      <c r="C9" s="724"/>
      <c r="D9" s="724"/>
    </row>
    <row r="10" spans="1:4" ht="18.75">
      <c r="A10" s="1980" t="s">
        <v>1653</v>
      </c>
      <c r="B10" s="724"/>
      <c r="C10" s="724"/>
      <c r="D10" s="724"/>
    </row>
    <row r="11" spans="1:4" ht="30" customHeight="1">
      <c r="A11" s="3483" t="s">
        <v>1654</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1655</v>
      </c>
      <c r="B16" s="3487"/>
      <c r="C16" s="3487"/>
      <c r="D16" s="3487"/>
    </row>
    <row r="17" spans="1:4" ht="144" customHeight="1">
      <c r="A17" s="3487" t="s">
        <v>1656</v>
      </c>
      <c r="B17" s="3487"/>
      <c r="C17" s="3487"/>
      <c r="D17" s="3487"/>
    </row>
    <row r="18" spans="1:4" ht="15.75" customHeight="1">
      <c r="A18" s="3484" t="str">
        <f>IF(项目基本情况!B8="抵押",结果表住宅!K120,"——")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1657</v>
      </c>
      <c r="B22" s="3489"/>
      <c r="C22" s="3489"/>
      <c r="D22" s="3489"/>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495" t="s">
        <v>1668</v>
      </c>
      <c r="B15" s="3490" t="s">
        <v>136</v>
      </c>
      <c r="C15" s="3491"/>
    </row>
    <row r="16" spans="1:7" ht="13.5">
      <c r="A16" s="3496"/>
      <c r="B16" s="3490" t="s">
        <v>69</v>
      </c>
      <c r="C16" s="3491"/>
    </row>
    <row r="17" spans="1:3" ht="13.5">
      <c r="A17" s="3496"/>
      <c r="B17" s="3493" t="s">
        <v>1669</v>
      </c>
      <c r="C17" s="1996" t="s">
        <v>1668</v>
      </c>
    </row>
    <row r="18" spans="1:3" ht="13.5">
      <c r="A18" s="3496"/>
      <c r="B18" s="3493"/>
      <c r="C18" s="1996" t="s">
        <v>1670</v>
      </c>
    </row>
    <row r="19" spans="1:3" ht="13.5">
      <c r="A19" s="3496"/>
      <c r="B19" s="3493"/>
      <c r="C19" s="1996" t="s">
        <v>1671</v>
      </c>
    </row>
    <row r="20" spans="1:3" ht="13.5">
      <c r="A20" s="3497"/>
      <c r="B20" s="3492" t="s">
        <v>1672</v>
      </c>
      <c r="C20" s="3491"/>
    </row>
    <row r="21" spans="1:3" ht="13.5">
      <c r="A21" s="1997" t="s">
        <v>1673</v>
      </c>
      <c r="B21" s="1998"/>
      <c r="C21" s="1999"/>
    </row>
    <row r="22" spans="1:3" ht="13.5">
      <c r="A22" s="3494" t="s">
        <v>1674</v>
      </c>
      <c r="B22" s="3492" t="s">
        <v>1675</v>
      </c>
      <c r="C22" s="3491"/>
    </row>
    <row r="23" spans="1:3" ht="13.5">
      <c r="A23" s="3494"/>
      <c r="B23" s="3492" t="s">
        <v>1676</v>
      </c>
      <c r="C23" s="3491"/>
    </row>
    <row r="24" spans="1:3" ht="13.5">
      <c r="A24" s="3494"/>
      <c r="B24" s="3492" t="s">
        <v>1677</v>
      </c>
      <c r="C24" s="3491"/>
    </row>
    <row r="25" spans="1:3" ht="13.5">
      <c r="A25" s="3494"/>
      <c r="B25" s="3493" t="s">
        <v>1678</v>
      </c>
      <c r="C25" s="1996" t="s">
        <v>1679</v>
      </c>
    </row>
    <row r="26" spans="1:3" ht="13.5">
      <c r="A26" s="3494"/>
      <c r="B26" s="3493"/>
      <c r="C26" s="1996" t="s">
        <v>1680</v>
      </c>
    </row>
    <row r="27" spans="1:3" ht="13.5">
      <c r="A27" s="3494"/>
      <c r="B27" s="3493"/>
      <c r="C27" s="1996" t="s">
        <v>1681</v>
      </c>
    </row>
    <row r="28" spans="1:3" ht="13.5">
      <c r="A28" s="3494"/>
      <c r="B28" s="3493"/>
      <c r="C28" s="1996" t="s">
        <v>1682</v>
      </c>
    </row>
    <row r="29" spans="1:3" ht="13.5">
      <c r="A29" s="3494"/>
      <c r="B29" s="3493"/>
      <c r="C29" s="1996" t="s">
        <v>1683</v>
      </c>
    </row>
    <row r="30" spans="1:3" ht="13.5">
      <c r="A30" s="3494"/>
      <c r="B30" s="3493"/>
      <c r="C30" s="1996" t="s">
        <v>1684</v>
      </c>
    </row>
    <row r="31" spans="1:3" ht="13.5">
      <c r="A31" s="3494"/>
      <c r="B31" s="3493"/>
      <c r="C31" s="1996" t="s">
        <v>1685</v>
      </c>
    </row>
    <row r="32" spans="1:3" ht="13.5">
      <c r="A32" s="3494"/>
      <c r="B32" s="3493"/>
      <c r="C32" s="1996" t="s">
        <v>1686</v>
      </c>
    </row>
    <row r="33" spans="1:3" ht="13.5">
      <c r="A33" s="3494"/>
      <c r="B33" s="3493"/>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43160</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43359</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43483</v>
      </c>
      <c r="D10" s="2347" t="s">
        <v>837</v>
      </c>
      <c r="E10" s="1018">
        <f ca="1">IF(F10&lt;B2,"已过期",2004110096)</f>
        <v>2004110096</v>
      </c>
      <c r="F10" s="1026">
        <v>47118</v>
      </c>
    </row>
    <row r="11" spans="1:6" ht="24" customHeight="1">
      <c r="A11" s="1698" t="s">
        <v>838</v>
      </c>
      <c r="B11" s="1018">
        <f ca="1">IF(C11&lt;B2,"已过期",1120100036)</f>
        <v>1120100036</v>
      </c>
      <c r="C11" s="2344">
        <v>43622</v>
      </c>
      <c r="D11" s="2347" t="s">
        <v>838</v>
      </c>
      <c r="E11" s="1018">
        <f ca="1">IF(F11&lt;B2,"已过期",2010110070)</f>
        <v>2010110070</v>
      </c>
      <c r="F11" s="1026">
        <v>47907</v>
      </c>
    </row>
    <row r="12" spans="1:6" ht="24" customHeight="1">
      <c r="A12" s="1698"/>
      <c r="B12" s="1018"/>
      <c r="C12" s="2344"/>
      <c r="D12" s="2347"/>
      <c r="E12" s="1018"/>
      <c r="F12" s="1018"/>
    </row>
    <row r="13" spans="1:6" ht="24" customHeight="1">
      <c r="A13" s="1698" t="s">
        <v>839</v>
      </c>
      <c r="B13" s="1018">
        <f ca="1">IF(C13&lt;B2,"已过期",1120070131)</f>
        <v>1120070131</v>
      </c>
      <c r="C13" s="2344">
        <v>43814</v>
      </c>
      <c r="D13" s="2347" t="s">
        <v>839</v>
      </c>
      <c r="E13" s="1018">
        <v>2014110011</v>
      </c>
      <c r="F13" s="1026">
        <v>49302</v>
      </c>
    </row>
    <row r="14" spans="1:6" ht="24" customHeight="1">
      <c r="A14" s="1698" t="s">
        <v>840</v>
      </c>
      <c r="B14" s="1018">
        <f ca="1">IF(C14&lt;B2,"已过期",1120130020)</f>
        <v>1120130020</v>
      </c>
      <c r="C14" s="2344">
        <v>43622</v>
      </c>
      <c r="D14" s="2347"/>
      <c r="E14" s="1018"/>
      <c r="F14" s="1018"/>
    </row>
    <row r="15" spans="1:6" ht="24" customHeight="1">
      <c r="A15" s="1699" t="s">
        <v>1148</v>
      </c>
      <c r="B15" s="1018">
        <v>1120070085</v>
      </c>
      <c r="C15" s="2344">
        <v>43814</v>
      </c>
      <c r="D15" s="2348" t="s">
        <v>1148</v>
      </c>
      <c r="E15" s="1018">
        <v>2004110128</v>
      </c>
      <c r="F15" s="1019">
        <v>47118</v>
      </c>
    </row>
    <row r="16" spans="1:6" ht="24" customHeight="1">
      <c r="A16" s="1698" t="s">
        <v>841</v>
      </c>
      <c r="B16" s="1018">
        <f ca="1">IF(C16&lt;B2,"已过期",1120140022)</f>
        <v>1120140022</v>
      </c>
      <c r="C16" s="2344">
        <v>44029</v>
      </c>
      <c r="D16" s="2347" t="s">
        <v>841</v>
      </c>
      <c r="E16" s="1018">
        <f ca="1">IF(F16&lt;B2,"已过期",2008110059)</f>
        <v>2008110059</v>
      </c>
      <c r="F16" s="1026">
        <v>47177</v>
      </c>
    </row>
    <row r="17" spans="1:7" ht="24" customHeight="1">
      <c r="A17" s="1698"/>
      <c r="B17" s="1018"/>
      <c r="C17" s="2344"/>
      <c r="D17" s="2347"/>
      <c r="E17" s="1018"/>
      <c r="F17" s="1026"/>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842</v>
      </c>
      <c r="E21" s="1018">
        <f ca="1">IF(F21&lt;B2,"已过期",2011110090)</f>
        <v>2011110090</v>
      </c>
      <c r="F21" s="1026">
        <v>48302</v>
      </c>
    </row>
    <row r="22" spans="1:7" ht="24" customHeight="1">
      <c r="A22" s="1698" t="s">
        <v>843</v>
      </c>
      <c r="B22" s="1018">
        <f ca="1">IF(C22&lt;B2,"已过期",1120020033)</f>
        <v>1120020033</v>
      </c>
      <c r="C22" s="2344">
        <v>43304</v>
      </c>
      <c r="D22" s="2347" t="s">
        <v>843</v>
      </c>
      <c r="E22" s="1018">
        <f ca="1">IF(F22&lt;B2,"已过期",2000110137)</f>
        <v>2000110137</v>
      </c>
      <c r="F22" s="1026">
        <v>46387</v>
      </c>
    </row>
    <row r="23" spans="1:7" ht="24" customHeight="1">
      <c r="A23" s="1698" t="s">
        <v>844</v>
      </c>
      <c r="B23" s="1018">
        <f ca="1">IF(C23&lt;B2,"已过期",1120130048)</f>
        <v>1120130048</v>
      </c>
      <c r="C23" s="2344">
        <v>43686</v>
      </c>
      <c r="D23" s="2347"/>
      <c r="E23" s="1018"/>
      <c r="F23" s="1018"/>
    </row>
    <row r="24" spans="1:7" s="1020" customFormat="1" ht="24" customHeight="1">
      <c r="A24" s="1699" t="s">
        <v>1332</v>
      </c>
      <c r="B24" s="1699" t="s">
        <v>1332</v>
      </c>
      <c r="C24" s="2345" t="s">
        <v>1332</v>
      </c>
      <c r="D24" s="2348" t="s">
        <v>1332</v>
      </c>
      <c r="E24" s="1699" t="s">
        <v>1332</v>
      </c>
      <c r="F24" s="1699" t="s">
        <v>1332</v>
      </c>
    </row>
    <row r="25" spans="1:7" ht="24" customHeight="1">
      <c r="A25" s="3498" t="s">
        <v>845</v>
      </c>
      <c r="B25" s="3498"/>
      <c r="C25" s="3498"/>
      <c r="D25" s="3498"/>
      <c r="E25" s="3498"/>
      <c r="F25" s="3498"/>
      <c r="G25" s="3498"/>
    </row>
    <row r="26" spans="1:7" s="1021" customFormat="1" ht="24" customHeight="1">
      <c r="A26" s="3499" t="s">
        <v>846</v>
      </c>
      <c r="B26" s="3499"/>
      <c r="C26" s="3500"/>
      <c r="D26" s="3501" t="s">
        <v>847</v>
      </c>
      <c r="E26" s="3499"/>
      <c r="F26" s="3499"/>
    </row>
    <row r="27" spans="1:7" s="1023" customFormat="1" ht="24" customHeight="1">
      <c r="A27" s="1022" t="s">
        <v>848</v>
      </c>
      <c r="B27" s="1017" t="s">
        <v>849</v>
      </c>
      <c r="C27" s="2343" t="s">
        <v>850</v>
      </c>
      <c r="D27" s="2351" t="s">
        <v>848</v>
      </c>
      <c r="E27" s="1017" t="s">
        <v>849</v>
      </c>
      <c r="F27" s="1017" t="s">
        <v>850</v>
      </c>
    </row>
    <row r="28" spans="1:7" s="1023" customFormat="1" ht="24" customHeight="1">
      <c r="A28" s="1024" t="s">
        <v>851</v>
      </c>
      <c r="B28" s="1025" t="s">
        <v>852</v>
      </c>
      <c r="C28" s="2349">
        <v>43725</v>
      </c>
      <c r="D28" s="2352" t="s">
        <v>853</v>
      </c>
      <c r="E28" s="1024" t="s">
        <v>854</v>
      </c>
      <c r="F28" s="1054">
        <v>44377</v>
      </c>
    </row>
    <row r="29" spans="1:7" s="1023" customFormat="1" ht="24" customHeight="1">
      <c r="A29" s="1024"/>
      <c r="B29" s="1024"/>
      <c r="C29" s="2350"/>
      <c r="D29" s="2352"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2018-03-01T08:08:50Z</dcterms:modified>
</cp:coreProperties>
</file>