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25"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面积位置"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G47" i="21"/>
  <c r="E47" i="21"/>
  <c r="F19" i="6"/>
  <c r="C19" i="6"/>
  <c r="I37" i="21"/>
  <c r="G37" i="21" l="1"/>
  <c r="E37" i="21"/>
  <c r="C37" i="21"/>
  <c r="C60" i="78"/>
  <c r="D60" i="78" s="1"/>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Z3" i="79"/>
  <c r="AD32" i="79"/>
  <c r="AD31" i="79"/>
  <c r="U44" i="79"/>
  <c r="AD45" i="79"/>
  <c r="S42" i="79"/>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N38" i="71"/>
  <c r="F38" i="71"/>
  <c r="F39" i="71" s="1"/>
  <c r="Q37" i="71"/>
  <c r="P37" i="71"/>
  <c r="O37" i="71"/>
  <c r="N37" i="71"/>
  <c r="B38" i="71" s="1"/>
  <c r="B39" i="71" s="1"/>
  <c r="B40" i="71" s="1"/>
  <c r="S40" i="71" s="1"/>
  <c r="D37" i="71"/>
  <c r="Q36" i="71"/>
  <c r="P36" i="71"/>
  <c r="O36" i="71"/>
  <c r="N36" i="71"/>
  <c r="Q35" i="71"/>
  <c r="AB35" i="71" s="1"/>
  <c r="P35" i="71"/>
  <c r="AA35" i="71" s="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Y27" i="71" s="1"/>
  <c r="Z27" i="71" s="1"/>
  <c r="N28" i="71"/>
  <c r="B30" i="71"/>
  <c r="B31" i="71" s="1"/>
  <c r="B32" i="71" s="1"/>
  <c r="S32" i="71" s="1"/>
  <c r="E30" i="71"/>
  <c r="E31" i="71" s="1"/>
  <c r="E32" i="71" s="1"/>
  <c r="U32" i="71" s="1"/>
  <c r="E34" i="71"/>
  <c r="C30" i="71"/>
  <c r="D30" i="71" s="1"/>
  <c r="X34" i="71"/>
  <c r="C38" i="71"/>
  <c r="D38" i="71" s="1"/>
  <c r="B28" i="71"/>
  <c r="B27" i="71" s="1"/>
  <c r="B26" i="71" s="1"/>
  <c r="P28" i="71"/>
  <c r="E28" i="71" s="1"/>
  <c r="U68" i="71"/>
  <c r="Q28" i="71"/>
  <c r="C59" i="71"/>
  <c r="D59" i="71" s="1"/>
  <c r="O68" i="71"/>
  <c r="D68" i="71"/>
  <c r="C67" i="71"/>
  <c r="D67" i="71" s="1"/>
  <c r="Q68" i="71"/>
  <c r="E71" i="71"/>
  <c r="E70" i="71" s="1"/>
  <c r="D72" i="71"/>
  <c r="C75" i="71"/>
  <c r="D76" i="71"/>
  <c r="D80" i="71"/>
  <c r="F28" i="71"/>
  <c r="F27" i="71" s="1"/>
  <c r="F26" i="71" s="1"/>
  <c r="D75"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E83" i="21"/>
  <c r="F83" i="21" s="1"/>
  <c r="H1" i="69"/>
  <c r="AC25" i="40"/>
  <c r="W25" i="40"/>
  <c r="U25" i="40"/>
  <c r="U29" i="39"/>
  <c r="AB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B79" i="40"/>
  <c r="H13" i="40" s="1"/>
  <c r="U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B131" i="34"/>
  <c r="F47" i="34" s="1"/>
  <c r="S47" i="34" s="1"/>
  <c r="B129" i="34"/>
  <c r="B127" i="34"/>
  <c r="B99" i="34"/>
  <c r="J32" i="34" s="1"/>
  <c r="W32" i="34" s="1"/>
  <c r="B97" i="34"/>
  <c r="B95" i="34"/>
  <c r="B93" i="34"/>
  <c r="B75" i="34"/>
  <c r="J14" i="34" s="1"/>
  <c r="W14" i="34" s="1"/>
  <c r="B73" i="34"/>
  <c r="B71" i="34"/>
  <c r="J12" i="34" s="1"/>
  <c r="W12" i="34" s="1"/>
  <c r="B130" i="33"/>
  <c r="B128" i="33"/>
  <c r="H45" i="33" s="1"/>
  <c r="U45" i="33" s="1"/>
  <c r="B126" i="33"/>
  <c r="F44" i="33" s="1"/>
  <c r="S44" i="33" s="1"/>
  <c r="B98" i="33"/>
  <c r="B96" i="33"/>
  <c r="B94" i="33"/>
  <c r="F29" i="33" s="1"/>
  <c r="S29" i="33" s="1"/>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W45" i="21" s="1"/>
  <c r="B126" i="21"/>
  <c r="H44" i="21" s="1"/>
  <c r="U44" i="21" s="1"/>
  <c r="B98" i="21"/>
  <c r="H31" i="21" s="1"/>
  <c r="B96" i="21"/>
  <c r="F30" i="21" s="1"/>
  <c r="S30" i="21" s="1"/>
  <c r="B94" i="21"/>
  <c r="J29" i="21" s="1"/>
  <c r="AC29" i="21" s="1"/>
  <c r="B92" i="21"/>
  <c r="J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U38" i="21" s="1"/>
  <c r="F38" i="21"/>
  <c r="AA38" i="21" s="1"/>
  <c r="F36" i="21"/>
  <c r="S36" i="21" s="1"/>
  <c r="F39" i="21"/>
  <c r="AA39" i="21" s="1"/>
  <c r="H35" i="21"/>
  <c r="U35" i="21" s="1"/>
  <c r="J8" i="21"/>
  <c r="AC8" i="21" s="1"/>
  <c r="H8" i="21"/>
  <c r="U8" i="21" s="1"/>
  <c r="H10" i="21"/>
  <c r="AB10" i="21" s="1"/>
  <c r="H39" i="21"/>
  <c r="U39" i="21" s="1"/>
  <c r="J34" i="21"/>
  <c r="W34" i="21" s="1"/>
  <c r="H36" i="21"/>
  <c r="U36" i="21" s="1"/>
  <c r="F35" i="21"/>
  <c r="AA35" i="21" s="1"/>
  <c r="J10" i="21"/>
  <c r="AC10" i="21" s="1"/>
  <c r="J19" i="21"/>
  <c r="W19" i="21" s="1"/>
  <c r="J44" i="39"/>
  <c r="AC44" i="39"/>
  <c r="F36" i="39"/>
  <c r="S36" i="39" s="1"/>
  <c r="H36" i="39"/>
  <c r="AB36" i="39" s="1"/>
  <c r="F35" i="39"/>
  <c r="AA35" i="39" s="1"/>
  <c r="J36" i="39"/>
  <c r="AC36" i="39" s="1"/>
  <c r="W40" i="39"/>
  <c r="W25" i="37"/>
  <c r="U30" i="37"/>
  <c r="F39" i="37"/>
  <c r="S39" i="37" s="1"/>
  <c r="F29" i="36"/>
  <c r="AA29" i="36" s="1"/>
  <c r="F16" i="36"/>
  <c r="AA16" i="36" s="1"/>
  <c r="W28" i="36"/>
  <c r="U31" i="36"/>
  <c r="J33" i="36"/>
  <c r="AC33" i="36" s="1"/>
  <c r="H22" i="35"/>
  <c r="AB22" i="35"/>
  <c r="AC27" i="35"/>
  <c r="W28" i="35"/>
  <c r="W22" i="35"/>
  <c r="S31" i="35"/>
  <c r="F36" i="34"/>
  <c r="J35" i="34"/>
  <c r="U34" i="34"/>
  <c r="H39" i="33"/>
  <c r="AB39" i="33"/>
  <c r="F26" i="33"/>
  <c r="AA26" i="33"/>
  <c r="U35" i="33"/>
  <c r="S40" i="33"/>
  <c r="W33" i="33"/>
  <c r="H39" i="37"/>
  <c r="AB39" i="37" s="1"/>
  <c r="S27" i="35"/>
  <c r="F11" i="40"/>
  <c r="AA11" i="40" s="1"/>
  <c r="H11" i="40"/>
  <c r="AB11" i="40"/>
  <c r="W8" i="40"/>
  <c r="S34" i="40"/>
  <c r="U3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6"/>
  <c r="W32" i="40"/>
  <c r="S44" i="39"/>
  <c r="F37" i="39"/>
  <c r="AA37" i="39"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J43" i="34"/>
  <c r="AB42" i="34"/>
  <c r="J40" i="34"/>
  <c r="AC40" i="34" s="1"/>
  <c r="H38" i="34"/>
  <c r="AB38" i="34" s="1"/>
  <c r="J36" i="34"/>
  <c r="AC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AA38" i="34"/>
  <c r="J37" i="34"/>
  <c r="AC37" i="34" s="1"/>
  <c r="J11" i="33"/>
  <c r="W11" i="33" s="1"/>
  <c r="S28" i="34"/>
  <c r="J42" i="21"/>
  <c r="AC42" i="21" s="1"/>
  <c r="H42" i="21"/>
  <c r="U42" i="21" s="1"/>
  <c r="J44" i="34"/>
  <c r="F44" i="34"/>
  <c r="S44" i="34" s="1"/>
  <c r="J10" i="35"/>
  <c r="AC10" i="35" s="1"/>
  <c r="F14" i="21"/>
  <c r="S14" i="21" s="1"/>
  <c r="H14" i="21"/>
  <c r="U14" i="21" s="1"/>
  <c r="H30" i="21"/>
  <c r="U30" i="21" s="1"/>
  <c r="H46" i="21"/>
  <c r="U46" i="21" s="1"/>
  <c r="J46" i="2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33"/>
  <c r="AA27" i="33" s="1"/>
  <c r="J13" i="33"/>
  <c r="H13" i="33"/>
  <c r="U13" i="33" s="1"/>
  <c r="F13" i="33"/>
  <c r="S13" i="33" s="1"/>
  <c r="J29" i="33"/>
  <c r="H29" i="33"/>
  <c r="U29" i="33" s="1"/>
  <c r="J31" i="33"/>
  <c r="W31" i="33" s="1"/>
  <c r="H31" i="33"/>
  <c r="F31" i="33"/>
  <c r="F14" i="34"/>
  <c r="S14" i="34" s="1"/>
  <c r="H30" i="34"/>
  <c r="F30" i="34"/>
  <c r="S30" i="34" s="1"/>
  <c r="J30" i="34"/>
  <c r="H46" i="34"/>
  <c r="U46" i="34" s="1"/>
  <c r="F46" i="34"/>
  <c r="J46" i="34"/>
  <c r="H11" i="35"/>
  <c r="AB11" i="35" s="1"/>
  <c r="J11" i="35"/>
  <c r="W11" i="35" s="1"/>
  <c r="F11" i="35"/>
  <c r="S11" i="35" s="1"/>
  <c r="J26" i="36"/>
  <c r="W26" i="36" s="1"/>
  <c r="H28" i="36"/>
  <c r="U28" i="36" s="1"/>
  <c r="H32" i="36"/>
  <c r="AB32" i="36" s="1"/>
  <c r="J32" i="36"/>
  <c r="W32"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AC37" i="40" s="1"/>
  <c r="J13" i="40"/>
  <c r="W13" i="40" s="1"/>
  <c r="F13" i="40"/>
  <c r="AA13" i="40" s="1"/>
  <c r="F14" i="37"/>
  <c r="F27" i="37"/>
  <c r="AA27" i="37" s="1"/>
  <c r="F13" i="39"/>
  <c r="J13" i="39"/>
  <c r="W13" i="39" s="1"/>
  <c r="H13" i="39"/>
  <c r="AB14" i="40"/>
  <c r="J14" i="40"/>
  <c r="W14" i="40" s="1"/>
  <c r="F14" i="40"/>
  <c r="AA14" i="40" s="1"/>
  <c r="J27" i="37"/>
  <c r="AC27" i="37"/>
  <c r="AA44" i="33"/>
  <c r="J36" i="37"/>
  <c r="AC36" i="37" s="1"/>
  <c r="J10" i="36"/>
  <c r="AC10" i="36" s="1"/>
  <c r="BA585" i="3"/>
  <c r="J41" i="39"/>
  <c r="W41" i="39" s="1"/>
  <c r="W44" i="39"/>
  <c r="U36" i="39"/>
  <c r="G544" i="3"/>
  <c r="G536" i="3"/>
  <c r="G535" i="3"/>
  <c r="G532" i="3"/>
  <c r="G531" i="3"/>
  <c r="G528" i="3"/>
  <c r="G527" i="3"/>
  <c r="G523" i="3"/>
  <c r="G514" i="3"/>
  <c r="G510" i="3"/>
  <c r="G508" i="3"/>
  <c r="G500" i="3"/>
  <c r="G496" i="3"/>
  <c r="G584" i="3"/>
  <c r="G576" i="3"/>
  <c r="G572" i="3"/>
  <c r="G564" i="3"/>
  <c r="G560" i="3"/>
  <c r="G554" i="3"/>
  <c r="G550" i="3"/>
  <c r="BL584" i="3"/>
  <c r="BL580" i="3"/>
  <c r="BL576" i="3"/>
  <c r="BL568" i="3"/>
  <c r="BL564" i="3"/>
  <c r="BL560" i="3"/>
  <c r="BL546" i="3"/>
  <c r="BL542" i="3"/>
  <c r="BL538" i="3"/>
  <c r="BL534" i="3"/>
  <c r="BL530" i="3"/>
  <c r="BL526" i="3"/>
  <c r="BL522" i="3"/>
  <c r="AZ522" i="3" s="1"/>
  <c r="BL516" i="3"/>
  <c r="BL512" i="3"/>
  <c r="BL506" i="3"/>
  <c r="BL502" i="3"/>
  <c r="BL498" i="3"/>
  <c r="BL494" i="3"/>
  <c r="BL582" i="3"/>
  <c r="BL578"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78" i="3"/>
  <c r="BA576" i="3"/>
  <c r="BA574" i="3"/>
  <c r="BA570" i="3"/>
  <c r="AZ570" i="3" s="1"/>
  <c r="BA568" i="3"/>
  <c r="BA566" i="3"/>
  <c r="BA562" i="3"/>
  <c r="BA560" i="3"/>
  <c r="BA558" i="3"/>
  <c r="BA554" i="3"/>
  <c r="BA552" i="3"/>
  <c r="AZ552" i="3" s="1"/>
  <c r="BA548" i="3"/>
  <c r="BA546" i="3"/>
  <c r="BA544" i="3"/>
  <c r="BA542" i="3"/>
  <c r="AZ542" i="3" s="1"/>
  <c r="BA540" i="3"/>
  <c r="BA538" i="3"/>
  <c r="AZ538" i="3"/>
  <c r="BA536" i="3"/>
  <c r="AZ536" i="3" s="1"/>
  <c r="BA534" i="3"/>
  <c r="AZ534" i="3"/>
  <c r="BA532" i="3"/>
  <c r="AZ532" i="3" s="1"/>
  <c r="BA530" i="3"/>
  <c r="BA528" i="3"/>
  <c r="AZ528" i="3" s="1"/>
  <c r="BA526" i="3"/>
  <c r="BA524" i="3"/>
  <c r="BA522" i="3"/>
  <c r="BA520" i="3"/>
  <c r="BA518" i="3"/>
  <c r="BA516" i="3"/>
  <c r="AZ516" i="3" s="1"/>
  <c r="BA514" i="3"/>
  <c r="BA512" i="3"/>
  <c r="AZ512" i="3" s="1"/>
  <c r="BA510" i="3"/>
  <c r="AZ510" i="3" s="1"/>
  <c r="BA508" i="3"/>
  <c r="BA506" i="3"/>
  <c r="BA504" i="3"/>
  <c r="BA502" i="3"/>
  <c r="BA500" i="3"/>
  <c r="BA498" i="3"/>
  <c r="AZ498" i="3" s="1"/>
  <c r="BA496" i="3"/>
  <c r="BA494" i="3"/>
  <c r="BA581" i="3"/>
  <c r="BA579" i="3"/>
  <c r="BA577" i="3"/>
  <c r="BA573" i="3"/>
  <c r="BA571" i="3"/>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Q577" i="3"/>
  <c r="BL577" i="3" s="1"/>
  <c r="AZ577" i="3" s="1"/>
  <c r="BQ575" i="3"/>
  <c r="BL575" i="3" s="1"/>
  <c r="BQ573" i="3"/>
  <c r="BQ571" i="3"/>
  <c r="BL571" i="3" s="1"/>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AA13" i="33"/>
  <c r="W44" i="33"/>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BL384" i="3"/>
  <c r="G385" i="3"/>
  <c r="BA387" i="3"/>
  <c r="BL388" i="3"/>
  <c r="G389" i="3"/>
  <c r="BA391" i="3"/>
  <c r="AZ391" i="3" s="1"/>
  <c r="BL392" i="3"/>
  <c r="AZ392" i="3" s="1"/>
  <c r="G393" i="3"/>
  <c r="BO5" i="3"/>
  <c r="BM5" i="3"/>
  <c r="BJ5" i="3"/>
  <c r="BH5" i="3"/>
  <c r="BF5" i="3"/>
  <c r="BD5" i="3"/>
  <c r="AC5" i="3"/>
  <c r="AZ506" i="3"/>
  <c r="AZ496" i="3"/>
  <c r="G548" i="3"/>
  <c r="G538" i="3"/>
  <c r="G520" i="3"/>
  <c r="G502" i="3"/>
  <c r="BS5" i="3"/>
  <c r="BP5" i="3"/>
  <c r="BN5" i="3"/>
  <c r="G29" i="6" s="1"/>
  <c r="BK5" i="3"/>
  <c r="BG5" i="3"/>
  <c r="BC5" i="3"/>
  <c r="G17" i="3"/>
  <c r="BA17" i="3"/>
  <c r="BT5" i="3"/>
  <c r="AZ350" i="3"/>
  <c r="BA15" i="3"/>
  <c r="BB5" i="3"/>
  <c r="G509" i="3"/>
  <c r="BL493" i="3"/>
  <c r="AZ493" i="3" s="1"/>
  <c r="U36" i="40"/>
  <c r="F83" i="43"/>
  <c r="H85" i="43" s="1"/>
  <c r="F50" i="43"/>
  <c r="H54" i="43" s="1"/>
  <c r="F72" i="43"/>
  <c r="H75" i="43" s="1"/>
  <c r="S14" i="35"/>
  <c r="AC11" i="39"/>
  <c r="AZ501"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W27" i="34"/>
  <c r="AC27" i="34"/>
  <c r="AB33" i="36"/>
  <c r="U33" i="36"/>
  <c r="AC12" i="39"/>
  <c r="W12" i="39"/>
  <c r="AC39" i="40"/>
  <c r="W39" i="40"/>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AA38"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G87" i="33" s="1"/>
  <c r="H87" i="33" s="1"/>
  <c r="I87" i="33" s="1"/>
  <c r="J87" i="33" s="1"/>
  <c r="K87" i="33" s="1"/>
  <c r="L87" i="33" s="1"/>
  <c r="M87" i="33" s="1"/>
  <c r="H25" i="33"/>
  <c r="U25" i="33" s="1"/>
  <c r="F25" i="33"/>
  <c r="AA25" i="33" s="1"/>
  <c r="J23" i="33"/>
  <c r="AC23" i="33" s="1"/>
  <c r="F85" i="33"/>
  <c r="G85" i="33" s="1"/>
  <c r="H23" i="33"/>
  <c r="F81" i="33"/>
  <c r="G81" i="33" s="1"/>
  <c r="F19" i="33"/>
  <c r="S19" i="33" s="1"/>
  <c r="W19" i="33"/>
  <c r="J17" i="33"/>
  <c r="W17" i="33" s="1"/>
  <c r="F79" i="33"/>
  <c r="G79" i="33" s="1"/>
  <c r="S15" i="33"/>
  <c r="W15" i="33"/>
  <c r="U9" i="33"/>
  <c r="J10" i="33"/>
  <c r="W10" i="33" s="1"/>
  <c r="H10" i="33"/>
  <c r="U10" i="33" s="1"/>
  <c r="AC11" i="33"/>
  <c r="AB14" i="33"/>
  <c r="W41" i="2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C23" i="43" s="1"/>
  <c r="A4" i="51"/>
  <c r="B6" i="72" s="1"/>
  <c r="L20" i="6"/>
  <c r="K11" i="1"/>
  <c r="M11" i="1" s="1"/>
  <c r="O11" i="1" s="1"/>
  <c r="B9" i="1"/>
  <c r="E9" i="1" s="1"/>
  <c r="K7" i="1"/>
  <c r="M7" i="1" s="1"/>
  <c r="O7" i="1" s="1"/>
  <c r="P7" i="1" s="1"/>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AA14" i="39"/>
  <c r="U43" i="39"/>
  <c r="AB43" i="39"/>
  <c r="AB11" i="39"/>
  <c r="U11" i="39"/>
  <c r="AA27" i="39"/>
  <c r="S27" i="39"/>
  <c r="W17" i="39"/>
  <c r="AC17" i="39"/>
  <c r="W31" i="39"/>
  <c r="AC31"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U30" i="34"/>
  <c r="AB30" i="34"/>
  <c r="S37" i="34"/>
  <c r="U38" i="34"/>
  <c r="W40" i="34"/>
  <c r="AA19" i="34"/>
  <c r="S19" i="34"/>
  <c r="AA36" i="34"/>
  <c r="S36" i="34"/>
  <c r="AA8" i="34"/>
  <c r="S8" i="34"/>
  <c r="S46" i="34"/>
  <c r="AA46"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AC28" i="33"/>
  <c r="S28" i="33"/>
  <c r="W9" i="33"/>
  <c r="W8" i="33"/>
  <c r="I101" i="21"/>
  <c r="J101" i="21" s="1"/>
  <c r="K101" i="21" s="1"/>
  <c r="L101" i="21" s="1"/>
  <c r="M101" i="21" s="1"/>
  <c r="F33" i="21"/>
  <c r="AA33" i="21" s="1"/>
  <c r="J33" i="21"/>
  <c r="AC33" i="21" s="1"/>
  <c r="H33" i="21"/>
  <c r="AB33" i="21" s="1"/>
  <c r="AB14" i="21"/>
  <c r="U13" i="21"/>
  <c r="AB13" i="21"/>
  <c r="AC14" i="21"/>
  <c r="F29" i="21"/>
  <c r="AA29" i="21" s="1"/>
  <c r="F13" i="21"/>
  <c r="AA13" i="21" s="1"/>
  <c r="H32" i="21"/>
  <c r="AB32" i="21" s="1"/>
  <c r="H9" i="21"/>
  <c r="AB9" i="21" s="1"/>
  <c r="J9" i="21"/>
  <c r="AC9" i="21" s="1"/>
  <c r="J32" i="21"/>
  <c r="W32" i="21" s="1"/>
  <c r="F32" i="21"/>
  <c r="AA32" i="21" s="1"/>
  <c r="AA9" i="21"/>
  <c r="K141" i="21"/>
  <c r="K144" i="21"/>
  <c r="K143" i="21"/>
  <c r="AB25" i="21"/>
  <c r="AA30" i="21"/>
  <c r="W13" i="21"/>
  <c r="F10" i="21"/>
  <c r="AA10" i="21" s="1"/>
  <c r="K145" i="21"/>
  <c r="W25" i="21"/>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S12" i="33"/>
  <c r="AA12" i="33"/>
  <c r="J32" i="39"/>
  <c r="AC32" i="39" s="1"/>
  <c r="H32" i="39"/>
  <c r="AB32" i="39" s="1"/>
  <c r="AA32" i="39"/>
  <c r="S32" i="39"/>
  <c r="AB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AB27" i="33"/>
  <c r="J27" i="33"/>
  <c r="AC27" i="33" s="1"/>
  <c r="AB25" i="33"/>
  <c r="S25" i="33"/>
  <c r="J25" i="33"/>
  <c r="AC25" i="33" s="1"/>
  <c r="AB23" i="33"/>
  <c r="U23" i="33"/>
  <c r="F23" i="33"/>
  <c r="H19" i="33"/>
  <c r="AB19" i="33" s="1"/>
  <c r="H17" i="33"/>
  <c r="U17" i="33" s="1"/>
  <c r="F17" i="33"/>
  <c r="S17" i="33" s="1"/>
  <c r="AC17" i="33"/>
  <c r="J23" i="21"/>
  <c r="W23" i="21" s="1"/>
  <c r="H23" i="21"/>
  <c r="U23" i="21" s="1"/>
  <c r="S13" i="21"/>
  <c r="D6" i="52"/>
  <c r="AP7" i="1"/>
  <c r="A18" i="62"/>
  <c r="B64" i="72" s="1"/>
  <c r="U32" i="39"/>
  <c r="AC23" i="37"/>
  <c r="J11" i="37"/>
  <c r="AC11" i="37" s="1"/>
  <c r="J11" i="34"/>
  <c r="W11" i="34" s="1"/>
  <c r="W27" i="33"/>
  <c r="W25" i="33"/>
  <c r="U19" i="33"/>
  <c r="AA17"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67"/>
  <c r="E7" i="76"/>
  <c r="E10" i="76"/>
  <c r="F40" i="67"/>
  <c r="F8" i="67"/>
  <c r="F4" i="73"/>
  <c r="C20" i="9"/>
  <c r="B12" i="76"/>
  <c r="AO13" i="1"/>
  <c r="B10" i="76"/>
  <c r="E9" i="76"/>
  <c r="M9" i="67"/>
  <c r="E8" i="76"/>
  <c r="F20" i="31"/>
  <c r="F6" i="73"/>
  <c r="E12" i="76"/>
  <c r="B9" i="76"/>
  <c r="E2" i="69"/>
  <c r="B13" i="76"/>
  <c r="B11" i="76"/>
  <c r="D35" i="9"/>
  <c r="M28" i="67"/>
  <c r="M8" i="67"/>
  <c r="F36" i="67"/>
  <c r="L47" i="67"/>
  <c r="D19" i="9"/>
  <c r="E11" i="76"/>
  <c r="E2" i="68"/>
  <c r="F7" i="73"/>
  <c r="B8" i="76"/>
  <c r="E13" i="76"/>
  <c r="F38" i="67"/>
  <c r="F3" i="73"/>
  <c r="F7" i="67"/>
  <c r="C19" i="9"/>
  <c r="B7" i="76"/>
  <c r="F26" i="67"/>
  <c r="F16" i="67"/>
  <c r="F5" i="73"/>
  <c r="D6" i="73"/>
  <c r="D34" i="9"/>
  <c r="D20" i="9"/>
  <c r="S42" i="21" l="1"/>
  <c r="H26" i="21"/>
  <c r="AB26" i="21" s="1"/>
  <c r="G1" i="15"/>
  <c r="B6" i="1"/>
  <c r="E6" i="1" s="1"/>
  <c r="K1" i="12"/>
  <c r="K6" i="1"/>
  <c r="AP6" i="1" s="1"/>
  <c r="C36" i="69" s="1"/>
  <c r="G1" i="68"/>
  <c r="BI5" i="3"/>
  <c r="AC34" i="21"/>
  <c r="AC38" i="21"/>
  <c r="H43" i="21"/>
  <c r="AB43" i="21" s="1"/>
  <c r="J43" i="21"/>
  <c r="AC43" i="21" s="1"/>
  <c r="J44" i="21"/>
  <c r="AC44" i="21" s="1"/>
  <c r="F43" i="21"/>
  <c r="S43" i="21" s="1"/>
  <c r="F26" i="21"/>
  <c r="S26" i="21" s="1"/>
  <c r="J26" i="21"/>
  <c r="W26" i="21" s="1"/>
  <c r="F15" i="21"/>
  <c r="S15" i="21" s="1"/>
  <c r="S35" i="21"/>
  <c r="J31" i="21"/>
  <c r="AC31" i="21" s="1"/>
  <c r="J30" i="21"/>
  <c r="AC30" i="21" s="1"/>
  <c r="F44" i="21"/>
  <c r="AA44" i="21" s="1"/>
  <c r="S41" i="21"/>
  <c r="AB44" i="21"/>
  <c r="AB34" i="36"/>
  <c r="U34" i="36"/>
  <c r="AZ575" i="3"/>
  <c r="AZ572" i="3"/>
  <c r="AZ556" i="3"/>
  <c r="AZ171" i="3"/>
  <c r="S36" i="33"/>
  <c r="S36" i="37"/>
  <c r="U13" i="37"/>
  <c r="AZ313" i="3"/>
  <c r="AZ160" i="3"/>
  <c r="AC12" i="37"/>
  <c r="AZ504" i="3"/>
  <c r="AZ520" i="3"/>
  <c r="AZ544" i="3"/>
  <c r="AZ554" i="3"/>
  <c r="F32" i="34"/>
  <c r="F45" i="33"/>
  <c r="C25" i="39"/>
  <c r="J45" i="39"/>
  <c r="W45" i="39" s="1"/>
  <c r="BA586" i="3"/>
  <c r="AA35" i="34"/>
  <c r="S35" i="34"/>
  <c r="H14" i="37"/>
  <c r="AB14" i="37" s="1"/>
  <c r="J14" i="37"/>
  <c r="AC41" i="33"/>
  <c r="W41" i="33"/>
  <c r="S43" i="34"/>
  <c r="AA32" i="40"/>
  <c r="AA19" i="37"/>
  <c r="F28" i="15"/>
  <c r="F28" i="67"/>
  <c r="W30" i="40"/>
  <c r="U37" i="33"/>
  <c r="S23" i="39"/>
  <c r="U42" i="33"/>
  <c r="AA35" i="33"/>
  <c r="AC15" i="37"/>
  <c r="AA36" i="35"/>
  <c r="AA22" i="36"/>
  <c r="U12" i="39"/>
  <c r="AA12" i="39"/>
  <c r="S15" i="37"/>
  <c r="U17" i="39"/>
  <c r="AZ373" i="3"/>
  <c r="AZ362" i="3"/>
  <c r="AZ376" i="3"/>
  <c r="AZ309" i="3"/>
  <c r="AA11" i="39"/>
  <c r="W16" i="35"/>
  <c r="U11" i="33"/>
  <c r="W47" i="34"/>
  <c r="AZ519" i="3"/>
  <c r="BL573" i="3"/>
  <c r="AZ573" i="3" s="1"/>
  <c r="BL579" i="3"/>
  <c r="AZ503" i="3"/>
  <c r="S11" i="36"/>
  <c r="AA14" i="33"/>
  <c r="H32" i="34"/>
  <c r="H14" i="34"/>
  <c r="J45" i="33"/>
  <c r="H29" i="21"/>
  <c r="U29" i="21" s="1"/>
  <c r="U26" i="33"/>
  <c r="AB26" i="33"/>
  <c r="S42" i="34"/>
  <c r="AB23" i="34"/>
  <c r="AC11" i="40"/>
  <c r="S38" i="33"/>
  <c r="F23" i="35"/>
  <c r="S12" i="36"/>
  <c r="AA12" i="36"/>
  <c r="J34" i="36"/>
  <c r="W34" i="36" s="1"/>
  <c r="S38" i="39"/>
  <c r="U31" i="35"/>
  <c r="F45" i="39"/>
  <c r="AC39" i="33"/>
  <c r="H23" i="36"/>
  <c r="F23" i="36"/>
  <c r="AB9" i="39"/>
  <c r="U9" i="39"/>
  <c r="W33" i="34"/>
  <c r="AB33" i="34"/>
  <c r="AC25" i="39"/>
  <c r="S30" i="40"/>
  <c r="AZ14" i="3"/>
  <c r="F29" i="6"/>
  <c r="E29" i="6" s="1"/>
  <c r="K15" i="1" s="1"/>
  <c r="AZ387" i="3"/>
  <c r="AZ377" i="3"/>
  <c r="AZ361" i="3"/>
  <c r="AZ345" i="3"/>
  <c r="AZ389" i="3"/>
  <c r="AZ356" i="3"/>
  <c r="AZ336" i="3"/>
  <c r="AZ535" i="3"/>
  <c r="AZ557" i="3"/>
  <c r="AZ508" i="3"/>
  <c r="AZ524" i="3"/>
  <c r="AZ558" i="3"/>
  <c r="AZ566" i="3"/>
  <c r="AZ574" i="3"/>
  <c r="AZ582" i="3"/>
  <c r="AZ540" i="3"/>
  <c r="AZ502" i="3"/>
  <c r="AZ560" i="3"/>
  <c r="S35" i="39"/>
  <c r="W31" i="34"/>
  <c r="AB46" i="33"/>
  <c r="U46" i="33"/>
  <c r="AC11" i="35"/>
  <c r="U9" i="40"/>
  <c r="AB40" i="33"/>
  <c r="U40" i="33"/>
  <c r="AA34" i="39"/>
  <c r="S34" i="39"/>
  <c r="S9" i="40"/>
  <c r="AA9" i="40"/>
  <c r="F12" i="35"/>
  <c r="H12" i="35"/>
  <c r="AC31" i="40"/>
  <c r="W31" i="40"/>
  <c r="H35" i="39"/>
  <c r="J35" i="39"/>
  <c r="AC35" i="39" s="1"/>
  <c r="G14" i="3"/>
  <c r="BL16" i="3"/>
  <c r="AZ16" i="3" s="1"/>
  <c r="G399" i="3"/>
  <c r="BA406" i="3"/>
  <c r="G409" i="3"/>
  <c r="G419" i="3"/>
  <c r="BA419" i="3"/>
  <c r="BA420" i="3"/>
  <c r="BL427" i="3"/>
  <c r="BL428" i="3"/>
  <c r="BL429" i="3"/>
  <c r="BA439" i="3"/>
  <c r="BA440" i="3"/>
  <c r="AZ440" i="3" s="1"/>
  <c r="BA443" i="3"/>
  <c r="AZ443" i="3" s="1"/>
  <c r="BA444" i="3"/>
  <c r="BA449" i="3"/>
  <c r="BL453" i="3"/>
  <c r="BL454" i="3"/>
  <c r="BL458" i="3"/>
  <c r="BL459" i="3"/>
  <c r="G462" i="3"/>
  <c r="G464" i="3"/>
  <c r="BA469" i="3"/>
  <c r="AZ469" i="3" s="1"/>
  <c r="BL469" i="3"/>
  <c r="BL475" i="3"/>
  <c r="BA480" i="3"/>
  <c r="BA485" i="3"/>
  <c r="BL490" i="3"/>
  <c r="BA491" i="3"/>
  <c r="BA331" i="3"/>
  <c r="AZ331" i="3" s="1"/>
  <c r="BA335" i="3"/>
  <c r="AZ335" i="3" s="1"/>
  <c r="BA339" i="3"/>
  <c r="AZ339" i="3" s="1"/>
  <c r="BL367" i="3"/>
  <c r="BL375" i="3"/>
  <c r="AZ375" i="3" s="1"/>
  <c r="BL386" i="3"/>
  <c r="BL395" i="3"/>
  <c r="BA397" i="3"/>
  <c r="AZ397" i="3" s="1"/>
  <c r="BL397" i="3"/>
  <c r="BA214" i="3"/>
  <c r="AZ214" i="3" s="1"/>
  <c r="BL214" i="3"/>
  <c r="BA220" i="3"/>
  <c r="AZ220" i="3" s="1"/>
  <c r="BL223" i="3"/>
  <c r="BA241" i="3"/>
  <c r="AZ241" i="3" s="1"/>
  <c r="BL241" i="3"/>
  <c r="BA245" i="3"/>
  <c r="G249" i="3"/>
  <c r="G255" i="3"/>
  <c r="BA255" i="3"/>
  <c r="BL259" i="3"/>
  <c r="BL262" i="3"/>
  <c r="BL264" i="3"/>
  <c r="BA268" i="3"/>
  <c r="BA277" i="3"/>
  <c r="AZ277" i="3" s="1"/>
  <c r="BL277" i="3"/>
  <c r="BL280" i="3"/>
  <c r="BA286" i="3"/>
  <c r="BL298" i="3"/>
  <c r="BA132" i="3"/>
  <c r="AZ132" i="3" s="1"/>
  <c r="BL135" i="3"/>
  <c r="AZ135" i="3" s="1"/>
  <c r="BL146" i="3"/>
  <c r="C64" i="71"/>
  <c r="D64" i="71" s="1"/>
  <c r="D63" i="71"/>
  <c r="U33" i="33"/>
  <c r="U34" i="35"/>
  <c r="W31" i="37"/>
  <c r="G556" i="3"/>
  <c r="BA400" i="3"/>
  <c r="AZ400" i="3" s="1"/>
  <c r="BL400" i="3"/>
  <c r="G401" i="3"/>
  <c r="G403" i="3"/>
  <c r="BA410" i="3"/>
  <c r="BL410" i="3"/>
  <c r="BL416" i="3"/>
  <c r="G417" i="3"/>
  <c r="BL417" i="3"/>
  <c r="BL418" i="3"/>
  <c r="BL420" i="3"/>
  <c r="AZ420" i="3" s="1"/>
  <c r="G422" i="3"/>
  <c r="G423" i="3"/>
  <c r="BA424" i="3"/>
  <c r="BL430" i="3"/>
  <c r="G431" i="3"/>
  <c r="G432" i="3"/>
  <c r="BL432" i="3"/>
  <c r="G437" i="3"/>
  <c r="BA437" i="3"/>
  <c r="G441" i="3"/>
  <c r="G447" i="3"/>
  <c r="BA448" i="3"/>
  <c r="BL451" i="3"/>
  <c r="G456" i="3"/>
  <c r="G457" i="3"/>
  <c r="G458" i="3"/>
  <c r="BA463" i="3"/>
  <c r="BA465" i="3"/>
  <c r="AZ465" i="3" s="1"/>
  <c r="G467" i="3"/>
  <c r="BL472" i="3"/>
  <c r="G478" i="3"/>
  <c r="G482" i="3"/>
  <c r="G486" i="3"/>
  <c r="G490" i="3"/>
  <c r="G307" i="3"/>
  <c r="BA319" i="3"/>
  <c r="AZ319" i="3" s="1"/>
  <c r="BL324" i="3"/>
  <c r="AZ324" i="3" s="1"/>
  <c r="BL328" i="3"/>
  <c r="AZ328" i="3" s="1"/>
  <c r="G329" i="3"/>
  <c r="G349" i="3"/>
  <c r="BL359" i="3"/>
  <c r="AZ359" i="3" s="1"/>
  <c r="BA366" i="3"/>
  <c r="AZ366" i="3" s="1"/>
  <c r="BA385" i="3"/>
  <c r="BL385" i="3"/>
  <c r="BL208" i="3"/>
  <c r="G209" i="3"/>
  <c r="BA210" i="3"/>
  <c r="BL210" i="3"/>
  <c r="BA212" i="3"/>
  <c r="BL212" i="3"/>
  <c r="AZ212" i="3" s="1"/>
  <c r="G214" i="3"/>
  <c r="G223" i="3"/>
  <c r="BL227" i="3"/>
  <c r="G234" i="3"/>
  <c r="BA240" i="3"/>
  <c r="BL242" i="3"/>
  <c r="G243" i="3"/>
  <c r="BA244" i="3"/>
  <c r="AZ244" i="3" s="1"/>
  <c r="BL244" i="3"/>
  <c r="BA248" i="3"/>
  <c r="G253" i="3"/>
  <c r="BA258" i="3"/>
  <c r="AZ258" i="3" s="1"/>
  <c r="G266" i="3"/>
  <c r="BL267" i="3"/>
  <c r="G270" i="3"/>
  <c r="G271" i="3"/>
  <c r="G287" i="3"/>
  <c r="BA291" i="3"/>
  <c r="AZ291" i="3" s="1"/>
  <c r="BL291" i="3"/>
  <c r="BA302" i="3"/>
  <c r="BL122" i="3"/>
  <c r="BL399" i="3"/>
  <c r="G400" i="3"/>
  <c r="BA402" i="3"/>
  <c r="AZ402" i="3" s="1"/>
  <c r="BA407" i="3"/>
  <c r="BL316" i="3"/>
  <c r="G358" i="3"/>
  <c r="G362" i="3"/>
  <c r="G366" i="3"/>
  <c r="BL383" i="3"/>
  <c r="AZ383" i="3" s="1"/>
  <c r="G212" i="3"/>
  <c r="BA219" i="3"/>
  <c r="AZ219" i="3" s="1"/>
  <c r="BL220" i="3"/>
  <c r="BA231" i="3"/>
  <c r="BL231" i="3"/>
  <c r="G232" i="3"/>
  <c r="BL237" i="3"/>
  <c r="G238" i="3"/>
  <c r="BA239" i="3"/>
  <c r="BL239" i="3"/>
  <c r="G246" i="3"/>
  <c r="G250" i="3"/>
  <c r="BA254" i="3"/>
  <c r="AZ254" i="3" s="1"/>
  <c r="G256" i="3"/>
  <c r="BA257" i="3"/>
  <c r="G260" i="3"/>
  <c r="G261" i="3"/>
  <c r="BL266" i="3"/>
  <c r="BA275" i="3"/>
  <c r="BL278" i="3"/>
  <c r="BA283" i="3"/>
  <c r="G286" i="3"/>
  <c r="BA288" i="3"/>
  <c r="BL409" i="3"/>
  <c r="BL413" i="3"/>
  <c r="G416" i="3"/>
  <c r="BL423" i="3"/>
  <c r="G430" i="3"/>
  <c r="BL433" i="3"/>
  <c r="BA442" i="3"/>
  <c r="AZ442" i="3" s="1"/>
  <c r="BA445" i="3"/>
  <c r="BA447" i="3"/>
  <c r="AZ447" i="3" s="1"/>
  <c r="G455" i="3"/>
  <c r="BL455" i="3"/>
  <c r="BL462" i="3"/>
  <c r="G466" i="3"/>
  <c r="BA466" i="3"/>
  <c r="BA476" i="3"/>
  <c r="AZ476" i="3" s="1"/>
  <c r="G481" i="3"/>
  <c r="BA487" i="3"/>
  <c r="AZ487" i="3" s="1"/>
  <c r="BA488" i="3"/>
  <c r="AZ488" i="3" s="1"/>
  <c r="G492" i="3"/>
  <c r="C51" i="71"/>
  <c r="D50" i="71"/>
  <c r="BL269" i="3"/>
  <c r="BL272" i="3"/>
  <c r="BL273" i="3"/>
  <c r="G274" i="3"/>
  <c r="G279" i="3"/>
  <c r="G283" i="3"/>
  <c r="G284" i="3"/>
  <c r="BA293" i="3"/>
  <c r="BL293" i="3"/>
  <c r="BL294" i="3"/>
  <c r="BA297" i="3"/>
  <c r="BL297" i="3"/>
  <c r="BA301" i="3"/>
  <c r="BL127" i="3"/>
  <c r="AZ127" i="3" s="1"/>
  <c r="BA130" i="3"/>
  <c r="BL130" i="3"/>
  <c r="G135" i="3"/>
  <c r="BA145" i="3"/>
  <c r="BA162" i="3"/>
  <c r="BL163" i="3"/>
  <c r="AZ163" i="3" s="1"/>
  <c r="G170" i="3"/>
  <c r="BL186" i="3"/>
  <c r="G195" i="3"/>
  <c r="BL23" i="3"/>
  <c r="G32" i="3"/>
  <c r="G33" i="3"/>
  <c r="G34" i="3"/>
  <c r="G38" i="3"/>
  <c r="G42" i="3"/>
  <c r="G43" i="3"/>
  <c r="G44" i="3"/>
  <c r="BL50" i="3"/>
  <c r="BL51" i="3"/>
  <c r="BA62" i="3"/>
  <c r="BA67" i="3"/>
  <c r="BA72" i="3"/>
  <c r="BL79" i="3"/>
  <c r="BL81" i="3"/>
  <c r="BA82" i="3"/>
  <c r="AZ82" i="3" s="1"/>
  <c r="BA92" i="3"/>
  <c r="BL103" i="3"/>
  <c r="BA104" i="3"/>
  <c r="AZ104" i="3" s="1"/>
  <c r="G108" i="3"/>
  <c r="G109" i="3"/>
  <c r="W18" i="36"/>
  <c r="B68" i="43"/>
  <c r="X26" i="71"/>
  <c r="Y29" i="71"/>
  <c r="Z29" i="71" s="1"/>
  <c r="C31" i="71"/>
  <c r="X25" i="71"/>
  <c r="Y35" i="71"/>
  <c r="Z35" i="71" s="1"/>
  <c r="X36" i="71"/>
  <c r="B79" i="71"/>
  <c r="B78" i="71" s="1"/>
  <c r="C23" i="71"/>
  <c r="B22" i="71"/>
  <c r="B21" i="71" s="1"/>
  <c r="B20" i="71" s="1"/>
  <c r="BL158" i="3"/>
  <c r="BL169" i="3"/>
  <c r="BL173" i="3"/>
  <c r="BL183" i="3"/>
  <c r="AZ183" i="3" s="1"/>
  <c r="BA186" i="3"/>
  <c r="BA190" i="3"/>
  <c r="BL201" i="3"/>
  <c r="BL203" i="3"/>
  <c r="AZ203" i="3" s="1"/>
  <c r="BA204" i="3"/>
  <c r="AZ204" i="3" s="1"/>
  <c r="BA18" i="3"/>
  <c r="BL21" i="3"/>
  <c r="BL49" i="3"/>
  <c r="BA56" i="3"/>
  <c r="BA57" i="3"/>
  <c r="BL58" i="3"/>
  <c r="BA60" i="3"/>
  <c r="BA66" i="3"/>
  <c r="BA71" i="3"/>
  <c r="BL77" i="3"/>
  <c r="AZ77" i="3" s="1"/>
  <c r="BA90" i="3"/>
  <c r="BL92" i="3"/>
  <c r="BL96" i="3"/>
  <c r="BA100" i="3"/>
  <c r="AZ100" i="3" s="1"/>
  <c r="BA103" i="3"/>
  <c r="B57" i="43"/>
  <c r="E67" i="71"/>
  <c r="Y26" i="71"/>
  <c r="Z26" i="71" s="1"/>
  <c r="AB36" i="71"/>
  <c r="AA37" i="71"/>
  <c r="Y38" i="71"/>
  <c r="Z38" i="71" s="1"/>
  <c r="E47" i="71"/>
  <c r="E48" i="71" s="1"/>
  <c r="U48" i="71" s="1"/>
  <c r="G116" i="3"/>
  <c r="BA117" i="3"/>
  <c r="G126" i="3"/>
  <c r="BA133" i="3"/>
  <c r="G136" i="3"/>
  <c r="BA137" i="3"/>
  <c r="G140" i="3"/>
  <c r="BA149" i="3"/>
  <c r="AZ149" i="3" s="1"/>
  <c r="BL149" i="3"/>
  <c r="BL150" i="3"/>
  <c r="G151" i="3"/>
  <c r="BA152" i="3"/>
  <c r="AZ152" i="3" s="1"/>
  <c r="BA154" i="3"/>
  <c r="AZ154" i="3" s="1"/>
  <c r="G158" i="3"/>
  <c r="BA160" i="3"/>
  <c r="G162" i="3"/>
  <c r="G167" i="3"/>
  <c r="BL171" i="3"/>
  <c r="BL177" i="3"/>
  <c r="G179" i="3"/>
  <c r="G188" i="3"/>
  <c r="BA189" i="3"/>
  <c r="BL205" i="3"/>
  <c r="BA207" i="3"/>
  <c r="AZ207" i="3" s="1"/>
  <c r="G26" i="3"/>
  <c r="G29" i="3"/>
  <c r="BL29" i="3"/>
  <c r="BL35" i="3"/>
  <c r="BA37" i="3"/>
  <c r="G39" i="3"/>
  <c r="BL39" i="3"/>
  <c r="BA47" i="3"/>
  <c r="BA50" i="3"/>
  <c r="AZ50" i="3" s="1"/>
  <c r="BA55" i="3"/>
  <c r="BA65" i="3"/>
  <c r="BA70" i="3"/>
  <c r="AZ70" i="3" s="1"/>
  <c r="BL76" i="3"/>
  <c r="BL86" i="3"/>
  <c r="G87" i="3"/>
  <c r="G88" i="3"/>
  <c r="G92" i="3"/>
  <c r="G95" i="3"/>
  <c r="G112" i="3"/>
  <c r="P27" i="6"/>
  <c r="C60" i="71"/>
  <c r="AB32" i="71"/>
  <c r="AA34" i="71"/>
  <c r="E51" i="71"/>
  <c r="E52" i="71" s="1"/>
  <c r="U52" i="71" s="1"/>
  <c r="S76" i="71"/>
  <c r="AB27" i="71"/>
  <c r="H40" i="21"/>
  <c r="AB40" i="21" s="1"/>
  <c r="AB31" i="21"/>
  <c r="U31" i="21"/>
  <c r="W28" i="21"/>
  <c r="AC28" i="21"/>
  <c r="H15" i="21"/>
  <c r="U15" i="21" s="1"/>
  <c r="F37" i="21"/>
  <c r="AA37" i="21" s="1"/>
  <c r="AC35" i="21"/>
  <c r="F28" i="21"/>
  <c r="AB35" i="21"/>
  <c r="J37" i="21"/>
  <c r="W37" i="21" s="1"/>
  <c r="AA14" i="21"/>
  <c r="J15" i="21"/>
  <c r="AC15" i="21" s="1"/>
  <c r="E119" i="21"/>
  <c r="F119" i="21" s="1"/>
  <c r="G119" i="21" s="1"/>
  <c r="H119" i="21" s="1"/>
  <c r="I119" i="21" s="1"/>
  <c r="J119" i="21" s="1"/>
  <c r="K119" i="21" s="1"/>
  <c r="L119" i="21" s="1"/>
  <c r="M119" i="21" s="1"/>
  <c r="H28" i="21"/>
  <c r="AB28" i="21" s="1"/>
  <c r="F31" i="21"/>
  <c r="S31" i="21" s="1"/>
  <c r="J40" i="21"/>
  <c r="U19" i="21"/>
  <c r="W39" i="21"/>
  <c r="S40" i="21"/>
  <c r="S38" i="21"/>
  <c r="U9" i="21"/>
  <c r="W9" i="21"/>
  <c r="AA36" i="21"/>
  <c r="W36" i="21"/>
  <c r="AB36" i="21"/>
  <c r="U34" i="21"/>
  <c r="S39" i="21"/>
  <c r="AB39" i="21"/>
  <c r="AB38" i="21"/>
  <c r="W42" i="21"/>
  <c r="AC27" i="21"/>
  <c r="U27" i="21"/>
  <c r="F27" i="21"/>
  <c r="J17" i="21"/>
  <c r="AC17" i="21" s="1"/>
  <c r="H17" i="21"/>
  <c r="F17" i="21"/>
  <c r="AA17" i="21" s="1"/>
  <c r="AB23" i="21"/>
  <c r="S19" i="21"/>
  <c r="AC19" i="21"/>
  <c r="AA15" i="21"/>
  <c r="AA46" i="21"/>
  <c r="S46" i="21"/>
  <c r="AB46" i="21"/>
  <c r="H45" i="21"/>
  <c r="U45" i="21" s="1"/>
  <c r="AC45" i="21"/>
  <c r="W44" i="21"/>
  <c r="F45" i="21"/>
  <c r="AA43" i="21"/>
  <c r="W43" i="21"/>
  <c r="AB41" i="21"/>
  <c r="AB42" i="21"/>
  <c r="AB29" i="21"/>
  <c r="W29" i="21"/>
  <c r="C29" i="39"/>
  <c r="W27" i="40"/>
  <c r="S23" i="21"/>
  <c r="U32" i="37"/>
  <c r="AZ334" i="3"/>
  <c r="AZ372" i="3"/>
  <c r="AZ347" i="3"/>
  <c r="AZ337" i="3"/>
  <c r="AZ394" i="3"/>
  <c r="AA14" i="37"/>
  <c r="S14" i="37"/>
  <c r="AC23" i="21"/>
  <c r="AB36" i="33"/>
  <c r="W32" i="39"/>
  <c r="U32" i="21"/>
  <c r="S32" i="21"/>
  <c r="AA19" i="33"/>
  <c r="S21" i="39"/>
  <c r="F54" i="9"/>
  <c r="S39" i="40"/>
  <c r="F32" i="15"/>
  <c r="F60" i="15" s="1"/>
  <c r="F52" i="9"/>
  <c r="F30" i="68"/>
  <c r="F48" i="68" s="1"/>
  <c r="AC37" i="33"/>
  <c r="S20" i="36"/>
  <c r="U37" i="39"/>
  <c r="AC34" i="33"/>
  <c r="AZ318" i="3"/>
  <c r="AZ364" i="3"/>
  <c r="AZ329" i="3"/>
  <c r="AZ304" i="3"/>
  <c r="AZ513" i="3"/>
  <c r="D68" i="9"/>
  <c r="F30" i="69"/>
  <c r="F48" i="69" s="1"/>
  <c r="F31" i="12"/>
  <c r="AB19" i="40"/>
  <c r="AZ357" i="3"/>
  <c r="AZ306" i="3"/>
  <c r="U33" i="40"/>
  <c r="AB33" i="40"/>
  <c r="AZ523" i="3"/>
  <c r="AZ547" i="3"/>
  <c r="AZ571" i="3"/>
  <c r="AZ579" i="3"/>
  <c r="AB46" i="34"/>
  <c r="AB30" i="21"/>
  <c r="S41" i="33"/>
  <c r="BL585" i="3"/>
  <c r="AZ585" i="3" s="1"/>
  <c r="BL398" i="3"/>
  <c r="G402" i="3"/>
  <c r="BL403" i="3"/>
  <c r="G406" i="3"/>
  <c r="BL408" i="3"/>
  <c r="BL412" i="3"/>
  <c r="AZ480" i="3"/>
  <c r="AZ360" i="3"/>
  <c r="AC31" i="33"/>
  <c r="AZ539" i="3"/>
  <c r="AZ529" i="3"/>
  <c r="AZ537" i="3"/>
  <c r="AZ518" i="3"/>
  <c r="AZ526" i="3"/>
  <c r="AZ546" i="3"/>
  <c r="AZ564" i="3"/>
  <c r="AZ580" i="3"/>
  <c r="AB45" i="33"/>
  <c r="AA44" i="34"/>
  <c r="AA29" i="35"/>
  <c r="AB17" i="34"/>
  <c r="W36" i="34"/>
  <c r="B79" i="43"/>
  <c r="H9" i="34"/>
  <c r="F12" i="34"/>
  <c r="S12" i="34" s="1"/>
  <c r="H23" i="35"/>
  <c r="H39" i="40"/>
  <c r="G551" i="3"/>
  <c r="BL550" i="3"/>
  <c r="G542" i="3"/>
  <c r="BL15" i="3"/>
  <c r="AZ15" i="3" s="1"/>
  <c r="BA398" i="3"/>
  <c r="AZ398" i="3" s="1"/>
  <c r="BA399" i="3"/>
  <c r="AZ399" i="3" s="1"/>
  <c r="AZ406" i="3"/>
  <c r="AZ448" i="3"/>
  <c r="BL587" i="3"/>
  <c r="AZ587" i="3" s="1"/>
  <c r="BL586" i="3"/>
  <c r="AZ586" i="3" s="1"/>
  <c r="J9" i="34"/>
  <c r="H12" i="34"/>
  <c r="G574" i="3"/>
  <c r="BA401" i="3"/>
  <c r="BA403" i="3"/>
  <c r="BA404" i="3"/>
  <c r="AZ404" i="3" s="1"/>
  <c r="BA405" i="3"/>
  <c r="AZ405" i="3" s="1"/>
  <c r="BL411" i="3"/>
  <c r="BA413" i="3"/>
  <c r="AZ413" i="3" s="1"/>
  <c r="BL419" i="3"/>
  <c r="AZ419" i="3" s="1"/>
  <c r="AZ451" i="3"/>
  <c r="S14" i="40"/>
  <c r="AA25" i="21"/>
  <c r="AZ531" i="3"/>
  <c r="AZ583" i="3"/>
  <c r="AZ568" i="3"/>
  <c r="AZ576" i="3"/>
  <c r="AA14" i="34"/>
  <c r="G587" i="3"/>
  <c r="J12" i="35"/>
  <c r="F25" i="37"/>
  <c r="BA551" i="3"/>
  <c r="AZ551" i="3" s="1"/>
  <c r="BA550" i="3"/>
  <c r="AZ550" i="3" s="1"/>
  <c r="BL548" i="3"/>
  <c r="AZ548" i="3" s="1"/>
  <c r="BL401" i="3"/>
  <c r="BL404" i="3"/>
  <c r="BL405" i="3"/>
  <c r="BL407" i="3"/>
  <c r="AZ407" i="3" s="1"/>
  <c r="BA412" i="3"/>
  <c r="AZ412" i="3" s="1"/>
  <c r="BA414" i="3"/>
  <c r="BA415" i="3"/>
  <c r="BA416" i="3"/>
  <c r="BA418" i="3"/>
  <c r="AZ418" i="3" s="1"/>
  <c r="BA421" i="3"/>
  <c r="BA423" i="3"/>
  <c r="AZ423" i="3" s="1"/>
  <c r="BA425" i="3"/>
  <c r="BA426" i="3"/>
  <c r="AZ426" i="3" s="1"/>
  <c r="BA427" i="3"/>
  <c r="BA433" i="3"/>
  <c r="AZ433" i="3" s="1"/>
  <c r="BA435" i="3"/>
  <c r="AZ435" i="3" s="1"/>
  <c r="BL437" i="3"/>
  <c r="AZ437" i="3" s="1"/>
  <c r="G439" i="3"/>
  <c r="BL441" i="3"/>
  <c r="BL442" i="3"/>
  <c r="BL444" i="3"/>
  <c r="AZ444" i="3" s="1"/>
  <c r="G446" i="3"/>
  <c r="BL448" i="3"/>
  <c r="G450" i="3"/>
  <c r="G451" i="3"/>
  <c r="BA454" i="3"/>
  <c r="AZ454" i="3" s="1"/>
  <c r="BA457" i="3"/>
  <c r="BA459" i="3"/>
  <c r="AZ459" i="3" s="1"/>
  <c r="BA460" i="3"/>
  <c r="AZ460" i="3" s="1"/>
  <c r="BA461" i="3"/>
  <c r="BL464" i="3"/>
  <c r="BL466" i="3"/>
  <c r="AZ466" i="3" s="1"/>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7" i="3"/>
  <c r="AZ217" i="3" s="1"/>
  <c r="BA218" i="3"/>
  <c r="BL218" i="3"/>
  <c r="BA221" i="3"/>
  <c r="BL224" i="3"/>
  <c r="G412" i="3"/>
  <c r="G418" i="3"/>
  <c r="BA422" i="3"/>
  <c r="AZ422" i="3" s="1"/>
  <c r="G429" i="3"/>
  <c r="BL431" i="3"/>
  <c r="G433" i="3"/>
  <c r="BL434" i="3"/>
  <c r="G436" i="3"/>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22" i="3"/>
  <c r="BA229" i="3"/>
  <c r="BL229" i="3"/>
  <c r="AZ458" i="3"/>
  <c r="AZ462" i="3"/>
  <c r="BA478" i="3"/>
  <c r="BA481" i="3"/>
  <c r="G484"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23" i="3"/>
  <c r="AZ223" i="3" s="1"/>
  <c r="BA225" i="3"/>
  <c r="BA227" i="3"/>
  <c r="AZ227" i="3" s="1"/>
  <c r="BL230" i="3"/>
  <c r="AZ270" i="3"/>
  <c r="BA284"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215" i="3"/>
  <c r="BA222" i="3"/>
  <c r="AZ222" i="3" s="1"/>
  <c r="BA224" i="3"/>
  <c r="BA226" i="3"/>
  <c r="BA237" i="3"/>
  <c r="AZ237" i="3" s="1"/>
  <c r="BL240" i="3"/>
  <c r="AZ240" i="3" s="1"/>
  <c r="BA242" i="3"/>
  <c r="AZ242" i="3" s="1"/>
  <c r="BL245" i="3"/>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BL301" i="3"/>
  <c r="AZ301" i="3" s="1"/>
  <c r="BL302" i="3"/>
  <c r="BA114" i="3"/>
  <c r="BL123" i="3"/>
  <c r="AZ123" i="3" s="1"/>
  <c r="BA128" i="3"/>
  <c r="AZ128" i="3" s="1"/>
  <c r="BL134" i="3"/>
  <c r="BL137" i="3"/>
  <c r="AZ137" i="3" s="1"/>
  <c r="BA146" i="3"/>
  <c r="AZ146" i="3" s="1"/>
  <c r="BA150" i="3"/>
  <c r="AZ150" i="3" s="1"/>
  <c r="BA156" i="3"/>
  <c r="AZ156" i="3" s="1"/>
  <c r="BL162" i="3"/>
  <c r="AZ162" i="3" s="1"/>
  <c r="BA169" i="3"/>
  <c r="AZ169" i="3" s="1"/>
  <c r="BL181" i="3"/>
  <c r="BA20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57" i="3"/>
  <c r="AZ157" i="3" s="1"/>
  <c r="BA164" i="3"/>
  <c r="AZ164" i="3" s="1"/>
  <c r="BA166" i="3"/>
  <c r="AZ166" i="3" s="1"/>
  <c r="BA177" i="3"/>
  <c r="AZ177" i="3" s="1"/>
  <c r="BL198"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BL71" i="3"/>
  <c r="AZ71" i="3" s="1"/>
  <c r="BL72" i="3"/>
  <c r="AZ72" i="3" s="1"/>
  <c r="G74" i="3"/>
  <c r="G75" i="3"/>
  <c r="BL75" i="3"/>
  <c r="BL91" i="3"/>
  <c r="BL100" i="3"/>
  <c r="BL105" i="3"/>
  <c r="BL107" i="3"/>
  <c r="C47" i="71"/>
  <c r="D47" i="71" s="1"/>
  <c r="D46"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AZ27" i="3" s="1"/>
  <c r="BA28" i="3"/>
  <c r="AZ28" i="3" s="1"/>
  <c r="BA31" i="3"/>
  <c r="BA32" i="3"/>
  <c r="BA38" i="3"/>
  <c r="BA41" i="3"/>
  <c r="BA42" i="3"/>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D31" i="71"/>
  <c r="C32" i="71"/>
  <c r="C52" i="71"/>
  <c r="D51" i="71"/>
  <c r="C55" i="71"/>
  <c r="D54" i="71"/>
  <c r="N67" i="71"/>
  <c r="B66" i="71"/>
  <c r="F66" i="71"/>
  <c r="Q67" i="71"/>
  <c r="BL165" i="3"/>
  <c r="G166" i="3"/>
  <c r="BL170" i="3"/>
  <c r="G171" i="3"/>
  <c r="BA173" i="3"/>
  <c r="BA174" i="3"/>
  <c r="BL179" i="3"/>
  <c r="AZ179" i="3" s="1"/>
  <c r="G180" i="3"/>
  <c r="BA181" i="3"/>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AZ103" i="3"/>
  <c r="AA21" i="33"/>
  <c r="S21" i="33"/>
  <c r="G81" i="3"/>
  <c r="G85" i="3"/>
  <c r="BL85" i="3"/>
  <c r="BA86" i="3"/>
  <c r="AZ86" i="3" s="1"/>
  <c r="BA87" i="3"/>
  <c r="BA91" i="3"/>
  <c r="AZ91" i="3" s="1"/>
  <c r="G96" i="3"/>
  <c r="BL97" i="3"/>
  <c r="AZ97" i="3" s="1"/>
  <c r="BL101" i="3"/>
  <c r="AZ101" i="3" s="1"/>
  <c r="BL102" i="3"/>
  <c r="G104" i="3"/>
  <c r="G105" i="3"/>
  <c r="BL106" i="3"/>
  <c r="BA108" i="3"/>
  <c r="AZ108" i="3" s="1"/>
  <c r="BA110" i="3"/>
  <c r="F3" i="35"/>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E23" i="71"/>
  <c r="E22" i="71" s="1"/>
  <c r="E21" i="71" s="1"/>
  <c r="E20" i="71" s="1"/>
  <c r="E19" i="71" s="1"/>
  <c r="E18" i="71" s="1"/>
  <c r="E17" i="71" s="1"/>
  <c r="E16" i="71" s="1"/>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BL37" i="3"/>
  <c r="AZ37" i="3" s="1"/>
  <c r="BL42" i="3"/>
  <c r="AZ42" i="3" s="1"/>
  <c r="BA44" i="3"/>
  <c r="AZ44" i="3" s="1"/>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G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51" i="67"/>
  <c r="F66" i="67"/>
  <c r="D103" i="9"/>
  <c r="C27" i="67"/>
  <c r="G20" i="9"/>
  <c r="C103" i="9"/>
  <c r="N59" i="67"/>
  <c r="L59" i="67"/>
  <c r="M59" i="67"/>
  <c r="B13" i="70"/>
  <c r="M7" i="67"/>
  <c r="F50" i="67"/>
  <c r="F68" i="67"/>
  <c r="F64" i="67"/>
  <c r="C36" i="68"/>
  <c r="D9" i="69"/>
  <c r="D9" i="68"/>
  <c r="L48" i="15"/>
  <c r="F16" i="15"/>
  <c r="F37" i="15"/>
  <c r="F7" i="15"/>
  <c r="L48" i="67"/>
  <c r="F42" i="15"/>
  <c r="M24" i="67"/>
  <c r="M22" i="67"/>
  <c r="D7" i="73"/>
  <c r="J15" i="15"/>
  <c r="F42" i="67"/>
  <c r="M6" i="67"/>
  <c r="F43" i="15"/>
  <c r="M22" i="15"/>
  <c r="F40" i="15"/>
  <c r="M23" i="67"/>
  <c r="F6" i="15"/>
  <c r="F38" i="15"/>
  <c r="F13" i="15"/>
  <c r="J15" i="67"/>
  <c r="D5" i="73"/>
  <c r="C76" i="67"/>
  <c r="L47" i="15"/>
  <c r="F9" i="15"/>
  <c r="M24" i="15"/>
  <c r="M28" i="15"/>
  <c r="D3" i="73"/>
  <c r="F43" i="67"/>
  <c r="F13" i="67"/>
  <c r="F6" i="67"/>
  <c r="M8" i="15"/>
  <c r="F9" i="67"/>
  <c r="M23" i="15"/>
  <c r="F8" i="15"/>
  <c r="F36" i="15"/>
  <c r="M29" i="15"/>
  <c r="C76" i="15"/>
  <c r="M9" i="15"/>
  <c r="M26" i="15"/>
  <c r="F26" i="15"/>
  <c r="M29" i="67"/>
  <c r="F37" i="67"/>
  <c r="M6" i="15"/>
  <c r="D4" i="73"/>
  <c r="Q71" i="15" l="1"/>
  <c r="F68" i="15"/>
  <c r="F65" i="15"/>
  <c r="F64" i="15"/>
  <c r="L58" i="15"/>
  <c r="M59" i="15"/>
  <c r="L59" i="15"/>
  <c r="Q74" i="15" s="1"/>
  <c r="N59" i="15"/>
  <c r="F71" i="15"/>
  <c r="I54" i="15"/>
  <c r="J53" i="15"/>
  <c r="L56" i="15" s="1"/>
  <c r="J57" i="15"/>
  <c r="J55" i="15" s="1"/>
  <c r="J58" i="15" s="1"/>
  <c r="Q50" i="15" s="1"/>
  <c r="F51" i="15"/>
  <c r="Q16" i="1"/>
  <c r="F27" i="69" s="1"/>
  <c r="C47" i="69" s="1"/>
  <c r="D45" i="69" s="1"/>
  <c r="H16" i="1"/>
  <c r="N94" i="46"/>
  <c r="N370" i="46"/>
  <c r="F26" i="43"/>
  <c r="E26" i="43"/>
  <c r="H26" i="43"/>
  <c r="J26" i="43"/>
  <c r="F30" i="6"/>
  <c r="U43" i="21"/>
  <c r="S44" i="21"/>
  <c r="S37" i="21"/>
  <c r="AC26" i="21"/>
  <c r="V48" i="21" s="1"/>
  <c r="AA26" i="21"/>
  <c r="W31" i="21"/>
  <c r="W30" i="21"/>
  <c r="C27" i="15"/>
  <c r="F66" i="15"/>
  <c r="F71" i="67"/>
  <c r="D23" i="71"/>
  <c r="C22" i="71"/>
  <c r="AA23" i="36"/>
  <c r="S23" i="36"/>
  <c r="AA45" i="33"/>
  <c r="S45" i="33"/>
  <c r="B20" i="31"/>
  <c r="B21" i="31" s="1"/>
  <c r="E59" i="40"/>
  <c r="AZ145" i="3"/>
  <c r="AZ292" i="3"/>
  <c r="AZ129" i="3"/>
  <c r="AZ475" i="3"/>
  <c r="V20" i="71"/>
  <c r="AZ298" i="3"/>
  <c r="AZ430" i="3"/>
  <c r="AZ416" i="3"/>
  <c r="AZ403" i="3"/>
  <c r="E66" i="71"/>
  <c r="P67" i="71"/>
  <c r="AZ239" i="3"/>
  <c r="U12" i="35"/>
  <c r="AB12" i="35"/>
  <c r="AB23" i="36"/>
  <c r="U23" i="36"/>
  <c r="AA23" i="35"/>
  <c r="S23" i="35"/>
  <c r="W45" i="33"/>
  <c r="AC45" i="33"/>
  <c r="AA32" i="34"/>
  <c r="S32" i="34"/>
  <c r="J6" i="67"/>
  <c r="J18" i="67" s="1"/>
  <c r="AZ35" i="3"/>
  <c r="AZ47" i="3"/>
  <c r="AZ249" i="3"/>
  <c r="AZ245" i="3"/>
  <c r="AZ263" i="3"/>
  <c r="AZ491" i="3"/>
  <c r="AA31" i="21"/>
  <c r="AZ186" i="3"/>
  <c r="AB35" i="39"/>
  <c r="U35" i="39"/>
  <c r="U14" i="34"/>
  <c r="AB14" i="34"/>
  <c r="P6" i="1"/>
  <c r="C13" i="12" s="1"/>
  <c r="C30" i="68"/>
  <c r="AZ81" i="3"/>
  <c r="AZ482" i="3"/>
  <c r="AZ58" i="3"/>
  <c r="AZ181" i="3"/>
  <c r="AZ173" i="3"/>
  <c r="AZ41" i="3"/>
  <c r="AZ178" i="3"/>
  <c r="AZ21" i="3"/>
  <c r="AZ201" i="3"/>
  <c r="AZ302" i="3"/>
  <c r="AZ294" i="3"/>
  <c r="AZ133" i="3"/>
  <c r="AZ455" i="3"/>
  <c r="AZ427" i="3"/>
  <c r="T60" i="71"/>
  <c r="D60" i="71"/>
  <c r="B19" i="71"/>
  <c r="B18" i="71" s="1"/>
  <c r="B17" i="71" s="1"/>
  <c r="B16" i="71" s="1"/>
  <c r="S20" i="71"/>
  <c r="AZ130" i="3"/>
  <c r="AZ297" i="3"/>
  <c r="AZ210" i="3"/>
  <c r="S45" i="39"/>
  <c r="AA45" i="39"/>
  <c r="AB32" i="34"/>
  <c r="U32" i="34"/>
  <c r="U40" i="21"/>
  <c r="W15" i="21"/>
  <c r="AB15" i="21"/>
  <c r="S28" i="21"/>
  <c r="AA28" i="21"/>
  <c r="U28" i="21"/>
  <c r="W40" i="21"/>
  <c r="AC40" i="21"/>
  <c r="AA27" i="21"/>
  <c r="S27" i="21"/>
  <c r="W17" i="21"/>
  <c r="S17" i="21"/>
  <c r="AB17" i="21"/>
  <c r="U17" i="21"/>
  <c r="AB45" i="21"/>
  <c r="T48" i="21" s="1"/>
  <c r="AA45" i="21"/>
  <c r="S45" i="21"/>
  <c r="J53" i="67"/>
  <c r="F1" i="67" s="1"/>
  <c r="J57" i="67"/>
  <c r="J55" i="67" s="1"/>
  <c r="J58" i="67" s="1"/>
  <c r="Q50" i="67" s="1"/>
  <c r="L56" i="67"/>
  <c r="L58" i="67"/>
  <c r="Q60" i="67" s="1"/>
  <c r="I54" i="67"/>
  <c r="Q71" i="67"/>
  <c r="F31" i="67"/>
  <c r="C6" i="67"/>
  <c r="C32" i="67" s="1"/>
  <c r="F65" i="67"/>
  <c r="F31" i="15"/>
  <c r="M7" i="15"/>
  <c r="J6" i="15" s="1"/>
  <c r="J18" i="15" s="1"/>
  <c r="C6" i="15"/>
  <c r="C32" i="15" s="1"/>
  <c r="F50" i="15"/>
  <c r="C49" i="15" s="1"/>
  <c r="T28" i="71"/>
  <c r="D28" i="71"/>
  <c r="U28" i="71" s="1"/>
  <c r="C27" i="71"/>
  <c r="D79" i="71"/>
  <c r="C78" i="71"/>
  <c r="D78" i="71" s="1"/>
  <c r="T52" i="71"/>
  <c r="D52" i="71"/>
  <c r="AB9" i="34"/>
  <c r="U9" i="34"/>
  <c r="G5" i="3"/>
  <c r="B3" i="3" s="1"/>
  <c r="E435" i="3" s="1"/>
  <c r="D83" i="71"/>
  <c r="C82" i="71"/>
  <c r="D82" i="71" s="1"/>
  <c r="O65" i="71"/>
  <c r="D66" i="71"/>
  <c r="O66" i="71"/>
  <c r="T32" i="71"/>
  <c r="D32" i="71"/>
  <c r="AZ102" i="3"/>
  <c r="AZ38" i="3"/>
  <c r="AZ118" i="3"/>
  <c r="AZ224" i="3"/>
  <c r="AZ271" i="3"/>
  <c r="AZ243" i="3"/>
  <c r="AZ229" i="3"/>
  <c r="AZ425" i="3"/>
  <c r="U12" i="34"/>
  <c r="AB12" i="34"/>
  <c r="U39" i="40"/>
  <c r="AB39" i="40"/>
  <c r="G16" i="1"/>
  <c r="F10" i="39" s="1"/>
  <c r="S10" i="39" s="1"/>
  <c r="C40" i="71"/>
  <c r="D39" i="71"/>
  <c r="C44" i="71"/>
  <c r="D43" i="71"/>
  <c r="C86" i="71"/>
  <c r="D86" i="71" s="1"/>
  <c r="D87" i="71"/>
  <c r="C56" i="71"/>
  <c r="D55" i="71"/>
  <c r="AZ251" i="3"/>
  <c r="AZ247" i="3"/>
  <c r="AZ121" i="3"/>
  <c r="AZ238" i="3"/>
  <c r="AZ457" i="3"/>
  <c r="AZ415" i="3"/>
  <c r="AA25" i="37"/>
  <c r="S25" i="37"/>
  <c r="AC9" i="34"/>
  <c r="W9" i="34"/>
  <c r="U23" i="35"/>
  <c r="AB23" i="35"/>
  <c r="C70" i="71"/>
  <c r="D70" i="71" s="1"/>
  <c r="D71" i="71"/>
  <c r="C36" i="71"/>
  <c r="D35" i="71"/>
  <c r="AZ110" i="3"/>
  <c r="AZ84" i="3"/>
  <c r="AZ19" i="3"/>
  <c r="N65" i="71"/>
  <c r="N66" i="71"/>
  <c r="AZ59" i="3"/>
  <c r="AZ31" i="3"/>
  <c r="AZ20" i="3"/>
  <c r="AZ25" i="3"/>
  <c r="AZ126" i="3"/>
  <c r="AZ274" i="3"/>
  <c r="AZ284" i="3"/>
  <c r="AZ368" i="3"/>
  <c r="AZ353" i="3"/>
  <c r="AZ218" i="3"/>
  <c r="AZ461" i="3"/>
  <c r="AZ421" i="3"/>
  <c r="AZ414" i="3"/>
  <c r="W12" i="35"/>
  <c r="AC12" i="35"/>
  <c r="AZ401" i="3"/>
  <c r="J7" i="37"/>
  <c r="W7" i="37" s="1"/>
  <c r="K1" i="73"/>
  <c r="E510" i="3"/>
  <c r="E539" i="3"/>
  <c r="E363" i="3"/>
  <c r="E349" i="3"/>
  <c r="E184" i="3"/>
  <c r="E355" i="3"/>
  <c r="AL6" i="3"/>
  <c r="E42" i="3"/>
  <c r="E102" i="3"/>
  <c r="E113" i="3"/>
  <c r="E408" i="3"/>
  <c r="E451" i="3"/>
  <c r="E428" i="3"/>
  <c r="E412" i="3"/>
  <c r="E16" i="3"/>
  <c r="E188" i="3"/>
  <c r="AH6" i="3"/>
  <c r="J6" i="3"/>
  <c r="L6" i="3"/>
  <c r="E60" i="3"/>
  <c r="E392" i="3"/>
  <c r="AQ6" i="3"/>
  <c r="E365" i="3"/>
  <c r="E524" i="3"/>
  <c r="E24" i="3"/>
  <c r="E250" i="3"/>
  <c r="E209" i="3"/>
  <c r="E48" i="3"/>
  <c r="E375" i="3"/>
  <c r="E47" i="3"/>
  <c r="E163" i="3"/>
  <c r="E66" i="3"/>
  <c r="E167" i="3"/>
  <c r="E187" i="3"/>
  <c r="E352" i="3"/>
  <c r="E306" i="3"/>
  <c r="E537" i="3"/>
  <c r="E471" i="3"/>
  <c r="E397" i="3"/>
  <c r="E207" i="3"/>
  <c r="E403" i="3"/>
  <c r="E546" i="3"/>
  <c r="E319" i="3"/>
  <c r="E501" i="3"/>
  <c r="E390" i="3"/>
  <c r="E523" i="3"/>
  <c r="E565" i="3"/>
  <c r="E213" i="3"/>
  <c r="E280" i="3"/>
  <c r="AA6" i="3"/>
  <c r="Q6" i="3"/>
  <c r="E481" i="3"/>
  <c r="E203" i="3"/>
  <c r="E256" i="3"/>
  <c r="E252" i="3"/>
  <c r="E164" i="3"/>
  <c r="E581" i="3"/>
  <c r="E444" i="3"/>
  <c r="E334" i="3"/>
  <c r="E30" i="3"/>
  <c r="E239" i="3"/>
  <c r="E516" i="3"/>
  <c r="E551" i="3"/>
  <c r="V6" i="3"/>
  <c r="E415" i="3"/>
  <c r="E395" i="3"/>
  <c r="E382" i="3"/>
  <c r="E578" i="3"/>
  <c r="E85" i="3"/>
  <c r="E314" i="3"/>
  <c r="E458" i="3"/>
  <c r="E527" i="3"/>
  <c r="E111" i="3"/>
  <c r="E150" i="3"/>
  <c r="E269" i="3"/>
  <c r="E271" i="3"/>
  <c r="E505" i="3"/>
  <c r="AS6" i="3"/>
  <c r="E331" i="3"/>
  <c r="E384" i="3"/>
  <c r="E508" i="3"/>
  <c r="E388" i="3"/>
  <c r="AR6" i="3"/>
  <c r="E561" i="3"/>
  <c r="E261" i="3"/>
  <c r="E528" i="3"/>
  <c r="E91" i="3"/>
  <c r="E301" i="3"/>
  <c r="E124" i="3"/>
  <c r="E399" i="3"/>
  <c r="E181" i="3"/>
  <c r="E545" i="3"/>
  <c r="E133" i="3"/>
  <c r="E560" i="3"/>
  <c r="E587" i="3"/>
  <c r="E577" i="3"/>
  <c r="E146" i="3"/>
  <c r="E171" i="3"/>
  <c r="E315" i="3"/>
  <c r="E362" i="3"/>
  <c r="E74" i="3"/>
  <c r="E89" i="3"/>
  <c r="E204" i="3"/>
  <c r="AO6" i="3"/>
  <c r="E485" i="3"/>
  <c r="E557" i="3"/>
  <c r="E531" i="3"/>
  <c r="E70" i="3"/>
  <c r="E182" i="3"/>
  <c r="E377" i="3"/>
  <c r="E572" i="3"/>
  <c r="E526" i="3"/>
  <c r="E268" i="3"/>
  <c r="E509" i="3"/>
  <c r="E57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S7" i="36" s="1"/>
  <c r="H7" i="36"/>
  <c r="AB7" i="36" s="1"/>
  <c r="T36" i="36" s="1"/>
  <c r="G36" i="36" s="1"/>
  <c r="E131" i="3"/>
  <c r="E142"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F10" i="40"/>
  <c r="S10" i="40" s="1"/>
  <c r="C7" i="43"/>
  <c r="C5" i="43" s="1"/>
  <c r="D10" i="52"/>
  <c r="D125" i="9"/>
  <c r="D11" i="52" s="1"/>
  <c r="B7" i="74"/>
  <c r="C7" i="74" s="1"/>
  <c r="F67" i="39"/>
  <c r="F59" i="67"/>
  <c r="H7" i="37"/>
  <c r="AB7" i="37" s="1"/>
  <c r="T42" i="37" s="1"/>
  <c r="G42" i="37" s="1"/>
  <c r="H7" i="33"/>
  <c r="J7" i="33"/>
  <c r="D65" i="40"/>
  <c r="E63" i="40"/>
  <c r="F48" i="35"/>
  <c r="AA7" i="36"/>
  <c r="R36" i="36" s="1"/>
  <c r="AC7" i="37"/>
  <c r="F7" i="33"/>
  <c r="E58" i="21"/>
  <c r="AC7" i="36"/>
  <c r="V36" i="36" s="1"/>
  <c r="I36" i="36" s="1"/>
  <c r="W7" i="36"/>
  <c r="F7" i="37"/>
  <c r="M17" i="67"/>
  <c r="P28" i="43"/>
  <c r="B66" i="40" s="1"/>
  <c r="P25" i="43"/>
  <c r="C49" i="67"/>
  <c r="P29" i="43"/>
  <c r="P27" i="43"/>
  <c r="B70" i="39" s="1"/>
  <c r="C32" i="9"/>
  <c r="M11" i="67"/>
  <c r="J10" i="67" s="1"/>
  <c r="F11" i="15"/>
  <c r="M11" i="15"/>
  <c r="J10" i="15" s="1"/>
  <c r="F11" i="67"/>
  <c r="Q60" i="15"/>
  <c r="Q73" i="15"/>
  <c r="Q61" i="67"/>
  <c r="Q74" i="67"/>
  <c r="AE11" i="1"/>
  <c r="AE6" i="1"/>
  <c r="AE9" i="1"/>
  <c r="F27" i="68"/>
  <c r="AE7" i="1"/>
  <c r="AE8" i="1"/>
  <c r="AE12" i="1"/>
  <c r="AE10" i="1"/>
  <c r="C16" i="15"/>
  <c r="F41" i="67"/>
  <c r="G1" i="73"/>
  <c r="C16" i="67"/>
  <c r="R48" i="21" l="1"/>
  <c r="R49" i="21" s="1"/>
  <c r="F45" i="69"/>
  <c r="Q61" i="15"/>
  <c r="C29" i="69"/>
  <c r="D27" i="69" s="1"/>
  <c r="F1" i="15"/>
  <c r="Q52" i="15"/>
  <c r="D26" i="43"/>
  <c r="C25" i="43" s="1"/>
  <c r="E106" i="3"/>
  <c r="E406" i="3"/>
  <c r="E277" i="3"/>
  <c r="E568" i="3"/>
  <c r="E586" i="3"/>
  <c r="E180" i="3"/>
  <c r="E231" i="3"/>
  <c r="E143" i="3"/>
  <c r="E530" i="3"/>
  <c r="E162" i="3"/>
  <c r="E478" i="3"/>
  <c r="E31" i="3"/>
  <c r="E450" i="3"/>
  <c r="E193" i="3"/>
  <c r="E583" i="3"/>
  <c r="E290" i="3"/>
  <c r="E230" i="3"/>
  <c r="E151" i="3"/>
  <c r="E553" i="3"/>
  <c r="E166" i="3"/>
  <c r="P6" i="3"/>
  <c r="E32" i="3"/>
  <c r="E496" i="3"/>
  <c r="E262" i="3"/>
  <c r="E303" i="3"/>
  <c r="E298" i="3"/>
  <c r="E574" i="3"/>
  <c r="E317" i="3"/>
  <c r="E548" i="3"/>
  <c r="E257" i="3"/>
  <c r="E474" i="3"/>
  <c r="E82" i="3"/>
  <c r="E488" i="3"/>
  <c r="E374" i="3"/>
  <c r="E464" i="3"/>
  <c r="E520" i="3"/>
  <c r="E90" i="3"/>
  <c r="E364" i="3"/>
  <c r="E170" i="3"/>
  <c r="E178" i="3"/>
  <c r="E427" i="3"/>
  <c r="E232" i="3"/>
  <c r="E26" i="3"/>
  <c r="E525" i="3"/>
  <c r="E383" i="3"/>
  <c r="E513" i="3"/>
  <c r="E300" i="3"/>
  <c r="E536" i="3"/>
  <c r="E199" i="3"/>
  <c r="E449" i="3"/>
  <c r="E491" i="3"/>
  <c r="E192" i="3"/>
  <c r="E76" i="3"/>
  <c r="E64" i="3"/>
  <c r="E371" i="3"/>
  <c r="E33"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R6" i="3"/>
  <c r="I3" i="6"/>
  <c r="E417" i="3"/>
  <c r="E241" i="3"/>
  <c r="E59" i="3"/>
  <c r="E103" i="3"/>
  <c r="E492" i="3"/>
  <c r="E14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502" i="3"/>
  <c r="E37" i="3"/>
  <c r="E409" i="3"/>
  <c r="E23" i="3"/>
  <c r="E63" i="3"/>
  <c r="E198" i="3"/>
  <c r="E18" i="3"/>
  <c r="E34" i="3"/>
  <c r="E22" i="3"/>
  <c r="E405" i="3"/>
  <c r="E497" i="3"/>
  <c r="E115" i="3"/>
  <c r="E220" i="3"/>
  <c r="E158" i="3"/>
  <c r="E105" i="3"/>
  <c r="E422" i="3"/>
  <c r="E401" i="3"/>
  <c r="E276" i="3"/>
  <c r="E473" i="3"/>
  <c r="E234" i="3"/>
  <c r="E112" i="3"/>
  <c r="E62" i="3"/>
  <c r="E141" i="3"/>
  <c r="E58" i="3"/>
  <c r="E244"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541" i="3"/>
  <c r="E95" i="3"/>
  <c r="E467" i="3"/>
  <c r="E84" i="3"/>
  <c r="E81" i="3"/>
  <c r="E281" i="3"/>
  <c r="E96" i="3"/>
  <c r="E206" i="3"/>
  <c r="E205" i="3"/>
  <c r="E456" i="3"/>
  <c r="E13" i="3"/>
  <c r="E225" i="3"/>
  <c r="E324" i="3"/>
  <c r="E326" i="3"/>
  <c r="E393" i="3"/>
  <c r="E440" i="3"/>
  <c r="E463" i="3"/>
  <c r="E346" i="3"/>
  <c r="E15" i="3"/>
  <c r="E299" i="3"/>
  <c r="E123" i="3"/>
  <c r="E176" i="3"/>
  <c r="E552" i="3"/>
  <c r="E521" i="3"/>
  <c r="E312" i="3"/>
  <c r="E138" i="3"/>
  <c r="E19" i="3"/>
  <c r="E297" i="3"/>
  <c r="E341" i="3"/>
  <c r="E259" i="3"/>
  <c r="AD6" i="3"/>
  <c r="AC6" i="3" s="1"/>
  <c r="E154" i="3"/>
  <c r="E98" i="3"/>
  <c r="E136" i="3"/>
  <c r="E313" i="3"/>
  <c r="E288" i="3"/>
  <c r="E168" i="3"/>
  <c r="E93" i="3"/>
  <c r="E379" i="3"/>
  <c r="E547" i="3"/>
  <c r="E126" i="3"/>
  <c r="E29" i="3"/>
  <c r="E328" i="3"/>
  <c r="E97" i="3"/>
  <c r="E418" i="3"/>
  <c r="E304" i="3"/>
  <c r="E221" i="3"/>
  <c r="AN6" i="3"/>
  <c r="E434" i="3"/>
  <c r="E330" i="3"/>
  <c r="E344"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AA10" i="39"/>
  <c r="E139" i="3"/>
  <c r="E369" i="3"/>
  <c r="E94" i="3"/>
  <c r="E219" i="3"/>
  <c r="E275" i="3"/>
  <c r="E148" i="3"/>
  <c r="E246" i="3"/>
  <c r="E263" i="3"/>
  <c r="E535" i="3"/>
  <c r="E278" i="3"/>
  <c r="E335" i="3"/>
  <c r="E570" i="3"/>
  <c r="E247" i="3"/>
  <c r="AJ6" i="3"/>
  <c r="E217" i="3"/>
  <c r="E273" i="3"/>
  <c r="E28" i="3"/>
  <c r="E345" i="3"/>
  <c r="Z6" i="3"/>
  <c r="E368" i="3"/>
  <c r="E118" i="3"/>
  <c r="E487" i="3"/>
  <c r="E296" i="3"/>
  <c r="E200" i="3"/>
  <c r="E385" i="3"/>
  <c r="E191" i="3"/>
  <c r="E445" i="3"/>
  <c r="E69" i="3"/>
  <c r="E387" i="3"/>
  <c r="E514" i="3"/>
  <c r="E431" i="3"/>
  <c r="E322" i="3"/>
  <c r="E109" i="3"/>
  <c r="E211" i="3"/>
  <c r="E489" i="3"/>
  <c r="E400" i="3"/>
  <c r="E327" i="3"/>
  <c r="E227" i="3"/>
  <c r="E214" i="3"/>
  <c r="E468" i="3"/>
  <c r="E472" i="3"/>
  <c r="E228" i="3"/>
  <c r="E347" i="3"/>
  <c r="E350" i="3"/>
  <c r="E503" i="3"/>
  <c r="E380" i="3"/>
  <c r="E337" i="3"/>
  <c r="E175" i="3"/>
  <c r="E27" i="3"/>
  <c r="E515" i="3"/>
  <c r="E318" i="3"/>
  <c r="E571" i="3"/>
  <c r="E45" i="3"/>
  <c r="E336" i="3"/>
  <c r="E117" i="3"/>
  <c r="E294" i="3"/>
  <c r="E229" i="3"/>
  <c r="E366" i="3"/>
  <c r="E121" i="3"/>
  <c r="E448" i="3"/>
  <c r="E580" i="3"/>
  <c r="E429" i="3"/>
  <c r="E128" i="3"/>
  <c r="E254" i="3"/>
  <c r="E321" i="3"/>
  <c r="O6" i="3"/>
  <c r="E272" i="3"/>
  <c r="E411" i="3"/>
  <c r="E208" i="3"/>
  <c r="E532" i="3"/>
  <c r="E127" i="3"/>
  <c r="E459" i="3"/>
  <c r="E373" i="3"/>
  <c r="E149" i="3"/>
  <c r="E500" i="3"/>
  <c r="E460" i="3"/>
  <c r="E340" i="3"/>
  <c r="E38" i="3"/>
  <c r="E108" i="3"/>
  <c r="E543" i="3"/>
  <c r="E49" i="3"/>
  <c r="E420" i="3"/>
  <c r="E173" i="3"/>
  <c r="E235" i="3"/>
  <c r="E309" i="3"/>
  <c r="E267" i="3"/>
  <c r="AP6" i="3"/>
  <c r="J5" i="67"/>
  <c r="J24" i="67" s="1"/>
  <c r="AZ5" i="3"/>
  <c r="E3" i="6" s="1"/>
  <c r="P65" i="71"/>
  <c r="P66" i="71"/>
  <c r="D22" i="71"/>
  <c r="C21" i="71"/>
  <c r="E233" i="3"/>
  <c r="E67" i="3"/>
  <c r="E310" i="3"/>
  <c r="E160" i="3"/>
  <c r="E425" i="3"/>
  <c r="E389" i="3"/>
  <c r="E258" i="3"/>
  <c r="E56" i="3"/>
  <c r="E554" i="3"/>
  <c r="E430" i="3"/>
  <c r="E286" i="3"/>
  <c r="Q52" i="67"/>
  <c r="F59" i="15"/>
  <c r="U7" i="36"/>
  <c r="H10" i="40"/>
  <c r="AB10" i="40" s="1"/>
  <c r="J10" i="40"/>
  <c r="AC10" i="40" s="1"/>
  <c r="J10" i="39"/>
  <c r="W10" i="39" s="1"/>
  <c r="J5" i="15"/>
  <c r="J24" i="15" s="1"/>
  <c r="M17" i="15"/>
  <c r="AY6" i="3"/>
  <c r="AY87" i="3" s="1"/>
  <c r="C26" i="71"/>
  <c r="D26" i="71" s="1"/>
  <c r="D27" i="71"/>
  <c r="Q73" i="67"/>
  <c r="E249" i="3"/>
  <c r="E46" i="3"/>
  <c r="E484" i="3"/>
  <c r="E544" i="3"/>
  <c r="E292" i="3"/>
  <c r="E152" i="3"/>
  <c r="E479" i="3"/>
  <c r="E517" i="3"/>
  <c r="E255" i="3"/>
  <c r="E466" i="3"/>
  <c r="E499" i="3"/>
  <c r="E212" i="3"/>
  <c r="D36" i="71"/>
  <c r="T36" i="71"/>
  <c r="D56" i="71"/>
  <c r="T56" i="71"/>
  <c r="D44" i="71"/>
  <c r="T44" i="71"/>
  <c r="T40" i="71"/>
  <c r="D40" i="71"/>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3" i="3"/>
  <c r="AY51"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35" i="9"/>
  <c r="F41" i="15"/>
  <c r="M27" i="67"/>
  <c r="M27" i="15"/>
  <c r="AY34" i="3" l="1"/>
  <c r="H6" i="3"/>
  <c r="E6" i="3" s="1"/>
  <c r="G47" i="37"/>
  <c r="H47" i="37" s="1"/>
  <c r="F25" i="12"/>
  <c r="C26" i="12" s="1"/>
  <c r="D25" i="12" s="1"/>
  <c r="D14" i="12"/>
  <c r="D17" i="12" s="1"/>
  <c r="C17" i="12" s="1"/>
  <c r="D3" i="21"/>
  <c r="M18" i="9"/>
  <c r="B118" i="9" s="1"/>
  <c r="B1" i="74" s="1"/>
  <c r="C17" i="4"/>
  <c r="B4" i="52" s="1"/>
  <c r="B43" i="72" s="1"/>
  <c r="D3" i="33"/>
  <c r="E6" i="6"/>
  <c r="D3" i="34"/>
  <c r="D37" i="11"/>
  <c r="D19" i="11"/>
  <c r="C19" i="11" s="1"/>
  <c r="C20" i="11" s="1"/>
  <c r="C28" i="11" s="1"/>
  <c r="C27" i="11" s="1"/>
  <c r="D3" i="37"/>
  <c r="L18" i="9"/>
  <c r="D21" i="71"/>
  <c r="C20" i="71"/>
  <c r="F22" i="68"/>
  <c r="C23" i="68" s="1"/>
  <c r="AC10" i="39"/>
  <c r="W10" i="40"/>
  <c r="F22" i="11"/>
  <c r="C24" i="11" s="1"/>
  <c r="F24" i="67"/>
  <c r="C24" i="67" s="1"/>
  <c r="F24" i="15"/>
  <c r="C24" i="15" s="1"/>
  <c r="F22" i="69"/>
  <c r="F41" i="69"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4" i="67"/>
  <c r="C17" i="67"/>
  <c r="H21" i="6" l="1"/>
  <c r="E54" i="34"/>
  <c r="F54" i="34" s="1"/>
  <c r="D20" i="71"/>
  <c r="U20" i="71" s="1"/>
  <c r="C19" i="71"/>
  <c r="T20" i="71"/>
  <c r="C44" i="68"/>
  <c r="D41" i="68" s="1"/>
  <c r="C26" i="68"/>
  <c r="D22" i="68" s="1"/>
  <c r="F41" i="68"/>
  <c r="C25" i="11"/>
  <c r="C23" i="11"/>
  <c r="C22" i="11" s="1"/>
  <c r="C26" i="11"/>
  <c r="D22" i="11" s="1"/>
  <c r="C44" i="11"/>
  <c r="D41" i="11" s="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31" i="1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G48" i="21" s="1"/>
  <c r="J63" i="40"/>
  <c r="I65" i="40"/>
  <c r="K48" i="35"/>
  <c r="L48" i="35" s="1"/>
  <c r="M48" i="35" s="1"/>
  <c r="N48" i="35" s="1"/>
  <c r="O48" i="35" s="1"/>
  <c r="H7" i="35" s="1"/>
  <c r="C16" i="71" l="1"/>
  <c r="D17" i="71"/>
  <c r="W7" i="21"/>
  <c r="AA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L47" i="21" s="1"/>
  <c r="G42" i="35"/>
  <c r="H42" i="35" s="1"/>
  <c r="G43" i="35"/>
  <c r="H43" i="35" s="1"/>
  <c r="K65" i="40"/>
  <c r="L63" i="40"/>
  <c r="I42" i="35"/>
  <c r="J42" i="35" s="1"/>
  <c r="E53" i="21" l="1"/>
  <c r="F53" i="21" s="1"/>
  <c r="I53" i="21"/>
  <c r="J53" i="21" s="1"/>
  <c r="C14" i="71"/>
  <c r="D15" i="71"/>
  <c r="C51" i="21"/>
  <c r="C50"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8" i="1"/>
  <c r="AO12" i="1"/>
  <c r="AO7" i="1"/>
  <c r="AO9"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60" i="9"/>
  <c r="N61" i="9"/>
  <c r="B52" i="72"/>
  <c r="M48" i="9"/>
  <c r="M55" i="9"/>
  <c r="N59" i="9"/>
  <c r="N58" i="9"/>
  <c r="P57" i="9"/>
  <c r="D59" i="9"/>
  <c r="D52" i="9"/>
  <c r="D53" i="9"/>
  <c r="C6" i="74"/>
  <c r="B32" i="72"/>
  <c r="C5" i="74"/>
  <c r="B20" i="72"/>
  <c r="M54" i="9"/>
  <c r="H5" i="52"/>
  <c r="C105" i="9"/>
  <c r="I4" i="52"/>
  <c r="D8" i="52"/>
  <c r="G4" i="52"/>
  <c r="H108" i="9"/>
  <c r="D15" i="53"/>
  <c r="B31" i="72"/>
  <c r="E4" i="52"/>
  <c r="B48" i="72"/>
  <c r="B47" i="72"/>
  <c r="D55" i="9"/>
  <c r="M53" i="9"/>
  <c r="N57" i="9"/>
  <c r="H4" i="52"/>
  <c r="C104" i="9"/>
  <c r="H119" i="9"/>
  <c r="B49" i="72"/>
  <c r="C68" i="9"/>
  <c r="D54" i="9"/>
  <c r="B53" i="72"/>
  <c r="B30" i="72"/>
  <c r="D13" i="53"/>
  <c r="D14" i="53"/>
  <c r="H102" i="9"/>
  <c r="D7" i="53"/>
  <c r="B21" i="72"/>
  <c r="D5" i="53"/>
  <c r="D6" i="53"/>
  <c r="B22" i="72"/>
  <c r="E80" i="9"/>
  <c r="E81" i="9"/>
  <c r="D4" i="52"/>
  <c r="H107" i="9"/>
  <c r="D122" i="9"/>
  <c r="D123" i="9"/>
  <c r="D9" i="52"/>
  <c r="F119" i="9"/>
  <c r="F5" i="52"/>
  <c r="G118" i="9"/>
  <c r="F118" i="9"/>
  <c r="F4" i="52"/>
  <c r="B51" i="72"/>
  <c r="C97" i="9"/>
  <c r="D58" i="9"/>
  <c r="D56" i="9"/>
  <c r="C80" i="9"/>
  <c r="C72" i="9"/>
  <c r="C79" i="9"/>
  <c r="C81" i="9"/>
  <c r="C78" i="9"/>
  <c r="C73" i="9"/>
  <c r="C85" i="9"/>
  <c r="C95" i="9"/>
  <c r="C96" i="9"/>
  <c r="E96" i="9"/>
  <c r="E97" i="9"/>
  <c r="E118" i="9"/>
  <c r="D118" i="9"/>
  <c r="D119" i="9"/>
  <c r="D5" i="52"/>
  <c r="C93" i="9"/>
  <c r="C86"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<sst xmlns="http://schemas.openxmlformats.org/spreadsheetml/2006/main" count="7892" uniqueCount="3454">
  <si>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</si>
  <si>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</si>
  <si>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</si>
  <si>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</si>
  <si>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</si>
  <si>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</si>
  <si>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</si>
  <si>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</si>
  <si>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</si>
  <si>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</si>
  <si>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</si>
  <si>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</si>
  <si>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</si>
  <si>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</si>
  <si>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</si>
  <si>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</si>
  <si>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</si>
  <si>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</si>
  <si>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</si>
  <si>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</si>
  <si>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</si>
  <si>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</si>
  <si>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</si>
  <si>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</si>
  <si>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</si>
  <si>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</si>
  <si>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</si>
  <si>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</si>
  <si>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</si>
  <si>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</si>
  <si>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</si>
  <si>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</si>
  <si>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</si>
  <si>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</si>
  <si>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</si>
  <si>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</si>
  <si>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</si>
  <si>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</si>
  <si>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</si>
  <si>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</si>
  <si>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</si>
  <si>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</si>
  <si>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</si>
  <si>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</si>
  <si>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</si>
  <si>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</si>
  <si>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</si>
  <si>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</si>
  <si>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</si>
  <si>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</si>
  <si>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</si>
  <si>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</si>
  <si>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</si>
  <si>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</si>
  <si>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</si>
  <si>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</si>
  <si>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</si>
  <si>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</si>
  <si>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</si>
  <si>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</si>
  <si>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</si>
  <si>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</si>
  <si>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</si>
  <si>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</si>
  <si>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</si>
  <si>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</si>
  <si>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</si>
  <si>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</si>
  <si>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</si>
  <si>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</si>
  <si>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</si>
  <si>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</si>
  <si>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</si>
  <si>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</si>
  <si>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</si>
  <si>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</si>
  <si>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</si>
  <si>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</si>
  <si>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</si>
  <si>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</si>
  <si>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</si>
  <si>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</si>
  <si>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</si>
  <si>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</si>
  <si>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</si>
  <si>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</si>
  <si>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</si>
  <si>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</si>
  <si>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</si>
  <si>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</si>
  <si>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</si>
  <si>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</si>
  <si>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</si>
  <si>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</si>
  <si>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</si>
  <si>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</si>
  <si>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</si>
  <si>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</si>
  <si>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</si>
  <si>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</si>
  <si>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</si>
  <si>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</si>
  <si>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</si>
  <si>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</si>
  <si>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</si>
  <si>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</si>
  <si>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</si>
  <si>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</si>
  <si>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</si>
  <si>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</si>
  <si>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</si>
  <si>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</si>
  <si>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</si>
  <si>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</si>
  <si>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</si>
  <si>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</si>
  <si>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</si>
  <si>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</si>
  <si>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</si>
  <si>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</si>
  <si>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</si>
  <si>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</si>
  <si>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</si>
  <si>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</si>
  <si>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</si>
  <si>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</si>
  <si>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</si>
  <si>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</si>
  <si>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</si>
  <si>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</si>
  <si>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</si>
  <si>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</si>
  <si>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</si>
  <si>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</si>
  <si>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</si>
  <si>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</si>
  <si>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</si>
  <si>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</si>
  <si>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</si>
  <si>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</si>
  <si>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</si>
  <si>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</si>
  <si>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</si>
  <si>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</si>
  <si>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</si>
  <si>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</si>
  <si>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</si>
  <si>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</si>
  <si>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</si>
  <si>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</si>
  <si>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</si>
  <si>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</si>
  <si>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</si>
  <si>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</si>
  <si>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</si>
  <si>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</si>
  <si>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</si>
  <si>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</si>
  <si>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</si>
  <si>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</si>
  <si>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</si>
  <si>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</si>
  <si>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</si>
  <si>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</si>
  <si>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</si>
  <si>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</si>
  <si>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</si>
  <si>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</si>
  <si>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</si>
  <si>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</si>
  <si>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</si>
  <si>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</si>
  <si>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</si>
  <si>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</si>
  <si>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</si>
  <si>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</si>
  <si>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</si>
  <si>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</si>
  <si>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</si>
  <si>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</si>
  <si>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</si>
  <si>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</si>
  <si>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</si>
  <si>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</si>
  <si>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</si>
  <si>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</si>
  <si>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</si>
  <si>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</si>
  <si>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</si>
  <si>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</si>
  <si>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</si>
  <si>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</si>
  <si>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</si>
  <si>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</si>
  <si>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</si>
  <si>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</si>
  <si>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</si>
  <si>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</si>
  <si>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</si>
  <si>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</si>
  <si>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</si>
  <si>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</si>
  <si>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</si>
  <si>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</si>
  <si>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</si>
  <si>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</si>
  <si>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</si>
  <si>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</si>
  <si>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</si>
  <si>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</si>
  <si>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</si>
  <si>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</si>
  <si>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</si>
  <si>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</si>
  <si>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</si>
  <si>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</si>
  <si>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</si>
  <si>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</si>
  <si>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</si>
  <si>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</si>
  <si>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</si>
  <si>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</si>
  <si>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</si>
  <si>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</si>
  <si>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</si>
  <si>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</si>
  <si>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</si>
  <si>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</si>
  <si>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</si>
  <si>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</si>
  <si>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</si>
  <si>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</si>
  <si>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</si>
  <si>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</si>
  <si>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</si>
  <si>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</si>
  <si>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</si>
  <si>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</si>
  <si>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</si>
  <si>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</si>
  <si>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</si>
  <si>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</si>
  <si>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</si>
  <si>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</si>
  <si>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</si>
  <si>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</si>
  <si>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</si>
  <si>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</si>
  <si>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</si>
  <si>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</si>
  <si>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</si>
  <si>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</si>
  <si>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</si>
  <si>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</si>
  <si>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</si>
  <si>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</si>
  <si>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</si>
  <si>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</si>
  <si>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</si>
  <si>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</si>
  <si>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</si>
  <si>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</si>
  <si>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</si>
  <si>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</si>
  <si>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</si>
  <si>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</si>
  <si>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</si>
  <si>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</si>
  <si>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</si>
  <si>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</si>
  <si>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</si>
  <si>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</si>
  <si>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</si>
  <si>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</si>
  <si>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</si>
  <si>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</si>
  <si>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</si>
  <si>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</si>
  <si>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</si>
  <si>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</si>
  <si>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</si>
  <si>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</si>
  <si>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</si>
  <si>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</si>
  <si>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</si>
  <si>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</si>
  <si>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</si>
  <si>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</si>
  <si>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</si>
  <si>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</si>
  <si>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</si>
  <si>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</si>
  <si>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</si>
  <si>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</si>
  <si>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</si>
  <si>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</si>
  <si>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</si>
  <si>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</si>
  <si>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</si>
  <si>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</si>
  <si>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</si>
  <si>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</si>
  <si>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</si>
  <si>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</si>
  <si>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</si>
  <si>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</si>
  <si>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</si>
  <si>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</si>
  <si>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</si>
  <si>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</si>
  <si>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</si>
  <si>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</si>
  <si>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</si>
  <si>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</si>
  <si>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</si>
  <si>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</si>
  <si>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</si>
  <si>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</si>
  <si>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</si>
  <si>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</si>
  <si>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</si>
  <si>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</si>
  <si>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</si>
  <si>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</si>
  <si>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</si>
  <si>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</si>
  <si>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</si>
  <si>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</si>
  <si>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</si>
  <si>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</si>
  <si>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</si>
  <si>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</si>
  <si>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</si>
  <si>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</si>
  <si>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</si>
  <si>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</si>
  <si>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</si>
  <si>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</si>
  <si>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</si>
  <si>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</si>
  <si>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</si>
  <si>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</si>
  <si>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</si>
  <si>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</si>
  <si>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</si>
  <si>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</si>
  <si>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</si>
  <si>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</si>
  <si>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</si>
  <si>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</si>
  <si>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</si>
  <si>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</si>
  <si>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</si>
  <si>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</si>
  <si>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</si>
  <si>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</si>
  <si>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</si>
  <si>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</si>
  <si>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</si>
  <si>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</si>
  <si>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</si>
  <si>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</si>
  <si>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</si>
  <si>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</si>
  <si>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</si>
  <si>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</si>
  <si>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</si>
  <si>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</si>
  <si>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</si>
  <si>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</si>
  <si>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</si>
  <si>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</si>
  <si>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</si>
  <si>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</si>
  <si>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</si>
  <si>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</si>
  <si>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</si>
  <si>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</si>
  <si>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</si>
  <si>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</si>
  <si>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</si>
  <si>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</si>
  <si>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</si>
  <si>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</si>
  <si>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</si>
  <si>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</si>
  <si>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</si>
  <si>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</si>
  <si>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</si>
  <si>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</si>
  <si>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</si>
  <si>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</si>
  <si>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</si>
  <si>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</si>
  <si>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</si>
  <si>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</si>
  <si>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</si>
  <si>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</si>
  <si>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</si>
  <si>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</si>
  <si>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</si>
  <si>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</si>
  <si>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</si>
  <si>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</si>
  <si>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</si>
  <si>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</si>
  <si>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</si>
  <si>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</si>
  <si>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</si>
  <si>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</si>
  <si>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</si>
  <si>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</si>
  <si>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</si>
  <si>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</si>
  <si>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</si>
  <si>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</si>
  <si>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</si>
  <si>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</si>
  <si>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</si>
  <si>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</si>
  <si>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</si>
  <si>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</si>
  <si>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</si>
  <si>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</si>
  <si>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</si>
  <si>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</si>
  <si>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</si>
  <si>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</si>
  <si>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</si>
  <si>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</si>
  <si>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</si>
  <si>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</si>
  <si>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</si>
  <si>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</si>
  <si>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</si>
  <si>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</si>
  <si>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</si>
  <si>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</si>
  <si>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</si>
  <si>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</si>
  <si>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</si>
  <si>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</si>
  <si>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</si>
  <si>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</si>
  <si>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</si>
  <si>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</si>
  <si>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</si>
  <si>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</si>
  <si>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</si>
  <si>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</si>
  <si>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</si>
  <si>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</si>
  <si>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</si>
  <si>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</si>
  <si>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</si>
  <si>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</si>
  <si>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</si>
  <si>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</si>
  <si>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</si>
  <si>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</si>
  <si>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</si>
  <si>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</si>
  <si>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</si>
  <si>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</si>
  <si>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</si>
  <si>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</si>
  <si>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</si>
  <si>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</si>
  <si>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</si>
  <si>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</si>
  <si>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</si>
  <si>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</si>
  <si>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</si>
  <si>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</si>
  <si>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</si>
  <si>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</si>
  <si>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</si>
  <si>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</si>
  <si>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</si>
  <si>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</si>
  <si>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</si>
  <si>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</si>
  <si>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</si>
  <si>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</si>
  <si>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</si>
  <si>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</si>
  <si>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</si>
  <si>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</si>
  <si>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</si>
  <si>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</si>
  <si>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</si>
  <si>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</si>
  <si>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</si>
  <si>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</si>
  <si>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</si>
  <si>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</si>
  <si>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</si>
  <si>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</si>
  <si>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</si>
  <si>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</si>
  <si>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</si>
  <si>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</si>
  <si>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</si>
  <si>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</si>
  <si>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</si>
  <si>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</si>
  <si>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</si>
  <si>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</si>
  <si>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</si>
  <si>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</si>
  <si>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</si>
  <si>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</si>
  <si>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</si>
  <si>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</si>
  <si>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</si>
  <si>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</si>
  <si>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</si>
  <si>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</si>
  <si>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</si>
  <si>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</si>
  <si>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</si>
  <si>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</si>
  <si>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</si>
  <si>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</si>
  <si>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</si>
  <si>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</si>
  <si>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</si>
  <si>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</si>
  <si>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</si>
  <si>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</si>
  <si>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</si>
  <si>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</si>
  <si>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</si>
  <si>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</si>
  <si>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</si>
  <si>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</si>
  <si>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</si>
  <si>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</si>
  <si>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</si>
  <si>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</si>
  <si>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</si>
  <si>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</si>
  <si>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</si>
  <si>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</si>
  <si>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</si>
  <si>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</si>
  <si>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</si>
  <si>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</si>
  <si>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</si>
  <si>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</si>
  <si>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</si>
  <si>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</si>
  <si>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</si>
  <si>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</si>
  <si>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</si>
  <si>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</si>
  <si>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</si>
  <si>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</si>
  <si>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</si>
  <si>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</si>
  <si>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</si>
  <si>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</si>
  <si>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</si>
  <si>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</si>
  <si>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</si>
  <si>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</si>
  <si>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</si>
  <si>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</si>
  <si>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</si>
  <si>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</si>
  <si>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</si>
  <si>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</si>
  <si>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</si>
  <si>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</si>
  <si>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</si>
  <si>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</si>
  <si>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</si>
  <si>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</si>
  <si>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</si>
  <si>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</si>
  <si>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</si>
  <si>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</si>
  <si>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</si>
  <si>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</si>
  <si>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</si>
  <si>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</si>
  <si>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</si>
  <si>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</si>
  <si>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</si>
  <si>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</si>
  <si>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</si>
  <si>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</si>
  <si>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</si>
  <si>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</si>
  <si>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</si>
  <si>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</si>
  <si>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</si>
  <si>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</si>
  <si>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</si>
  <si>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</si>
  <si>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</si>
  <si>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</si>
  <si>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</si>
  <si>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</si>
  <si>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</si>
  <si>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</si>
  <si>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</si>
  <si>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</si>
  <si>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</si>
  <si>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</si>
  <si>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</si>
  <si>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</si>
  <si>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</si>
  <si>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</si>
  <si>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</si>
  <si>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</si>
  <si>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</si>
  <si>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</si>
  <si>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</si>
  <si>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</si>
  <si>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</si>
  <si>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</si>
  <si>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</si>
  <si>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</si>
  <si>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</si>
  <si>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</si>
  <si>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</si>
  <si>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</si>
  <si>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</si>
  <si>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</si>
  <si>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</si>
  <si>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</si>
  <si>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</si>
  <si>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</si>
  <si>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</si>
  <si>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</si>
  <si>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</si>
  <si>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</si>
  <si>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</si>
  <si>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</si>
  <si>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</si>
  <si>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</si>
  <si>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</si>
  <si>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</si>
  <si>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</si>
  <si>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</si>
  <si>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</si>
  <si>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</si>
  <si>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</si>
  <si>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</si>
  <si>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</si>
  <si>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</si>
  <si>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</si>
  <si>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</si>
  <si>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</si>
  <si>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</si>
  <si>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</si>
  <si>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</si>
  <si>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</si>
  <si>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</si>
  <si>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</si>
  <si>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</si>
  <si>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</si>
  <si>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</si>
  <si>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</si>
  <si>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</si>
  <si>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</si>
  <si>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</si>
  <si>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</si>
  <si>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</si>
  <si>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</si>
  <si>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</si>
  <si>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</si>
  <si>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</si>
  <si>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</si>
  <si>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</si>
  <si>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</si>
  <si>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</si>
  <si>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</si>
  <si>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</si>
  <si>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</si>
  <si>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</si>
  <si>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</si>
  <si>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</si>
  <si>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</si>
  <si>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</si>
  <si>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</si>
  <si>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</si>
  <si>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</si>
  <si>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</si>
  <si>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</si>
  <si>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</si>
  <si>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</si>
  <si>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</si>
  <si>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</si>
  <si>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</si>
  <si>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</si>
  <si>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</si>
  <si>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</si>
  <si>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</si>
  <si>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</si>
  <si>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</si>
  <si>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</si>
  <si>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</si>
  <si>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</si>
  <si>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</si>
  <si>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</si>
  <si>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</si>
  <si>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</si>
  <si>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</si>
  <si>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</si>
  <si>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</si>
  <si>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</si>
  <si>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</si>
  <si>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</si>
  <si>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</si>
  <si>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</si>
  <si>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</si>
  <si>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</si>
  <si>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</si>
  <si>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</si>
  <si>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</si>
  <si>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</si>
  <si>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</si>
  <si>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</si>
  <si>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</si>
  <si>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</si>
  <si>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</si>
  <si>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</si>
  <si>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</si>
  <si>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</si>
  <si>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</si>
  <si>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</si>
  <si>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</si>
  <si>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</si>
  <si>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</si>
  <si>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</si>
  <si>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</si>
  <si>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</si>
  <si>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</si>
  <si>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</si>
  <si>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</si>
  <si>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</si>
  <si>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</si>
  <si>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</si>
  <si>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</si>
  <si>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</si>
  <si>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</si>
  <si>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</si>
  <si>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</si>
  <si>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</si>
  <si>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</si>
  <si>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</si>
  <si>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</si>
  <si>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</si>
  <si>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</si>
  <si>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</si>
  <si>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</si>
  <si>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</si>
  <si>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</si>
  <si>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</si>
  <si>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</si>
  <si>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</si>
  <si>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</si>
  <si>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</si>
  <si>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</si>
  <si>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</si>
  <si>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</si>
  <si>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</si>
  <si>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</si>
  <si>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</si>
  <si>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</si>
  <si>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</si>
  <si>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</si>
  <si>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</si>
  <si>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</si>
  <si>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</si>
  <si>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</si>
  <si>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</si>
  <si>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</si>
  <si>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</si>
  <si>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</si>
  <si>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</si>
  <si>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</si>
  <si>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</si>
  <si>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</si>
  <si>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</si>
  <si>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</si>
  <si>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</si>
  <si>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</si>
  <si>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</si>
  <si>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</si>
  <si>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</si>
  <si>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</si>
  <si>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</si>
  <si>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</si>
  <si>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</si>
  <si>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</si>
  <si>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</si>
  <si>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</si>
  <si>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</si>
  <si>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</si>
  <si>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</si>
  <si>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</si>
  <si>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</si>
  <si>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</si>
  <si>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</si>
  <si>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</si>
  <si>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</si>
  <si>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</si>
  <si>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</si>
  <si>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</si>
  <si>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</si>
  <si>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</si>
  <si>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</si>
  <si>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</si>
  <si>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</si>
  <si>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</si>
  <si>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</si>
  <si>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</si>
  <si>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</si>
  <si>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</si>
  <si>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</si>
  <si>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</si>
  <si>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</si>
  <si>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</si>
  <si>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</si>
  <si>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</si>
  <si>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</si>
  <si>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</si>
  <si>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</si>
  <si>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</si>
  <si>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</si>
  <si>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</si>
  <si>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</si>
  <si>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</si>
  <si>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</si>
  <si>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</si>
  <si>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</si>
  <si>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</si>
  <si>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</si>
  <si>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</si>
  <si>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</si>
  <si>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</si>
  <si>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</si>
  <si>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</si>
  <si>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</si>
  <si>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</si>
  <si>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</si>
  <si>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</si>
  <si>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</si>
  <si>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</si>
  <si>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</si>
  <si>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</si>
  <si>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</si>
  <si>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</si>
  <si>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</si>
  <si>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</si>
  <si>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</si>
  <si>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</si>
  <si>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</si>
  <si>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</si>
  <si>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</si>
  <si>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</si>
  <si>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</si>
  <si>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</si>
  <si>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</si>
  <si>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</si>
  <si>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</si>
  <si>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</si>
  <si>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</si>
  <si>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</si>
  <si>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</si>
  <si>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</si>
  <si>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</si>
  <si>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</si>
  <si>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</si>
  <si>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</si>
  <si>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</si>
  <si>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</si>
  <si>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</si>
  <si>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</si>
  <si>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</si>
  <si>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</si>
  <si>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</si>
  <si>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</si>
  <si>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</si>
  <si>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</si>
  <si>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</si>
  <si>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</si>
  <si>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</si>
  <si>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</si>
  <si>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</si>
  <si>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</si>
  <si>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</si>
  <si>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</si>
  <si>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</si>
  <si>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</si>
  <si>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</si>
  <si>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</si>
  <si>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</si>
  <si>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</si>
  <si>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</si>
  <si>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</si>
  <si>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</si>
  <si>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</si>
  <si>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</si>
  <si>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</si>
  <si>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</si>
  <si>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</si>
  <si>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</si>
  <si>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</si>
  <si>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</si>
  <si>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</si>
  <si>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</si>
  <si>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</si>
  <si>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</si>
  <si>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</si>
  <si>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</si>
  <si>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</si>
  <si>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</si>
  <si>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</si>
  <si>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</si>
  <si>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</si>
  <si>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</si>
  <si>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</si>
  <si>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</si>
  <si>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</si>
  <si>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</si>
  <si>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</si>
  <si>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</si>
  <si>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</si>
  <si>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</si>
  <si>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</si>
  <si>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</si>
  <si>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</si>
  <si>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</si>
  <si>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</si>
  <si>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</si>
  <si>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</si>
  <si>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</si>
  <si>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</si>
  <si>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</si>
  <si>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</si>
  <si>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</si>
  <si>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</si>
  <si>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</si>
  <si>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</si>
  <si>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</si>
  <si>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</si>
  <si>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</si>
  <si>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</si>
  <si>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</si>
  <si>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</si>
  <si>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</si>
  <si>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</si>
  <si>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</si>
  <si>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</si>
  <si>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</si>
  <si>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</si>
  <si>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</si>
  <si>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</si>
  <si>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</si>
  <si>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</si>
  <si>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</si>
  <si>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</si>
  <si>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</si>
  <si>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</si>
  <si>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</si>
  <si>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</si>
  <si>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</si>
  <si>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</si>
  <si>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</si>
  <si>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</si>
  <si>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</si>
  <si>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</si>
  <si>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</si>
  <si>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</si>
  <si>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</si>
  <si>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</si>
  <si>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</si>
  <si>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</si>
  <si>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</si>
  <si>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</si>
  <si>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</si>
  <si>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</si>
  <si>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</si>
  <si>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</si>
  <si>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</si>
  <si>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</si>
  <si>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</si>
  <si>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</si>
  <si>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</si>
  <si>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</si>
  <si>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</si>
  <si>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</si>
  <si>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</si>
  <si>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</si>
  <si>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</si>
  <si>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</si>
  <si>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</si>
  <si>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</si>
  <si>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</si>
  <si>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</si>
  <si>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</si>
  <si>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</si>
  <si>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</si>
  <si>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</si>
  <si>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</si>
  <si>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</si>
  <si>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</si>
  <si>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</si>
  <si>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</si>
  <si>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</si>
  <si>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</si>
  <si>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</si>
  <si>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</si>
  <si>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</si>
  <si>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</si>
  <si>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</si>
  <si>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</si>
  <si>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</si>
  <si>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</si>
  <si>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</si>
  <si>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</si>
  <si>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</si>
  <si>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</si>
  <si>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</si>
  <si>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</si>
  <si>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</si>
  <si>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</si>
  <si>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</si>
  <si>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</si>
  <si>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</si>
  <si>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</si>
  <si>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</si>
  <si>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</si>
  <si>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</si>
  <si>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</si>
  <si>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</si>
  <si>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</si>
  <si>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</si>
  <si>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</si>
  <si>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</si>
  <si>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</si>
  <si>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</si>
  <si>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</si>
  <si>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</si>
  <si>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</si>
  <si>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</si>
  <si>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</si>
  <si>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</si>
  <si>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</si>
  <si>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</si>
  <si>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</si>
  <si>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</si>
  <si>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</si>
  <si>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</si>
  <si>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</si>
  <si>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</si>
  <si>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</si>
  <si>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</si>
  <si>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</si>
  <si>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</si>
  <si>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</si>
  <si>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</si>
  <si>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</si>
  <si>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</si>
  <si>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</si>
  <si>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</si>
  <si>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</si>
  <si>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</si>
  <si>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</si>
  <si>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</si>
  <si>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</si>
  <si>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</si>
  <si>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</si>
  <si>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</si>
  <si>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</si>
  <si>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</si>
  <si>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</si>
  <si>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</si>
  <si>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</si>
  <si>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</si>
  <si>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</si>
  <si>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</si>
  <si>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</si>
  <si>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</si>
  <si>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</si>
  <si>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</si>
  <si>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</si>
  <si>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</si>
  <si>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</si>
  <si>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</si>
  <si>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</si>
  <si>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</si>
  <si>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</si>
  <si>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</si>
  <si>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</si>
  <si>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</si>
  <si>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</si>
  <si>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</si>
  <si>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</si>
  <si>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</si>
  <si>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</si>
  <si>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</si>
  <si>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</si>
  <si>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</si>
  <si>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</si>
  <si>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</si>
  <si>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</si>
  <si>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</si>
  <si>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</si>
  <si>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</si>
  <si>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</si>
  <si>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</si>
  <si>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</si>
  <si>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</si>
  <si>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</si>
  <si>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</si>
  <si>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</si>
  <si>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</si>
  <si>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</si>
  <si>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</si>
  <si>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</si>
  <si>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</si>
  <si>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</si>
  <si>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</si>
  <si>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</si>
  <si>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</si>
  <si>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</si>
  <si>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</si>
  <si>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</si>
  <si>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</si>
  <si>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</si>
  <si>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</si>
  <si>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</si>
  <si>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</si>
  <si>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</si>
  <si>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</si>
  <si>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</si>
  <si>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</si>
  <si>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</si>
  <si>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</si>
  <si>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</si>
  <si>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</si>
  <si>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</si>
  <si>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</si>
  <si>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</si>
  <si>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</si>
  <si>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</si>
  <si>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</si>
  <si>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</si>
  <si>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</si>
  <si>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</si>
  <si>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</si>
  <si>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</si>
  <si>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</si>
  <si>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</si>
  <si>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</si>
  <si>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</si>
  <si>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</si>
  <si>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</si>
  <si>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</si>
  <si>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</si>
  <si>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</si>
  <si>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</si>
  <si>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</si>
  <si>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</si>
  <si>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</si>
  <si>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</si>
  <si>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</si>
  <si>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</si>
  <si>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</si>
  <si>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</si>
  <si>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</si>
  <si>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</si>
  <si>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</si>
  <si>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</si>
  <si>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</si>
  <si>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</si>
  <si>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</si>
  <si>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</si>
  <si>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</si>
  <si>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</si>
  <si>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</si>
  <si>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</si>
  <si>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</si>
  <si>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</si>
  <si>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</si>
  <si>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</si>
  <si>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</si>
  <si>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</si>
  <si>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</si>
  <si>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</si>
  <si>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</si>
  <si>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</si>
  <si>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</si>
  <si>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</si>
  <si>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</si>
  <si>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</si>
  <si>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</si>
  <si>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</si>
  <si>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</si>
  <si>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</si>
  <si>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</si>
  <si>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</si>
  <si>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</si>
  <si>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</si>
  <si>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</si>
  <si>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</si>
  <si>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</si>
  <si>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</si>
  <si>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</si>
  <si>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</si>
  <si>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</si>
  <si>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</si>
  <si>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</si>
  <si>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</si>
  <si>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</si>
  <si>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</si>
  <si>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</si>
  <si>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</si>
  <si>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</si>
  <si>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</si>
  <si>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</si>
  <si>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</si>
  <si>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</si>
  <si>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</si>
  <si>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</si>
  <si>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</si>
  <si>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</si>
  <si>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</si>
  <si>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</si>
  <si>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</si>
  <si>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</si>
  <si>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</si>
  <si>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</si>
  <si>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</si>
  <si>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</si>
  <si>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</si>
  <si>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</si>
  <si>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</si>
  <si>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</si>
  <si>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</si>
  <si>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</si>
  <si>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</si>
  <si>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</si>
  <si>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</si>
  <si>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</si>
  <si>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</si>
  <si>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</si>
  <si>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</si>
  <si>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</si>
  <si>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</si>
  <si>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</si>
  <si>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</si>
  <si>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</si>
  <si>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</si>
  <si>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</si>
  <si>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</si>
  <si>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</si>
  <si>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</si>
  <si>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</si>
  <si>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</si>
  <si>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</si>
  <si>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</si>
  <si>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</si>
  <si>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</si>
  <si>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</si>
  <si>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</si>
  <si>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</si>
  <si>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</si>
  <si>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</si>
  <si>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</si>
  <si>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</si>
  <si>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</si>
  <si>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</si>
  <si>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</si>
  <si>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</si>
  <si>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</si>
  <si>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</si>
  <si>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</si>
  <si>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</si>
  <si>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</si>
  <si>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</si>
  <si>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</si>
  <si>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</si>
  <si>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</si>
  <si>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</si>
  <si>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</si>
  <si>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</si>
  <si>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</si>
  <si>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</si>
  <si>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</si>
  <si>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</si>
  <si>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</si>
  <si>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</si>
  <si>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</si>
  <si>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</si>
  <si>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</si>
  <si>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</si>
  <si>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</si>
  <si>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</si>
  <si>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</si>
  <si>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</si>
  <si>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</si>
  <si>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</si>
  <si>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</si>
  <si>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</si>
  <si>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</si>
  <si>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</si>
  <si>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</si>
  <si>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</si>
  <si>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</si>
  <si>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</si>
  <si>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</si>
  <si>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</si>
  <si>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</si>
  <si>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</si>
  <si>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</si>
  <si>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</si>
  <si>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</si>
  <si>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</si>
  <si>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</si>
  <si>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</si>
  <si>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</si>
  <si>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</si>
  <si>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</si>
  <si>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</si>
  <si>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</si>
  <si>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</si>
  <si>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</si>
  <si>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</si>
  <si>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</si>
  <si>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</si>
  <si>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</si>
  <si>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</si>
  <si>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</si>
  <si>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</si>
  <si>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</si>
  <si>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</si>
  <si>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</si>
  <si>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</si>
  <si>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</si>
  <si>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</si>
  <si>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</si>
  <si>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</si>
  <si>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</si>
  <si>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</si>
  <si>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</si>
  <si>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</si>
  <si>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</si>
  <si>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</si>
  <si>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</si>
  <si>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</si>
  <si>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</si>
  <si>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</si>
  <si>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</si>
  <si>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</si>
  <si>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</si>
  <si>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</si>
  <si>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</si>
  <si>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</si>
  <si>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</si>
  <si>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</si>
  <si>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</si>
  <si>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</si>
  <si>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</si>
  <si>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</si>
  <si>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</si>
  <si>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</si>
  <si>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</si>
  <si>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</si>
  <si>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</si>
  <si>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</si>
  <si>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</si>
  <si>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</si>
  <si>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</si>
  <si>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</si>
  <si>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</si>
  <si>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</si>
  <si>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</si>
  <si>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</si>
  <si>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</si>
  <si>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</si>
  <si>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</si>
  <si>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</si>
  <si>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</si>
  <si>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</si>
  <si>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</si>
  <si>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</si>
  <si>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</si>
  <si>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</si>
  <si>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</si>
  <si>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</si>
  <si>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</si>
  <si>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</si>
  <si>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</si>
  <si>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</si>
  <si>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</si>
  <si>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</si>
  <si>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</si>
  <si>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</si>
  <si>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</si>
  <si>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</si>
  <si>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</si>
  <si>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</si>
  <si>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</si>
  <si>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</si>
  <si>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</si>
  <si>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</si>
  <si>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</si>
  <si>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</si>
  <si>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</si>
  <si>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</si>
  <si>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</si>
  <si>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</si>
  <si>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</si>
  <si>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</si>
  <si>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</si>
  <si>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</si>
  <si>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</si>
  <si>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</si>
  <si>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</si>
  <si>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</si>
  <si>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</si>
  <si>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</si>
  <si>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</si>
  <si>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</si>
  <si>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</si>
  <si>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</si>
  <si>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</si>
  <si>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</si>
  <si>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</si>
  <si>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</si>
  <si>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</si>
  <si>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</si>
  <si>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</si>
  <si>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</si>
  <si>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</si>
  <si>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</si>
  <si>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</si>
  <si>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</si>
  <si>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</si>
  <si>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</si>
  <si>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</si>
  <si>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</si>
  <si>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</si>
  <si>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</si>
  <si>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</si>
  <si>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</si>
  <si>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</si>
  <si>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</si>
  <si>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</si>
  <si>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</si>
  <si>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</si>
  <si>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</si>
  <si>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</si>
  <si>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</si>
  <si>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</si>
  <si>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</si>
  <si>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</si>
  <si>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</si>
  <si>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</si>
  <si>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</si>
  <si>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</si>
  <si>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</si>
  <si>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</si>
  <si>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</si>
  <si>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</si>
  <si>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</si>
  <si>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</si>
  <si>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</si>
  <si>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</si>
  <si>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</si>
  <si>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</si>
  <si>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</si>
  <si>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</si>
  <si>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</si>
  <si>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</si>
  <si>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</si>
  <si>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</si>
  <si>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</si>
  <si>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</si>
  <si>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</si>
  <si>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</si>
  <si>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</si>
  <si>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</si>
  <si>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</si>
  <si>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</si>
  <si>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</si>
  <si>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</si>
  <si>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</si>
  <si>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</si>
  <si>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</si>
  <si>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</si>
  <si>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</si>
  <si>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</si>
  <si>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</si>
  <si>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</si>
  <si>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</si>
  <si>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</si>
  <si>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</si>
  <si>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</si>
  <si>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</si>
  <si>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</si>
  <si>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</si>
  <si>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</si>
  <si>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</si>
  <si>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</si>
  <si>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</si>
  <si>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</si>
  <si>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</si>
  <si>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</si>
  <si>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</si>
  <si>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</si>
  <si>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</si>
  <si>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</si>
  <si>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</si>
  <si>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</si>
  <si>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</si>
  <si>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</si>
  <si>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</si>
  <si>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</si>
  <si>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</si>
  <si>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</si>
  <si>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</si>
  <si>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</si>
  <si>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</si>
  <si>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</si>
  <si>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</si>
  <si>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</si>
  <si>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</si>
  <si>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</si>
  <si>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</si>
  <si>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</si>
  <si>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</si>
  <si>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</si>
  <si>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</si>
  <si>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</si>
  <si>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</si>
  <si>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</si>
  <si>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</si>
  <si>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</si>
  <si>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</si>
  <si>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</si>
  <si>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</si>
  <si>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</si>
  <si>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</si>
  <si>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</si>
  <si>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</si>
  <si>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</si>
  <si>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</si>
  <si>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</si>
  <si>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</si>
  <si>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</si>
  <si>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</si>
  <si>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</si>
  <si>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</si>
  <si>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</si>
  <si>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</si>
  <si>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</si>
  <si>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</si>
  <si>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</si>
  <si>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</si>
  <si>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</si>
  <si>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</si>
  <si>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</si>
  <si>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</si>
  <si>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</si>
  <si>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</si>
  <si>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</si>
  <si>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</si>
  <si>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</si>
  <si>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</si>
  <si>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</si>
  <si>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</si>
  <si>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</si>
  <si>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</si>
  <si>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</si>
  <si>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</si>
  <si>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</si>
  <si>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</si>
  <si>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</si>
  <si>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</si>
  <si>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</si>
  <si>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</si>
  <si>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</si>
  <si>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</si>
  <si>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</si>
  <si>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</si>
  <si>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</si>
  <si>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</si>
  <si>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</si>
  <si>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</si>
  <si>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</si>
  <si>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</si>
  <si>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</si>
  <si>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</si>
  <si>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</si>
  <si>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</si>
  <si>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</si>
  <si>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</si>
  <si>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</si>
  <si>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</si>
  <si>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</si>
  <si>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</si>
  <si>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</si>
  <si>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</si>
  <si>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</si>
  <si>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</si>
  <si>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</si>
  <si>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</si>
  <si>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</si>
  <si>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</si>
  <si>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</si>
  <si>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</si>
  <si>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</si>
  <si>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</si>
  <si>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</si>
  <si>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</si>
  <si>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</si>
  <si>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</si>
  <si>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</si>
  <si>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</si>
  <si>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</si>
  <si>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</si>
  <si>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</si>
  <si>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</si>
  <si>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</si>
  <si>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</si>
  <si>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</si>
  <si>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</si>
  <si>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</si>
  <si>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</si>
  <si>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</si>
  <si>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</si>
  <si>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</si>
  <si>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</si>
  <si>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</si>
  <si>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</si>
  <si>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</si>
  <si>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</si>
  <si>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</si>
  <si>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</si>
  <si>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</si>
  <si>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</si>
  <si>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</si>
  <si>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</si>
  <si>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</si>
  <si>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</si>
  <si>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</si>
  <si>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</si>
  <si>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</si>
  <si>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</si>
  <si>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</si>
  <si>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</si>
  <si>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</si>
  <si>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</si>
  <si>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</si>
  <si>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</si>
  <si>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</si>
  <si>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</si>
  <si>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</si>
  <si>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</si>
  <si>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</si>
  <si>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</si>
  <si>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</si>
  <si>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</si>
  <si>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</si>
  <si>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</si>
  <si>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</si>
  <si>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</si>
  <si>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</si>
  <si>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</si>
  <si>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</si>
  <si>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</si>
  <si>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</si>
  <si>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</si>
  <si>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</si>
  <si>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</si>
  <si>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</si>
  <si>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</si>
  <si>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</si>
  <si>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</si>
  <si>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</si>
  <si>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</si>
  <si>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</si>
  <si>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</si>
  <si>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</si>
  <si>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</si>
  <si>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</si>
  <si>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</si>
  <si>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</si>
  <si>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</si>
  <si>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</si>
  <si>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</si>
  <si>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</si>
  <si>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</si>
  <si>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</si>
  <si>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</si>
  <si>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</si>
  <si>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</si>
  <si>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</si>
  <si>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</si>
  <si>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</si>
  <si>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</si>
  <si>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</si>
  <si>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</si>
  <si>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</si>
  <si>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</si>
  <si>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</si>
  <si>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</si>
  <si>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</si>
  <si>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</si>
  <si>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</si>
  <si>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</si>
  <si>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</si>
  <si>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</si>
  <si>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</si>
  <si>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</si>
  <si>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</si>
  <si>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</si>
  <si>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</si>
  <si>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</si>
  <si>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</si>
  <si>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</si>
  <si>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</si>
  <si>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</si>
  <si>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</si>
  <si>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</si>
  <si>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</si>
  <si>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</si>
  <si>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</si>
  <si>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</si>
  <si>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</si>
  <si>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</si>
  <si>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</si>
  <si>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</si>
  <si>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</si>
  <si>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</si>
  <si>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</si>
  <si>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</si>
  <si>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</si>
  <si>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</si>
  <si>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</si>
  <si>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</si>
  <si>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</si>
  <si>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</si>
  <si>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</si>
  <si>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</si>
  <si>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</si>
  <si>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</si>
  <si>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</si>
  <si>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</si>
  <si>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</si>
  <si>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</si>
  <si>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</si>
  <si>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</si>
  <si>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</si>
  <si>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</si>
  <si>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</si>
  <si>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</si>
  <si>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</si>
  <si>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</si>
  <si>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</si>
  <si>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</si>
  <si>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</si>
  <si>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</si>
  <si>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</si>
  <si>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</si>
  <si>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</si>
  <si>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</si>
  <si>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</si>
  <si>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</si>
  <si>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</si>
  <si>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</si>
  <si>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</si>
  <si>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</si>
  <si>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</si>
  <si>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</si>
  <si>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</si>
  <si>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</si>
  <si>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</si>
  <si>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</si>
  <si>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</si>
  <si>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</si>
  <si>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</si>
  <si>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</si>
  <si>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</si>
  <si>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</si>
  <si>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</si>
  <si>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</si>
  <si>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</si>
  <si>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</si>
  <si>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</si>
  <si>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</si>
  <si>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</si>
  <si>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</si>
  <si>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</si>
  <si>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</si>
  <si>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</si>
  <si>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</si>
  <si>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</si>
  <si>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</si>
  <si>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</si>
  <si>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</si>
  <si>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</si>
  <si>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</si>
  <si>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</si>
  <si>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</si>
  <si>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</si>
  <si>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</si>
  <si>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</si>
  <si>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</si>
  <si>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</si>
  <si>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</si>
  <si>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</si>
  <si>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</si>
  <si>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</si>
  <si>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</si>
  <si>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</si>
  <si>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</si>
  <si>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</si>
  <si>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</si>
  <si>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</si>
  <si>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</si>
  <si>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</si>
  <si>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</si>
  <si>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</si>
  <si>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</si>
  <si>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</si>
  <si>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</si>
  <si>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</si>
  <si>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</si>
  <si>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</si>
  <si>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</si>
  <si>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</si>
  <si>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</si>
  <si>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</si>
  <si>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</si>
  <si>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</si>
  <si>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</si>
  <si>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</si>
  <si>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</si>
  <si>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</si>
  <si>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</si>
  <si>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</si>
  <si>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</si>
  <si>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</si>
  <si>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</si>
  <si>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</si>
  <si>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</si>
  <si>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</si>
  <si>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</si>
  <si>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</si>
  <si>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</si>
  <si>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</si>
  <si>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</si>
  <si>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</si>
  <si>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</si>
  <si>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</si>
  <si>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</si>
  <si>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</si>
  <si>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</si>
  <si>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</si>
  <si>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</si>
  <si>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</si>
  <si>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</si>
  <si>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</si>
  <si>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</si>
  <si>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</si>
  <si>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</si>
  <si>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</si>
  <si>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</si>
  <si>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</si>
  <si>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</si>
  <si>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</si>
  <si>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</si>
  <si>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</si>
  <si>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</si>
  <si>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</si>
  <si>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</si>
  <si>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</si>
  <si>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</si>
  <si>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</si>
  <si>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</si>
  <si>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</si>
  <si>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</si>
  <si>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</si>
  <si>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</si>
  <si>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</si>
  <si>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</si>
  <si>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</si>
  <si>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</si>
  <si>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</si>
  <si>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</si>
  <si>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</si>
  <si>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</si>
  <si>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</si>
  <si>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</si>
  <si>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</si>
  <si>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</si>
  <si>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</si>
  <si>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</si>
  <si>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</si>
  <si>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</si>
  <si>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</si>
  <si>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</si>
  <si>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</si>
  <si>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</si>
  <si>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</si>
  <si>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</si>
  <si>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</si>
  <si>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</si>
  <si>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</si>
  <si>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</si>
  <si>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</si>
  <si>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</si>
  <si>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</si>
  <si>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</si>
  <si>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</si>
  <si>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</si>
  <si>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</si>
  <si>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</si>
  <si>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</si>
  <si>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</si>
  <si>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</si>
  <si>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</si>
  <si>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</si>
  <si>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</si>
  <si>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</si>
  <si>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</si>
  <si>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</si>
  <si>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</si>
  <si>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</si>
  <si>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</si>
  <si>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</si>
  <si>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</si>
  <si>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</si>
  <si>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</si>
  <si>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</si>
  <si>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</si>
  <si>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</si>
  <si>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</si>
  <si>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</si>
  <si>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</si>
  <si>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</si>
  <si>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</si>
  <si>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</si>
  <si>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</si>
  <si>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</si>
  <si>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</si>
  <si>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</si>
  <si>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</si>
  <si>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</si>
  <si>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</si>
  <si>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</si>
  <si>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</si>
  <si>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</si>
  <si>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</si>
  <si>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</si>
  <si>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</si>
  <si>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</si>
  <si>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</si>
  <si>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</si>
  <si>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</si>
  <si>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</si>
  <si>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</si>
  <si>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</si>
  <si>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</si>
  <si>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</si>
  <si>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</si>
  <si>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</si>
  <si>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</si>
  <si>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</si>
  <si>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</si>
  <si>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</si>
  <si>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</si>
  <si>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</si>
  <si>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</si>
  <si>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</si>
  <si>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</si>
  <si>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</si>
  <si>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</si>
  <si>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</si>
  <si>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</si>
  <si>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</si>
  <si>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</si>
  <si>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</si>
  <si>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</si>
  <si>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</si>
  <si>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</si>
  <si>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</si>
  <si>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</si>
  <si>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</si>
  <si>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</si>
  <si>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</si>
  <si>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</si>
  <si>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</si>
  <si>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</si>
  <si>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</si>
  <si>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</si>
  <si>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</si>
  <si>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</si>
  <si>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</si>
  <si>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</si>
  <si>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</si>
  <si>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</si>
  <si>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</si>
  <si>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</si>
  <si>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</si>
  <si>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</si>
  <si>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</si>
  <si>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</si>
  <si>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</si>
  <si>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</si>
  <si>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</si>
  <si>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</si>
  <si>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</si>
  <si>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</si>
  <si>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</si>
  <si>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</si>
  <si>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</si>
  <si>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</si>
  <si>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</si>
  <si>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</si>
  <si>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</si>
  <si>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</si>
  <si>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</si>
  <si>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</si>
  <si>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</si>
  <si>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</si>
  <si>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</si>
  <si>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</si>
  <si>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</si>
  <si>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</si>
  <si>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</si>
  <si>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</si>
  <si>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</si>
  <si>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</si>
  <si>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</si>
  <si>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</si>
  <si>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</si>
  <si>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</si>
  <si>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</si>
  <si>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</si>
  <si>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</si>
  <si>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</si>
  <si>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</si>
  <si>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</si>
  <si>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</si>
  <si>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</si>
  <si>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</si>
  <si>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</si>
  <si>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</si>
  <si>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</si>
  <si>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</si>
  <si>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</si>
  <si>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</si>
  <si>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</si>
  <si>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</si>
  <si>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</si>
  <si>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</si>
  <si>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</si>
  <si>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</si>
  <si>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</si>
  <si>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</si>
  <si>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</si>
  <si>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</si>
  <si>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</si>
  <si>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</si>
  <si>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</si>
  <si>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</si>
  <si>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</si>
  <si>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</si>
  <si>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</si>
  <si>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</si>
  <si>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</si>
  <si>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</si>
  <si>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</si>
  <si>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</si>
  <si>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</si>
  <si>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</si>
  <si>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</si>
  <si>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</si>
  <si>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</si>
  <si>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</si>
  <si>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</si>
  <si>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</si>
  <si>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</si>
  <si>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</si>
  <si>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</si>
  <si>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</si>
  <si>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</si>
  <si>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</si>
  <si>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</si>
  <si>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</si>
  <si>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</si>
  <si>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</si>
  <si>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</si>
  <si>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</si>
  <si>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</si>
  <si>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</si>
  <si>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</si>
  <si>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</si>
  <si>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</si>
  <si>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</si>
  <si>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</si>
  <si>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</si>
  <si>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</si>
  <si>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</si>
  <si>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</si>
  <si>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</si>
  <si>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</si>
  <si>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</si>
  <si>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</si>
  <si>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</si>
  <si>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</si>
  <si>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</si>
  <si>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</si>
  <si>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</si>
  <si>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</si>
  <si>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</si>
  <si>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</si>
  <si>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</si>
  <si>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</si>
  <si>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</si>
  <si>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</si>
  <si>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</si>
  <si>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</si>
  <si>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</si>
  <si>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</si>
  <si>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</si>
  <si>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</si>
  <si>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</si>
  <si>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</si>
  <si>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</si>
  <si>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</si>
  <si>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</si>
  <si>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</si>
  <si>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</si>
  <si>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</si>
  <si>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</si>
  <si>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</si>
  <si>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</si>
  <si>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</si>
  <si>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</si>
  <si>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</si>
  <si>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</si>
  <si>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</si>
  <si>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</si>
  <si>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</si>
  <si>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</si>
  <si>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</si>
  <si>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</si>
  <si>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</si>
  <si>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</si>
  <si>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</si>
  <si>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</si>
  <si>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</si>
  <si>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</si>
  <si>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</si>
  <si>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</si>
  <si>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</si>
  <si>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</si>
  <si>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</si>
  <si>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</si>
  <si>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</si>
  <si>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</si>
  <si>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</si>
  <si>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</si>
  <si>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</si>
  <si>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</si>
  <si>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</si>
  <si>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</si>
  <si>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</si>
  <si>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</si>
  <si>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</si>
  <si>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</si>
  <si>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</si>
  <si>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</si>
  <si>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</si>
  <si>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</si>
  <si>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</si>
  <si>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</si>
  <si>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</si>
  <si>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</si>
  <si>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</si>
  <si>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</si>
  <si>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</si>
  <si>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</si>
  <si>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</si>
  <si>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</si>
  <si>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</si>
  <si>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</si>
  <si>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</si>
  <si>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</si>
  <si>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</si>
  <si>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</si>
  <si>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</si>
  <si>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</si>
  <si>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</si>
  <si>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</si>
  <si>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</si>
  <si>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</si>
  <si>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</si>
  <si>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</si>
  <si>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</si>
  <si>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</si>
  <si>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</si>
  <si>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</si>
  <si>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</si>
  <si>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</si>
  <si>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</si>
  <si>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</si>
  <si>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</si>
  <si>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</si>
  <si>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</si>
  <si>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</si>
  <si>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</si>
  <si>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</si>
  <si>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</si>
  <si>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</si>
  <si>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</si>
  <si>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</si>
  <si>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</si>
  <si>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</si>
  <si>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</si>
  <si>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</si>
  <si>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</si>
  <si>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</si>
  <si>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</si>
  <si>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</si>
  <si>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</si>
  <si>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</si>
  <si>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</si>
  <si>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</si>
  <si>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</si>
  <si>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</si>
  <si>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</si>
  <si>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</si>
  <si>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</si>
  <si>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</si>
  <si>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</si>
  <si>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</si>
  <si>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</si>
  <si>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</si>
  <si>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</si>
  <si>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</si>
  <si>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</si>
  <si>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</si>
  <si>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</si>
  <si>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</si>
  <si>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</si>
  <si>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</si>
  <si>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</si>
  <si>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</si>
  <si>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</si>
  <si>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</si>
  <si>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</si>
  <si>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</si>
  <si>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</si>
  <si>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</si>
  <si>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</si>
  <si>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</si>
  <si>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</si>
  <si>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</si>
  <si>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</si>
  <si>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</si>
  <si>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</si>
  <si>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</si>
  <si>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</si>
  <si>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</si>
  <si>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</si>
  <si>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</si>
  <si>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</si>
  <si>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</si>
  <si>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</si>
  <si>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</si>
  <si>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</si>
  <si>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</si>
  <si>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</si>
  <si>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</si>
  <si>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</si>
  <si>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</si>
  <si>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</si>
  <si>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</si>
  <si>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</si>
  <si>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</si>
  <si>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</si>
  <si>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</si>
  <si>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</si>
  <si>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</si>
  <si>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</si>
  <si>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</si>
  <si>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</si>
  <si>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</si>
  <si>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</si>
  <si>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</si>
  <si>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</si>
  <si>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</si>
  <si>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</si>
  <si>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</si>
  <si>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</si>
  <si>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</si>
  <si>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</si>
  <si>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</si>
  <si>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</si>
  <si>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</si>
  <si>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</si>
  <si>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</si>
  <si>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</si>
  <si>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</si>
  <si>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</si>
  <si>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</si>
  <si>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</si>
  <si>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</si>
  <si>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</si>
  <si>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</si>
  <si>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</si>
  <si>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</si>
  <si>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</si>
  <si>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</si>
  <si>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</si>
  <si>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</si>
  <si>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</si>
  <si>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</si>
  <si>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</si>
  <si>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</si>
  <si>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</si>
  <si>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</si>
  <si>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</si>
  <si>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</si>
  <si>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</si>
  <si>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</si>
  <si>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</si>
  <si>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</si>
  <si>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</si>
  <si>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</si>
  <si>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</si>
  <si>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</si>
  <si>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</si>
  <si>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</si>
  <si>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</si>
  <si>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</si>
  <si>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</si>
  <si>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</si>
  <si>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</si>
  <si>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</si>
  <si>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</si>
  <si>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</si>
  <si>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</si>
  <si>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</si>
  <si>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</si>
  <si>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</si>
  <si>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</si>
  <si>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</si>
  <si>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</si>
  <si>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</si>
  <si>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</si>
  <si>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</si>
  <si>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</si>
  <si>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</si>
  <si>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</si>
  <si>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</si>
  <si>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</si>
  <si>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</si>
  <si>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</si>
  <si>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</si>
  <si>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</si>
  <si>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</si>
  <si>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</si>
  <si>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</si>
  <si>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</si>
  <si>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</si>
  <si>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</si>
  <si>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</si>
  <si>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</si>
  <si>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</si>
  <si>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</si>
  <si>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</si>
  <si>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</si>
  <si>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</si>
  <si>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</si>
  <si>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</si>
  <si>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</si>
  <si>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</si>
  <si>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</si>
  <si>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</si>
  <si>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</si>
  <si>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</si>
  <si>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</si>
  <si>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</si>
  <si>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</si>
  <si>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</si>
  <si>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</si>
  <si>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</si>
  <si>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</si>
  <si>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</si>
  <si>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</si>
  <si>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</si>
  <si>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</si>
  <si>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</si>
  <si>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</si>
  <si>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</si>
  <si>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</si>
  <si>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</si>
  <si>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</si>
  <si>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</si>
  <si>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</si>
  <si>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</si>
  <si>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</si>
  <si>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</si>
  <si>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</si>
  <si>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</si>
  <si>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</si>
  <si>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</si>
  <si>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</si>
  <si>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</si>
  <si>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</si>
  <si>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</si>
  <si>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</si>
  <si>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</si>
  <si>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</si>
  <si>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</si>
  <si>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</si>
  <si>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</si>
  <si>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</si>
  <si>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</si>
  <si>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</si>
  <si>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</si>
  <si>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</si>
  <si>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</si>
  <si>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</si>
  <si>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</si>
  <si>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</si>
  <si>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</si>
  <si>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</si>
  <si>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</si>
  <si>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</si>
  <si>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</si>
  <si>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</si>
  <si>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</si>
  <si>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</si>
  <si>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</si>
  <si>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</si>
  <si>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</si>
  <si>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</si>
  <si>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</si>
  <si>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</si>
  <si>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</si>
  <si>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</si>
  <si>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</si>
  <si>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</si>
  <si>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</si>
  <si>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</si>
  <si>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</si>
  <si>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</si>
  <si>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</si>
  <si>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</si>
  <si>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</si>
  <si>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</si>
  <si>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</si>
  <si>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</si>
  <si>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</si>
  <si>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</si>
  <si>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</si>
  <si>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</si>
  <si>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</si>
  <si>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</si>
  <si>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</si>
  <si>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</si>
  <si>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</si>
  <si>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</si>
  <si>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</si>
  <si>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</si>
  <si>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</si>
  <si>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</si>
  <si>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</si>
  <si>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</si>
  <si>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</si>
  <si>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</si>
  <si>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</si>
  <si>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</si>
  <si>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</si>
  <si>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</si>
  <si>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</si>
  <si>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</si>
  <si>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</si>
  <si>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</si>
  <si>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</si>
  <si>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</si>
  <si>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</si>
  <si>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</si>
  <si>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</si>
  <si>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</si>
  <si>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</si>
  <si>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</si>
  <si>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</si>
  <si>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</si>
  <si>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</si>
  <si>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</si>
  <si>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</si>
  <si>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</si>
  <si>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</si>
  <si>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</si>
  <si>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</si>
  <si>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</si>
  <si>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</si>
  <si>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</si>
  <si>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</si>
  <si>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</si>
  <si>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</si>
  <si>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</si>
  <si>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</si>
  <si>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</si>
  <si>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</si>
  <si>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</si>
  <si>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</si>
  <si>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</si>
  <si>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</si>
  <si>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</si>
  <si>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</si>
  <si>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</si>
  <si>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</si>
  <si>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</si>
  <si>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</si>
  <si>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</si>
  <si>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</si>
  <si>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</si>
  <si>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</si>
  <si>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</si>
  <si>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</si>
  <si>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</si>
  <si>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</si>
  <si>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</si>
  <si>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</si>
  <si>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</si>
  <si>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</si>
  <si>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</si>
  <si>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</si>
  <si>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</si>
  <si>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</si>
  <si>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</si>
  <si>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</si>
  <si>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</si>
  <si>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</si>
  <si>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</si>
  <si>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</si>
  <si>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</si>
  <si>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</si>
  <si>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</si>
  <si>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</si>
  <si>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</si>
  <si>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</si>
  <si>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</si>
  <si>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</si>
  <si>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</si>
  <si>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</si>
  <si>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</si>
  <si>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</si>
  <si>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</si>
  <si>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</si>
  <si>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</si>
  <si>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</si>
  <si>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</si>
  <si>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</si>
  <si>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</si>
  <si>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</si>
  <si>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</si>
  <si>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</si>
  <si>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</si>
  <si>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</si>
  <si>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</si>
  <si>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</si>
  <si>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</si>
  <si>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</si>
  <si>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</si>
  <si>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</si>
  <si>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</si>
  <si>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</si>
  <si>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</si>
  <si>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</si>
  <si>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</si>
  <si>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</si>
  <si>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</si>
  <si>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</si>
  <si>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</si>
  <si>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</si>
  <si>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</si>
  <si>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</si>
  <si>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</si>
  <si>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</si>
  <si>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</si>
  <si>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</si>
  <si>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</si>
  <si>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</si>
  <si>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</si>
  <si>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</si>
  <si>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</si>
  <si>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</si>
  <si>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</si>
  <si>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</si>
  <si>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</si>
  <si>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</si>
  <si>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</si>
  <si>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</si>
  <si>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</si>
  <si>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</si>
  <si>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</si>
  <si>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</si>
  <si>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</si>
  <si>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</si>
  <si>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</si>
  <si>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</si>
  <si>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</si>
  <si>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</si>
  <si>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</si>
  <si>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</si>
  <si>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</si>
  <si>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</si>
  <si>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</si>
  <si>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</si>
  <si>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</si>
  <si>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</si>
  <si>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</si>
  <si>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</si>
  <si>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</si>
  <si>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</si>
  <si>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</si>
  <si>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</si>
  <si>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</si>
  <si>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</si>
  <si>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</si>
  <si>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</si>
  <si>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</si>
  <si>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</si>
  <si>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</si>
  <si>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</si>
  <si>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</si>
  <si>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</si>
  <si>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</si>
  <si>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</si>
  <si>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</si>
  <si>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</si>
  <si>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</si>
  <si>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</si>
  <si>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</si>
  <si>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</si>
  <si>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</si>
  <si>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</si>
  <si>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</si>
  <si>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</si>
  <si>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</si>
  <si>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</si>
  <si>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</si>
  <si>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</si>
  <si>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</si>
  <si>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</si>
  <si>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</si>
  <si>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</si>
  <si>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</si>
  <si>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</si>
  <si>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</si>
  <si>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</si>
  <si>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</si>
  <si>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</si>
  <si>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</si>
  <si>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</si>
  <si>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</si>
  <si>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</si>
  <si>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</si>
  <si>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</si>
  <si>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</si>
  <si>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</si>
  <si>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</si>
  <si>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</si>
  <si>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</si>
  <si>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</si>
  <si>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</si>
  <si>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</si>
  <si>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</si>
  <si>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</si>
  <si>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</si>
  <si>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</si>
  <si>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</si>
  <si>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</si>
  <si>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</si>
  <si>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</si>
  <si>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</si>
  <si>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</si>
  <si>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</si>
  <si>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</si>
  <si>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</si>
  <si>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</si>
  <si>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</si>
  <si>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</si>
  <si>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</si>
  <si>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</si>
  <si>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</si>
  <si>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</si>
  <si>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</si>
  <si>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</si>
  <si>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</si>
  <si>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</si>
  <si>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</si>
  <si>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</si>
  <si>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</si>
  <si>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</si>
  <si>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</si>
  <si>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</si>
  <si>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</si>
  <si>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</si>
  <si>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</si>
  <si>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</si>
  <si>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</si>
  <si>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</si>
  <si>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</si>
  <si>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</si>
  <si>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</si>
  <si>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</si>
  <si>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</si>
  <si>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</si>
  <si>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</si>
  <si>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</si>
  <si>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</si>
  <si>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</si>
  <si>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</si>
  <si>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</si>
  <si>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</si>
  <si>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</si>
  <si>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</si>
  <si>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</si>
  <si>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</si>
  <si>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</si>
  <si>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</si>
  <si>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</si>
  <si>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</si>
  <si>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</si>
  <si>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</si>
  <si>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</si>
  <si>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</si>
  <si>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</si>
  <si>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</si>
  <si>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</si>
  <si>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</si>
  <si>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</si>
  <si>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</si>
  <si>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</si>
  <si>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</si>
  <si>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</si>
  <si>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</si>
  <si>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</si>
  <si>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</si>
  <si>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</si>
  <si>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</si>
  <si>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</si>
  <si>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</si>
  <si>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</si>
  <si>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</si>
  <si>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</si>
  <si>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</si>
  <si>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</si>
  <si>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</si>
  <si>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</si>
  <si>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</si>
  <si>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</si>
  <si>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</si>
  <si>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</si>
  <si>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</si>
  <si>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</si>
  <si>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</si>
  <si>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</si>
  <si>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</si>
  <si>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</si>
  <si>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</si>
  <si>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</si>
  <si>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</si>
  <si>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</si>
  <si>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</si>
  <si>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</si>
  <si>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</si>
  <si>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</si>
  <si>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</si>
  <si>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</si>
  <si>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</si>
  <si>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</si>
  <si>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</si>
  <si>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</si>
  <si>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</si>
  <si>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</si>
  <si>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</si>
  <si>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</si>
  <si>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</si>
  <si>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</si>
  <si>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</si>
  <si>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</si>
  <si>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</si>
  <si>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</si>
  <si>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</si>
  <si>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</si>
  <si>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</si>
  <si>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</si>
  <si>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</si>
  <si>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</si>
  <si>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</si>
  <si>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</si>
  <si>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</si>
  <si>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</si>
  <si>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</si>
  <si>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</si>
  <si>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</si>
  <si>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</si>
  <si>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</si>
  <si>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</si>
  <si>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</si>
  <si>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</si>
  <si>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</si>
  <si>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</si>
  <si>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</si>
  <si>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</si>
  <si>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</si>
  <si>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</si>
  <si>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</si>
  <si>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</si>
  <si>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</si>
  <si>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</si>
  <si>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</si>
  <si>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</si>
  <si>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</si>
  <si>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</si>
  <si>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</si>
  <si>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</si>
  <si>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</si>
  <si>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</si>
  <si>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</si>
  <si>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</si>
  <si>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</si>
  <si>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</si>
  <si>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</si>
  <si>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</si>
  <si>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</si>
  <si>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</si>
  <si>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</si>
  <si>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</si>
  <si>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</si>
  <si>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</si>
  <si>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</si>
  <si>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</si>
  <si>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</si>
  <si>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</si>
  <si>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</si>
  <si>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</si>
  <si>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</si>
  <si>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</si>
  <si>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</si>
  <si>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</si>
  <si>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</si>
  <si>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</si>
  <si>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</si>
  <si>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</si>
  <si>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</si>
  <si>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</si>
  <si>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</si>
  <si>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</si>
  <si>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</si>
  <si>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</si>
  <si>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</si>
  <si>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</si>
  <si>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</si>
  <si>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</si>
  <si>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</si>
  <si>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</si>
  <si>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</si>
  <si>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</si>
  <si>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</si>
  <si>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</si>
  <si>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</si>
  <si>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</si>
  <si>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</si>
  <si>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</si>
  <si>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</si>
  <si>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</si>
  <si>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</si>
  <si>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</si>
  <si>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</si>
  <si>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</si>
  <si>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</si>
  <si>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</si>
  <si>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</si>
  <si>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</si>
  <si>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</si>
  <si>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</si>
  <si>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</si>
  <si>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</si>
  <si>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</si>
  <si>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</si>
  <si>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</si>
  <si>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</si>
  <si>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</si>
  <si>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</si>
  <si>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</si>
  <si>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</si>
  <si>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</si>
  <si>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</si>
  <si>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</si>
  <si>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</si>
  <si>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</si>
  <si>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</si>
  <si>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</si>
  <si>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</si>
  <si>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</si>
  <si>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</si>
  <si>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</si>
  <si>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</si>
  <si>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</si>
  <si>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</si>
  <si>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</si>
  <si>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</si>
  <si>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</si>
  <si>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</si>
  <si>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</si>
  <si>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</si>
  <si>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</si>
  <si>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</si>
  <si>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</si>
  <si>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</si>
  <si>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</si>
  <si>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</si>
  <si>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</si>
  <si>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</si>
  <si>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</si>
  <si>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</si>
  <si>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</si>
  <si>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</si>
  <si>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</si>
  <si>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</si>
  <si>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</si>
  <si>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</si>
  <si>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</si>
  <si>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</si>
  <si>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</si>
  <si>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</si>
  <si>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</si>
  <si>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</si>
  <si>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</si>
  <si>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</si>
  <si>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</si>
  <si>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</si>
  <si>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</si>
  <si>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</si>
  <si>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</si>
  <si>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</si>
  <si>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</si>
  <si>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</si>
  <si>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</si>
  <si>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</si>
  <si>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</si>
  <si>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</si>
  <si>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</si>
  <si>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</si>
  <si>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</si>
  <si>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</si>
  <si>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</si>
  <si>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</si>
  <si>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</si>
  <si>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</si>
  <si>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</si>
  <si>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</si>
  <si>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</si>
  <si>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</si>
  <si>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</si>
  <si>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</si>
  <si>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</si>
  <si>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</si>
  <si>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</si>
  <si>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</si>
  <si>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</si>
  <si>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</si>
  <si>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</si>
  <si>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</si>
  <si>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</si>
  <si>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</si>
  <si>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</si>
  <si>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</si>
  <si>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</si>
  <si>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</si>
  <si>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</si>
  <si>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</si>
  <si>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</si>
  <si>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</si>
  <si>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</si>
  <si>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</si>
  <si>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</si>
  <si>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</si>
  <si>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</si>
  <si>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</si>
  <si>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</si>
  <si>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</si>
  <si>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</si>
  <si>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</si>
  <si>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</si>
  <si>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</si>
  <si>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</si>
  <si>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</si>
  <si>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</si>
  <si>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</si>
  <si>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</si>
  <si>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</si>
  <si>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</si>
  <si>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</si>
  <si>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</si>
  <si>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</si>
  <si>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</si>
  <si>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</si>
  <si>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</si>
  <si>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</si>
  <si>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</si>
  <si>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</si>
  <si>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</si>
  <si>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</si>
  <si>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</si>
  <si>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</si>
  <si>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</si>
  <si>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</si>
  <si>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</si>
  <si>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</si>
  <si>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</si>
  <si>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</si>
  <si>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</si>
  <si>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</si>
  <si>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</si>
  <si>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</si>
  <si>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</si>
  <si>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</si>
  <si>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</si>
  <si>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</si>
  <si>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</si>
  <si>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</si>
  <si>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</si>
  <si>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</si>
  <si>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</si>
  <si>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</si>
  <si>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</si>
  <si>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</si>
  <si>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</si>
  <si>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</si>
  <si>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</si>
  <si>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</si>
  <si>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</si>
  <si>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</si>
  <si>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</si>
  <si>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</si>
  <si>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</si>
  <si>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</si>
  <si>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</si>
  <si>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</si>
  <si>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</si>
  <si>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</si>
  <si>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</si>
  <si>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</si>
  <si>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</si>
  <si>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</si>
  <si>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</si>
  <si>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</si>
  <si>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</si>
  <si>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</si>
  <si>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</si>
  <si>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</si>
  <si>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</si>
  <si>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</si>
  <si>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</si>
  <si>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</si>
  <si>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</si>
  <si>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</si>
  <si>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</si>
  <si>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</si>
  <si>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</si>
  <si>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</si>
  <si>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</si>
  <si>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</si>
  <si>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</si>
  <si>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</si>
  <si>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</si>
  <si>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</si>
  <si>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</si>
  <si>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</si>
  <si>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</si>
  <si>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</si>
  <si>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</si>
  <si>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</si>
  <si>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</si>
  <si>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</si>
  <si>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</si>
  <si>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</si>
  <si>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</si>
  <si>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</si>
  <si>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</si>
  <si>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</si>
  <si>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</si>
  <si>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</si>
  <si>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</si>
  <si>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</si>
  <si>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</si>
  <si>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</si>
  <si>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</si>
  <si>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</si>
  <si>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</si>
  <si>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</si>
  <si>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</si>
  <si>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</si>
  <si>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</si>
  <si>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</si>
  <si>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</si>
  <si>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</si>
  <si>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</si>
  <si>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</si>
  <si>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</si>
  <si>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</si>
  <si>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</si>
  <si>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</si>
  <si>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</si>
  <si>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</si>
  <si>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</si>
  <si>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</si>
  <si>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</si>
  <si>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</si>
  <si>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</si>
  <si>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</si>
  <si>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</si>
  <si>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</si>
  <si>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</si>
  <si>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</si>
  <si>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</si>
  <si>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</si>
  <si>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</si>
  <si>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</si>
  <si>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</si>
  <si>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</si>
  <si>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</si>
  <si>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</si>
  <si>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</si>
  <si>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</si>
  <si>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</si>
  <si>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</si>
  <si>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</si>
  <si>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</si>
  <si>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</si>
  <si>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</si>
  <si>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</si>
  <si>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</si>
  <si>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</si>
  <si>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</si>
  <si>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</si>
  <si>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</si>
  <si>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</si>
  <si>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</si>
  <si>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</si>
  <si>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</si>
  <si>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</si>
  <si>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</si>
  <si>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</si>
  <si>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</si>
  <si>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</si>
  <si>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</si>
  <si>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</si>
  <si>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</si>
  <si>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</si>
  <si>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</si>
  <si>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</si>
  <si>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</si>
  <si>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</si>
  <si>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</si>
  <si>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</si>
  <si>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</si>
  <si>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</si>
  <si>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</si>
  <si>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</si>
  <si>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</si>
  <si>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</si>
  <si>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</si>
  <si>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</si>
  <si>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</si>
  <si>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</si>
  <si>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</si>
  <si>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</si>
  <si>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</si>
  <si>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</si>
  <si>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</si>
  <si>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</si>
  <si>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</si>
  <si>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</si>
  <si>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</si>
  <si>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</si>
  <si>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</si>
  <si>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</si>
  <si>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</si>
  <si>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</si>
  <si>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</si>
  <si>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</si>
  <si>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</si>
  <si>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</si>
  <si>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</si>
  <si>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</si>
  <si>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</si>
  <si>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</si>
  <si>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</si>
  <si>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</si>
  <si>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</si>
  <si>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</si>
  <si>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</si>
  <si>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</si>
  <si>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</si>
  <si>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</si>
  <si>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</si>
  <si>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</si>
  <si>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</si>
  <si>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</si>
  <si>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</si>
  <si>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</si>
  <si>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</si>
  <si>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</si>
  <si>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</si>
  <si>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</si>
  <si>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</si>
  <si>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</si>
  <si>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</si>
  <si>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</si>
  <si>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</si>
  <si>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</si>
  <si>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</si>
  <si>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</si>
  <si>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</si>
  <si>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</si>
  <si>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</si>
  <si>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</si>
  <si>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</si>
  <si>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</si>
  <si>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</si>
  <si>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</si>
  <si>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</si>
  <si>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</si>
  <si>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</si>
  <si>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</si>
  <si>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</si>
  <si>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</si>
  <si>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</si>
  <si>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</si>
  <si>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</si>
  <si>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</si>
  <si>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</si>
  <si>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</si>
  <si>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</si>
  <si>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</si>
  <si>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</si>
  <si>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</si>
  <si>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</si>
  <si>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</si>
  <si>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</si>
  <si>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</si>
  <si>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</si>
  <si>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</si>
  <si>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</si>
  <si>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</si>
  <si>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</si>
  <si>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</si>
  <si>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</si>
  <si>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</si>
  <si>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</si>
  <si>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</si>
  <si>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</si>
  <si>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</si>
  <si>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</si>
  <si>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</si>
  <si>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</si>
  <si>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</si>
  <si>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</si>
  <si>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</si>
  <si>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</si>
  <si>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</si>
  <si>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</si>
  <si>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</si>
  <si>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</si>
  <si>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</si>
  <si>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</si>
  <si>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</si>
  <si>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</si>
  <si>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</si>
  <si>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</si>
  <si>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</si>
  <si>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</si>
  <si>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</si>
  <si>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</si>
  <si>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</si>
  <si>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</si>
  <si>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</si>
  <si>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</si>
  <si>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</si>
  <si>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</si>
  <si>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</si>
  <si>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</si>
  <si>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</si>
  <si>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</si>
  <si>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</si>
  <si>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</si>
  <si>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</si>
  <si>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</si>
  <si>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</si>
  <si>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</si>
  <si>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</si>
  <si>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</si>
  <si>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</si>
  <si>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</si>
  <si>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</si>
  <si>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</si>
  <si>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</si>
  <si>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</si>
  <si>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</si>
  <si>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</si>
  <si>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</si>
  <si>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</si>
  <si>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</si>
  <si>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</si>
  <si>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</si>
  <si>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</si>
  <si>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</si>
  <si>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</si>
  <si>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</si>
  <si>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</si>
  <si>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</si>
  <si>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</si>
  <si>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</si>
  <si>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</si>
  <si>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</si>
  <si>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</si>
  <si>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</si>
  <si>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</si>
  <si>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</si>
  <si>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</si>
  <si>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</si>
  <si>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</si>
  <si>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</si>
  <si>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</si>
  <si>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</si>
  <si>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</si>
  <si>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</si>
  <si>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</si>
  <si>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</si>
  <si>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</si>
  <si>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</si>
  <si>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</si>
  <si>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</si>
  <si>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</si>
  <si>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</si>
  <si>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</si>
  <si>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</si>
  <si>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</si>
  <si>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</si>
  <si>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</si>
  <si>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</si>
  <si>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</si>
  <si>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</si>
  <si>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</si>
  <si>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</si>
  <si>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</si>
  <si>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</si>
  <si>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</si>
  <si>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</si>
  <si>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</si>
  <si>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</si>
  <si>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</si>
  <si>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</si>
  <si>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</si>
  <si>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</si>
  <si>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</si>
  <si>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</si>
  <si>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</si>
  <si>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</si>
  <si>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</si>
  <si>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</si>
  <si>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</si>
  <si>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</si>
  <si>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</si>
  <si>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</si>
  <si>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</si>
  <si>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</si>
  <si>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</si>
  <si>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</si>
  <si>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</si>
  <si>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</si>
  <si>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</si>
  <si>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</si>
  <si>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</si>
  <si>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</si>
  <si>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单套模式</t>
  </si>
  <si>
    <t>租金</t>
  </si>
  <si>
    <t>正常</t>
  </si>
  <si>
    <t>挂牌</t>
  </si>
  <si>
    <t>挂牌</t>
    <phoneticPr fontId="24" type="noConversion"/>
  </si>
  <si>
    <t>普通装修</t>
    <phoneticPr fontId="24" type="noConversion"/>
  </si>
  <si>
    <t>较好</t>
  </si>
  <si>
    <t>七通</t>
  </si>
  <si>
    <t>采光</t>
    <phoneticPr fontId="24" type="noConversion"/>
  </si>
  <si>
    <t>较好</t>
    <phoneticPr fontId="24" type="noConversion"/>
  </si>
  <si>
    <t>专业</t>
    <phoneticPr fontId="24" type="noConversion"/>
  </si>
  <si>
    <t>平层</t>
    <phoneticPr fontId="24" type="noConversion"/>
  </si>
  <si>
    <t>钢混</t>
    <phoneticPr fontId="24" type="noConversion"/>
  </si>
  <si>
    <t>精装修</t>
    <phoneticPr fontId="24" type="noConversion"/>
  </si>
  <si>
    <t>挂牌</t>
    <phoneticPr fontId="24" type="noConversion"/>
  </si>
  <si>
    <t>七通</t>
    <phoneticPr fontId="24" type="noConversion"/>
  </si>
  <si>
    <t>六通</t>
    <phoneticPr fontId="24" type="noConversion"/>
  </si>
  <si>
    <t>五通</t>
    <phoneticPr fontId="24" type="noConversion"/>
  </si>
  <si>
    <t>好</t>
    <phoneticPr fontId="24" type="noConversion"/>
  </si>
  <si>
    <t>较好</t>
    <phoneticPr fontId="24" type="noConversion"/>
  </si>
  <si>
    <t>一般</t>
    <phoneticPr fontId="24" type="noConversion"/>
  </si>
  <si>
    <t>较差</t>
    <phoneticPr fontId="24" type="noConversion"/>
  </si>
  <si>
    <t>差</t>
    <phoneticPr fontId="24" type="noConversion"/>
  </si>
  <si>
    <t>LOFT</t>
    <phoneticPr fontId="24" type="noConversion"/>
  </si>
  <si>
    <t>平层</t>
    <phoneticPr fontId="24" type="noConversion"/>
  </si>
  <si>
    <t>+10%</t>
    <phoneticPr fontId="24" type="noConversion"/>
  </si>
  <si>
    <t>千鹤家园</t>
    <phoneticPr fontId="3" type="noConversion"/>
  </si>
  <si>
    <t>高层塔楼</t>
    <phoneticPr fontId="24" type="noConversion"/>
  </si>
  <si>
    <t>住宅</t>
  </si>
  <si>
    <t>住宅</t>
    <phoneticPr fontId="24" type="noConversion"/>
  </si>
  <si>
    <t>楼层</t>
    <phoneticPr fontId="24" type="noConversion"/>
  </si>
  <si>
    <t>低区</t>
    <phoneticPr fontId="24" type="noConversion"/>
  </si>
  <si>
    <t>中区</t>
    <phoneticPr fontId="24" type="noConversion"/>
  </si>
  <si>
    <t>东北</t>
  </si>
  <si>
    <t>东北</t>
    <phoneticPr fontId="24" type="noConversion"/>
  </si>
  <si>
    <t>高区</t>
    <phoneticPr fontId="24" type="noConversion"/>
  </si>
  <si>
    <t>西南</t>
    <phoneticPr fontId="24" type="noConversion"/>
  </si>
  <si>
    <t>南北</t>
    <phoneticPr fontId="24" type="noConversion"/>
  </si>
  <si>
    <t>南</t>
    <phoneticPr fontId="24" type="noConversion"/>
  </si>
  <si>
    <t>东南</t>
    <phoneticPr fontId="24" type="noConversion"/>
  </si>
  <si>
    <t>东</t>
    <phoneticPr fontId="24" type="noConversion"/>
  </si>
  <si>
    <t>西</t>
    <phoneticPr fontId="24" type="noConversion"/>
  </si>
  <si>
    <t>西北</t>
    <phoneticPr fontId="24" type="noConversion"/>
  </si>
  <si>
    <t>可短租</t>
    <phoneticPr fontId="24" type="noConversion"/>
  </si>
  <si>
    <t>是</t>
    <phoneticPr fontId="24" type="noConversion"/>
  </si>
  <si>
    <t>否</t>
    <phoneticPr fontId="24" type="noConversion"/>
  </si>
  <si>
    <t>精装修</t>
  </si>
  <si>
    <t>精装修</t>
    <phoneticPr fontId="24" type="noConversion"/>
  </si>
  <si>
    <t>普通装修</t>
  </si>
  <si>
    <t>普通装修</t>
    <phoneticPr fontId="24" type="noConversion"/>
  </si>
  <si>
    <t>简单装修</t>
    <phoneticPr fontId="24" type="noConversion"/>
  </si>
  <si>
    <t>毛坯</t>
    <phoneticPr fontId="24" type="noConversion"/>
  </si>
  <si>
    <t>东</t>
  </si>
  <si>
    <t>西</t>
  </si>
  <si>
    <t>月租金</t>
    <phoneticPr fontId="24" type="noConversion"/>
  </si>
  <si>
    <t>住宅</t>
    <phoneticPr fontId="3" type="noConversion"/>
  </si>
  <si>
    <t>是</t>
  </si>
  <si>
    <t>地上</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</si>
</sst>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9" fontId="94" fillId="12" borderId="0" xfId="0" quotePrefix="1" applyNumberFormat="1"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181" fontId="123" fillId="12" borderId="0" xfId="0" applyNumberFormat="1" applyFont="1" applyFill="1" applyAlignment="1" applyProtection="1">
      <alignment horizontal="center" vertical="center" wrapText="1"/>
      <protection locked="0"/>
    </xf>
    <xf numFmtId="0" fontId="100" fillId="12" borderId="0" xfId="0" applyFont="1" applyFill="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312914</xdr:colOff>
      <xdr:row>29</xdr:row>
      <xdr:rowOff>75569</xdr:rowOff>
    </xdr:to>
    <xdr:pic>
      <xdr:nvPicPr>
        <xdr:cNvPr id="5" name="图片 4">
          <a:extLst>
            <a:ext uri="{FF2B5EF4-FFF2-40B4-BE49-F238E27FC236}">
              <a16:creationId xmlns:a16="http://schemas.microsoft.com/office/drawing/2014/main" xmlns="" id="{26281B33-2145-CD85-56D3-0FA269113030}"/>
            </a:ext>
          </a:extLst>
        </xdr:cNvPr>
        <xdr:cNvPicPr>
          <a:picLocks noChangeAspect="1"/>
        </xdr:cNvPicPr>
      </xdr:nvPicPr>
      <xdr:blipFill>
        <a:blip xmlns:r="http://schemas.openxmlformats.org/officeDocument/2006/relationships" r:embed="rId1"/>
        <a:stretch>
          <a:fillRect/>
        </a:stretch>
      </xdr:blipFill>
      <xdr:spPr>
        <a:xfrm>
          <a:off x="0" y="0"/>
          <a:ext cx="11285714" cy="5047619"/>
        </a:xfrm>
        <a:prstGeom prst="rect">
          <a:avLst/>
        </a:prstGeom>
      </xdr:spPr>
    </xdr:pic>
    <xdr:clientData/>
  </xdr:twoCellAnchor>
  <xdr:twoCellAnchor editAs="oneCell">
    <xdr:from>
      <xdr:col>16</xdr:col>
      <xdr:colOff>571500</xdr:colOff>
      <xdr:row>0</xdr:row>
      <xdr:rowOff>0</xdr:rowOff>
    </xdr:from>
    <xdr:to>
      <xdr:col>30</xdr:col>
      <xdr:colOff>480011</xdr:colOff>
      <xdr:row>10</xdr:row>
      <xdr:rowOff>0</xdr:rowOff>
    </xdr:to>
    <xdr:pic>
      <xdr:nvPicPr>
        <xdr:cNvPr id="2" name="图片 1">
          <a:extLst>
            <a:ext uri="{FF2B5EF4-FFF2-40B4-BE49-F238E27FC236}">
              <a16:creationId xmlns:a16="http://schemas.microsoft.com/office/drawing/2014/main" xmlns="" id="{2C57DC7D-A965-1092-C22F-13E6E72071B6}"/>
            </a:ext>
          </a:extLst>
        </xdr:cNvPr>
        <xdr:cNvPicPr>
          <a:picLocks noChangeAspect="1"/>
        </xdr:cNvPicPr>
      </xdr:nvPicPr>
      <xdr:blipFill>
        <a:blip xmlns:r="http://schemas.openxmlformats.org/officeDocument/2006/relationships" r:embed="rId2"/>
        <a:stretch>
          <a:fillRect/>
        </a:stretch>
      </xdr:blipFill>
      <xdr:spPr>
        <a:xfrm>
          <a:off x="11655136" y="0"/>
          <a:ext cx="9606693" cy="1731818"/>
        </a:xfrm>
        <a:prstGeom prst="rect">
          <a:avLst/>
        </a:prstGeom>
      </xdr:spPr>
    </xdr:pic>
    <xdr:clientData/>
  </xdr:twoCellAnchor>
  <xdr:twoCellAnchor editAs="oneCell">
    <xdr:from>
      <xdr:col>0</xdr:col>
      <xdr:colOff>0</xdr:colOff>
      <xdr:row>28</xdr:row>
      <xdr:rowOff>133350</xdr:rowOff>
    </xdr:from>
    <xdr:to>
      <xdr:col>16</xdr:col>
      <xdr:colOff>398628</xdr:colOff>
      <xdr:row>57</xdr:row>
      <xdr:rowOff>94633</xdr:rowOff>
    </xdr:to>
    <xdr:pic>
      <xdr:nvPicPr>
        <xdr:cNvPr id="3" name="图片 2">
          <a:extLst>
            <a:ext uri="{FF2B5EF4-FFF2-40B4-BE49-F238E27FC236}">
              <a16:creationId xmlns:a16="http://schemas.microsoft.com/office/drawing/2014/main" xmlns="" id="{F1C5156D-C766-1B42-67D0-7E86C1052DC9}"/>
            </a:ext>
          </a:extLst>
        </xdr:cNvPr>
        <xdr:cNvPicPr>
          <a:picLocks noChangeAspect="1"/>
        </xdr:cNvPicPr>
      </xdr:nvPicPr>
      <xdr:blipFill>
        <a:blip xmlns:r="http://schemas.openxmlformats.org/officeDocument/2006/relationships" r:embed="rId3"/>
        <a:stretch>
          <a:fillRect/>
        </a:stretch>
      </xdr:blipFill>
      <xdr:spPr>
        <a:xfrm>
          <a:off x="0" y="4933950"/>
          <a:ext cx="11371428" cy="4933333"/>
        </a:xfrm>
        <a:prstGeom prst="rect">
          <a:avLst/>
        </a:prstGeom>
      </xdr:spPr>
    </xdr:pic>
    <xdr:clientData/>
  </xdr:twoCellAnchor>
  <xdr:twoCellAnchor editAs="oneCell">
    <xdr:from>
      <xdr:col>0</xdr:col>
      <xdr:colOff>0</xdr:colOff>
      <xdr:row>57</xdr:row>
      <xdr:rowOff>0</xdr:rowOff>
    </xdr:from>
    <xdr:to>
      <xdr:col>16</xdr:col>
      <xdr:colOff>617676</xdr:colOff>
      <xdr:row>86</xdr:row>
      <xdr:rowOff>151759</xdr:rowOff>
    </xdr:to>
    <xdr:pic>
      <xdr:nvPicPr>
        <xdr:cNvPr id="4" name="图片 3">
          <a:extLst>
            <a:ext uri="{FF2B5EF4-FFF2-40B4-BE49-F238E27FC236}">
              <a16:creationId xmlns:a16="http://schemas.microsoft.com/office/drawing/2014/main" xmlns="" id="{FB139D30-01F2-C490-32D0-0D1EE559444B}"/>
            </a:ext>
          </a:extLst>
        </xdr:cNvPr>
        <xdr:cNvPicPr>
          <a:picLocks noChangeAspect="1"/>
        </xdr:cNvPicPr>
      </xdr:nvPicPr>
      <xdr:blipFill>
        <a:blip xmlns:r="http://schemas.openxmlformats.org/officeDocument/2006/relationships" r:embed="rId4"/>
        <a:stretch>
          <a:fillRect/>
        </a:stretch>
      </xdr:blipFill>
      <xdr:spPr>
        <a:xfrm>
          <a:off x="0" y="9772650"/>
          <a:ext cx="11590476" cy="5123809"/>
        </a:xfrm>
        <a:prstGeom prst="rect">
          <a:avLst/>
        </a:prstGeom>
      </xdr:spPr>
    </xdr:pic>
    <xdr:clientData/>
  </xdr:twoCellAnchor>
  <xdr:twoCellAnchor editAs="oneCell">
    <xdr:from>
      <xdr:col>17</xdr:col>
      <xdr:colOff>0</xdr:colOff>
      <xdr:row>11</xdr:row>
      <xdr:rowOff>138545</xdr:rowOff>
    </xdr:from>
    <xdr:to>
      <xdr:col>29</xdr:col>
      <xdr:colOff>430130</xdr:colOff>
      <xdr:row>50</xdr:row>
      <xdr:rowOff>70168</xdr:rowOff>
    </xdr:to>
    <xdr:pic>
      <xdr:nvPicPr>
        <xdr:cNvPr id="8" name="图片 7">
          <a:extLst>
            <a:ext uri="{FF2B5EF4-FFF2-40B4-BE49-F238E27FC236}">
              <a16:creationId xmlns:a16="http://schemas.microsoft.com/office/drawing/2014/main" xmlns="" id="{1E3F2E59-3B3C-BB3A-5794-83C56FF6AE02}"/>
            </a:ext>
          </a:extLst>
        </xdr:cNvPr>
        <xdr:cNvPicPr>
          <a:picLocks noChangeAspect="1"/>
        </xdr:cNvPicPr>
      </xdr:nvPicPr>
      <xdr:blipFill>
        <a:blip xmlns:r="http://schemas.openxmlformats.org/officeDocument/2006/relationships" r:embed="rId5"/>
        <a:stretch>
          <a:fillRect/>
        </a:stretch>
      </xdr:blipFill>
      <xdr:spPr>
        <a:xfrm>
          <a:off x="11776364" y="2043545"/>
          <a:ext cx="8742857" cy="6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估价对象为房地产，为所有。根据《国有土地使用证》[]，估价对象（分摊）出让国有建设用地使用权面积为0平方米，建筑面积为299.39平方米。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估价对象为房地产,属开发建设的，该项目尚在开发建设中。根据《国有土地使用证》[]，估价对象（分摊）出让国有建设用地使用权面积为0平方米，规划建筑面积为299.39平方米。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2025年2月19日（评估专业人员实地查勘之日）</v>
      </c>
    </row>
    <row r="13" spans="1:2">
      <c r="A13" s="1119" t="s">
        <v>529</v>
      </c>
      <c r="B13" s="1120"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299.39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A2" sqref="A2:I1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7" t="s">
        <v>385</v>
      </c>
      <c r="C54" s="1445" t="s">
        <v>583</v>
      </c>
    </row>
    <row r="55" spans="1:4">
      <c r="A55" s="3213"/>
      <c r="B55" s="1447" t="s">
        <v>386</v>
      </c>
      <c r="C55" s="1445" t="s">
        <v>584</v>
      </c>
    </row>
    <row r="56" spans="1:4">
      <c r="A56" s="3213"/>
      <c r="B56" s="1447" t="s">
        <v>387</v>
      </c>
      <c r="C56" s="1445" t="s">
        <v>588</v>
      </c>
    </row>
    <row r="57" spans="1:4">
      <c r="A57" s="321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14" t="s">
        <v>2571</v>
      </c>
      <c r="J2" s="3214"/>
      <c r="K2" s="3214"/>
      <c r="L2" s="3214"/>
      <c r="M2" s="3214"/>
      <c r="N2" s="3214"/>
      <c r="O2" s="3214"/>
      <c r="P2" s="3214"/>
      <c r="Q2" s="3214"/>
      <c r="R2" s="3214"/>
    </row>
    <row r="3" spans="1:18">
      <c r="A3" s="2761" t="s">
        <v>2492</v>
      </c>
      <c r="B3" s="2762">
        <f>项目基本情况!D3</f>
        <v>45707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11.83</v>
      </c>
      <c r="D6" s="2766">
        <f>IF(ISERROR(ROUND(POWER(1+E6,A6-C6)*(POWER(1+E6,C6)-1)/(POWER(1+E6,A6)-1),3)),0,ROUND(POWER(1+E6,A6-C6)*(POWER(1+E6,C6)-1)/(POWER(1+E6,A6)-1),4))</f>
        <v>0.432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3381</v>
      </c>
    </row>
    <row r="50" spans="1:4">
      <c r="A50" s="3143" t="s">
        <v>3382</v>
      </c>
      <c r="B50" s="3143" t="s">
        <v>3383</v>
      </c>
      <c r="C50" s="3143" t="s">
        <v>3384</v>
      </c>
      <c r="D50" s="3143" t="s">
        <v>3385</v>
      </c>
    </row>
    <row r="51" spans="1:4">
      <c r="A51" s="3143" t="s">
        <v>3386</v>
      </c>
      <c r="B51" s="2763">
        <f>B52+B53</f>
        <v>15000</v>
      </c>
      <c r="C51" s="3144">
        <f>D51/B51</f>
        <v>2666.6666666666665</v>
      </c>
      <c r="D51" s="2763">
        <f>D52+D53</f>
        <v>40000000</v>
      </c>
    </row>
    <row r="52" spans="1:4">
      <c r="A52" s="3145" t="s">
        <v>3387</v>
      </c>
      <c r="B52" s="3146">
        <v>10000</v>
      </c>
      <c r="C52" s="3146">
        <v>1500</v>
      </c>
      <c r="D52" s="3147">
        <f>C52*B52</f>
        <v>15000000</v>
      </c>
    </row>
    <row r="53" spans="1:4">
      <c r="A53" s="3145" t="s">
        <v>3388</v>
      </c>
      <c r="B53" s="3146">
        <v>5000</v>
      </c>
      <c r="C53" s="3146">
        <v>5000</v>
      </c>
      <c r="D53" s="3147">
        <f>C53*B53</f>
        <v>25000000</v>
      </c>
    </row>
    <row r="54" spans="1:4">
      <c r="A54" s="3143" t="s">
        <v>3389</v>
      </c>
      <c r="B54" s="2763">
        <f>B51</f>
        <v>15000</v>
      </c>
      <c r="C54" s="2769">
        <v>700</v>
      </c>
      <c r="D54" s="2763">
        <f t="shared" ref="D54:D55" si="5">C54*B54</f>
        <v>10500000</v>
      </c>
    </row>
    <row r="55" spans="1:4">
      <c r="A55" s="3143" t="s">
        <v>3390</v>
      </c>
      <c r="B55" s="2763">
        <f>B51</f>
        <v>15000</v>
      </c>
      <c r="C55" s="2769">
        <v>1500</v>
      </c>
      <c r="D55" s="2763">
        <f t="shared" si="5"/>
        <v>22500000</v>
      </c>
    </row>
    <row r="56" spans="1:4">
      <c r="A56" s="3143" t="s">
        <v>3391</v>
      </c>
      <c r="B56" s="2763">
        <f>B51</f>
        <v>15000</v>
      </c>
      <c r="C56" s="3148">
        <f>C51+C54+C55</f>
        <v>4866.6666666666661</v>
      </c>
      <c r="D56" s="2763">
        <f>D51+D54+D55</f>
        <v>73000000</v>
      </c>
    </row>
    <row r="58" spans="1:4">
      <c r="A58" s="3143" t="s">
        <v>3392</v>
      </c>
      <c r="B58" s="3149">
        <v>0.05</v>
      </c>
      <c r="C58" s="2763">
        <f>C56*(1+B58)</f>
        <v>5110</v>
      </c>
      <c r="D58" s="2763">
        <f>D56*B58</f>
        <v>3650000</v>
      </c>
    </row>
    <row r="60" spans="1:4">
      <c r="A60" s="3143" t="s">
        <v>3393</v>
      </c>
      <c r="B60" s="2769">
        <v>3500</v>
      </c>
      <c r="C60" s="2769">
        <f>C53</f>
        <v>5000</v>
      </c>
      <c r="D60" s="2763">
        <f>C60*B60</f>
        <v>17500000</v>
      </c>
    </row>
    <row r="62" spans="1:4">
      <c r="A62" s="3143" t="s">
        <v>3394</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A2" sqref="A2:I1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2" t="str">
        <f>IF(B10="北京市","北京市",C10)&amp;F10&amp;IF(结果表!G1="在建","出让国有建设用地使用权及在建建筑物",IF(结果表!G1="土地","出让国有建设用地使用权",))&amp;B9&amp;"预评估"</f>
        <v>预评估</v>
      </c>
      <c r="C1" s="3223"/>
      <c r="D1" s="3223"/>
      <c r="E1" s="3223"/>
      <c r="F1" s="3223"/>
      <c r="G1" s="3223"/>
      <c r="H1" s="3223"/>
      <c r="I1" s="3224"/>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v>45707</v>
      </c>
      <c r="C3" s="2184" t="s">
        <v>2171</v>
      </c>
      <c r="D3" s="2183">
        <v>45707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225" t="s">
        <v>2177</v>
      </c>
      <c r="E8" s="2200"/>
      <c r="F8" s="2201"/>
      <c r="G8" s="2440"/>
      <c r="H8" s="2440"/>
      <c r="I8" s="2440"/>
      <c r="J8" s="2243"/>
      <c r="K8" s="2398"/>
      <c r="L8" s="2397"/>
      <c r="M8" s="2397"/>
      <c r="N8" s="2243"/>
      <c r="O8" s="1670"/>
      <c r="P8" s="2243"/>
      <c r="Q8" s="2243"/>
      <c r="R8" s="2243"/>
    </row>
    <row r="9" spans="1:30" ht="13.5" thickBot="1">
      <c r="A9" s="2202" t="s">
        <v>2178</v>
      </c>
      <c r="B9" s="2203"/>
      <c r="C9" s="2204"/>
      <c r="D9" s="3226"/>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3323</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2"/>
      <c r="C16" s="3233"/>
      <c r="D16" s="3234"/>
      <c r="E16" s="2220" t="s">
        <v>2194</v>
      </c>
      <c r="F16" s="3235"/>
      <c r="G16" s="3236"/>
      <c r="H16" s="3236"/>
      <c r="I16" s="3237"/>
      <c r="J16" s="2243"/>
      <c r="K16" s="2401"/>
      <c r="L16" s="1670"/>
      <c r="M16" s="1670"/>
      <c r="N16" s="2243"/>
      <c r="O16" s="1670"/>
      <c r="P16" s="2243"/>
      <c r="Q16" s="2243"/>
      <c r="R16" s="2243"/>
    </row>
    <row r="17" spans="1:28">
      <c r="A17" s="305" t="s">
        <v>2195</v>
      </c>
      <c r="B17" s="294" t="s">
        <v>2196</v>
      </c>
      <c r="C17" s="8">
        <f>'数据-汇总表'!E3</f>
        <v>299.39</v>
      </c>
      <c r="D17" s="1256" t="s">
        <v>2197</v>
      </c>
      <c r="E17" s="3238" t="s">
        <v>2198</v>
      </c>
      <c r="F17" s="3239"/>
      <c r="G17" s="3239"/>
      <c r="H17" s="3239"/>
      <c r="I17" s="3240"/>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1" t="s">
        <v>2202</v>
      </c>
      <c r="F18" s="3242"/>
      <c r="G18" s="3242"/>
      <c r="H18" s="3242"/>
      <c r="I18" s="3243"/>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8" t="s">
        <v>2206</v>
      </c>
      <c r="C20" s="3229"/>
      <c r="D20" s="3230" t="s">
        <v>2207</v>
      </c>
      <c r="E20" s="3231"/>
      <c r="F20" s="2428" t="s">
        <v>1056</v>
      </c>
      <c r="G20" s="2440"/>
      <c r="H20" s="2440"/>
      <c r="I20" s="2440"/>
      <c r="J20" s="2243"/>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6"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7"/>
      <c r="B30" s="294" t="s">
        <v>2218</v>
      </c>
      <c r="C30" s="3218"/>
      <c r="D30" s="3219"/>
      <c r="E30" s="2440"/>
      <c r="F30" s="2440"/>
      <c r="G30" s="2440"/>
      <c r="H30" s="2440"/>
      <c r="I30" s="2440"/>
      <c r="J30" s="2243"/>
      <c r="K30" s="2400"/>
      <c r="L30" s="2397"/>
      <c r="M30" s="2397"/>
      <c r="N30" s="2243"/>
      <c r="O30" s="1670"/>
      <c r="P30" s="2243"/>
      <c r="Q30" s="2243"/>
      <c r="R30" s="2243"/>
      <c r="S30" s="2243"/>
      <c r="T30" s="2243"/>
      <c r="U30" s="2243"/>
      <c r="V30" s="2243"/>
    </row>
    <row r="31" spans="1:28">
      <c r="A31" s="3220"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3"/>
      <c r="V34" s="2243"/>
    </row>
    <row r="35" spans="1:30">
      <c r="A35" s="2234"/>
      <c r="B35" s="3215" t="s">
        <v>2229</v>
      </c>
      <c r="C35" s="3215"/>
      <c r="D35" s="3215"/>
      <c r="E35" s="321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12" sqref="F12"/>
      <selection pane="topRight" activeCell="F12" sqref="F12"/>
      <selection pane="bottomLeft" activeCell="F12" sqref="F12"/>
      <selection pane="bottomRight" activeCell="F12" sqref="F1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299.39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299.39</v>
      </c>
      <c r="H5" s="13">
        <f t="shared" ref="H5:AT5" si="0">SUM(H13:H656)</f>
        <v>299.39</v>
      </c>
      <c r="I5" s="13">
        <f t="shared" si="0"/>
        <v>299.39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299.39</v>
      </c>
      <c r="BA5" s="15">
        <f t="shared" si="1"/>
        <v>299.39</v>
      </c>
      <c r="BB5" s="15">
        <f t="shared" si="1"/>
        <v>299.39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3453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3424</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2" t="s">
        <v>3451</v>
      </c>
      <c r="D13" s="1513" t="s">
        <v>3452</v>
      </c>
      <c r="E13" s="13">
        <f>IF($C$3="是",ROUND($A$3*G13/$B$3,2),ROUND($A$3*(G13-AT13)/$B$3,2))</f>
        <v>0</v>
      </c>
      <c r="F13" s="29"/>
      <c r="G13" s="30">
        <f>H13+AC13+AT13</f>
        <v>299.39</v>
      </c>
      <c r="H13" s="17">
        <f>SUMIF(I$12:AB$12,"总值",I13:AB13)</f>
        <v>299.39</v>
      </c>
      <c r="I13" s="1514">
        <v>299.39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住宅</v>
      </c>
      <c r="AY13" s="1260">
        <f>ROUND($AY$6*AZ13/$AZ$5,2)</f>
        <v>0</v>
      </c>
      <c r="AZ13" s="13">
        <f>BA13+BL13</f>
        <v>299.39</v>
      </c>
      <c r="BA13" s="13">
        <f>SUM(BB13:BK13)</f>
        <v>299.39</v>
      </c>
      <c r="BB13" s="13">
        <f>IF($D13="是",I13-J13,0)</f>
        <v>299.39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2" sqref="F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3" t="s">
        <v>1131</v>
      </c>
      <c r="B2" s="3253"/>
      <c r="C2" s="3253"/>
      <c r="D2" s="748" t="s">
        <v>1107</v>
      </c>
      <c r="E2" s="1523" t="s">
        <v>1108</v>
      </c>
      <c r="F2" s="2437"/>
      <c r="G2" s="2430"/>
      <c r="H2" s="2431"/>
      <c r="I2" s="2144" t="s">
        <v>1132</v>
      </c>
      <c r="J2" s="2437"/>
      <c r="K2" s="2437"/>
      <c r="L2" s="2437"/>
      <c r="M2" s="2437"/>
      <c r="N2" s="2438"/>
      <c r="O2" s="2437"/>
      <c r="P2" s="2437"/>
    </row>
    <row r="3" spans="1:16" ht="15.75" thickBot="1">
      <c r="A3" s="3254" t="s">
        <v>1105</v>
      </c>
      <c r="B3" s="3254"/>
      <c r="C3" s="3254"/>
      <c r="D3" s="41">
        <f>'数据-基础表'!AY6</f>
        <v>0</v>
      </c>
      <c r="E3" s="41">
        <f>'数据-基础表'!AZ5</f>
        <v>299.39</v>
      </c>
      <c r="F3" s="2437"/>
      <c r="G3" s="42"/>
      <c r="H3" s="43" t="s">
        <v>1106</v>
      </c>
      <c r="I3" s="802" t="e">
        <f>ROUND('数据-基础表'!B3/'数据-基础表'!A3,2)</f>
        <v>#DIV/0!</v>
      </c>
      <c r="J3" s="2437"/>
      <c r="K3" s="2437"/>
      <c r="L3" s="2437"/>
      <c r="M3" s="2437"/>
      <c r="N3" s="2438"/>
      <c r="O3" s="2437"/>
      <c r="P3" s="2437"/>
    </row>
    <row r="4" spans="1:16" ht="15">
      <c r="A4" s="3255"/>
      <c r="B4" s="3256"/>
      <c r="C4" s="325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8" t="s">
        <v>1110</v>
      </c>
      <c r="C5" s="3258"/>
      <c r="D5" s="43">
        <f>ROUND($D$3*E5/$E$3,2)</f>
        <v>0</v>
      </c>
      <c r="E5" s="44">
        <f>SUMIF('数据-基础表'!$11:$11,"住宅",'数据-基础表'!$5:$5)</f>
        <v>299.39</v>
      </c>
      <c r="F5" s="2437"/>
      <c r="G5" s="42"/>
      <c r="H5" s="43" t="s">
        <v>1106</v>
      </c>
      <c r="I5" s="802" t="e">
        <f>ROUND(E31/D31,2)</f>
        <v>#DIV/0!</v>
      </c>
      <c r="J5" s="2437"/>
      <c r="K5" s="2437"/>
      <c r="L5" s="2437"/>
      <c r="M5" s="2437"/>
      <c r="N5" s="2437"/>
      <c r="O5" s="2437"/>
      <c r="P5" s="2437"/>
    </row>
    <row r="6" spans="1:16" ht="15" thickBot="1">
      <c r="A6" s="1527"/>
      <c r="B6" s="3258" t="s">
        <v>1111</v>
      </c>
      <c r="C6" s="3258"/>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50"/>
      <c r="B7" s="3251"/>
      <c r="C7" s="3252"/>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299.39</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299.39</v>
      </c>
      <c r="F16" s="2437"/>
      <c r="G16" s="2437"/>
      <c r="H16" s="1531" t="s">
        <v>1135</v>
      </c>
      <c r="I16" s="1532"/>
      <c r="J16" s="1071"/>
      <c r="K16" s="3247" t="s">
        <v>1135</v>
      </c>
      <c r="L16" s="3248"/>
      <c r="M16" s="3248"/>
      <c r="N16" s="3248"/>
      <c r="O16" s="3248"/>
      <c r="P16" s="3249"/>
    </row>
    <row r="17" spans="1:19" ht="15">
      <c r="A17" s="1533" t="s">
        <v>1136</v>
      </c>
      <c r="B17" s="1534" t="s">
        <v>1137</v>
      </c>
      <c r="C17" s="1535" t="s">
        <v>1138</v>
      </c>
      <c r="D17" s="1536" t="s">
        <v>1126</v>
      </c>
      <c r="E17" s="1537" t="s">
        <v>1127</v>
      </c>
      <c r="F17" s="1538"/>
      <c r="G17" s="1539"/>
      <c r="H17" s="1540" t="s">
        <v>1139</v>
      </c>
      <c r="I17" s="1541" t="s">
        <v>1124</v>
      </c>
      <c r="J17" s="1071"/>
      <c r="K17" s="3244" t="s">
        <v>1140</v>
      </c>
      <c r="L17" s="3245"/>
      <c r="M17" s="3246"/>
      <c r="N17" s="3244" t="s">
        <v>1141</v>
      </c>
      <c r="O17" s="3245"/>
      <c r="P17" s="324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tr">
        <f>'数据-基础表'!C13</f>
        <v>住宅</v>
      </c>
      <c r="D19" s="43">
        <f>ROUND($D$3*E19/$E$3,2)</f>
        <v>0</v>
      </c>
      <c r="E19" s="51">
        <f t="shared" ref="E19:E26" si="1">SUM(F19:G19)</f>
        <v>299.39</v>
      </c>
      <c r="F19" s="2556">
        <f>'数据-基础表'!I13</f>
        <v>299.39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299.39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299.39</v>
      </c>
      <c r="F27" s="1072">
        <f>IF(SUM(F19:F26)=E8,SUM(F19:F26),"地上面积有误")</f>
        <v>299.39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299.39</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299.39</v>
      </c>
      <c r="F31" s="644">
        <f>F27+F30</f>
        <v>299.39</v>
      </c>
      <c r="G31" s="645">
        <f>G27+G30</f>
        <v>0</v>
      </c>
      <c r="H31" s="2437"/>
      <c r="I31" s="2437"/>
      <c r="J31" s="2437"/>
      <c r="K31" s="2437"/>
      <c r="L31" s="2437"/>
      <c r="M31" s="2437"/>
      <c r="N31" s="2437"/>
      <c r="O31" s="2437"/>
      <c r="P31" s="2437"/>
    </row>
    <row r="32" spans="1:19">
      <c r="A32" s="1526"/>
      <c r="B32" s="1526" t="s">
        <v>1159</v>
      </c>
      <c r="C32" s="1526"/>
      <c r="D32" s="1526"/>
      <c r="E32" s="990">
        <f>SUMIF(C19:C26,"*住宅*",E19:E26)</f>
        <v>299.39</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F12" sqref="F12"/>
      <selection pane="topRight" activeCell="F12" sqref="F12"/>
      <selection pane="bottomLeft" activeCell="F12" sqref="F12"/>
      <selection pane="bottomRight" activeCell="F12" sqref="F1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3424</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299.39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299.39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3377</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3378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3379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3380</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59" t="s">
        <v>2277</v>
      </c>
      <c r="B1" s="3260"/>
      <c r="C1" s="3260"/>
      <c r="D1" s="3260"/>
      <c r="E1" s="3260"/>
      <c r="F1" s="3260"/>
      <c r="G1" s="326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2" sqref="A2:I16"/>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45707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t="e">
        <f ca="1">IF(B6=G14,结果表!H108,ROUND(B6*10000/$B$1,0))</f>
        <v>#REF!</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3347</v>
      </c>
      <c r="D10" s="2298" t="s">
        <v>3348</v>
      </c>
      <c r="E10" s="3135"/>
      <c r="F10" s="3139" t="s">
        <v>3349</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c r="C14" s="2304"/>
      <c r="D14" s="2304"/>
      <c r="E14" s="2304" t="e">
        <f>ROUND(D14*10000/B14,0)</f>
        <v>#DIV/0!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A2" sqref="A2:I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5" t="str">
        <f>项目基本情况!S2</f>
        <v>房地产</v>
      </c>
      <c r="B2" s="3296"/>
      <c r="C2" s="3296"/>
      <c r="D2" s="3296"/>
      <c r="E2" s="3296"/>
      <c r="F2" s="3296"/>
      <c r="G2" s="3296"/>
      <c r="H2" s="3296"/>
      <c r="I2" s="3297"/>
    </row>
    <row r="3" spans="1:12" ht="12.75">
      <c r="A3" s="3299" t="s">
        <v>1264</v>
      </c>
      <c r="B3" s="3300"/>
      <c r="C3" s="3300"/>
      <c r="D3" s="3300"/>
      <c r="E3" s="3300"/>
      <c r="F3" s="3300"/>
      <c r="G3" s="3300"/>
      <c r="H3" s="3300"/>
      <c r="I3" s="3300"/>
    </row>
    <row r="4" spans="1:12" ht="14.25">
      <c r="A4" s="1624" t="s">
        <v>1265</v>
      </c>
      <c r="B4" s="1625" t="s">
        <v>1266</v>
      </c>
      <c r="C4" s="1626"/>
      <c r="D4" s="1626"/>
      <c r="E4" s="3301" t="s">
        <v>1267</v>
      </c>
      <c r="F4" s="3302"/>
      <c r="G4" s="3302"/>
      <c r="H4" s="3302"/>
      <c r="I4" s="330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5" t="s">
        <v>1268</v>
      </c>
      <c r="B5" s="3262">
        <v>25</v>
      </c>
      <c r="C5" s="3278"/>
      <c r="D5" s="3298"/>
      <c r="E5" s="123" t="s">
        <v>1269</v>
      </c>
      <c r="F5" s="1627"/>
      <c r="G5" s="1627"/>
      <c r="H5" s="1627"/>
      <c r="I5" s="1281"/>
    </row>
    <row r="6" spans="1:12" ht="12.75">
      <c r="A6" s="3275"/>
      <c r="B6" s="3262"/>
      <c r="C6" s="3279"/>
      <c r="D6" s="3298"/>
      <c r="E6" s="123" t="s">
        <v>1270</v>
      </c>
      <c r="F6" s="1627"/>
      <c r="G6" s="1627"/>
      <c r="H6" s="1627"/>
      <c r="I6" s="1281"/>
    </row>
    <row r="7" spans="1:12" ht="12.75">
      <c r="A7" s="3275"/>
      <c r="B7" s="3262"/>
      <c r="C7" s="3280"/>
      <c r="D7" s="3298"/>
      <c r="E7" s="123" t="s">
        <v>1271</v>
      </c>
      <c r="F7" s="1627"/>
      <c r="G7" s="1627"/>
      <c r="H7" s="1627"/>
      <c r="I7" s="1281"/>
    </row>
    <row r="8" spans="1:12" ht="12.75">
      <c r="A8" s="3275" t="s">
        <v>1272</v>
      </c>
      <c r="B8" s="3262">
        <v>15</v>
      </c>
      <c r="C8" s="3278"/>
      <c r="D8" s="3298"/>
      <c r="E8" s="123" t="s">
        <v>1273</v>
      </c>
      <c r="F8" s="1627"/>
      <c r="G8" s="1627"/>
      <c r="H8" s="1627"/>
      <c r="I8" s="1281"/>
    </row>
    <row r="9" spans="1:12" ht="12.75">
      <c r="A9" s="3275"/>
      <c r="B9" s="3262"/>
      <c r="C9" s="3280"/>
      <c r="D9" s="3298"/>
      <c r="E9" s="123" t="s">
        <v>1274</v>
      </c>
      <c r="F9" s="1627"/>
      <c r="G9" s="1627"/>
      <c r="H9" s="1627"/>
      <c r="I9" s="1281"/>
    </row>
    <row r="10" spans="1:12" ht="12.75">
      <c r="A10" s="3275" t="s">
        <v>1275</v>
      </c>
      <c r="B10" s="3262">
        <v>15</v>
      </c>
      <c r="C10" s="3278"/>
      <c r="D10" s="3298"/>
      <c r="E10" s="123" t="s">
        <v>1276</v>
      </c>
      <c r="F10" s="1627"/>
      <c r="G10" s="1627"/>
      <c r="H10" s="1627"/>
      <c r="I10" s="1281"/>
    </row>
    <row r="11" spans="1:12" ht="12.75">
      <c r="A11" s="3275"/>
      <c r="B11" s="3262"/>
      <c r="C11" s="3280"/>
      <c r="D11" s="3298"/>
      <c r="E11" s="123" t="s">
        <v>1277</v>
      </c>
      <c r="F11" s="1627"/>
      <c r="G11" s="1627"/>
      <c r="H11" s="1627"/>
      <c r="I11" s="1281"/>
    </row>
    <row r="12" spans="1:12" ht="12.75">
      <c r="A12" s="3275" t="s">
        <v>1278</v>
      </c>
      <c r="B12" s="3262">
        <v>15</v>
      </c>
      <c r="C12" s="3278"/>
      <c r="D12" s="3298"/>
      <c r="E12" s="123" t="s">
        <v>1279</v>
      </c>
      <c r="F12" s="1627"/>
      <c r="G12" s="1627"/>
      <c r="H12" s="1627"/>
      <c r="I12" s="1281"/>
    </row>
    <row r="13" spans="1:12" ht="12.75">
      <c r="A13" s="3275"/>
      <c r="B13" s="3262"/>
      <c r="C13" s="3280"/>
      <c r="D13" s="3298"/>
      <c r="E13" s="123" t="s">
        <v>1280</v>
      </c>
      <c r="F13" s="1627"/>
      <c r="G13" s="1627"/>
      <c r="H13" s="1627"/>
      <c r="I13" s="1281"/>
    </row>
    <row r="14" spans="1:12" ht="12.75">
      <c r="A14" s="3275" t="s">
        <v>1281</v>
      </c>
      <c r="B14" s="3262">
        <v>30</v>
      </c>
      <c r="C14" s="3278"/>
      <c r="D14" s="3298"/>
      <c r="E14" s="123" t="s">
        <v>1282</v>
      </c>
      <c r="F14" s="1627"/>
      <c r="G14" s="1627"/>
      <c r="H14" s="1627"/>
      <c r="I14" s="1281"/>
    </row>
    <row r="15" spans="1:12" ht="12.75">
      <c r="A15" s="3275"/>
      <c r="B15" s="3262"/>
      <c r="C15" s="3279"/>
      <c r="D15" s="3298"/>
      <c r="E15" s="123" t="s">
        <v>1283</v>
      </c>
      <c r="F15" s="1627"/>
      <c r="G15" s="1627"/>
      <c r="H15" s="1627"/>
      <c r="I15" s="1281"/>
    </row>
    <row r="16" spans="1:12" ht="12.75">
      <c r="A16" s="3275"/>
      <c r="B16" s="3262"/>
      <c r="C16" s="3280"/>
      <c r="D16" s="329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5" t="s">
        <v>2131</v>
      </c>
      <c r="F18" s="3286"/>
      <c r="G18" s="3286"/>
      <c r="H18" s="3286"/>
      <c r="I18" s="3286"/>
      <c r="K18" s="294" t="s">
        <v>1289</v>
      </c>
      <c r="L18" s="294">
        <f>IF(C1="",'数据-汇总表'!E3,SUMIF(项目类型,C1,'数据-汇总表'!E17:E26)+SUMIF(项目类型,C1,'数据-汇总表'!I17:I26))</f>
        <v>299.39</v>
      </c>
      <c r="M18" s="294">
        <f>IF(C1="",'数据-汇总表'!E3,SUMIF(项目类型,C1,'数据-汇总表'!E17:E26))</f>
        <v>299.39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9" t="s">
        <v>1299</v>
      </c>
      <c r="B24" s="1631" t="s">
        <v>1291</v>
      </c>
      <c r="C24" s="128">
        <f>IF(B30=0,0,D30)</f>
        <v>0</v>
      </c>
      <c r="D24" s="1637"/>
      <c r="E24" s="121"/>
      <c r="F24" s="121"/>
      <c r="G24" s="121"/>
      <c r="H24" s="121"/>
      <c r="I24" s="121"/>
    </row>
    <row r="25" spans="1:36" ht="14.25">
      <c r="A25" s="32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9" t="s">
        <v>1312</v>
      </c>
      <c r="B36" s="1652" t="s">
        <v>1313</v>
      </c>
      <c r="C36" s="137"/>
      <c r="D36" s="1653"/>
      <c r="E36" s="1567"/>
      <c r="F36" s="1654"/>
      <c r="G36" s="121"/>
      <c r="H36" s="121"/>
      <c r="I36" s="121"/>
    </row>
    <row r="37" spans="1:15" ht="15.75" thickBot="1">
      <c r="A37" s="3290"/>
      <c r="B37" s="1555" t="s">
        <v>1314</v>
      </c>
      <c r="C37" s="139"/>
      <c r="D37" s="1071"/>
      <c r="E37" s="1071"/>
      <c r="F37" s="1654"/>
      <c r="G37" s="121"/>
      <c r="H37" s="121"/>
      <c r="I37" s="121"/>
    </row>
    <row r="38" spans="1:15" ht="15.75" thickBot="1">
      <c r="A38" s="329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6" t="s">
        <v>1326</v>
      </c>
      <c r="B45" s="3267"/>
      <c r="C45" s="3268"/>
      <c r="D45" s="147" t="e">
        <f ca="1">ROUND(H101*F45,0)</f>
        <v>#REF!</v>
      </c>
      <c r="E45" s="148" t="s">
        <v>1327</v>
      </c>
      <c r="F45" s="149">
        <v>1</v>
      </c>
      <c r="G45" s="150" t="s">
        <v>1328</v>
      </c>
      <c r="H45" s="121"/>
      <c r="I45" s="121"/>
      <c r="J45" s="3344" t="s">
        <v>1329</v>
      </c>
      <c r="K45" s="3344"/>
      <c r="L45" s="3344"/>
      <c r="M45" s="3344"/>
      <c r="N45" s="3344"/>
      <c r="O45" s="3344"/>
    </row>
    <row r="46" spans="1:15" ht="14.25" customHeight="1">
      <c r="A46" s="3263" t="s">
        <v>1330</v>
      </c>
      <c r="B46" s="3264"/>
      <c r="C46" s="3264"/>
      <c r="D46" s="3264"/>
      <c r="E46" s="3264"/>
      <c r="F46" s="3264"/>
      <c r="G46" s="3265"/>
      <c r="H46" s="1668"/>
      <c r="I46" s="151"/>
      <c r="J46" s="2308">
        <v>1</v>
      </c>
      <c r="K46" s="3325" t="s">
        <v>1331</v>
      </c>
      <c r="L46" s="3325"/>
      <c r="M46" s="3345"/>
      <c r="N46" s="3345"/>
      <c r="O46" s="3345"/>
    </row>
    <row r="47" spans="1:15" ht="12" customHeight="1">
      <c r="A47" s="152" t="s">
        <v>1332</v>
      </c>
      <c r="B47" s="153"/>
      <c r="C47" s="154"/>
      <c r="D47" s="1024" t="s">
        <v>1333</v>
      </c>
      <c r="E47" s="294" t="s">
        <v>1334</v>
      </c>
      <c r="F47" s="155" t="s">
        <v>1335</v>
      </c>
      <c r="G47" s="2331" t="s">
        <v>1336</v>
      </c>
      <c r="H47" s="2332"/>
      <c r="I47" s="151"/>
      <c r="J47" s="2308">
        <v>2</v>
      </c>
      <c r="K47" s="3325" t="s">
        <v>1337</v>
      </c>
      <c r="L47" s="3325"/>
      <c r="M47" s="3346">
        <f>'数据-取费表'!B2</f>
        <v>45707</v>
      </c>
      <c r="N47" s="3346"/>
      <c r="O47" s="3346"/>
    </row>
    <row r="48" spans="1:15" ht="25.5">
      <c r="A48" s="3294" t="s">
        <v>1338</v>
      </c>
      <c r="B48" s="3277"/>
      <c r="C48" s="3277"/>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325" t="s">
        <v>1340</v>
      </c>
      <c r="L48" s="3325"/>
      <c r="M48" s="3347" t="e">
        <f ca="1">H101</f>
        <v>#REF!</v>
      </c>
      <c r="N48" s="3347"/>
      <c r="O48" s="3347"/>
    </row>
    <row r="49" spans="1:35" ht="25.5" customHeight="1">
      <c r="A49" s="2150" t="s">
        <v>1341</v>
      </c>
      <c r="B49" s="3261" t="s">
        <v>1342</v>
      </c>
      <c r="C49" s="3261"/>
      <c r="D49" s="1478">
        <v>0</v>
      </c>
      <c r="E49" s="316" t="s">
        <v>1343</v>
      </c>
      <c r="F49" s="2231" t="s">
        <v>28</v>
      </c>
      <c r="G49" s="3331"/>
      <c r="H49" s="2132" t="s">
        <v>2134</v>
      </c>
      <c r="I49" s="2133"/>
      <c r="J49" s="2308">
        <v>4</v>
      </c>
      <c r="K49" s="3325" t="str">
        <f>IF(项目基本情况!E8="房地产抵押价值","房地产抵押价值","抵押担保权已注销时的房地产抵押价值")</f>
        <v>抵押担保权已注销时的房地产抵押价值</v>
      </c>
      <c r="L49" s="3325"/>
      <c r="M49" s="3347" t="str">
        <f>IF(项目基本情况!E8="房地产抵押价值",H107,H109)</f>
        <v>——</v>
      </c>
      <c r="N49" s="3347"/>
      <c r="O49" s="3347"/>
    </row>
    <row r="50" spans="1:35" ht="25.5" customHeight="1">
      <c r="A50" s="2336"/>
      <c r="B50" s="3261" t="s">
        <v>1344</v>
      </c>
      <c r="C50" s="3261"/>
      <c r="D50" s="2187"/>
      <c r="E50" s="323"/>
      <c r="F50" s="2231"/>
      <c r="G50" s="3332"/>
      <c r="H50" s="2134" t="s">
        <v>2135</v>
      </c>
      <c r="I50" s="2133"/>
      <c r="J50" s="3344" t="s">
        <v>1345</v>
      </c>
      <c r="K50" s="3344"/>
      <c r="L50" s="3344"/>
      <c r="M50" s="3344"/>
      <c r="N50" s="3344"/>
      <c r="O50" s="3344"/>
    </row>
    <row r="51" spans="1:35" ht="20.45" customHeight="1">
      <c r="A51" s="2337"/>
      <c r="B51" s="3261" t="s">
        <v>1346</v>
      </c>
      <c r="C51" s="3261"/>
      <c r="D51" s="1024"/>
      <c r="E51" s="319"/>
      <c r="F51" s="2231"/>
      <c r="G51" s="3333"/>
      <c r="H51" s="2134" t="s">
        <v>2136</v>
      </c>
      <c r="I51" s="2133"/>
      <c r="J51" s="2309" t="s">
        <v>1347</v>
      </c>
      <c r="K51" s="3325" t="s">
        <v>1348</v>
      </c>
      <c r="L51" s="3325"/>
      <c r="M51" s="2309" t="s">
        <v>1349</v>
      </c>
      <c r="N51" s="2309" t="s">
        <v>1350</v>
      </c>
      <c r="O51" s="2309" t="s">
        <v>1351</v>
      </c>
    </row>
    <row r="52" spans="1:35" ht="24" customHeight="1">
      <c r="A52" s="2151" t="s">
        <v>1352</v>
      </c>
      <c r="B52" s="3261" t="s">
        <v>1353</v>
      </c>
      <c r="C52" s="3261"/>
      <c r="D52" s="1024" t="e">
        <f ca="1">ROUND(D45*'数据-取费表'!B41/(1+'数据-取费表'!C42),0)</f>
        <v>#REF!</v>
      </c>
      <c r="E52" s="1256" t="s">
        <v>1354</v>
      </c>
      <c r="F52" s="2338">
        <f>'数据-取费表'!B41</f>
        <v>0</v>
      </c>
      <c r="G52" s="2339"/>
      <c r="H52" s="2329"/>
      <c r="I52" s="1669"/>
      <c r="J52" s="2308">
        <v>1</v>
      </c>
      <c r="K52" s="3326" t="s">
        <v>1355</v>
      </c>
      <c r="L52" s="3326"/>
      <c r="M52" s="2310" t="b">
        <f>D48</f>
        <v>0</v>
      </c>
      <c r="N52" s="2308" t="str">
        <f>E48</f>
        <v>销售额×税（费）率</v>
      </c>
      <c r="O52" s="2311">
        <f>F48</f>
        <v>0</v>
      </c>
    </row>
    <row r="53" spans="1:35" ht="12" customHeight="1">
      <c r="A53" s="2151" t="s">
        <v>1356</v>
      </c>
      <c r="B53" s="3287" t="s">
        <v>2282</v>
      </c>
      <c r="C53" s="3288"/>
      <c r="D53" s="1024" t="e">
        <f ca="1">ROUND(D45*'数据-取费表'!B41/(1+'数据-取费表'!C42),0)</f>
        <v>#REF!</v>
      </c>
      <c r="E53" s="1256" t="s">
        <v>1354</v>
      </c>
      <c r="F53" s="2338">
        <f>'数据-取费表'!B41</f>
        <v>0</v>
      </c>
      <c r="G53" s="2339"/>
      <c r="H53" s="2329"/>
      <c r="I53" s="1669"/>
      <c r="J53" s="2308">
        <v>2</v>
      </c>
      <c r="K53" s="3326" t="s">
        <v>1357</v>
      </c>
      <c r="L53" s="3326"/>
      <c r="M53" s="2310" t="e">
        <f t="shared" ref="M53:O54" ca="1" si="0">D55</f>
        <v>#REF!</v>
      </c>
      <c r="N53" s="2308" t="str">
        <f t="shared" si="0"/>
        <v>销售额×税（费）率</v>
      </c>
      <c r="O53" s="2311" t="str">
        <f t="shared" si="0"/>
        <v>免征</v>
      </c>
    </row>
    <row r="54" spans="1:35" ht="12" customHeight="1">
      <c r="A54" s="2151" t="s">
        <v>1358</v>
      </c>
      <c r="B54" s="3287" t="s">
        <v>2283</v>
      </c>
      <c r="C54" s="3288"/>
      <c r="D54" s="1024" t="e">
        <f ca="1">C68</f>
        <v>#REF!</v>
      </c>
      <c r="E54" s="319" t="s">
        <v>1359</v>
      </c>
      <c r="F54" s="2338">
        <f>'数据-取费表'!B41</f>
        <v>0</v>
      </c>
      <c r="G54" s="2339"/>
      <c r="H54" s="2340"/>
      <c r="I54" s="1669"/>
      <c r="J54" s="2308">
        <v>3</v>
      </c>
      <c r="K54" s="3326" t="s">
        <v>1360</v>
      </c>
      <c r="L54" s="3326"/>
      <c r="M54" s="2310" t="e">
        <f t="shared" ca="1" si="0"/>
        <v>#REF!</v>
      </c>
      <c r="N54" s="2308" t="str">
        <f t="shared" si="0"/>
        <v>增值额×税（费）率</v>
      </c>
      <c r="O54" s="2312" t="str">
        <f t="shared" si="0"/>
        <v>免征</v>
      </c>
    </row>
    <row r="55" spans="1:35" ht="24" customHeight="1">
      <c r="A55" s="3276" t="s">
        <v>1361</v>
      </c>
      <c r="B55" s="3277"/>
      <c r="C55" s="3277"/>
      <c r="D55" s="12" t="e">
        <f ca="1">IF(H55="个人住宅",0,ROUND(D45*I55,0))</f>
        <v>#REF!</v>
      </c>
      <c r="E55" s="1256" t="s">
        <v>1362</v>
      </c>
      <c r="F55" s="2338" t="str">
        <f>IF(H55="正常",I55,"免征")</f>
        <v>免征</v>
      </c>
      <c r="G55" s="2339"/>
      <c r="H55" s="2335"/>
      <c r="I55" s="157">
        <f>'数据-取费表'!B49</f>
        <v>0</v>
      </c>
      <c r="J55" s="2308">
        <f>IF(H59="非个人房产","",4)</f>
        <v>4</v>
      </c>
      <c r="K55" s="3326" t="str">
        <f>IF(H59="非个人房产","——","个人所得税")</f>
        <v>个人所得税</v>
      </c>
      <c r="L55" s="3326"/>
      <c r="M55" s="2313" t="e">
        <f ca="1">D59</f>
        <v>#REF!</v>
      </c>
      <c r="N55" s="1881" t="str">
        <f>E59</f>
        <v>差额计税</v>
      </c>
      <c r="O55" s="2314">
        <f>F59</f>
        <v>0.01</v>
      </c>
    </row>
    <row r="56" spans="1:35" ht="24.75">
      <c r="A56" s="3276" t="s">
        <v>1363</v>
      </c>
      <c r="B56" s="3277"/>
      <c r="C56" s="3277"/>
      <c r="D56" s="12" t="e">
        <f ca="1">IF(H56="个人住宅",D57,D58)</f>
        <v>#REF!</v>
      </c>
      <c r="E56" s="1256" t="s">
        <v>1364</v>
      </c>
      <c r="F56" s="2338" t="str">
        <f>IF(H56="正常",F58,"免征")</f>
        <v>免征</v>
      </c>
      <c r="G56" s="2341" t="s">
        <v>1365</v>
      </c>
      <c r="H56" s="2342"/>
      <c r="I56" s="1670"/>
      <c r="J56" s="2308" t="str">
        <f>IF(项目基本情况!K6="上海银行",IF(J55="",4,J55+1),"")</f>
        <v/>
      </c>
      <c r="K56" s="3349" t="str">
        <f>IF(项目基本情况!K6="上海银行","其他处置费用","")</f>
        <v/>
      </c>
      <c r="L56" s="3350"/>
      <c r="M56" s="2310" t="str">
        <f>IF(项目基本情况!K6="上海银行",M69,"")</f>
        <v/>
      </c>
      <c r="N56" s="3349" t="str">
        <f>IF(项目基本情况!K6="上海银行","包含处置中涉及的律师、诉讼、拍卖、评估等费用","")</f>
        <v/>
      </c>
      <c r="O56" s="3352"/>
    </row>
    <row r="57" spans="1:35" ht="12.75">
      <c r="A57" s="2151" t="s">
        <v>1341</v>
      </c>
      <c r="B57" s="3287" t="s">
        <v>1366</v>
      </c>
      <c r="C57" s="3288"/>
      <c r="D57" s="1478">
        <v>0</v>
      </c>
      <c r="E57" s="316" t="s">
        <v>1343</v>
      </c>
      <c r="F57" s="294"/>
      <c r="G57" s="2339"/>
      <c r="H57" s="2343"/>
      <c r="I57" s="1670"/>
      <c r="J57" s="3326">
        <f>IF(AND(J55="",J56=""),4,IF(项目基本情况!K6="上海银行",结果表!J56+1,结果表!J55+1))</f>
        <v>5</v>
      </c>
      <c r="K57" s="3326" t="s">
        <v>1367</v>
      </c>
      <c r="L57" s="2315" t="s">
        <v>1368</v>
      </c>
      <c r="M57" s="2316"/>
      <c r="N57" s="2317">
        <f ca="1">SUMIF(M52:M56,"&lt;9e307")</f>
        <v>0</v>
      </c>
      <c r="O57" s="2318"/>
      <c r="P57" s="2463" t="e">
        <f ca="1">N57/M49</f>
        <v>#VALUE!</v>
      </c>
    </row>
    <row r="58" spans="1:35" ht="24.75">
      <c r="A58" s="2151" t="s">
        <v>1352</v>
      </c>
      <c r="B58" s="3287" t="s">
        <v>1369</v>
      </c>
      <c r="C58" s="3261"/>
      <c r="D58" s="12" t="e">
        <f ca="1">IF(H58="转让取得",C81,C97)</f>
        <v>#REF!</v>
      </c>
      <c r="E58" s="1256" t="s">
        <v>1364</v>
      </c>
      <c r="F58" s="294" t="s">
        <v>28</v>
      </c>
      <c r="G58" s="2339"/>
      <c r="H58" s="2342"/>
      <c r="I58" s="1670"/>
      <c r="J58" s="3326"/>
      <c r="K58" s="3326"/>
      <c r="L58" s="2315" t="s">
        <v>1370</v>
      </c>
      <c r="M58" s="2319"/>
      <c r="N58" s="2320" t="str">
        <f ca="1">NUMBERSTRING(INT(N57*10000),2)&amp;"元整"</f>
        <v>零元整</v>
      </c>
      <c r="O58" s="2321"/>
    </row>
    <row r="59" spans="1:35" ht="24.75" thickBot="1">
      <c r="A59" s="3329" t="s">
        <v>1371</v>
      </c>
      <c r="B59" s="3330"/>
      <c r="C59" s="3330"/>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27">
        <f>J57+1</f>
        <v>6</v>
      </c>
      <c r="K59" s="3326" t="s">
        <v>1372</v>
      </c>
      <c r="L59" s="2308" t="s">
        <v>1368</v>
      </c>
      <c r="M59" s="2322"/>
      <c r="N59" s="2323" t="e">
        <f ca="1">M49-N57</f>
        <v>#VALUE!</v>
      </c>
      <c r="O59" s="2324"/>
    </row>
    <row r="60" spans="1:35" ht="12" customHeight="1">
      <c r="A60" s="1671"/>
      <c r="B60" s="646"/>
      <c r="C60" s="646"/>
      <c r="D60" s="646"/>
      <c r="E60" s="1466"/>
      <c r="F60" s="1670"/>
      <c r="G60" s="1670"/>
      <c r="H60" s="151"/>
      <c r="I60" s="121"/>
      <c r="J60" s="3328"/>
      <c r="K60" s="3326"/>
      <c r="L60" s="2315" t="s">
        <v>1370</v>
      </c>
      <c r="M60" s="2319"/>
      <c r="N60" s="2320" t="e">
        <f ca="1">NUMBERSTRING(INT(N59*10000),2)&amp;"元整"</f>
        <v>#VALUE!</v>
      </c>
      <c r="O60" s="2321"/>
    </row>
    <row r="61" spans="1:35" ht="13.5" thickBot="1">
      <c r="A61" s="3274" t="s">
        <v>1373</v>
      </c>
      <c r="B61" s="3274"/>
      <c r="C61" s="3274"/>
      <c r="D61" s="3274"/>
      <c r="E61" s="3274"/>
      <c r="F61" s="1670"/>
      <c r="G61" s="1670"/>
      <c r="H61" s="151"/>
      <c r="I61" s="121"/>
      <c r="J61" s="2308">
        <f>J59+1</f>
        <v>7</v>
      </c>
      <c r="K61" s="3326" t="s">
        <v>1374</v>
      </c>
      <c r="L61" s="3326"/>
      <c r="M61" s="2325"/>
      <c r="N61" s="2326" t="e">
        <f ca="1">ROUND(N59*10000/'数据-汇总表'!E3,0)</f>
        <v>#VALUE!</v>
      </c>
      <c r="O61" s="2327"/>
    </row>
    <row r="62" spans="1:35" ht="12.75">
      <c r="A62" s="3292" t="s">
        <v>1375</v>
      </c>
      <c r="B62" s="3293"/>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5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5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5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35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51"/>
      <c r="K69" s="1245" t="s">
        <v>1393</v>
      </c>
      <c r="L69" s="1245"/>
      <c r="M69" s="294" t="e">
        <f>ROUND(SUM(M63:M68),0)</f>
        <v>#VALUE!</v>
      </c>
      <c r="N69" s="2330" t="e">
        <f>M69/M49</f>
        <v>#VALUE!</v>
      </c>
      <c r="Z69" s="1623"/>
      <c r="AI69" s="1561"/>
    </row>
    <row r="70" spans="1:35" s="642" customFormat="1" ht="15" thickBot="1">
      <c r="A70" s="3313" t="s">
        <v>1394</v>
      </c>
      <c r="B70" s="3314"/>
      <c r="C70" s="3314"/>
      <c r="D70" s="3314"/>
      <c r="E70" s="3314"/>
      <c r="F70" s="3314"/>
      <c r="G70" s="3314"/>
      <c r="H70" s="331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7" t="s">
        <v>1402</v>
      </c>
      <c r="F76" s="3261"/>
      <c r="G76" s="3261"/>
      <c r="H76" s="331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271" t="s">
        <v>1406</v>
      </c>
      <c r="F78" s="3272"/>
      <c r="G78" s="3272"/>
      <c r="H78" s="328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3" t="s">
        <v>1410</v>
      </c>
      <c r="B83" s="3314"/>
      <c r="C83" s="3314"/>
      <c r="D83" s="3314"/>
      <c r="E83" s="3314"/>
      <c r="F83" s="3314"/>
      <c r="G83" s="3314"/>
      <c r="H83" s="331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53" t="s">
        <v>2129</v>
      </c>
      <c r="H90" s="3354"/>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1" t="s">
        <v>1419</v>
      </c>
      <c r="F91" s="3272"/>
      <c r="G91" s="327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1" t="s">
        <v>1422</v>
      </c>
      <c r="F92" s="3272"/>
      <c r="G92" s="3272"/>
      <c r="H92" s="3281"/>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271" t="s">
        <v>1406</v>
      </c>
      <c r="F93" s="3272"/>
      <c r="G93" s="3272"/>
      <c r="H93" s="328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2" t="s">
        <v>1426</v>
      </c>
      <c r="F94" s="3283"/>
      <c r="G94" s="3283"/>
      <c r="H94" s="328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5" t="s">
        <v>1428</v>
      </c>
      <c r="B100" s="3256"/>
      <c r="C100" s="3256"/>
      <c r="D100" s="3273"/>
      <c r="E100" s="3256" t="s">
        <v>1429</v>
      </c>
      <c r="F100" s="3256"/>
      <c r="G100" s="3256"/>
      <c r="H100" s="3273"/>
      <c r="I100" s="121"/>
    </row>
    <row r="101" spans="1:35" ht="18.75" customHeight="1">
      <c r="A101" s="3334" t="s">
        <v>1430</v>
      </c>
      <c r="B101" s="3335"/>
      <c r="C101" s="2369">
        <f>C4</f>
        <v>0</v>
      </c>
      <c r="D101" s="2370">
        <f>D4</f>
        <v>0</v>
      </c>
      <c r="E101" s="3348" t="s">
        <v>1431</v>
      </c>
      <c r="F101" s="3305"/>
      <c r="G101" s="1687" t="s">
        <v>1432</v>
      </c>
      <c r="H101" s="2379" t="e">
        <f ca="1">H118</f>
        <v>#REF!</v>
      </c>
      <c r="I101" s="121"/>
    </row>
    <row r="102" spans="1:35" ht="18.75" customHeight="1">
      <c r="A102" s="3307" t="s">
        <v>1433</v>
      </c>
      <c r="B102" s="2368" t="s">
        <v>1432</v>
      </c>
      <c r="C102" s="2369" t="e">
        <f ca="1">IF(D32="楼面单价",ROUND(C19,0),C19)</f>
        <v>#REF!</v>
      </c>
      <c r="D102" s="2370" t="e">
        <f ca="1">IF(D32="楼面单价",ROUND(D19,0),D19)</f>
        <v>#REF!</v>
      </c>
      <c r="E102" s="3348"/>
      <c r="F102" s="3305"/>
      <c r="G102" s="1687" t="s">
        <v>1434</v>
      </c>
      <c r="H102" s="2339" t="e">
        <f ca="1">I118</f>
        <v>#REF!</v>
      </c>
      <c r="I102" s="121"/>
    </row>
    <row r="103" spans="1:35" ht="42.75" customHeight="1">
      <c r="A103" s="3307"/>
      <c r="B103" s="2368" t="s">
        <v>1434</v>
      </c>
      <c r="C103" s="2371" t="e">
        <f ca="1">C20</f>
        <v>#REF!</v>
      </c>
      <c r="D103" s="2372" t="e">
        <f ca="1">D20</f>
        <v>#REF!</v>
      </c>
      <c r="E103" s="3342" t="s">
        <v>1435</v>
      </c>
      <c r="F103" s="3343"/>
      <c r="G103" s="1688" t="s">
        <v>1436</v>
      </c>
      <c r="H103" s="2379">
        <f>IF(D36="正常操作",H104+H105+H106,H105+H106)</f>
        <v>0</v>
      </c>
      <c r="I103" s="121"/>
    </row>
    <row r="104" spans="1:35" ht="18.75" customHeight="1">
      <c r="A104" s="3307"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08"/>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4" t="str">
        <f>IF(项目基本情况!E8="已注销","——","3.房地产抵押价值")</f>
        <v>3.房地产抵押价值</v>
      </c>
      <c r="F107" s="3305"/>
      <c r="G107" s="1687" t="s">
        <v>1432</v>
      </c>
      <c r="H107" s="2379" t="e">
        <f ca="1">IF(E107="——","——",H101-H103)</f>
        <v>#REF!</v>
      </c>
      <c r="I107" s="121"/>
    </row>
    <row r="108" spans="1:35" ht="18.75" customHeight="1">
      <c r="A108" s="121"/>
      <c r="B108" s="121"/>
      <c r="C108" s="121"/>
      <c r="D108" s="121"/>
      <c r="E108" s="3304"/>
      <c r="F108" s="3305"/>
      <c r="G108" s="1687" t="s">
        <v>1434</v>
      </c>
      <c r="H108" s="2339" t="e">
        <f ca="1">IF(H107=H101,H102,ROUND(H107*10000/'数据-汇总表'!E3,0))</f>
        <v>#REF!</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305"/>
      <c r="G109" s="1687" t="s">
        <v>1432</v>
      </c>
      <c r="H109" s="2382" t="str">
        <f>IF(E109="——","——",H101-H105-H106)</f>
        <v>——</v>
      </c>
      <c r="I109" s="121"/>
    </row>
    <row r="110" spans="1:35" ht="18.75" customHeight="1">
      <c r="A110" s="121"/>
      <c r="B110" s="121"/>
      <c r="C110" s="121"/>
      <c r="D110" s="121"/>
      <c r="E110" s="3304"/>
      <c r="F110" s="3305"/>
      <c r="G110" s="1687" t="s">
        <v>1434</v>
      </c>
      <c r="H110" s="2339" t="str">
        <f>IF(H109="——","——",ROUND(H109*10000/'数据-汇总表'!E3,0))</f>
        <v>——</v>
      </c>
      <c r="I110" s="121"/>
    </row>
    <row r="111" spans="1:35" ht="18.75" customHeight="1">
      <c r="A111" s="121"/>
      <c r="B111" s="121"/>
      <c r="C111" s="121"/>
      <c r="D111" s="121"/>
      <c r="E111" s="3336" t="str">
        <f>IF(项目基本情况!E9="抵押净值",IF(OR(项目基本情况!E8="已注销",项目基本情况!E8="房地产抵押价值"),"4.抵押净值","5.抵押净值"),"——")</f>
        <v>——</v>
      </c>
      <c r="F111" s="3306"/>
      <c r="G111" s="1687" t="s">
        <v>1432</v>
      </c>
      <c r="H111" s="2379" t="str">
        <f>IF(E111="——","——",N59)</f>
        <v>——</v>
      </c>
      <c r="I111" s="121"/>
    </row>
    <row r="112" spans="1:35" ht="18.75" customHeight="1" thickBot="1">
      <c r="A112" s="121"/>
      <c r="B112" s="121"/>
      <c r="C112" s="121"/>
      <c r="D112" s="121"/>
      <c r="E112" s="3337"/>
      <c r="F112" s="3338"/>
      <c r="G112" s="1690" t="s">
        <v>1434</v>
      </c>
      <c r="H112" s="2383" t="str">
        <f>IF(E111="——","——",N61)</f>
        <v>——</v>
      </c>
      <c r="I112" s="121"/>
    </row>
    <row r="113" spans="1:27" ht="18.75" customHeight="1">
      <c r="A113" s="121"/>
      <c r="B113" s="121"/>
      <c r="C113" s="121"/>
      <c r="D113" s="121"/>
      <c r="E113" s="3309" t="s">
        <v>1440</v>
      </c>
      <c r="F113" s="3309"/>
      <c r="G113" s="3309"/>
      <c r="H113" s="3309"/>
      <c r="I113" s="121"/>
    </row>
    <row r="114" spans="1:27" ht="3.75" customHeight="1">
      <c r="A114" s="646"/>
      <c r="B114" s="646"/>
      <c r="C114" s="646"/>
      <c r="D114" s="646"/>
      <c r="E114" s="1671"/>
      <c r="F114" s="1671"/>
      <c r="G114" s="1671"/>
      <c r="H114" s="1671"/>
      <c r="I114" s="646"/>
    </row>
    <row r="115" spans="1:27" ht="18.75" customHeight="1">
      <c r="A115" s="3319" t="s">
        <v>1442</v>
      </c>
      <c r="B115" s="3320"/>
      <c r="C115" s="3320"/>
      <c r="D115" s="3320"/>
      <c r="E115" s="3320"/>
      <c r="F115" s="3320"/>
      <c r="G115" s="3320"/>
      <c r="H115" s="3320"/>
      <c r="I115" s="3321"/>
    </row>
    <row r="116" spans="1:27" ht="27" customHeight="1">
      <c r="A116" s="3275" t="s">
        <v>1443</v>
      </c>
      <c r="B116" s="3310" t="s">
        <v>1444</v>
      </c>
      <c r="C116" s="3310" t="s">
        <v>1445</v>
      </c>
      <c r="D116" s="3323" t="s">
        <v>1446</v>
      </c>
      <c r="E116" s="3324"/>
      <c r="F116" s="3318" t="s">
        <v>1447</v>
      </c>
      <c r="G116" s="3318"/>
      <c r="H116" s="3275" t="s">
        <v>1448</v>
      </c>
      <c r="I116" s="3275"/>
    </row>
    <row r="117" spans="1:27" ht="18.75" customHeight="1">
      <c r="A117" s="3275"/>
      <c r="B117" s="3311"/>
      <c r="C117" s="3311"/>
      <c r="D117" s="2148" t="s">
        <v>1449</v>
      </c>
      <c r="E117" s="2148" t="s">
        <v>1450</v>
      </c>
      <c r="F117" s="2148" t="s">
        <v>1449</v>
      </c>
      <c r="G117" s="2148" t="s">
        <v>1451</v>
      </c>
      <c r="H117" s="2148" t="s">
        <v>1449</v>
      </c>
      <c r="I117" s="2148" t="s">
        <v>1451</v>
      </c>
    </row>
    <row r="118" spans="1:27" ht="24.75" customHeight="1">
      <c r="A118" s="2384" t="str">
        <f>项目基本情况!S2</f>
        <v>房地产</v>
      </c>
      <c r="B118" s="2148">
        <f>M18</f>
        <v>299.39</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75" t="s">
        <v>1452</v>
      </c>
      <c r="B119" s="3275"/>
      <c r="C119" s="3275"/>
      <c r="D119" s="3315" t="e">
        <f ca="1">NUMBERSTRING(INT(D118*10000),2)&amp;"元整"</f>
        <v>#REF!</v>
      </c>
      <c r="E119" s="3317"/>
      <c r="F119" s="3315" t="e">
        <f ca="1">NUMBERSTRING(INT(F118*10000),2)&amp;"元整"</f>
        <v>#REF!</v>
      </c>
      <c r="G119" s="3317"/>
      <c r="H119" s="3315" t="e">
        <f ca="1">NUMBERSTRING(INT(H118*10000),2)&amp;"元整"</f>
        <v>#REF!</v>
      </c>
      <c r="I119" s="3317"/>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5" t="s">
        <v>1452</v>
      </c>
      <c r="B121" s="3316"/>
      <c r="C121" s="3317"/>
      <c r="D121" s="3315" t="str">
        <f>IF(D120=0,"零元整",NUMBERSTRING(INT(D120*10000),2)&amp;"元整")</f>
        <v>零元整</v>
      </c>
      <c r="E121" s="3316"/>
      <c r="F121" s="3316"/>
      <c r="G121" s="3316"/>
      <c r="H121" s="3316"/>
      <c r="I121" s="3317"/>
      <c r="AA121" s="684"/>
    </row>
    <row r="122" spans="1:27" ht="18.75" customHeight="1">
      <c r="A122" s="3306" t="str">
        <f>IF(项目基本情况!B9="房地产市场价值","",MID(E107,3,LEN(E107)-2))</f>
        <v>房地产抵押价值</v>
      </c>
      <c r="B122" s="3306"/>
      <c r="C122" s="3306"/>
      <c r="D122" s="3339" t="e">
        <f ca="1">H107</f>
        <v>#REF!</v>
      </c>
      <c r="E122" s="3340"/>
      <c r="F122" s="3340"/>
      <c r="G122" s="3340"/>
      <c r="H122" s="3340"/>
      <c r="I122" s="3341"/>
      <c r="AA122" s="684"/>
    </row>
    <row r="123" spans="1:27" ht="18.75" customHeight="1">
      <c r="A123" s="3275" t="s">
        <v>1452</v>
      </c>
      <c r="B123" s="3275"/>
      <c r="C123" s="3275"/>
      <c r="D123" s="3315" t="e">
        <f ca="1">NUMBERSTRING(INT(D122*10000),2)&amp;"元整"</f>
        <v>#REF!</v>
      </c>
      <c r="E123" s="3316"/>
      <c r="F123" s="3316"/>
      <c r="G123" s="3316"/>
      <c r="H123" s="3316"/>
      <c r="I123" s="3317"/>
      <c r="AA123" s="684"/>
    </row>
    <row r="124" spans="1:27" ht="18.75" customHeight="1">
      <c r="A124" s="3306" t="str">
        <f>IF(项目基本情况!B9="房地产市场价值","",MID(E109,3,LEN(E109)-2))</f>
        <v/>
      </c>
      <c r="B124" s="3306"/>
      <c r="C124" s="3306"/>
      <c r="D124" s="3339" t="str">
        <f>H109</f>
        <v>——</v>
      </c>
      <c r="E124" s="3340"/>
      <c r="F124" s="3340"/>
      <c r="G124" s="3340"/>
      <c r="H124" s="3340"/>
      <c r="I124" s="3341"/>
      <c r="AA124" s="684"/>
    </row>
    <row r="125" spans="1:27" ht="18.75" customHeight="1">
      <c r="A125" s="3275" t="s">
        <v>1452</v>
      </c>
      <c r="B125" s="3275"/>
      <c r="C125" s="3275"/>
      <c r="D125" s="3315" t="e">
        <f>NUMBERSTRING(INT(D124*10000),2)&amp;"元整"</f>
        <v>#VALUE!</v>
      </c>
      <c r="E125" s="3316"/>
      <c r="F125" s="3316"/>
      <c r="G125" s="3316"/>
      <c r="H125" s="3316"/>
      <c r="I125" s="3317"/>
      <c r="AA125" s="684"/>
    </row>
    <row r="126" spans="1:27" ht="18.75" customHeight="1">
      <c r="A126" s="3306" t="str">
        <f>IF(项目基本情况!B9="房地产市场价值","",MID(E111,3,LEN(E111)-2))</f>
        <v/>
      </c>
      <c r="B126" s="3306"/>
      <c r="C126" s="3306"/>
      <c r="D126" s="3339" t="str">
        <f>H111</f>
        <v>——</v>
      </c>
      <c r="E126" s="3340"/>
      <c r="F126" s="3340"/>
      <c r="G126" s="3340"/>
      <c r="H126" s="3340"/>
      <c r="I126" s="3341"/>
      <c r="AA126" s="684"/>
    </row>
    <row r="127" spans="1:27" ht="18.75" customHeight="1">
      <c r="A127" s="3275" t="s">
        <v>1452</v>
      </c>
      <c r="B127" s="3275"/>
      <c r="C127" s="3275"/>
      <c r="D127" s="3315" t="e">
        <f>NUMBERSTRING(INT(D126*10000),2)&amp;"元整"</f>
        <v>#VALUE!</v>
      </c>
      <c r="E127" s="3316"/>
      <c r="F127" s="3316"/>
      <c r="G127" s="3316"/>
      <c r="H127" s="3316"/>
      <c r="I127" s="3317"/>
      <c r="AA127" s="684"/>
    </row>
    <row r="128" spans="1:27" ht="21.75" customHeight="1">
      <c r="A128" s="3322" t="s">
        <v>1453</v>
      </c>
      <c r="B128" s="3322"/>
      <c r="C128" s="3322"/>
      <c r="D128" s="3322"/>
      <c r="E128" s="3322"/>
      <c r="F128" s="3322"/>
      <c r="G128" s="3322"/>
      <c r="H128" s="3322"/>
      <c r="I128" s="332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299.39</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299.39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299.39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55" t="s">
        <v>1544</v>
      </c>
    </row>
    <row r="43" spans="1:7" ht="13.5" customHeight="1">
      <c r="A43" s="734" t="s">
        <v>347</v>
      </c>
      <c r="B43" s="207" t="s">
        <v>1545</v>
      </c>
      <c r="C43" s="230" t="e">
        <f ca="1">ROUND(IF('数据-取费表'!B22&lt;=1,C39*F22*'数据-取费表'!B21/2,C39*(POWER((1+F22),'数据-取费表'!B21/2)-1)),0)</f>
        <v>#VALUE!</v>
      </c>
      <c r="D43" s="230"/>
      <c r="E43" s="230"/>
      <c r="F43" s="231"/>
      <c r="G43" s="3356"/>
    </row>
    <row r="44" spans="1:7" ht="13.5" customHeight="1">
      <c r="A44" s="734" t="s">
        <v>348</v>
      </c>
      <c r="B44" s="207" t="s">
        <v>1546</v>
      </c>
      <c r="C44" s="230" t="e">
        <f ca="1">ROUND(IF('数据-取费表'!B22&lt;=1,C40*F22*'数据-取费表'!B21/2,C40*(POWER((1+F22),'数据-取费表'!B21/2)-1)),4)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预评估</v>
      </c>
      <c r="C37" s="3173"/>
      <c r="D37" s="3173"/>
      <c r="E37" s="3173"/>
      <c r="F37" s="3173"/>
      <c r="G37" s="3173"/>
      <c r="H37" s="3173"/>
      <c r="I37" s="317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299.39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299.39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299.39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55" t="s">
        <v>1591</v>
      </c>
    </row>
    <row r="43" spans="1:7" ht="13.5" customHeight="1">
      <c r="A43" s="734" t="s">
        <v>347</v>
      </c>
      <c r="B43" s="207" t="s">
        <v>1545</v>
      </c>
      <c r="C43" s="230" t="e">
        <f ca="1">ROUND(IF('数据-取费表'!B22&lt;=1,C39*F22*'数据-取费表'!B20/2,C39*(POWER((1+F22),'数据-取费表'!B20/2)-1)),0)</f>
        <v>#VALUE!</v>
      </c>
      <c r="D43" s="230"/>
      <c r="E43" s="230"/>
      <c r="F43" s="231"/>
      <c r="G43" s="3356"/>
    </row>
    <row r="44" spans="1:7" ht="13.5" customHeight="1">
      <c r="A44" s="734" t="s">
        <v>348</v>
      </c>
      <c r="B44" s="207" t="s">
        <v>1546</v>
      </c>
      <c r="C44" s="230" t="e">
        <f ca="1">ROUND(IF('数据-取费表'!B22&lt;=1,C40*F22*'数据-取费表'!B20/2,C40*(POWER((1+F22),'数据-取费表'!B20/2)-1)),4)</f>
        <v>#VALUE!</v>
      </c>
      <c r="D44" s="230"/>
      <c r="E44" s="230"/>
      <c r="F44" s="231"/>
      <c r="G44" s="335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299.39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299.39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299.39</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0</v>
      </c>
      <c r="D6" s="147" t="s">
        <v>2109</v>
      </c>
      <c r="E6" s="294" t="s">
        <v>696</v>
      </c>
      <c r="F6" s="295">
        <f ca="1">INDIRECT("'数据-取费表'!u"&amp;$G$1)</f>
        <v>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3343</v>
      </c>
      <c r="B45" s="1307"/>
      <c r="C45" s="1376" t="e">
        <f ca="1">ROUND((C68-C40)/10000,4)</f>
        <v>#VALUE!</v>
      </c>
      <c r="D45" s="3129" t="s">
        <v>3344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358" t="s">
        <v>837</v>
      </c>
      <c r="L53" s="335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3350</v>
      </c>
      <c r="E2" s="3138"/>
      <c r="F2" s="2596"/>
      <c r="G2" s="2597"/>
      <c r="H2" s="2598"/>
      <c r="I2" s="2599"/>
      <c r="J2" s="3369" t="s">
        <v>2308</v>
      </c>
      <c r="K2" s="3370"/>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71" t="s">
        <v>2318</v>
      </c>
      <c r="K3" s="3372"/>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71" t="s">
        <v>2320</v>
      </c>
      <c r="K4" s="3372"/>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77" t="s">
        <v>2324</v>
      </c>
      <c r="B6" s="3378"/>
      <c r="C6" s="3379"/>
      <c r="D6" s="2620"/>
      <c r="E6" s="2621"/>
      <c r="F6" s="2622"/>
      <c r="G6" s="2623"/>
      <c r="H6" s="2598"/>
      <c r="I6" s="2599"/>
      <c r="J6" s="3363">
        <v>1</v>
      </c>
      <c r="K6" s="3364"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63"/>
      <c r="K7" s="3365"/>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80" t="s">
        <v>2338</v>
      </c>
      <c r="C8" s="3381"/>
      <c r="D8" s="2639" t="s">
        <v>2339</v>
      </c>
      <c r="E8" s="2640" t="s">
        <v>2340</v>
      </c>
      <c r="F8" s="2641" t="s">
        <v>2341</v>
      </c>
      <c r="G8" s="2642"/>
      <c r="H8" s="2598"/>
      <c r="I8" s="2599"/>
      <c r="J8" s="3363"/>
      <c r="K8" s="3365"/>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80" t="s">
        <v>2344</v>
      </c>
      <c r="C9" s="3381"/>
      <c r="D9" s="2639">
        <f>ROUND(D6*E9,0)</f>
        <v>0</v>
      </c>
      <c r="E9" s="2643"/>
      <c r="F9" s="2644" t="s">
        <v>2345</v>
      </c>
      <c r="G9" s="2623"/>
      <c r="H9" s="2598"/>
      <c r="I9" s="2599"/>
      <c r="J9" s="3363"/>
      <c r="K9" s="3365"/>
      <c r="L9" s="2633" t="s">
        <v>2346</v>
      </c>
      <c r="M9" s="2634"/>
      <c r="N9" s="2610"/>
      <c r="O9" s="2635"/>
      <c r="P9" s="2635"/>
      <c r="Q9" s="2636">
        <v>365</v>
      </c>
      <c r="R9" s="2637">
        <f t="shared" si="0"/>
        <v>0</v>
      </c>
      <c r="S9" s="2591"/>
      <c r="T9" s="2591"/>
      <c r="U9" s="2591"/>
      <c r="V9" s="2599"/>
    </row>
    <row r="10" spans="1:22" s="2603" customFormat="1" ht="13.15" customHeight="1">
      <c r="A10" s="2638">
        <v>2</v>
      </c>
      <c r="B10" s="3380" t="s">
        <v>2347</v>
      </c>
      <c r="C10" s="3381"/>
      <c r="D10" s="2639">
        <f>ROUND(D6*E10,0)</f>
        <v>0</v>
      </c>
      <c r="E10" s="2643"/>
      <c r="F10" s="2644" t="s">
        <v>2348</v>
      </c>
      <c r="G10" s="2623"/>
      <c r="H10" s="2598"/>
      <c r="I10" s="2599"/>
      <c r="J10" s="3363"/>
      <c r="K10" s="3365"/>
      <c r="L10" s="2633" t="s">
        <v>2349</v>
      </c>
      <c r="M10" s="2634"/>
      <c r="N10" s="2610"/>
      <c r="O10" s="2635"/>
      <c r="P10" s="2635"/>
      <c r="Q10" s="2636">
        <v>365</v>
      </c>
      <c r="R10" s="2637">
        <f t="shared" si="0"/>
        <v>0</v>
      </c>
      <c r="S10" s="2591"/>
      <c r="T10" s="2591"/>
      <c r="U10" s="2591"/>
      <c r="V10" s="2599"/>
    </row>
    <row r="11" spans="1:22" s="2603" customFormat="1" ht="13.15" customHeight="1">
      <c r="A11" s="2638">
        <v>3</v>
      </c>
      <c r="B11" s="3380" t="s">
        <v>2350</v>
      </c>
      <c r="C11" s="3381"/>
      <c r="D11" s="2639">
        <f>D12+D14+D15+D16</f>
        <v>0</v>
      </c>
      <c r="E11" s="2645" t="e">
        <f>D11/D6</f>
        <v>#DIV/0!</v>
      </c>
      <c r="F11" s="2641"/>
      <c r="G11" s="2642"/>
      <c r="H11" s="2598"/>
      <c r="I11" s="2599"/>
      <c r="J11" s="3363"/>
      <c r="K11" s="3365"/>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373" t="s">
        <v>2353</v>
      </c>
      <c r="C12" s="3374"/>
      <c r="D12" s="2647">
        <f>ROUND(D13*1.2%*(1-30%),0)</f>
        <v>0</v>
      </c>
      <c r="E12" s="2648">
        <v>1.2E-2</v>
      </c>
      <c r="F12" s="2641" t="s">
        <v>2354</v>
      </c>
      <c r="G12" s="2642"/>
      <c r="H12" s="2598"/>
      <c r="I12" s="2599"/>
      <c r="J12" s="3363"/>
      <c r="K12" s="3365"/>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63"/>
      <c r="K13" s="3365"/>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373" t="s">
        <v>2359</v>
      </c>
      <c r="C14" s="3374"/>
      <c r="D14" s="2647">
        <f>ROUND(E14*B5/10000,0)</f>
        <v>0</v>
      </c>
      <c r="E14" s="2636"/>
      <c r="F14" s="2641" t="s">
        <v>2360</v>
      </c>
      <c r="G14" s="2642"/>
      <c r="H14" s="2598"/>
      <c r="I14" s="2599"/>
      <c r="J14" s="3363"/>
      <c r="K14" s="3366"/>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373" t="s">
        <v>2363</v>
      </c>
      <c r="C15" s="3374"/>
      <c r="D15" s="2647">
        <f>ROUND(D6*E15,0)</f>
        <v>0</v>
      </c>
      <c r="E15" s="2648">
        <v>5.5E-2</v>
      </c>
      <c r="F15" s="2641" t="s">
        <v>2364</v>
      </c>
      <c r="G15" s="2623"/>
      <c r="H15" s="2598"/>
      <c r="I15" s="2599"/>
      <c r="J15" s="3363">
        <v>2</v>
      </c>
      <c r="K15" s="3364"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373" t="s">
        <v>2372</v>
      </c>
      <c r="C16" s="3374"/>
      <c r="D16" s="2658">
        <f>D6*E16</f>
        <v>0</v>
      </c>
      <c r="E16" s="2659"/>
      <c r="F16" s="2644" t="s">
        <v>2373</v>
      </c>
      <c r="G16" s="2623"/>
      <c r="H16" s="2598"/>
      <c r="I16" s="2599"/>
      <c r="J16" s="3363"/>
      <c r="K16" s="3365"/>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375" t="s">
        <v>2375</v>
      </c>
      <c r="C17" s="3376"/>
      <c r="D17" s="2661">
        <f>ROUND(D6*E17,0)</f>
        <v>0</v>
      </c>
      <c r="E17" s="2662"/>
      <c r="F17" s="2663" t="s">
        <v>2376</v>
      </c>
      <c r="G17" s="2623"/>
      <c r="H17" s="2598"/>
      <c r="I17" s="2599"/>
      <c r="J17" s="3363"/>
      <c r="K17" s="3365"/>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63"/>
      <c r="K18" s="3365"/>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63"/>
      <c r="K19" s="3366"/>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3">
        <v>3</v>
      </c>
      <c r="K20" s="3364"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63"/>
      <c r="K21" s="3365"/>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63"/>
      <c r="K22" s="3365"/>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63"/>
      <c r="K23" s="3365"/>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63"/>
      <c r="K24" s="3366"/>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367">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36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69" t="s">
        <v>2308</v>
      </c>
      <c r="K32" s="3370"/>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71" t="s">
        <v>2318</v>
      </c>
      <c r="K33" s="3372"/>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71" t="s">
        <v>2320</v>
      </c>
      <c r="K34" s="337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63">
        <v>1</v>
      </c>
      <c r="K36" s="3364"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63"/>
      <c r="K37" s="3365"/>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3"/>
      <c r="K38" s="3365"/>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63"/>
      <c r="K39" s="3365"/>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63"/>
      <c r="K40" s="3366"/>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7">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36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82" t="s">
        <v>1654</v>
      </c>
      <c r="C5" s="3383"/>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7" zoomScale="85" zoomScaleNormal="60" zoomScaleSheetLayoutView="85" workbookViewId="0">
      <selection activeCell="N45" sqref="N4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3424</v>
      </c>
      <c r="E1" s="3123"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0.109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3.64</v>
      </c>
      <c r="C3" s="344" t="s">
        <v>1665</v>
      </c>
      <c r="D3" s="343">
        <f>IF(D1="",'数据-汇总表'!E3,SUMIF('数据-汇总表'!$C19:$C33,D1,'数据-汇总表'!$E19:$E33))</f>
        <v>299.39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5"/>
      <c r="M4" s="2486"/>
      <c r="N4" s="2486"/>
      <c r="O4" s="2486"/>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ht="15" customHeight="1" thickBot="1">
      <c r="A5" s="348"/>
      <c r="B5" s="349"/>
      <c r="C5" s="3420" t="s">
        <v>3422</v>
      </c>
      <c r="D5" s="3421"/>
      <c r="E5" s="3420" t="s">
        <v>3422</v>
      </c>
      <c r="F5" s="3421"/>
      <c r="G5" s="3420" t="s">
        <v>3422</v>
      </c>
      <c r="H5" s="3421"/>
      <c r="I5" s="3420" t="s">
        <v>3422</v>
      </c>
      <c r="J5" s="3421"/>
      <c r="K5" s="1745"/>
      <c r="L5" s="2485"/>
      <c r="M5" s="2486"/>
      <c r="N5" s="2486"/>
      <c r="O5" s="2486"/>
      <c r="P5" s="3408"/>
      <c r="Q5" s="3409"/>
      <c r="R5" s="3414"/>
      <c r="S5" s="3415"/>
      <c r="T5" s="3414"/>
      <c r="U5" s="3415"/>
      <c r="V5" s="3388"/>
      <c r="W5" s="3388"/>
      <c r="X5" s="1265"/>
      <c r="Y5" s="3414"/>
      <c r="Z5" s="3415"/>
      <c r="AA5" s="3400"/>
      <c r="AB5" s="3400"/>
      <c r="AC5" s="3400"/>
    </row>
    <row r="6" spans="1:29" ht="15.75" hidden="1" thickBot="1">
      <c r="A6" s="350"/>
      <c r="B6" s="351"/>
      <c r="C6" s="3418" t="s">
        <v>1677</v>
      </c>
      <c r="D6" s="3419"/>
      <c r="E6" s="3425" t="s">
        <v>1677</v>
      </c>
      <c r="F6" s="3426"/>
      <c r="G6" s="3418" t="s">
        <v>1677</v>
      </c>
      <c r="H6" s="3419"/>
      <c r="I6" s="3418" t="s">
        <v>1677</v>
      </c>
      <c r="J6" s="3419"/>
      <c r="K6" s="1745"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f>C7</f>
        <v>45707</v>
      </c>
      <c r="F7" s="357">
        <f>SUMIF(58:58,YEAR(E7)&amp;"-"&amp;MONTH(E7),59:59)</f>
        <v>100</v>
      </c>
      <c r="G7" s="356">
        <f>E7</f>
        <v>45707</v>
      </c>
      <c r="H7" s="355">
        <f>SUMIF(58:58,YEAR(G7)&amp;"-"&amp;MONTH(G7),59:59)</f>
        <v>100</v>
      </c>
      <c r="I7" s="356">
        <f>G7</f>
        <v>45707</v>
      </c>
      <c r="J7" s="355">
        <f>SUMIF(58:58,YEAR(I7)&amp;"-"&amp;MONTH(I7),59:59)</f>
        <v>100</v>
      </c>
      <c r="K7" s="1746"/>
      <c r="L7" s="2487"/>
      <c r="M7" s="2438"/>
      <c r="N7" s="2438"/>
      <c r="O7" s="2438"/>
      <c r="P7" s="3422" t="s">
        <v>1680</v>
      </c>
      <c r="Q7" s="3424"/>
      <c r="R7" s="664" t="s">
        <v>20</v>
      </c>
      <c r="S7" s="665">
        <f t="shared" ref="S7:S15" si="0">F7</f>
        <v>100</v>
      </c>
      <c r="T7" s="664" t="s">
        <v>20</v>
      </c>
      <c r="U7" s="665">
        <f t="shared" ref="U7:U15" si="1">H7</f>
        <v>100</v>
      </c>
      <c r="V7" s="664" t="s">
        <v>20</v>
      </c>
      <c r="W7" s="665">
        <f t="shared" ref="W7:W15" si="2">J7</f>
        <v>100</v>
      </c>
      <c r="X7" s="666"/>
      <c r="Y7" s="3422" t="s">
        <v>1680</v>
      </c>
      <c r="Z7" s="3423"/>
      <c r="AA7" s="50">
        <f>D7/F7</f>
        <v>1</v>
      </c>
      <c r="AB7" s="50">
        <f>D7/H7</f>
        <v>1</v>
      </c>
      <c r="AC7" s="50">
        <f>D7/J7</f>
        <v>1</v>
      </c>
    </row>
    <row r="8" spans="1:29" s="102" customFormat="1" ht="15.75" thickBot="1">
      <c r="A8" s="352" t="s">
        <v>1681</v>
      </c>
      <c r="B8" s="353"/>
      <c r="C8" s="358" t="s">
        <v>3398</v>
      </c>
      <c r="D8" s="355">
        <v>100</v>
      </c>
      <c r="E8" s="3153" t="s">
        <v>3400</v>
      </c>
      <c r="F8" s="357">
        <f>SUMIF(61:61,E8,62:62)-SUMIF(61:61,C8,62:62)+100</f>
        <v>101</v>
      </c>
      <c r="G8" s="358" t="s">
        <v>3399</v>
      </c>
      <c r="H8" s="355">
        <f>SUMIF(61:61,G8,62:62)-SUMIF(61:61,C8,62:62)+100</f>
        <v>101</v>
      </c>
      <c r="I8" s="1747" t="s">
        <v>3399</v>
      </c>
      <c r="J8" s="355">
        <f>SUMIF(61:61,I8,62:62)-SUMIF(61:61,C8,62:62)+100</f>
        <v>101</v>
      </c>
      <c r="K8" s="1746"/>
      <c r="L8" s="2487"/>
      <c r="M8" s="2438"/>
      <c r="N8" s="2438"/>
      <c r="O8" s="2438"/>
      <c r="P8" s="3422" t="s">
        <v>1683</v>
      </c>
      <c r="Q8" s="3423"/>
      <c r="R8" s="664" t="s">
        <v>20</v>
      </c>
      <c r="S8" s="665">
        <f t="shared" si="0"/>
        <v>101</v>
      </c>
      <c r="T8" s="664" t="s">
        <v>20</v>
      </c>
      <c r="U8" s="665">
        <f t="shared" si="1"/>
        <v>101</v>
      </c>
      <c r="V8" s="664" t="s">
        <v>20</v>
      </c>
      <c r="W8" s="665">
        <f t="shared" si="2"/>
        <v>101</v>
      </c>
      <c r="X8" s="666"/>
      <c r="Y8" s="3422" t="s">
        <v>1683</v>
      </c>
      <c r="Z8" s="3423"/>
      <c r="AA8" s="50">
        <f t="shared" ref="AA8:AA19" si="3">D8/F8</f>
        <v>0.99009900990099009</v>
      </c>
      <c r="AB8" s="50">
        <f t="shared" ref="AB8:AB19" si="4">D8/H8</f>
        <v>0.99009900990099009</v>
      </c>
      <c r="AC8" s="50">
        <f t="shared" ref="AC8:AC19" si="5">D8/J8</f>
        <v>0.99009900990099009</v>
      </c>
    </row>
    <row r="9" spans="1:29" s="102" customFormat="1">
      <c r="A9" s="359" t="s">
        <v>1684</v>
      </c>
      <c r="B9" s="60" t="s">
        <v>1685</v>
      </c>
      <c r="C9" s="3152" t="s">
        <v>3425</v>
      </c>
      <c r="D9" s="59">
        <v>100</v>
      </c>
      <c r="E9" s="361" t="s">
        <v>3424</v>
      </c>
      <c r="F9" s="60">
        <f>SUMIF(63:63,E9,64:64)-SUMIF(63:63,C9,64:64)+100</f>
        <v>100</v>
      </c>
      <c r="G9" s="361" t="s">
        <v>3424</v>
      </c>
      <c r="H9" s="59">
        <f>SUMIF(63:63,G9,64:64)-SUMIF(63:63,C9,64:64)+100</f>
        <v>100</v>
      </c>
      <c r="I9" s="361" t="s">
        <v>3424</v>
      </c>
      <c r="J9" s="59">
        <f>SUMIF(63:63,I9,64:64)-SUMIF(63:63,C9,64:64)+100</f>
        <v>100</v>
      </c>
      <c r="K9" s="1746"/>
      <c r="L9" s="2487"/>
      <c r="M9" s="2438"/>
      <c r="N9" s="2438"/>
      <c r="O9" s="2438"/>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75" thickBot="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8"/>
      <c r="Q11" s="530" t="str">
        <f t="shared" si="6"/>
        <v>容积率</v>
      </c>
      <c r="R11" s="664" t="s">
        <v>18</v>
      </c>
      <c r="S11" s="665">
        <f t="shared" si="0"/>
        <v>100</v>
      </c>
      <c r="T11" s="664" t="s">
        <v>18</v>
      </c>
      <c r="U11" s="665">
        <f t="shared" si="1"/>
        <v>100</v>
      </c>
      <c r="V11" s="664" t="s">
        <v>18</v>
      </c>
      <c r="W11" s="665">
        <f t="shared" si="2"/>
        <v>100</v>
      </c>
      <c r="X11" s="666"/>
      <c r="Y11" s="326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8"/>
      <c r="Q12" s="530">
        <f t="shared" si="6"/>
        <v>111</v>
      </c>
      <c r="R12" s="664" t="s">
        <v>18</v>
      </c>
      <c r="S12" s="665">
        <f t="shared" si="0"/>
        <v>100</v>
      </c>
      <c r="T12" s="664" t="s">
        <v>18</v>
      </c>
      <c r="U12" s="665">
        <f t="shared" si="1"/>
        <v>100</v>
      </c>
      <c r="V12" s="664" t="s">
        <v>18</v>
      </c>
      <c r="W12" s="665">
        <f t="shared" si="2"/>
        <v>100</v>
      </c>
      <c r="X12" s="666"/>
      <c r="Y12" s="326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8"/>
      <c r="Q13" s="530">
        <f t="shared" si="6"/>
        <v>111</v>
      </c>
      <c r="R13" s="664" t="s">
        <v>18</v>
      </c>
      <c r="S13" s="665">
        <f t="shared" si="0"/>
        <v>100</v>
      </c>
      <c r="T13" s="664" t="s">
        <v>18</v>
      </c>
      <c r="U13" s="665">
        <f t="shared" si="1"/>
        <v>100</v>
      </c>
      <c r="V13" s="664" t="s">
        <v>18</v>
      </c>
      <c r="W13" s="665">
        <f t="shared" si="2"/>
        <v>100</v>
      </c>
      <c r="X13" s="666"/>
      <c r="Y13" s="3262"/>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8"/>
      <c r="Q14" s="530">
        <f t="shared" si="6"/>
        <v>111</v>
      </c>
      <c r="R14" s="664" t="s">
        <v>18</v>
      </c>
      <c r="S14" s="665">
        <f t="shared" si="0"/>
        <v>100</v>
      </c>
      <c r="T14" s="664" t="s">
        <v>18</v>
      </c>
      <c r="U14" s="665">
        <f t="shared" si="1"/>
        <v>100</v>
      </c>
      <c r="V14" s="664" t="s">
        <v>18</v>
      </c>
      <c r="W14" s="665">
        <f t="shared" si="2"/>
        <v>100</v>
      </c>
      <c r="X14" s="666"/>
      <c r="Y14" s="3262"/>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t="s">
        <v>3402</v>
      </c>
      <c r="D16" s="387"/>
      <c r="E16" s="1751" t="s">
        <v>3402</v>
      </c>
      <c r="F16" s="387"/>
      <c r="G16" s="1752" t="s">
        <v>3402</v>
      </c>
      <c r="H16" s="389"/>
      <c r="I16" s="1752" t="s">
        <v>3402</v>
      </c>
      <c r="J16" s="387"/>
      <c r="K16" s="1753"/>
      <c r="L16" s="2491"/>
      <c r="M16" s="2486"/>
      <c r="N16" s="2486"/>
      <c r="O16" s="2486"/>
      <c r="P16" s="3397"/>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v>3</v>
      </c>
      <c r="L17" s="2491"/>
      <c r="M17" s="2486"/>
      <c r="N17" s="2486"/>
      <c r="O17" s="2486"/>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5" t="s">
        <v>3402</v>
      </c>
      <c r="D18" s="389"/>
      <c r="E18" s="1756" t="s">
        <v>3402</v>
      </c>
      <c r="F18" s="389"/>
      <c r="G18" s="1757" t="s">
        <v>3402</v>
      </c>
      <c r="H18" s="387"/>
      <c r="I18" s="1757" t="s">
        <v>3402</v>
      </c>
      <c r="J18" s="387"/>
      <c r="K18" s="1753"/>
      <c r="L18" s="2491"/>
      <c r="M18" s="2486"/>
      <c r="N18" s="2486"/>
      <c r="O18" s="2486"/>
      <c r="P18" s="3397"/>
      <c r="Q18" s="1263"/>
      <c r="R18" s="667"/>
      <c r="S18" s="668"/>
      <c r="T18" s="667"/>
      <c r="U18" s="668"/>
      <c r="V18" s="667"/>
      <c r="W18" s="668"/>
      <c r="X18" s="1265"/>
      <c r="Y18" s="339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t="s">
        <v>3402</v>
      </c>
      <c r="D20" s="387"/>
      <c r="E20" s="1751" t="s">
        <v>3402</v>
      </c>
      <c r="F20" s="387"/>
      <c r="G20" s="1752" t="s">
        <v>3402</v>
      </c>
      <c r="H20" s="387"/>
      <c r="I20" s="1752" t="s">
        <v>3402</v>
      </c>
      <c r="J20" s="387"/>
      <c r="K20" s="1753"/>
      <c r="L20" s="2491"/>
      <c r="M20" s="2486"/>
      <c r="N20" s="2486"/>
      <c r="O20" s="2486"/>
      <c r="P20" s="3397"/>
      <c r="Q20" s="1263"/>
      <c r="R20" s="667"/>
      <c r="S20" s="668"/>
      <c r="T20" s="667"/>
      <c r="U20" s="668"/>
      <c r="V20" s="667"/>
      <c r="W20" s="668"/>
      <c r="X20" s="1265"/>
      <c r="Y20" s="339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v>0</v>
      </c>
      <c r="J21" s="389">
        <f>SUMIF(82:82,I22,83:83)-SUMIF(82:82,C22,83:83)+100</f>
        <v>100</v>
      </c>
      <c r="K21" s="384">
        <v>2</v>
      </c>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t="s">
        <v>3403</v>
      </c>
      <c r="D22" s="387"/>
      <c r="E22" s="386" t="s">
        <v>3403</v>
      </c>
      <c r="F22" s="387"/>
      <c r="G22" s="1758" t="s">
        <v>3403</v>
      </c>
      <c r="H22" s="387"/>
      <c r="I22" s="386" t="s">
        <v>3403</v>
      </c>
      <c r="J22" s="387"/>
      <c r="K22" s="1759"/>
      <c r="L22" s="2491"/>
      <c r="M22" s="2486"/>
      <c r="N22" s="2486"/>
      <c r="O22" s="2486"/>
      <c r="P22" s="3397"/>
      <c r="Q22" s="1263"/>
      <c r="R22" s="667"/>
      <c r="S22" s="668"/>
      <c r="T22" s="667"/>
      <c r="U22" s="668"/>
      <c r="V22" s="667"/>
      <c r="W22" s="668"/>
      <c r="X22" s="1265"/>
      <c r="Y22" s="339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t="s">
        <v>3402</v>
      </c>
      <c r="D24" s="387"/>
      <c r="E24" s="1751" t="s">
        <v>3402</v>
      </c>
      <c r="F24" s="387"/>
      <c r="G24" s="1752" t="s">
        <v>3402</v>
      </c>
      <c r="H24" s="387"/>
      <c r="I24" s="1752" t="s">
        <v>3402</v>
      </c>
      <c r="J24" s="387"/>
      <c r="K24" s="1753"/>
      <c r="L24" s="2491"/>
      <c r="M24" s="2486"/>
      <c r="N24" s="2486"/>
      <c r="O24" s="2486"/>
      <c r="P24" s="3397"/>
      <c r="Q24" s="1263"/>
      <c r="R24" s="667"/>
      <c r="S24" s="668"/>
      <c r="T24" s="667"/>
      <c r="U24" s="668"/>
      <c r="V24" s="667"/>
      <c r="W24" s="668"/>
      <c r="X24" s="1265"/>
      <c r="Y24" s="3390"/>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3429</v>
      </c>
      <c r="D26" s="374">
        <v>100</v>
      </c>
      <c r="E26" s="1760" t="s">
        <v>3429</v>
      </c>
      <c r="F26" s="374">
        <f>SUMIF(88:88,E26,89:89)-SUMIF(88:88,C26,89:89)+100</f>
        <v>100</v>
      </c>
      <c r="G26" s="1760" t="s">
        <v>3448</v>
      </c>
      <c r="H26" s="374">
        <f>SUMIF(88:88,G26,89:89)-SUMIF(88:88,C26,89:89)+100</f>
        <v>102</v>
      </c>
      <c r="I26" s="1761" t="s">
        <v>3449</v>
      </c>
      <c r="J26" s="374">
        <f>SUMIF(88:88,I26,89:89)-SUMIF(88:88,C26,89:89)+100</f>
        <v>101</v>
      </c>
      <c r="K26" s="365">
        <v>1</v>
      </c>
      <c r="L26" s="2491"/>
      <c r="M26" s="2486"/>
      <c r="N26" s="2486"/>
      <c r="O26" s="2486"/>
      <c r="P26" s="3397"/>
      <c r="Q26" s="1263" t="str">
        <f t="shared" si="11"/>
        <v>朝向</v>
      </c>
      <c r="R26" s="667" t="s">
        <v>18</v>
      </c>
      <c r="S26" s="668">
        <f t="shared" si="12"/>
        <v>100</v>
      </c>
      <c r="T26" s="667" t="s">
        <v>18</v>
      </c>
      <c r="U26" s="668">
        <f t="shared" si="13"/>
        <v>102</v>
      </c>
      <c r="V26" s="667" t="s">
        <v>18</v>
      </c>
      <c r="W26" s="668">
        <f t="shared" si="14"/>
        <v>101</v>
      </c>
      <c r="X26" s="1265"/>
      <c r="Y26" s="3390"/>
      <c r="Z26" s="1264" t="str">
        <f>Q26</f>
        <v>朝向</v>
      </c>
      <c r="AA26" s="1264">
        <f t="shared" si="15"/>
        <v>1</v>
      </c>
      <c r="AB26" s="1264">
        <f t="shared" si="16"/>
        <v>0.98039215686274506</v>
      </c>
      <c r="AC26" s="1264">
        <f t="shared" si="17"/>
        <v>0.99009900990099009</v>
      </c>
    </row>
    <row r="27" spans="1:29" s="102" customFormat="1" ht="15.75" thickBot="1">
      <c r="A27" s="370"/>
      <c r="B27" s="3155" t="s">
        <v>3426</v>
      </c>
      <c r="C27" s="3165" t="s">
        <v>3427</v>
      </c>
      <c r="D27" s="401">
        <v>100</v>
      </c>
      <c r="E27" s="3166" t="s">
        <v>3427</v>
      </c>
      <c r="F27" s="401">
        <f>SUMIF(90:90,E27,91:91)-SUMIF(90:90,C27,91:91)+100</f>
        <v>100</v>
      </c>
      <c r="G27" s="3167" t="s">
        <v>3428</v>
      </c>
      <c r="H27" s="401">
        <f>SUMIF(90:90,G27,91:91)-SUMIF(90:90,C27,91:91)+100</f>
        <v>102</v>
      </c>
      <c r="I27" s="3167" t="s">
        <v>3431</v>
      </c>
      <c r="J27" s="401">
        <f>SUMIF(90:90,I27,91:91)-SUMIF(90:90,C27,91:91)+100</f>
        <v>104</v>
      </c>
      <c r="K27" s="1748"/>
      <c r="L27" s="2487"/>
      <c r="M27" s="2438"/>
      <c r="N27" s="2438"/>
      <c r="O27" s="2438"/>
      <c r="P27" s="3397"/>
      <c r="Q27" s="530" t="str">
        <f t="shared" si="11"/>
        <v>楼层</v>
      </c>
      <c r="R27" s="664" t="s">
        <v>18</v>
      </c>
      <c r="S27" s="665">
        <f t="shared" si="12"/>
        <v>100</v>
      </c>
      <c r="T27" s="664" t="s">
        <v>18</v>
      </c>
      <c r="U27" s="665">
        <f t="shared" si="13"/>
        <v>102</v>
      </c>
      <c r="V27" s="664" t="s">
        <v>18</v>
      </c>
      <c r="W27" s="665">
        <f t="shared" si="14"/>
        <v>104</v>
      </c>
      <c r="X27" s="666"/>
      <c r="Y27" s="3390"/>
      <c r="Z27" s="50" t="str">
        <f>Q27</f>
        <v>楼层</v>
      </c>
      <c r="AA27" s="1264">
        <f t="shared" si="15"/>
        <v>1</v>
      </c>
      <c r="AB27" s="1264">
        <f t="shared" si="16"/>
        <v>0.98039215686274506</v>
      </c>
      <c r="AC27" s="1264">
        <f t="shared" si="17"/>
        <v>0.96153846153846156</v>
      </c>
    </row>
    <row r="28" spans="1:29" ht="15" hidden="1">
      <c r="A28" s="367"/>
      <c r="B28" s="3155"/>
      <c r="C28" s="3157"/>
      <c r="D28" s="374">
        <v>100</v>
      </c>
      <c r="E28" s="3157"/>
      <c r="F28" s="374">
        <f>SUMIF(92:92,E28,93:93)-SUMIF(92:92,C28,93:93)+100</f>
        <v>100</v>
      </c>
      <c r="G28" s="3157"/>
      <c r="H28" s="374">
        <f>SUMIF(92:92,G28,93:93)-SUMIF(92:92,C28,93:93)+100</f>
        <v>100</v>
      </c>
      <c r="I28" s="3157"/>
      <c r="J28" s="374">
        <f>SUMIF(92:92,I28,93:93)-SUMIF(92:92,C28,93:93)+100</f>
        <v>100</v>
      </c>
      <c r="K28" s="1748"/>
      <c r="L28" s="2491"/>
      <c r="M28" s="2486"/>
      <c r="N28" s="2486"/>
      <c r="O28" s="2486"/>
      <c r="P28" s="3397"/>
      <c r="Q28" s="1263">
        <f t="shared" si="11"/>
        <v>0</v>
      </c>
      <c r="R28" s="667" t="s">
        <v>18</v>
      </c>
      <c r="S28" s="668">
        <f t="shared" si="12"/>
        <v>100</v>
      </c>
      <c r="T28" s="667" t="s">
        <v>18</v>
      </c>
      <c r="U28" s="668">
        <f t="shared" si="13"/>
        <v>100</v>
      </c>
      <c r="V28" s="667" t="s">
        <v>18</v>
      </c>
      <c r="W28" s="668">
        <f t="shared" si="14"/>
        <v>100</v>
      </c>
      <c r="X28" s="1265"/>
      <c r="Y28" s="3390"/>
      <c r="Z28" s="1264">
        <f t="shared" ref="Z28:Z46" si="18">Q28</f>
        <v>0</v>
      </c>
      <c r="AA28" s="1264">
        <f t="shared" si="15"/>
        <v>1</v>
      </c>
      <c r="AB28" s="1264">
        <f t="shared" si="16"/>
        <v>1</v>
      </c>
      <c r="AC28" s="1264">
        <f t="shared" si="17"/>
        <v>1</v>
      </c>
    </row>
    <row r="29" spans="1:29" ht="15" hidden="1">
      <c r="A29" s="367"/>
      <c r="B29" s="106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7"/>
      <c r="Q29" s="1263">
        <f t="shared" si="11"/>
        <v>0</v>
      </c>
      <c r="R29" s="667" t="s">
        <v>18</v>
      </c>
      <c r="S29" s="668">
        <f t="shared" si="12"/>
        <v>100</v>
      </c>
      <c r="T29" s="667" t="s">
        <v>18</v>
      </c>
      <c r="U29" s="668">
        <f t="shared" si="13"/>
        <v>100</v>
      </c>
      <c r="V29" s="667" t="s">
        <v>18</v>
      </c>
      <c r="W29" s="668">
        <f t="shared" si="14"/>
        <v>100</v>
      </c>
      <c r="X29" s="1265"/>
      <c r="Y29" s="3390"/>
      <c r="Z29" s="1264">
        <f t="shared" si="18"/>
        <v>0</v>
      </c>
      <c r="AA29" s="1264">
        <f t="shared" si="15"/>
        <v>1</v>
      </c>
      <c r="AB29" s="1264">
        <f t="shared" si="16"/>
        <v>1</v>
      </c>
      <c r="AC29" s="1264">
        <f t="shared" si="17"/>
        <v>1</v>
      </c>
    </row>
    <row r="30" spans="1:29" ht="15" hidden="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7"/>
      <c r="Q30" s="1263">
        <f t="shared" si="11"/>
        <v>0</v>
      </c>
      <c r="R30" s="667" t="s">
        <v>18</v>
      </c>
      <c r="S30" s="668">
        <f t="shared" si="12"/>
        <v>100</v>
      </c>
      <c r="T30" s="667" t="s">
        <v>18</v>
      </c>
      <c r="U30" s="668">
        <f t="shared" si="13"/>
        <v>100</v>
      </c>
      <c r="V30" s="667" t="s">
        <v>18</v>
      </c>
      <c r="W30" s="668">
        <f t="shared" si="14"/>
        <v>100</v>
      </c>
      <c r="X30" s="1265"/>
      <c r="Y30" s="3390"/>
      <c r="Z30" s="1264">
        <f t="shared" si="18"/>
        <v>0</v>
      </c>
      <c r="AA30" s="1264">
        <f t="shared" si="15"/>
        <v>1</v>
      </c>
      <c r="AB30" s="1264">
        <f t="shared" si="16"/>
        <v>1</v>
      </c>
      <c r="AC30" s="1264">
        <f t="shared" si="17"/>
        <v>1</v>
      </c>
    </row>
    <row r="31" spans="1:29" ht="15.75" hidden="1" thickBot="1">
      <c r="A31" s="375"/>
      <c r="B31" s="1066"/>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7"/>
      <c r="Q31" s="1263">
        <f t="shared" si="11"/>
        <v>0</v>
      </c>
      <c r="R31" s="667" t="s">
        <v>18</v>
      </c>
      <c r="S31" s="668">
        <f t="shared" si="12"/>
        <v>100</v>
      </c>
      <c r="T31" s="667" t="s">
        <v>18</v>
      </c>
      <c r="U31" s="668">
        <f t="shared" si="13"/>
        <v>100</v>
      </c>
      <c r="V31" s="667" t="s">
        <v>18</v>
      </c>
      <c r="W31" s="668">
        <f t="shared" si="14"/>
        <v>100</v>
      </c>
      <c r="X31" s="1265"/>
      <c r="Y31" s="3390"/>
      <c r="Z31" s="1264">
        <f t="shared" si="18"/>
        <v>0</v>
      </c>
      <c r="AA31" s="1264">
        <f t="shared" si="15"/>
        <v>1</v>
      </c>
      <c r="AB31" s="1264">
        <f t="shared" si="16"/>
        <v>1</v>
      </c>
      <c r="AC31" s="1264">
        <f t="shared" si="17"/>
        <v>1</v>
      </c>
    </row>
    <row r="32" spans="1:29" ht="15">
      <c r="A32" s="379" t="s">
        <v>1694</v>
      </c>
      <c r="B32" s="60" t="s">
        <v>1695</v>
      </c>
      <c r="C32" s="3158" t="s">
        <v>3423</v>
      </c>
      <c r="D32" s="405">
        <v>100</v>
      </c>
      <c r="E32" s="3158" t="s">
        <v>3423</v>
      </c>
      <c r="F32" s="400">
        <f>SUMIF(100:100,E32,101:101)-SUMIF(100:100,C32,101:101)+100</f>
        <v>100</v>
      </c>
      <c r="G32" s="3158" t="s">
        <v>3423</v>
      </c>
      <c r="H32" s="405">
        <f>SUMIF(100:100,G32,101:101)-SUMIF(100:100,C32,101:101)+100</f>
        <v>100</v>
      </c>
      <c r="I32" s="3158" t="s">
        <v>3423</v>
      </c>
      <c r="J32" s="374">
        <f>SUMIF(100:100,I32,101:101)-SUMIF(100:100,C32,101:101)+100</f>
        <v>100</v>
      </c>
      <c r="K32" s="365">
        <v>5</v>
      </c>
      <c r="L32" s="2491"/>
      <c r="M32" s="2486"/>
      <c r="N32" s="2486"/>
      <c r="O32" s="2486"/>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v>299.39</v>
      </c>
      <c r="D33" s="119">
        <v>100</v>
      </c>
      <c r="E33" s="369">
        <v>183.98</v>
      </c>
      <c r="F33" s="364">
        <f>LOOKUP(E33,103:103,104:104)-LOOKUP(C33,103:103,104:104)+100</f>
        <v>101</v>
      </c>
      <c r="G33" s="369">
        <v>106</v>
      </c>
      <c r="H33" s="119">
        <f>LOOKUP(G33,103:103,104:104)-LOOKUP(C33,103:103,104:104)+100</f>
        <v>101</v>
      </c>
      <c r="I33" s="369">
        <v>105.38</v>
      </c>
      <c r="J33" s="119">
        <f>LOOKUP(I33,103:103,104:104)-LOOKUP(C33,103:103,104:104)+100</f>
        <v>101</v>
      </c>
      <c r="K33" s="1748"/>
      <c r="L33" s="2490"/>
      <c r="M33" s="2492"/>
      <c r="N33" s="2492"/>
      <c r="O33" s="2492"/>
      <c r="P33" s="3392"/>
      <c r="Q33" s="531" t="str">
        <f t="shared" si="11"/>
        <v>项目建筑规模</v>
      </c>
      <c r="R33" s="669" t="s">
        <v>18</v>
      </c>
      <c r="S33" s="670">
        <f t="shared" si="12"/>
        <v>101</v>
      </c>
      <c r="T33" s="669" t="s">
        <v>18</v>
      </c>
      <c r="U33" s="670">
        <f t="shared" si="13"/>
        <v>101</v>
      </c>
      <c r="V33" s="669" t="s">
        <v>18</v>
      </c>
      <c r="W33" s="670">
        <f t="shared" si="14"/>
        <v>101</v>
      </c>
      <c r="X33" s="671"/>
      <c r="Y33" s="3394"/>
      <c r="Z33" s="672" t="str">
        <f t="shared" si="18"/>
        <v>项目建筑规模</v>
      </c>
      <c r="AA33" s="1264">
        <f t="shared" si="15"/>
        <v>0.99009900990099009</v>
      </c>
      <c r="AB33" s="1264">
        <f t="shared" si="16"/>
        <v>0.99009900990099009</v>
      </c>
      <c r="AC33" s="1264">
        <f t="shared" si="17"/>
        <v>0.99009900990099009</v>
      </c>
    </row>
    <row r="34" spans="1:29" ht="15">
      <c r="A34" s="409"/>
      <c r="B34" s="364" t="s">
        <v>1698</v>
      </c>
      <c r="C34" s="3159" t="s">
        <v>3408</v>
      </c>
      <c r="D34" s="374">
        <v>100</v>
      </c>
      <c r="E34" s="3159" t="s">
        <v>3408</v>
      </c>
      <c r="F34" s="400">
        <f>SUMIF(105:105,E34,106:106)-SUMIF(105:105,C34,106:106)+100</f>
        <v>100</v>
      </c>
      <c r="G34" s="3159" t="s">
        <v>3408</v>
      </c>
      <c r="H34" s="374">
        <f>SUMIF(105:105,G34,106:106)-SUMIF(105:105,C34,106:106)+100</f>
        <v>100</v>
      </c>
      <c r="I34" s="3159" t="s">
        <v>3408</v>
      </c>
      <c r="J34" s="374">
        <f>SUMIF(105:105,I34,106:106)-SUMIF(105:105,C34,106:106)+100</f>
        <v>100</v>
      </c>
      <c r="K34" s="365">
        <v>2</v>
      </c>
      <c r="L34" s="2491"/>
      <c r="M34" s="2486"/>
      <c r="N34" s="2486"/>
      <c r="O34" s="2486"/>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1"/>
      <c r="H35" s="374">
        <f>SUMIF(107:107,G35,108:108)-SUMIF(107:107,C35,108:108)+100</f>
        <v>100</v>
      </c>
      <c r="I35" s="1761"/>
      <c r="J35" s="374">
        <f>SUMIF(107:107,I35,108:108)-SUMIF(107:107,C35,108:108)+100</f>
        <v>100</v>
      </c>
      <c r="K35" s="365"/>
      <c r="L35" s="2491"/>
      <c r="M35" s="2486"/>
      <c r="N35" s="2486"/>
      <c r="O35" s="2486"/>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3154" t="s">
        <v>3409</v>
      </c>
      <c r="D36" s="374">
        <v>100</v>
      </c>
      <c r="E36" s="3154" t="s">
        <v>3409</v>
      </c>
      <c r="F36" s="400">
        <f>SUMIF(109:109,E36,110:110)-SUMIF(109:109,C36,110:110)+100</f>
        <v>100</v>
      </c>
      <c r="G36" s="3154" t="s">
        <v>3409</v>
      </c>
      <c r="H36" s="374">
        <f>SUMIF(109:109,G36,110:110)-SUMIF(109:109,C36,110:110)+100</f>
        <v>100</v>
      </c>
      <c r="I36" s="3154" t="s">
        <v>3409</v>
      </c>
      <c r="J36" s="374">
        <f>SUMIF(109:109,I36,110:110)-SUMIF(109:109,C36,110:110)+100</f>
        <v>100</v>
      </c>
      <c r="K36" s="365">
        <v>2</v>
      </c>
      <c r="L36" s="2491"/>
      <c r="M36" s="2486"/>
      <c r="N36" s="2486"/>
      <c r="O36" s="2486"/>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f>ROUND((1-(2025-2001)/60+80%)/2,2)</f>
        <v>0.7</v>
      </c>
      <c r="D37" s="119">
        <v>100</v>
      </c>
      <c r="E37" s="411">
        <f>ROUND((1-(2025-2001)/60+80%)/2,2)</f>
        <v>0.7</v>
      </c>
      <c r="F37" s="364">
        <f>LOOKUP(E37,112:112,113:113)-LOOKUP(C37,112:112,113:113)+100</f>
        <v>100</v>
      </c>
      <c r="G37" s="411">
        <f>ROUND((1-(2025-2001)/60+80%)/2,2)</f>
        <v>0.7</v>
      </c>
      <c r="H37" s="119">
        <f>LOOKUP(G37,112:112,113:113)-LOOKUP(C37,112:112,113:113)+100</f>
        <v>100</v>
      </c>
      <c r="I37" s="411">
        <f>ROUND((1-(2025-2001)/60+80%)/2,2)</f>
        <v>0.7</v>
      </c>
      <c r="J37" s="119">
        <f>LOOKUP(I37,112:112,113:113)-LOOKUP(C37,112:112,113:113)+100</f>
        <v>100</v>
      </c>
      <c r="K37" s="365">
        <v>2</v>
      </c>
      <c r="L37" s="2487"/>
      <c r="M37" s="2438"/>
      <c r="N37" s="2438"/>
      <c r="O37" s="2438"/>
      <c r="P37" s="3392"/>
      <c r="Q37" s="530" t="str">
        <f t="shared" si="11"/>
        <v>成新度</v>
      </c>
      <c r="R37" s="664" t="s">
        <v>18</v>
      </c>
      <c r="S37" s="665">
        <f t="shared" si="12"/>
        <v>100</v>
      </c>
      <c r="T37" s="664" t="s">
        <v>18</v>
      </c>
      <c r="U37" s="665">
        <f t="shared" si="13"/>
        <v>100</v>
      </c>
      <c r="V37" s="664" t="s">
        <v>18</v>
      </c>
      <c r="W37" s="665">
        <f t="shared" si="14"/>
        <v>100</v>
      </c>
      <c r="X37" s="666"/>
      <c r="Y37" s="3394"/>
      <c r="Z37" s="50" t="str">
        <f t="shared" si="18"/>
        <v>成新度</v>
      </c>
      <c r="AA37" s="50">
        <f t="shared" si="15"/>
        <v>1</v>
      </c>
      <c r="AB37" s="50">
        <f t="shared" si="16"/>
        <v>1</v>
      </c>
      <c r="AC37" s="50">
        <f t="shared" si="17"/>
        <v>1</v>
      </c>
    </row>
    <row r="38" spans="1:29" ht="15">
      <c r="A38" s="409"/>
      <c r="B38" s="364" t="s">
        <v>1702</v>
      </c>
      <c r="C38" s="3154" t="s">
        <v>3406</v>
      </c>
      <c r="D38" s="374">
        <v>100</v>
      </c>
      <c r="E38" s="3154" t="s">
        <v>3406</v>
      </c>
      <c r="F38" s="400">
        <f>SUMIF(114:114,E38,115:115)-SUMIF(114:114,C38,115:115)+100</f>
        <v>100</v>
      </c>
      <c r="G38" s="3154" t="s">
        <v>3406</v>
      </c>
      <c r="H38" s="374">
        <f>SUMIF(114:114,G38,115:115)-SUMIF(114:114,C38,115:115)+100</f>
        <v>100</v>
      </c>
      <c r="I38" s="3154" t="s">
        <v>3406</v>
      </c>
      <c r="J38" s="374">
        <f>SUMIF(114:114,I38,115:115)-SUMIF(114:114,C38,115:115)+100</f>
        <v>100</v>
      </c>
      <c r="K38" s="365">
        <v>2</v>
      </c>
      <c r="L38" s="2491"/>
      <c r="M38" s="2486"/>
      <c r="N38" s="2486"/>
      <c r="O38" s="2486"/>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3154" t="s">
        <v>3403</v>
      </c>
      <c r="D39" s="374">
        <v>100</v>
      </c>
      <c r="E39" s="3154" t="s">
        <v>3403</v>
      </c>
      <c r="F39" s="400">
        <f>SUMIF(116:116,E39,117:117)-SUMIF(116:116,C39,117:117)+100</f>
        <v>100</v>
      </c>
      <c r="G39" s="3154" t="s">
        <v>3403</v>
      </c>
      <c r="H39" s="374">
        <f>SUMIF(116:116,G39,117:117)-SUMIF(116:116,C39,117:117)+100</f>
        <v>100</v>
      </c>
      <c r="I39" s="3154" t="s">
        <v>3403</v>
      </c>
      <c r="J39" s="374">
        <f>SUMIF(116:116,I39,117:117)-SUMIF(116:116,C39,117:117)+100</f>
        <v>100</v>
      </c>
      <c r="K39" s="365">
        <v>2</v>
      </c>
      <c r="L39" s="2491"/>
      <c r="M39" s="2486"/>
      <c r="N39" s="2486"/>
      <c r="O39" s="2486"/>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3154" t="s">
        <v>3407</v>
      </c>
      <c r="D40" s="374">
        <v>100</v>
      </c>
      <c r="E40" s="3154" t="s">
        <v>3407</v>
      </c>
      <c r="F40" s="400">
        <f>SUMIF(118:118,E40,119:119)-SUMIF(118:118,C40,119:119)+100</f>
        <v>100</v>
      </c>
      <c r="G40" s="3154" t="s">
        <v>3407</v>
      </c>
      <c r="H40" s="374">
        <f>SUMIF(118:118,G40,119:119)-SUMIF(118:118,C40,119:119)+100</f>
        <v>100</v>
      </c>
      <c r="I40" s="3154" t="s">
        <v>3407</v>
      </c>
      <c r="J40" s="374">
        <f>SUMIF(118:118,I40,119:119)-SUMIF(118:118,C40,119:119)+100</f>
        <v>100</v>
      </c>
      <c r="K40" s="365">
        <v>5</v>
      </c>
      <c r="L40" s="2491"/>
      <c r="M40" s="2486"/>
      <c r="N40" s="2486"/>
      <c r="O40" s="2486"/>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9"/>
      <c r="H41" s="119">
        <f>SUMIF(120:120,G41,121:121)-SUMIF(120:120,C41,121:121)+100</f>
        <v>100</v>
      </c>
      <c r="I41" s="414"/>
      <c r="J41" s="374">
        <f>SUMIF(120:120,I41,121:121)-SUMIF(120:120,C41,121:121)+100</f>
        <v>100</v>
      </c>
      <c r="K41" s="1748"/>
      <c r="L41" s="2490"/>
      <c r="M41" s="2492"/>
      <c r="N41" s="2492"/>
      <c r="O41" s="2492"/>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3154" t="s">
        <v>3401</v>
      </c>
      <c r="D42" s="374">
        <v>100</v>
      </c>
      <c r="E42" s="3154" t="s">
        <v>3401</v>
      </c>
      <c r="F42" s="400">
        <f>SUMIF(122:122,E42,123:123)-SUMIF(122:122,C42,123:123)+100</f>
        <v>100</v>
      </c>
      <c r="G42" s="3154" t="s">
        <v>3444</v>
      </c>
      <c r="H42" s="374">
        <f>SUMIF(122:122,G42,123:123)-SUMIF(122:122,C42,123:123)+100</f>
        <v>100</v>
      </c>
      <c r="I42" s="3154" t="s">
        <v>3442</v>
      </c>
      <c r="J42" s="374">
        <f>SUMIF(122:122,I42,123:123)-SUMIF(122:122,C42,123:123)+100</f>
        <v>101</v>
      </c>
      <c r="K42" s="365">
        <v>1</v>
      </c>
      <c r="L42" s="2491"/>
      <c r="M42" s="2486"/>
      <c r="N42" s="2486"/>
      <c r="O42" s="2486"/>
      <c r="P42" s="3392"/>
      <c r="Q42" s="1263" t="str">
        <f t="shared" si="11"/>
        <v>内部装修</v>
      </c>
      <c r="R42" s="667" t="s">
        <v>18</v>
      </c>
      <c r="S42" s="668">
        <f t="shared" si="12"/>
        <v>100</v>
      </c>
      <c r="T42" s="667" t="s">
        <v>18</v>
      </c>
      <c r="U42" s="668">
        <f t="shared" si="13"/>
        <v>100</v>
      </c>
      <c r="V42" s="667" t="s">
        <v>18</v>
      </c>
      <c r="W42" s="668">
        <f t="shared" si="14"/>
        <v>101</v>
      </c>
      <c r="X42" s="1265"/>
      <c r="Y42" s="3394"/>
      <c r="Z42" s="1264" t="str">
        <f t="shared" si="18"/>
        <v>内部装修</v>
      </c>
      <c r="AA42" s="1264">
        <f t="shared" si="15"/>
        <v>1</v>
      </c>
      <c r="AB42" s="1264">
        <f t="shared" si="16"/>
        <v>1</v>
      </c>
      <c r="AC42" s="1264">
        <f t="shared" si="17"/>
        <v>0.99009900990099009</v>
      </c>
    </row>
    <row r="43" spans="1:29" ht="15">
      <c r="A43" s="409"/>
      <c r="B43" s="364" t="s">
        <v>1707</v>
      </c>
      <c r="C43" s="1760" t="s">
        <v>3402</v>
      </c>
      <c r="D43" s="374">
        <v>100</v>
      </c>
      <c r="E43" s="1760" t="s">
        <v>3402</v>
      </c>
      <c r="F43" s="400">
        <f>SUMIF(124:124,E43,125:125)-SUMIF(124:124,C43,125:125)+100</f>
        <v>100</v>
      </c>
      <c r="G43" s="1760" t="s">
        <v>3402</v>
      </c>
      <c r="H43" s="374">
        <f>SUMIF(124:124,G43,125:125)-SUMIF(124:124,C43,125:125)+100</f>
        <v>100</v>
      </c>
      <c r="I43" s="1760" t="s">
        <v>3402</v>
      </c>
      <c r="J43" s="374">
        <f>SUMIF(124:124,I43,125:125)-SUMIF(124:124,C43,125:125)+100</f>
        <v>100</v>
      </c>
      <c r="K43" s="365">
        <v>2</v>
      </c>
      <c r="L43" s="2491"/>
      <c r="M43" s="2486"/>
      <c r="N43" s="2486"/>
      <c r="O43" s="2486"/>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hidden="1">
      <c r="A44" s="410"/>
      <c r="B44" s="3155"/>
      <c r="C44" s="3156"/>
      <c r="D44" s="119">
        <v>100</v>
      </c>
      <c r="E44" s="3156"/>
      <c r="F44" s="364">
        <f>SUMIF(126:126,E44,127:127)-SUMIF(126:126,C44,127:127)+100</f>
        <v>100</v>
      </c>
      <c r="G44" s="3156"/>
      <c r="H44" s="119">
        <f>SUMIF(126:126,G44,127:127)-SUMIF(126:126,C44,127:127)+100</f>
        <v>100</v>
      </c>
      <c r="I44" s="3156"/>
      <c r="J44" s="119">
        <f>SUMIF(126:126,I44,127:127)-SUMIF(126:126,C44,127:127)+100</f>
        <v>100</v>
      </c>
      <c r="K44" s="1748"/>
      <c r="L44" s="2487"/>
      <c r="M44" s="2438"/>
      <c r="N44" s="2438"/>
      <c r="O44" s="2438"/>
      <c r="P44" s="3392"/>
      <c r="Q44" s="530">
        <f t="shared" si="11"/>
        <v>0</v>
      </c>
      <c r="R44" s="664" t="s">
        <v>18</v>
      </c>
      <c r="S44" s="665">
        <f t="shared" si="12"/>
        <v>100</v>
      </c>
      <c r="T44" s="664" t="s">
        <v>18</v>
      </c>
      <c r="U44" s="665">
        <f t="shared" si="13"/>
        <v>100</v>
      </c>
      <c r="V44" s="664" t="s">
        <v>18</v>
      </c>
      <c r="W44" s="665">
        <f t="shared" si="14"/>
        <v>100</v>
      </c>
      <c r="X44" s="666"/>
      <c r="Y44" s="3394"/>
      <c r="Z44" s="50">
        <f t="shared" si="18"/>
        <v>0</v>
      </c>
      <c r="AA44" s="50">
        <f t="shared" si="15"/>
        <v>1</v>
      </c>
      <c r="AB44" s="50">
        <f t="shared" si="16"/>
        <v>1</v>
      </c>
      <c r="AC44" s="50">
        <f t="shared" si="17"/>
        <v>1</v>
      </c>
    </row>
    <row r="45" spans="1:29" ht="15">
      <c r="A45" s="409"/>
      <c r="B45" s="3155" t="s">
        <v>3404</v>
      </c>
      <c r="C45" s="3157" t="s">
        <v>3417</v>
      </c>
      <c r="D45" s="374">
        <v>100</v>
      </c>
      <c r="E45" s="3157" t="s">
        <v>3405</v>
      </c>
      <c r="F45" s="400">
        <f>SUMIF(128:128,E45,129:129)-SUMIF(128:128,C45,129:129)+100</f>
        <v>104</v>
      </c>
      <c r="G45" s="3157" t="s">
        <v>3405</v>
      </c>
      <c r="H45" s="374">
        <f>SUMIF(128:128,G45,129:129)-SUMIF(128:128,C45,129:129)+100</f>
        <v>104</v>
      </c>
      <c r="I45" s="3157" t="s">
        <v>3405</v>
      </c>
      <c r="J45" s="374">
        <f>SUMIF(128:128,I45,129:129)-SUMIF(128:128,C45,129:129)+100</f>
        <v>104</v>
      </c>
      <c r="K45" s="1748"/>
      <c r="L45" s="2491"/>
      <c r="M45" s="2486"/>
      <c r="N45" s="2486"/>
      <c r="O45" s="2486"/>
      <c r="P45" s="3392"/>
      <c r="Q45" s="1263" t="str">
        <f t="shared" si="11"/>
        <v>采光</v>
      </c>
      <c r="R45" s="667" t="s">
        <v>18</v>
      </c>
      <c r="S45" s="668">
        <f t="shared" si="12"/>
        <v>104</v>
      </c>
      <c r="T45" s="667" t="s">
        <v>18</v>
      </c>
      <c r="U45" s="668">
        <f t="shared" si="13"/>
        <v>104</v>
      </c>
      <c r="V45" s="667" t="s">
        <v>18</v>
      </c>
      <c r="W45" s="668">
        <f t="shared" si="14"/>
        <v>104</v>
      </c>
      <c r="X45" s="1265"/>
      <c r="Y45" s="3394"/>
      <c r="Z45" s="1264" t="str">
        <f t="shared" si="18"/>
        <v>采光</v>
      </c>
      <c r="AA45" s="1264">
        <f t="shared" si="15"/>
        <v>0.96153846153846156</v>
      </c>
      <c r="AB45" s="1264">
        <f t="shared" si="16"/>
        <v>0.96153846153846156</v>
      </c>
      <c r="AC45" s="1264">
        <f t="shared" si="17"/>
        <v>0.96153846153846156</v>
      </c>
    </row>
    <row r="46" spans="1:29" ht="15.75" thickBot="1">
      <c r="A46" s="415"/>
      <c r="B46" s="3168" t="s">
        <v>3439</v>
      </c>
      <c r="C46" s="3169" t="s">
        <v>3440</v>
      </c>
      <c r="D46" s="377">
        <v>100</v>
      </c>
      <c r="E46" s="3169" t="s">
        <v>3441</v>
      </c>
      <c r="F46" s="378">
        <f>SUMIF(130:130,E46,131:131)-SUMIF(130:130,C46,131:131)+100</f>
        <v>90</v>
      </c>
      <c r="G46" s="3169" t="s">
        <v>3441</v>
      </c>
      <c r="H46" s="377">
        <f>SUMIF(130:130,G46,131:131)-SUMIF(130:130,C46,131:131)+100</f>
        <v>90</v>
      </c>
      <c r="I46" s="3169" t="s">
        <v>3441</v>
      </c>
      <c r="J46" s="377">
        <f>SUMIF(130:130,I46,131:131)-SUMIF(130:130,C46,131:131)+100</f>
        <v>90</v>
      </c>
      <c r="K46" s="1748"/>
      <c r="L46" s="3170" t="s">
        <v>3450</v>
      </c>
      <c r="M46" s="2486"/>
      <c r="N46" s="2486"/>
      <c r="O46" s="2486"/>
      <c r="P46" s="3393"/>
      <c r="Q46" s="1263" t="str">
        <f t="shared" si="11"/>
        <v>可短租</v>
      </c>
      <c r="R46" s="667" t="s">
        <v>17</v>
      </c>
      <c r="S46" s="668">
        <f t="shared" si="12"/>
        <v>90</v>
      </c>
      <c r="T46" s="667" t="s">
        <v>17</v>
      </c>
      <c r="U46" s="668">
        <f t="shared" si="13"/>
        <v>90</v>
      </c>
      <c r="V46" s="667" t="s">
        <v>17</v>
      </c>
      <c r="W46" s="668">
        <f t="shared" si="14"/>
        <v>90</v>
      </c>
      <c r="X46" s="1265"/>
      <c r="Y46" s="3395"/>
      <c r="Z46" s="1264" t="str">
        <f t="shared" si="18"/>
        <v>可短租</v>
      </c>
      <c r="AA46" s="1264">
        <f t="shared" si="15"/>
        <v>1.1111111111111112</v>
      </c>
      <c r="AB46" s="1264">
        <f t="shared" si="16"/>
        <v>1.1111111111111112</v>
      </c>
      <c r="AC46" s="1264">
        <f t="shared" si="17"/>
        <v>1.1111111111111112</v>
      </c>
    </row>
    <row r="47" spans="1:29" ht="15">
      <c r="A47" s="416" t="s">
        <v>1708</v>
      </c>
      <c r="B47" s="417"/>
      <c r="C47" s="1081" t="s">
        <v>16</v>
      </c>
      <c r="D47" s="418"/>
      <c r="E47" s="419">
        <f>ROUND(19500/30/183.98,2)</f>
        <v>3.53</v>
      </c>
      <c r="F47" s="420"/>
      <c r="G47" s="421">
        <f>ROUND(11300/30/106,2)</f>
        <v>3.55</v>
      </c>
      <c r="H47" s="422"/>
      <c r="I47" s="419">
        <f>ROUND(11690/105.38/30,2)</f>
        <v>3.7</v>
      </c>
      <c r="J47" s="422"/>
      <c r="K47" s="1765"/>
      <c r="L47" s="3171">
        <f>ROUND(C48*30*299.39,0)</f>
        <v>32693</v>
      </c>
      <c r="M47" s="2486"/>
      <c r="N47" s="2486"/>
      <c r="O47" s="2486"/>
      <c r="P47" s="3387" t="str">
        <f>A47</f>
        <v>成交单价（元/平方米）</v>
      </c>
      <c r="Q47" s="3387"/>
      <c r="R47" s="3388">
        <f>E47</f>
        <v>3.53</v>
      </c>
      <c r="S47" s="3388"/>
      <c r="T47" s="3388">
        <f>G47</f>
        <v>3.55</v>
      </c>
      <c r="U47" s="3388"/>
      <c r="V47" s="3388">
        <f>I47</f>
        <v>3.7</v>
      </c>
      <c r="W47" s="3388"/>
      <c r="X47" s="385"/>
      <c r="Y47" s="673"/>
      <c r="Z47" s="385"/>
      <c r="AA47" s="385"/>
      <c r="AB47" s="385"/>
      <c r="AC47" s="385"/>
    </row>
    <row r="48" spans="1:29" ht="15.75" thickBot="1">
      <c r="A48" s="423" t="s">
        <v>1709</v>
      </c>
      <c r="B48" s="424"/>
      <c r="C48" s="1082">
        <f>R49</f>
        <v>3.64</v>
      </c>
      <c r="D48" s="2139" t="s">
        <v>2138</v>
      </c>
      <c r="E48" s="1083">
        <f>R48</f>
        <v>3.7</v>
      </c>
      <c r="F48" s="2140"/>
      <c r="G48" s="1082">
        <f>T48</f>
        <v>3.57</v>
      </c>
      <c r="H48" s="2140"/>
      <c r="I48" s="1083">
        <f>V48</f>
        <v>3.65</v>
      </c>
      <c r="J48" s="2140"/>
      <c r="K48" s="2141">
        <f>F48+H48+J48</f>
        <v>0</v>
      </c>
      <c r="L48" s="2493"/>
      <c r="M48" s="2486"/>
      <c r="N48" s="2486"/>
      <c r="O48" s="2486"/>
      <c r="P48" s="3387" t="str">
        <f>A48</f>
        <v>比较价值（元/平方米）</v>
      </c>
      <c r="Q48" s="3387"/>
      <c r="R48" s="3388">
        <f>IF(F1="售价",ROUND(PRODUCT(R47,AA7:AA46),0),ROUND(PRODUCT(R47,AA7:AA46),2))</f>
        <v>3.7</v>
      </c>
      <c r="S48" s="3388"/>
      <c r="T48" s="3388">
        <f>IF(F1="售价",ROUND(PRODUCT(T47,AB7:AB46),0),ROUND(PRODUCT(T47,AB7:AB46),2))</f>
        <v>3.57</v>
      </c>
      <c r="U48" s="3388"/>
      <c r="V48" s="3388">
        <f>IF(F1="售价",ROUND(PRODUCT(V47,AC7:AC46),0),ROUND(PRODUCT(V47,AC7:AC46),2))</f>
        <v>3.65</v>
      </c>
      <c r="W48" s="3388"/>
      <c r="X48" s="385"/>
      <c r="Y48" s="385"/>
      <c r="Z48" s="385"/>
      <c r="AA48" s="385"/>
      <c r="AB48" s="385"/>
      <c r="AC48" s="385"/>
    </row>
    <row r="49" spans="1:29" ht="15.75" thickBot="1">
      <c r="A49" s="427" t="s">
        <v>1710</v>
      </c>
      <c r="B49" s="428"/>
      <c r="C49" s="1084">
        <f>R49</f>
        <v>3.64</v>
      </c>
      <c r="D49" s="351"/>
      <c r="E49" s="351"/>
      <c r="F49" s="351"/>
      <c r="G49" s="351"/>
      <c r="H49" s="351"/>
      <c r="I49" s="351"/>
      <c r="J49" s="351"/>
      <c r="K49" s="1766"/>
      <c r="L49" s="2493"/>
      <c r="M49" s="2486"/>
      <c r="N49" s="2486"/>
      <c r="O49" s="2486"/>
      <c r="P49" s="3384" t="str">
        <f>A49</f>
        <v>估价对象XX用房的比较价值（楼面单价，元/平方米）</v>
      </c>
      <c r="Q49" s="3385"/>
      <c r="R49" s="3386">
        <f>IF(F1="售价",ROUND(IF(D48="简单平均",AVERAGE(R48:V48),R48*F48+T48*H48+V48*J48),0),ROUND(IF(D48="简单平均",AVERAGE(R48:V48),R48*F48+T48*H48+V48*J48),2))</f>
        <v>3.64</v>
      </c>
      <c r="S49" s="3386"/>
      <c r="T49" s="3386"/>
      <c r="U49" s="3386"/>
      <c r="V49" s="3386"/>
      <c r="W49" s="3386"/>
      <c r="X49" s="385"/>
      <c r="Y49" s="385"/>
      <c r="Z49" s="385"/>
      <c r="AA49" s="385"/>
      <c r="AB49" s="385"/>
      <c r="AC49" s="385"/>
    </row>
    <row r="50" spans="1:29" ht="15.75" thickBot="1">
      <c r="A50" s="2486"/>
      <c r="B50" s="2486"/>
      <c r="C50" s="1084">
        <f>ROUND(C49*0.9,2)</f>
        <v>3.28</v>
      </c>
      <c r="D50" s="3163">
        <v>-0.1</v>
      </c>
      <c r="E50" s="2486"/>
      <c r="F50" s="2486"/>
      <c r="G50" s="2497"/>
      <c r="H50" s="2486"/>
      <c r="I50" s="2486"/>
      <c r="J50" s="2486"/>
      <c r="K50" s="2498"/>
      <c r="L50" s="2494"/>
      <c r="M50" s="2486"/>
      <c r="N50" s="2486"/>
      <c r="O50" s="2486"/>
    </row>
    <row r="51" spans="1:29" ht="15.75" thickBot="1">
      <c r="A51" s="2486"/>
      <c r="B51" s="2486"/>
      <c r="C51" s="1084">
        <f>ROUND(C49*1.1,2)</f>
        <v>4</v>
      </c>
      <c r="D51" s="3164" t="s">
        <v>3421</v>
      </c>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4.8158640226628968E-2</v>
      </c>
      <c r="F52" s="435" t="str">
        <f>IF(OR(E52&gt;=0.3,E52&lt;=-0.3),"超过30%","")</f>
        <v/>
      </c>
      <c r="G52" s="434">
        <f>IF(G47&lt;G48,G48/G47-1,G47/G48-1)</f>
        <v>5.6338028169014009E-3</v>
      </c>
      <c r="H52" s="435" t="str">
        <f>IF(OR(G52&gt;=0.3,G52&lt;=-0.3),"超过30%","")</f>
        <v/>
      </c>
      <c r="I52" s="434">
        <f>IF(I47&lt;I48,I48/I47-1,I47/I48-1)</f>
        <v>1.3698630136986356E-2</v>
      </c>
      <c r="J52" s="435" t="str">
        <f>IF(OR(I52&gt;=0.3,I52&lt;=-0.3),"超过30%","")</f>
        <v/>
      </c>
      <c r="K52" s="2498"/>
      <c r="L52" s="2494"/>
      <c r="M52" s="2486"/>
      <c r="N52" s="2486"/>
      <c r="O52" s="2486"/>
    </row>
    <row r="53" spans="1:29" ht="13.5" customHeight="1">
      <c r="A53" s="2486"/>
      <c r="B53" s="2486"/>
      <c r="C53" s="432" t="s">
        <v>1712</v>
      </c>
      <c r="D53" s="436"/>
      <c r="E53" s="434">
        <f>IF(E48&lt;G48,G48/E48-1,E48/G48-1)</f>
        <v>3.6414565826330625E-2</v>
      </c>
      <c r="F53" s="435" t="str">
        <f>IF(OR(E53&gt;=0.2,E53&lt;=-0.2),"超过20%","")</f>
        <v/>
      </c>
      <c r="G53" s="434">
        <f>IF(G48&lt;I48,I48/G48-1,G48/I48-1)</f>
        <v>2.2408963585434094E-2</v>
      </c>
      <c r="H53" s="435" t="str">
        <f>IF(OR(G53&gt;=0.2,G53&lt;=-0.2),"超过20%","")</f>
        <v/>
      </c>
      <c r="I53" s="434">
        <f>IF(I48&lt;E48,E48/I48-1,I48/E48-1)</f>
        <v>1.3698630136986356E-2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5.6657223796034994E-3</v>
      </c>
      <c r="F54" s="435" t="str">
        <f>IF(OR(E54&gt;=0.3,E54&lt;=-0.3),"超过30%","")</f>
        <v/>
      </c>
      <c r="G54" s="434">
        <f>IF(G47&lt;I47,I47/G47-1,G47/I47-1)</f>
        <v>4.2253521126760729E-2</v>
      </c>
      <c r="H54" s="435" t="str">
        <f>IF(OR(G54&gt;=0.3,G54&lt;=-0.3),"超过30%","")</f>
        <v/>
      </c>
      <c r="I54" s="434">
        <f>IF(I47&lt;E47,E47/I47-1,I47/E47-1)</f>
        <v>4.8158640226628968E-2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0" t="s">
        <v>3410</v>
      </c>
      <c r="E61" s="31"/>
      <c r="F61" s="31"/>
      <c r="G61" s="31"/>
      <c r="H61" s="31"/>
      <c r="I61" s="31"/>
      <c r="J61" s="31"/>
      <c r="K61" s="31"/>
      <c r="L61" s="457"/>
      <c r="M61" s="458"/>
      <c r="N61" s="878"/>
      <c r="O61" s="878"/>
      <c r="P61" s="1772"/>
      <c r="Q61" s="439"/>
    </row>
    <row r="62" spans="1:29" s="102" customFormat="1" ht="15.75" thickBot="1">
      <c r="A62" s="455"/>
      <c r="B62" s="444"/>
      <c r="C62" s="445">
        <v>100</v>
      </c>
      <c r="D62" s="446">
        <v>101</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1" t="s">
        <v>3433</v>
      </c>
      <c r="D88" s="3161" t="s">
        <v>3434</v>
      </c>
      <c r="E88" s="3161" t="s">
        <v>3435</v>
      </c>
      <c r="F88" s="3161" t="s">
        <v>3432</v>
      </c>
      <c r="G88" s="3162" t="s">
        <v>3436</v>
      </c>
      <c r="H88" s="3162" t="s">
        <v>3437</v>
      </c>
      <c r="I88" s="3162" t="s">
        <v>3430</v>
      </c>
      <c r="J88" s="3162" t="s">
        <v>3438</v>
      </c>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61" t="s">
        <v>3431</v>
      </c>
      <c r="D90" s="3161" t="s">
        <v>3428</v>
      </c>
      <c r="E90" s="3161" t="s">
        <v>3427</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0</v>
      </c>
      <c r="C92" s="3161"/>
      <c r="D92" s="3161"/>
      <c r="E92" s="3161"/>
      <c r="F92" s="3161"/>
      <c r="G92" s="3162"/>
      <c r="H92" s="3162"/>
      <c r="I92" s="3162"/>
      <c r="J92" s="3162"/>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0(含)-50</v>
      </c>
      <c r="D102" s="509" t="str">
        <f t="shared" ref="D102:L102" si="26">D103&amp;"(含)"&amp;"-"&amp;E103</f>
        <v>50(含)-100</v>
      </c>
      <c r="E102" s="509" t="str">
        <f t="shared" si="26"/>
        <v>100(含)-200</v>
      </c>
      <c r="F102" s="509" t="str">
        <f t="shared" si="26"/>
        <v>200(含)-300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100</v>
      </c>
      <c r="F103" s="6">
        <v>200</v>
      </c>
      <c r="G103" s="6">
        <v>300</v>
      </c>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1742</v>
      </c>
      <c r="C116" s="3161" t="s">
        <v>3411</v>
      </c>
      <c r="D116" s="3161" t="s">
        <v>3412</v>
      </c>
      <c r="E116" s="3161" t="s">
        <v>3413</v>
      </c>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1743</v>
      </c>
      <c r="C118" s="513" t="s">
        <v>3419</v>
      </c>
      <c r="D118" s="3162" t="s">
        <v>3420</v>
      </c>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1" t="s">
        <v>3443</v>
      </c>
      <c r="D122" s="3161" t="s">
        <v>3445</v>
      </c>
      <c r="E122" s="3161" t="s">
        <v>3446</v>
      </c>
      <c r="F122" s="3162" t="s">
        <v>3447</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0</v>
      </c>
      <c r="C126" s="3161"/>
      <c r="D126" s="3161"/>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采光</v>
      </c>
      <c r="C128" s="3161" t="s">
        <v>3414</v>
      </c>
      <c r="D128" s="3161" t="s">
        <v>3415</v>
      </c>
      <c r="E128" s="3161" t="s">
        <v>3416</v>
      </c>
      <c r="F128" s="3161" t="s">
        <v>3417</v>
      </c>
      <c r="G128" s="3162" t="s">
        <v>3418</v>
      </c>
      <c r="H128" s="513"/>
      <c r="I128" s="513"/>
      <c r="J128" s="513"/>
      <c r="K128" s="514"/>
      <c r="L128" s="515"/>
      <c r="M128" s="516"/>
      <c r="N128" s="879"/>
      <c r="O128" s="879"/>
      <c r="P128" s="1773"/>
      <c r="Q128" s="439"/>
    </row>
    <row r="129" spans="1:17" ht="15.75" thickBot="1">
      <c r="A129" s="367"/>
      <c r="B129" s="474"/>
      <c r="C129" s="491">
        <v>104</v>
      </c>
      <c r="D129" s="491">
        <v>102</v>
      </c>
      <c r="E129" s="491">
        <v>100</v>
      </c>
      <c r="F129" s="491">
        <v>98</v>
      </c>
      <c r="G129" s="467">
        <v>96</v>
      </c>
      <c r="H129" s="467"/>
      <c r="I129" s="467"/>
      <c r="J129" s="467"/>
      <c r="K129" s="467"/>
      <c r="L129" s="467"/>
      <c r="M129" s="468"/>
      <c r="N129" s="880"/>
      <c r="O129" s="880"/>
      <c r="P129" s="1773"/>
      <c r="Q129" s="439"/>
    </row>
    <row r="130" spans="1:17" ht="15" thickTop="1">
      <c r="A130" s="409"/>
      <c r="B130" s="477" t="str">
        <f>B46</f>
        <v>可短租</v>
      </c>
      <c r="C130" s="3161" t="s">
        <v>3440</v>
      </c>
      <c r="D130" s="3161" t="s">
        <v>3441</v>
      </c>
      <c r="E130" s="485"/>
      <c r="F130" s="485"/>
      <c r="G130" s="517"/>
      <c r="H130" s="517"/>
      <c r="I130" s="517"/>
      <c r="J130" s="517"/>
      <c r="K130" s="31"/>
      <c r="L130" s="457"/>
      <c r="M130" s="520"/>
      <c r="N130" s="879"/>
      <c r="O130" s="879"/>
      <c r="P130" s="1773"/>
      <c r="Q130" s="439"/>
    </row>
    <row r="131" spans="1:17" ht="15.75" thickBot="1">
      <c r="A131" s="375"/>
      <c r="B131" s="500"/>
      <c r="C131" s="501">
        <v>100</v>
      </c>
      <c r="D131" s="501">
        <v>90</v>
      </c>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zoomScale="55" zoomScaleNormal="55" workbookViewId="0">
      <selection activeCell="AG11" sqref="AG11"/>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0"/>
  <sheetViews>
    <sheetView workbookViewId="0">
      <selection activeCell="I21" sqref="I21"/>
    </sheetView>
  </sheetViews>
  <sheetFormatPr defaultRowHeight="13.5"/>
  <sheetData>
    <row r="30" spans="5:5">
      <c r="E30" s="1405"/>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299.39</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ht="15">
      <c r="A5" s="348"/>
      <c r="B5" s="349"/>
      <c r="C5" s="3427" t="s">
        <v>1673</v>
      </c>
      <c r="D5" s="3421"/>
      <c r="E5" s="3428" t="s">
        <v>1674</v>
      </c>
      <c r="F5" s="3429"/>
      <c r="G5" s="3427" t="s">
        <v>1675</v>
      </c>
      <c r="H5" s="3421"/>
      <c r="I5" s="3427" t="s">
        <v>1676</v>
      </c>
      <c r="J5" s="3421"/>
      <c r="K5" s="537"/>
      <c r="L5" s="2485"/>
      <c r="M5" s="2486"/>
      <c r="N5" s="2486"/>
      <c r="O5" s="2486"/>
      <c r="P5" s="3408"/>
      <c r="Q5" s="3409"/>
      <c r="R5" s="3414"/>
      <c r="S5" s="3415"/>
      <c r="T5" s="3414"/>
      <c r="U5" s="3415"/>
      <c r="V5" s="3388"/>
      <c r="W5" s="3388"/>
      <c r="X5" s="1265"/>
      <c r="Y5" s="3414"/>
      <c r="Z5" s="3415"/>
      <c r="AA5" s="3400"/>
      <c r="AB5" s="3388"/>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388"/>
      <c r="AC6" s="3401"/>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7"/>
      <c r="M7" s="2438"/>
      <c r="N7" s="2438"/>
      <c r="O7" s="2438"/>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8"/>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7"/>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7"/>
      <c r="Q18" s="1263"/>
      <c r="R18" s="667"/>
      <c r="S18" s="668"/>
      <c r="T18" s="667"/>
      <c r="U18" s="668"/>
      <c r="V18" s="667"/>
      <c r="W18" s="668"/>
      <c r="X18" s="1265"/>
      <c r="Y18" s="339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7"/>
      <c r="Q20" s="1263"/>
      <c r="R20" s="667"/>
      <c r="S20" s="668"/>
      <c r="T20" s="667"/>
      <c r="U20" s="668"/>
      <c r="V20" s="667"/>
      <c r="W20" s="668"/>
      <c r="X20" s="1265"/>
      <c r="Y20" s="339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7"/>
      <c r="Q22" s="1263"/>
      <c r="R22" s="667"/>
      <c r="S22" s="668"/>
      <c r="T22" s="667"/>
      <c r="U22" s="668"/>
      <c r="V22" s="667"/>
      <c r="W22" s="668"/>
      <c r="X22" s="1265"/>
      <c r="Y22" s="3390"/>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7"/>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估价对象为房地产，为所有。根据《国有土地使用证》[]，估价对象（分摊）出让国有建设用地使用权面积为0平方米，建筑面积为299.39平方米。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估价对象为房地产,属开发建设的，该项目尚在开发建设中。根据《国有土地使用证》[]，估价对象（分摊）出让国有建设用地使用权面积为0平方米，规划建筑面积为299.39平方米。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299.39</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36" t="s">
        <v>1775</v>
      </c>
      <c r="Q4" s="3437"/>
      <c r="R4" s="3440" t="s">
        <v>1771</v>
      </c>
      <c r="S4" s="3441"/>
      <c r="T4" s="3440" t="s">
        <v>1772</v>
      </c>
      <c r="U4" s="3441"/>
      <c r="V4" s="3442" t="s">
        <v>1773</v>
      </c>
      <c r="W4" s="3442"/>
      <c r="X4" s="1807"/>
      <c r="Y4" s="3440" t="s">
        <v>1775</v>
      </c>
      <c r="Z4" s="3441"/>
      <c r="AA4" s="3444" t="s">
        <v>1771</v>
      </c>
      <c r="AB4" s="3444" t="s">
        <v>1772</v>
      </c>
      <c r="AC4" s="3433" t="s">
        <v>1773</v>
      </c>
    </row>
    <row r="5" spans="1:29" ht="15">
      <c r="A5" s="348"/>
      <c r="B5" s="349"/>
      <c r="C5" s="3427" t="s">
        <v>1673</v>
      </c>
      <c r="D5" s="3421"/>
      <c r="E5" s="3428" t="s">
        <v>1674</v>
      </c>
      <c r="F5" s="3429"/>
      <c r="G5" s="3427" t="s">
        <v>1675</v>
      </c>
      <c r="H5" s="3421"/>
      <c r="I5" s="3427" t="s">
        <v>1676</v>
      </c>
      <c r="J5" s="3421"/>
      <c r="K5" s="537"/>
      <c r="L5" s="2485"/>
      <c r="M5" s="2486"/>
      <c r="N5" s="2486"/>
      <c r="O5" s="2486"/>
      <c r="P5" s="3438"/>
      <c r="Q5" s="3409"/>
      <c r="R5" s="3414"/>
      <c r="S5" s="3415"/>
      <c r="T5" s="3414"/>
      <c r="U5" s="3415"/>
      <c r="V5" s="3388"/>
      <c r="W5" s="3388"/>
      <c r="X5" s="1265"/>
      <c r="Y5" s="3414"/>
      <c r="Z5" s="3415"/>
      <c r="AA5" s="3400"/>
      <c r="AB5" s="3400"/>
      <c r="AC5" s="3434"/>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39"/>
      <c r="Q6" s="3411"/>
      <c r="R6" s="3414"/>
      <c r="S6" s="3415"/>
      <c r="T6" s="3416"/>
      <c r="U6" s="3417"/>
      <c r="V6" s="3388"/>
      <c r="W6" s="3388"/>
      <c r="X6" s="1265"/>
      <c r="Y6" s="3416"/>
      <c r="Z6" s="3417"/>
      <c r="AA6" s="3401"/>
      <c r="AB6" s="3401"/>
      <c r="AC6" s="3435"/>
    </row>
    <row r="7" spans="1:29" s="102" customFormat="1" ht="15.7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43"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43"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8"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8"/>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8"/>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8"/>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8"/>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8"/>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7"/>
      <c r="Q16" s="1263"/>
      <c r="R16" s="667"/>
      <c r="S16" s="668"/>
      <c r="T16" s="667"/>
      <c r="U16" s="668"/>
      <c r="V16" s="667"/>
      <c r="W16" s="668"/>
      <c r="X16" s="1265"/>
      <c r="Y16" s="3390"/>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7"/>
      <c r="Q18" s="1263"/>
      <c r="R18" s="667"/>
      <c r="S18" s="668"/>
      <c r="T18" s="667"/>
      <c r="U18" s="668"/>
      <c r="V18" s="667"/>
      <c r="W18" s="668"/>
      <c r="X18" s="1265"/>
      <c r="Y18" s="3390"/>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7"/>
      <c r="Q20" s="1263"/>
      <c r="R20" s="667"/>
      <c r="S20" s="668"/>
      <c r="T20" s="667"/>
      <c r="U20" s="668"/>
      <c r="V20" s="667"/>
      <c r="W20" s="668"/>
      <c r="X20" s="1265"/>
      <c r="Y20" s="3390"/>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7"/>
      <c r="Q22" s="1263"/>
      <c r="R22" s="667"/>
      <c r="S22" s="668"/>
      <c r="T22" s="667"/>
      <c r="U22" s="668"/>
      <c r="V22" s="667"/>
      <c r="W22" s="668"/>
      <c r="X22" s="1265"/>
      <c r="Y22" s="3390"/>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7"/>
      <c r="Q24" s="1263"/>
      <c r="R24" s="667"/>
      <c r="S24" s="668"/>
      <c r="T24" s="667"/>
      <c r="U24" s="668"/>
      <c r="V24" s="667"/>
      <c r="W24" s="668"/>
      <c r="X24" s="1265"/>
      <c r="Y24" s="3390"/>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7"/>
      <c r="Q26" s="1263"/>
      <c r="R26" s="667"/>
      <c r="S26" s="668"/>
      <c r="T26" s="667"/>
      <c r="U26" s="668"/>
      <c r="V26" s="667"/>
      <c r="W26" s="668"/>
      <c r="X26" s="1265"/>
      <c r="Y26" s="3390"/>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299.39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7" t="s">
        <v>1673</v>
      </c>
      <c r="D5" s="3421"/>
      <c r="E5" s="3428" t="s">
        <v>1674</v>
      </c>
      <c r="F5" s="3429"/>
      <c r="G5" s="3427" t="s">
        <v>1675</v>
      </c>
      <c r="H5" s="3421"/>
      <c r="I5" s="3427" t="s">
        <v>1676</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6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7" t="s">
        <v>1673</v>
      </c>
      <c r="D5" s="3421"/>
      <c r="E5" s="3428" t="s">
        <v>1674</v>
      </c>
      <c r="F5" s="3429"/>
      <c r="G5" s="3427" t="s">
        <v>1675</v>
      </c>
      <c r="H5" s="3421"/>
      <c r="I5" s="3427"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90"/>
      <c r="Q15" s="1263"/>
      <c r="R15" s="667"/>
      <c r="S15" s="668"/>
      <c r="T15" s="667"/>
      <c r="U15" s="668"/>
      <c r="V15" s="667"/>
      <c r="W15" s="668"/>
      <c r="X15" s="1265"/>
      <c r="Y15" s="339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90"/>
      <c r="Q17" s="1263"/>
      <c r="R17" s="667"/>
      <c r="S17" s="668"/>
      <c r="T17" s="667"/>
      <c r="U17" s="668"/>
      <c r="V17" s="667"/>
      <c r="W17" s="668"/>
      <c r="X17" s="1265"/>
      <c r="Y17" s="339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90"/>
      <c r="Q19" s="1263"/>
      <c r="R19" s="667"/>
      <c r="S19" s="668"/>
      <c r="T19" s="667"/>
      <c r="U19" s="668"/>
      <c r="V19" s="667"/>
      <c r="W19" s="668"/>
      <c r="X19" s="1265"/>
      <c r="Y19" s="339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19" t="s">
        <v>3345</v>
      </c>
      <c r="C37" s="1081" t="s">
        <v>0</v>
      </c>
      <c r="D37" s="418"/>
      <c r="E37" s="419"/>
      <c r="F37" s="420"/>
      <c r="G37" s="421"/>
      <c r="H37" s="422"/>
      <c r="I37" s="419"/>
      <c r="J37" s="422"/>
      <c r="K37" s="545"/>
      <c r="L37" s="2493"/>
      <c r="M37" s="2486"/>
      <c r="N37" s="2486"/>
      <c r="O37" s="2486"/>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4" t="str">
        <f>A39</f>
        <v>估价对象XX用房的比较价值（楼面单价，元/平方米）</v>
      </c>
      <c r="Q39" s="3385"/>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7" t="s">
        <v>1673</v>
      </c>
      <c r="D5" s="3421"/>
      <c r="E5" s="3428" t="s">
        <v>1674</v>
      </c>
      <c r="F5" s="3429"/>
      <c r="G5" s="3427" t="s">
        <v>1675</v>
      </c>
      <c r="H5" s="3421"/>
      <c r="I5" s="3427"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7" t="s">
        <v>1686</v>
      </c>
      <c r="Q9" s="530" t="str">
        <f t="shared" ref="Q9:Q14" si="6">B9</f>
        <v>用途</v>
      </c>
      <c r="R9" s="664" t="s">
        <v>14</v>
      </c>
      <c r="S9" s="665">
        <f t="shared" si="0"/>
        <v>100</v>
      </c>
      <c r="T9" s="664" t="s">
        <v>14</v>
      </c>
      <c r="U9" s="665">
        <f t="shared" si="1"/>
        <v>100</v>
      </c>
      <c r="V9" s="664" t="s">
        <v>14</v>
      </c>
      <c r="W9" s="665">
        <f t="shared" si="2"/>
        <v>100</v>
      </c>
      <c r="X9" s="666"/>
      <c r="Y9" s="3262"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7"/>
      <c r="Q10" s="530" t="str">
        <f t="shared" si="6"/>
        <v>土地使用年限（年）</v>
      </c>
      <c r="R10" s="664" t="s">
        <v>14</v>
      </c>
      <c r="S10" s="665">
        <f t="shared" si="0"/>
        <v>100</v>
      </c>
      <c r="T10" s="664" t="s">
        <v>14</v>
      </c>
      <c r="U10" s="665">
        <f t="shared" si="1"/>
        <v>100</v>
      </c>
      <c r="V10" s="664" t="s">
        <v>14</v>
      </c>
      <c r="W10" s="665">
        <f t="shared" si="2"/>
        <v>100</v>
      </c>
      <c r="X10" s="666"/>
      <c r="Y10" s="326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7"/>
      <c r="Q11" s="530">
        <f t="shared" si="6"/>
        <v>111</v>
      </c>
      <c r="R11" s="664" t="s">
        <v>14</v>
      </c>
      <c r="S11" s="665">
        <f t="shared" si="0"/>
        <v>100</v>
      </c>
      <c r="T11" s="664" t="s">
        <v>14</v>
      </c>
      <c r="U11" s="665">
        <f t="shared" si="1"/>
        <v>100</v>
      </c>
      <c r="V11" s="664" t="s">
        <v>14</v>
      </c>
      <c r="W11" s="665">
        <f t="shared" si="2"/>
        <v>100</v>
      </c>
      <c r="X11" s="666"/>
      <c r="Y11" s="326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90"/>
      <c r="Q15" s="1263"/>
      <c r="R15" s="667"/>
      <c r="S15" s="668"/>
      <c r="T15" s="667"/>
      <c r="U15" s="668"/>
      <c r="V15" s="667"/>
      <c r="W15" s="668"/>
      <c r="X15" s="1265"/>
      <c r="Y15" s="339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90"/>
      <c r="Q17" s="1263"/>
      <c r="R17" s="667"/>
      <c r="S17" s="668"/>
      <c r="T17" s="667"/>
      <c r="U17" s="668"/>
      <c r="V17" s="667"/>
      <c r="W17" s="668"/>
      <c r="X17" s="1265"/>
      <c r="Y17" s="339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90"/>
      <c r="Q19" s="1263"/>
      <c r="R19" s="667"/>
      <c r="S19" s="668"/>
      <c r="T19" s="667"/>
      <c r="U19" s="668"/>
      <c r="V19" s="667"/>
      <c r="W19" s="668"/>
      <c r="X19" s="1265"/>
      <c r="Y19" s="339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4" t="str">
        <f>A37</f>
        <v>估价对象XX用房的比较价值（楼面单价，元/平方米）</v>
      </c>
      <c r="Q37" s="3385"/>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7" t="s">
        <v>1673</v>
      </c>
      <c r="D5" s="3421"/>
      <c r="E5" s="3428" t="s">
        <v>1674</v>
      </c>
      <c r="F5" s="3429"/>
      <c r="G5" s="3427" t="s">
        <v>1675</v>
      </c>
      <c r="H5" s="3421"/>
      <c r="I5" s="3427"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7"/>
      <c r="Q12" s="530" t="str">
        <f t="shared" si="6"/>
        <v>配建</v>
      </c>
      <c r="R12" s="664" t="s">
        <v>14</v>
      </c>
      <c r="S12" s="665">
        <f t="shared" si="0"/>
        <v>100</v>
      </c>
      <c r="T12" s="664" t="s">
        <v>14</v>
      </c>
      <c r="U12" s="665">
        <f t="shared" si="1"/>
        <v>100</v>
      </c>
      <c r="V12" s="664" t="s">
        <v>14</v>
      </c>
      <c r="W12" s="665">
        <f t="shared" si="2"/>
        <v>100</v>
      </c>
      <c r="X12" s="666"/>
      <c r="Y12" s="326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90"/>
      <c r="Q16" s="1263"/>
      <c r="R16" s="667"/>
      <c r="S16" s="668"/>
      <c r="T16" s="667"/>
      <c r="U16" s="668"/>
      <c r="V16" s="667"/>
      <c r="W16" s="668"/>
      <c r="X16" s="1265"/>
      <c r="Y16" s="3390"/>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90"/>
      <c r="Q18" s="1263"/>
      <c r="R18" s="667"/>
      <c r="S18" s="668"/>
      <c r="T18" s="667"/>
      <c r="U18" s="668"/>
      <c r="V18" s="667"/>
      <c r="W18" s="668"/>
      <c r="X18" s="1265"/>
      <c r="Y18" s="3390"/>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90"/>
      <c r="Q20" s="1263"/>
      <c r="R20" s="667"/>
      <c r="S20" s="668"/>
      <c r="T20" s="667"/>
      <c r="U20" s="668"/>
      <c r="V20" s="667"/>
      <c r="W20" s="668"/>
      <c r="X20" s="1265"/>
      <c r="Y20" s="339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90"/>
      <c r="Q24" s="1263"/>
      <c r="R24" s="667"/>
      <c r="S24" s="668"/>
      <c r="T24" s="667"/>
      <c r="U24" s="668"/>
      <c r="V24" s="667"/>
      <c r="W24" s="668"/>
      <c r="X24" s="1265"/>
      <c r="Y24" s="3390"/>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90"/>
      <c r="Q26" s="1263"/>
      <c r="R26" s="667"/>
      <c r="S26" s="668"/>
      <c r="T26" s="667"/>
      <c r="U26" s="668"/>
      <c r="V26" s="667"/>
      <c r="W26" s="668"/>
      <c r="X26" s="1265"/>
      <c r="Y26" s="339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90"/>
      <c r="Q28" s="530"/>
      <c r="R28" s="664"/>
      <c r="S28" s="665"/>
      <c r="T28" s="664"/>
      <c r="U28" s="665"/>
      <c r="V28" s="664"/>
      <c r="W28" s="665"/>
      <c r="X28" s="666"/>
      <c r="Y28" s="339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5"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7" t="str">
        <f>A47</f>
        <v>比较价值（元/平方米）</v>
      </c>
      <c r="Q47" s="3387"/>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4" t="str">
        <f>A48</f>
        <v>估价对象XX用房的比较价值（楼面单价，元/平方米）</v>
      </c>
      <c r="Q48" s="3385"/>
      <c r="R48" s="3448" t="e">
        <f>ROUND(IF(D47="简单平均",AVERAGE(R47:W47),R47*F47+T47*H47+V47*J47),0)</f>
        <v>#DIV/0!</v>
      </c>
      <c r="S48" s="3448"/>
      <c r="T48" s="3448"/>
      <c r="U48" s="3448"/>
      <c r="V48" s="3448"/>
      <c r="W48" s="344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02" t="s">
        <v>1887</v>
      </c>
      <c r="H55" s="3449"/>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299.39</v>
      </c>
      <c r="F56" s="833" t="e">
        <f t="shared" ref="F56:F64" si="15">ROUND(B56*E56/10000,0)</f>
        <v>#DIV/0!</v>
      </c>
      <c r="G56" s="3398"/>
      <c r="H56" s="338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299.39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5"/>
      <c r="M4" s="2486"/>
      <c r="N4" s="2486"/>
      <c r="O4" s="2486"/>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7" t="s">
        <v>1673</v>
      </c>
      <c r="D5" s="3421"/>
      <c r="E5" s="3428" t="s">
        <v>1674</v>
      </c>
      <c r="F5" s="3429"/>
      <c r="G5" s="3427" t="s">
        <v>1675</v>
      </c>
      <c r="H5" s="3421"/>
      <c r="I5" s="3427" t="s">
        <v>1676</v>
      </c>
      <c r="J5" s="3421"/>
      <c r="K5" s="537"/>
      <c r="L5" s="2485"/>
      <c r="M5" s="2486"/>
      <c r="N5" s="2486"/>
      <c r="O5" s="2486"/>
      <c r="P5" s="3408"/>
      <c r="Q5" s="3409"/>
      <c r="R5" s="3414"/>
      <c r="S5" s="3415"/>
      <c r="T5" s="3414"/>
      <c r="U5" s="3415"/>
      <c r="V5" s="3388"/>
      <c r="W5" s="3388"/>
      <c r="X5" s="1265"/>
      <c r="Y5" s="3414"/>
      <c r="Z5" s="3415"/>
      <c r="AA5" s="3400"/>
      <c r="AB5" s="3400"/>
      <c r="AC5" s="3400"/>
    </row>
    <row r="6" spans="1:29" ht="15.75" thickBot="1">
      <c r="A6" s="350"/>
      <c r="B6" s="351"/>
      <c r="C6" s="3450" t="s">
        <v>1919</v>
      </c>
      <c r="D6" s="3451"/>
      <c r="E6" s="3452" t="s">
        <v>1919</v>
      </c>
      <c r="F6" s="3453"/>
      <c r="G6" s="3450" t="s">
        <v>1919</v>
      </c>
      <c r="H6" s="3451"/>
      <c r="I6" s="3450" t="s">
        <v>1919</v>
      </c>
      <c r="J6" s="3451"/>
      <c r="K6" s="537" t="s">
        <v>1678</v>
      </c>
      <c r="L6" s="2485"/>
      <c r="M6" s="2486"/>
      <c r="N6" s="2486"/>
      <c r="O6" s="2486"/>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45707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7" t="s">
        <v>1686</v>
      </c>
      <c r="Q9" s="530" t="str">
        <f t="shared" ref="Q9:Q15" si="6">B9</f>
        <v>用途</v>
      </c>
      <c r="R9" s="664" t="s">
        <v>14</v>
      </c>
      <c r="S9" s="665">
        <f t="shared" si="0"/>
        <v>100</v>
      </c>
      <c r="T9" s="664" t="s">
        <v>14</v>
      </c>
      <c r="U9" s="665">
        <f t="shared" si="1"/>
        <v>100</v>
      </c>
      <c r="V9" s="664" t="s">
        <v>14</v>
      </c>
      <c r="W9" s="665">
        <f t="shared" si="2"/>
        <v>100</v>
      </c>
      <c r="X9" s="666"/>
      <c r="Y9" s="326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87"/>
      <c r="Q10" s="530" t="str">
        <f t="shared" si="6"/>
        <v>土地使用年限（年）</v>
      </c>
      <c r="R10" s="664" t="s">
        <v>14</v>
      </c>
      <c r="S10" s="665" t="e">
        <f t="shared" si="0"/>
        <v>#DIV/0!</v>
      </c>
      <c r="T10" s="664" t="s">
        <v>14</v>
      </c>
      <c r="U10" s="665" t="e">
        <f t="shared" si="1"/>
        <v>#DIV/0!</v>
      </c>
      <c r="V10" s="664" t="s">
        <v>14</v>
      </c>
      <c r="W10" s="665" t="e">
        <f t="shared" si="2"/>
        <v>#DIV/0!</v>
      </c>
      <c r="X10" s="666"/>
      <c r="Y10" s="326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7"/>
      <c r="Q11" s="530" t="str">
        <f t="shared" si="6"/>
        <v>容积率</v>
      </c>
      <c r="R11" s="664" t="s">
        <v>14</v>
      </c>
      <c r="S11" s="665" t="e">
        <f t="shared" si="0"/>
        <v>#N/A</v>
      </c>
      <c r="T11" s="664" t="s">
        <v>14</v>
      </c>
      <c r="U11" s="665" t="e">
        <f t="shared" si="1"/>
        <v>#N/A</v>
      </c>
      <c r="V11" s="664" t="s">
        <v>14</v>
      </c>
      <c r="W11" s="665" t="e">
        <f t="shared" si="2"/>
        <v>#N/A</v>
      </c>
      <c r="X11" s="666"/>
      <c r="Y11" s="326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7"/>
      <c r="Q12" s="530">
        <f t="shared" si="6"/>
        <v>111</v>
      </c>
      <c r="R12" s="664" t="s">
        <v>14</v>
      </c>
      <c r="S12" s="665">
        <f t="shared" si="0"/>
        <v>100</v>
      </c>
      <c r="T12" s="664" t="s">
        <v>14</v>
      </c>
      <c r="U12" s="665">
        <f t="shared" si="1"/>
        <v>100</v>
      </c>
      <c r="V12" s="664" t="s">
        <v>14</v>
      </c>
      <c r="W12" s="665">
        <f t="shared" si="2"/>
        <v>100</v>
      </c>
      <c r="X12" s="666"/>
      <c r="Y12" s="326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7"/>
      <c r="Q13" s="530">
        <f t="shared" si="6"/>
        <v>111</v>
      </c>
      <c r="R13" s="664" t="s">
        <v>14</v>
      </c>
      <c r="S13" s="665">
        <f t="shared" si="0"/>
        <v>100</v>
      </c>
      <c r="T13" s="664" t="s">
        <v>14</v>
      </c>
      <c r="U13" s="665">
        <f t="shared" si="1"/>
        <v>100</v>
      </c>
      <c r="V13" s="664" t="s">
        <v>14</v>
      </c>
      <c r="W13" s="665">
        <f t="shared" si="2"/>
        <v>100</v>
      </c>
      <c r="X13" s="666"/>
      <c r="Y13" s="326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7"/>
      <c r="Q14" s="530">
        <f t="shared" si="6"/>
        <v>111</v>
      </c>
      <c r="R14" s="664" t="s">
        <v>14</v>
      </c>
      <c r="S14" s="665">
        <f t="shared" si="0"/>
        <v>100</v>
      </c>
      <c r="T14" s="664" t="s">
        <v>14</v>
      </c>
      <c r="U14" s="665">
        <f t="shared" si="1"/>
        <v>100</v>
      </c>
      <c r="V14" s="664" t="s">
        <v>14</v>
      </c>
      <c r="W14" s="665">
        <f t="shared" si="2"/>
        <v>100</v>
      </c>
      <c r="X14" s="666"/>
      <c r="Y14" s="3262"/>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90"/>
      <c r="Q16" s="1263"/>
      <c r="R16" s="667"/>
      <c r="S16" s="668"/>
      <c r="T16" s="667"/>
      <c r="U16" s="668"/>
      <c r="V16" s="667"/>
      <c r="W16" s="668"/>
      <c r="X16" s="1265"/>
      <c r="Y16" s="339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90"/>
      <c r="Q18" s="1263"/>
      <c r="R18" s="667"/>
      <c r="S18" s="668"/>
      <c r="T18" s="667"/>
      <c r="U18" s="668"/>
      <c r="V18" s="667"/>
      <c r="W18" s="668"/>
      <c r="X18" s="1265"/>
      <c r="Y18" s="339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90"/>
      <c r="Q20" s="1263"/>
      <c r="R20" s="667"/>
      <c r="S20" s="668"/>
      <c r="T20" s="667"/>
      <c r="U20" s="668"/>
      <c r="V20" s="667"/>
      <c r="W20" s="668"/>
      <c r="X20" s="1265"/>
      <c r="Y20" s="339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90"/>
      <c r="Q22" s="1263"/>
      <c r="R22" s="667"/>
      <c r="S22" s="668"/>
      <c r="T22" s="667"/>
      <c r="U22" s="668"/>
      <c r="V22" s="667"/>
      <c r="W22" s="668"/>
      <c r="X22" s="1265"/>
      <c r="Y22" s="339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90"/>
      <c r="Q24" s="530"/>
      <c r="R24" s="664"/>
      <c r="S24" s="665"/>
      <c r="T24" s="664"/>
      <c r="U24" s="665"/>
      <c r="V24" s="664"/>
      <c r="W24" s="665"/>
      <c r="X24" s="666"/>
      <c r="Y24" s="339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5"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7" t="str">
        <f>A42</f>
        <v>比较价值（元/平方米）</v>
      </c>
      <c r="Q42" s="3387"/>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4" t="str">
        <f>A43</f>
        <v>估价对象XX用房的比较价值（楼面单价，元/平方米）</v>
      </c>
      <c r="Q43" s="3385"/>
      <c r="R43" s="3448" t="e">
        <f>ROUND(IF(D42="简单平均",AVERAGE(R42:W42),R42*F42+T42*H42+V42*J42),0)</f>
        <v>#DIV/0!</v>
      </c>
      <c r="S43" s="3448"/>
      <c r="T43" s="3448"/>
      <c r="U43" s="3448"/>
      <c r="V43" s="3448"/>
      <c r="W43" s="344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02" t="s">
        <v>1887</v>
      </c>
      <c r="H50" s="3449"/>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299.39</v>
      </c>
      <c r="F51" s="611" t="e">
        <f t="shared" ref="F51:F60" si="15">ROUND(B51*E51/10000,0)</f>
        <v>#DIV/0!</v>
      </c>
      <c r="G51" s="3398"/>
      <c r="H51" s="338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7"/>
      <c r="B4" s="3468"/>
      <c r="C4" s="3468"/>
      <c r="D4" s="3469"/>
      <c r="E4" s="3469"/>
      <c r="F4" s="3469"/>
      <c r="G4" s="3469"/>
      <c r="H4" s="3469"/>
      <c r="I4" s="3469"/>
      <c r="J4" s="3470"/>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64" t="s">
        <v>1960</v>
      </c>
      <c r="X8" s="346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6"/>
      <c r="X9" s="3063" t="s">
        <v>3259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71" t="s">
        <v>3245</v>
      </c>
      <c r="B20" s="159" t="s">
        <v>1994</v>
      </c>
      <c r="C20" s="3030" t="e">
        <f>ROUND(IF(F21="与级别开发程度一致",0,(G21-E21)/C21),0)</f>
        <v>#DIV/0!</v>
      </c>
      <c r="D20" s="3045" t="s">
        <v>1998</v>
      </c>
      <c r="E20" s="3046"/>
      <c r="F20" s="3477" t="s">
        <v>1995</v>
      </c>
      <c r="G20" s="3478"/>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72"/>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7">
        <v>44197</v>
      </c>
      <c r="F23" s="1894" t="s">
        <v>2003</v>
      </c>
      <c r="G23" s="718">
        <f>'数据-取费表'!B2</f>
        <v>45707</v>
      </c>
      <c r="H23" s="3047" t="s">
        <v>3247</v>
      </c>
      <c r="I23" s="3048" t="str">
        <f>IF(H23="季度增幅（自定义）",SUMIF(N25:N28,E2,O25:O28),"")</f>
        <v/>
      </c>
      <c r="J23" s="3140" t="s">
        <v>3246</v>
      </c>
      <c r="K23" s="1061"/>
      <c r="L23" s="1895" t="s">
        <v>2004</v>
      </c>
      <c r="M23" s="1241">
        <f>ROUND(SUMIF(地价!B2:G2,E2,地价!B16:G16),0)</f>
        <v>0</v>
      </c>
      <c r="N23" s="1896"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存贷款利率!E27/100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3326</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3249</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3253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3251</v>
      </c>
      <c r="G33" s="1939"/>
      <c r="H33" s="1939"/>
      <c r="I33" s="1939"/>
      <c r="J33" s="1940"/>
      <c r="K33" s="1056"/>
      <c r="L33" s="3052" t="s">
        <v>3254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3255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3252</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3256</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75"/>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76"/>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76"/>
      <c r="B39" s="1882" t="s">
        <v>3250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3258</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3260</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3260</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3260</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2059</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2060</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2061</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2053</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3261</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2059</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2060</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2072</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3262</v>
      </c>
      <c r="B92" s="2308"/>
      <c r="C92" s="2308" t="s">
        <v>3271</v>
      </c>
      <c r="D92" s="2308" t="s">
        <v>3272</v>
      </c>
      <c r="E92" s="3051" t="s">
        <v>3273</v>
      </c>
      <c r="F92" s="3081" t="s">
        <v>3274</v>
      </c>
      <c r="G92" s="2308" t="s">
        <v>3275</v>
      </c>
      <c r="H92" s="3088" t="s">
        <v>3278</v>
      </c>
      <c r="I92" s="2308" t="s">
        <v>3279</v>
      </c>
      <c r="J92" s="2148" t="s">
        <v>3280</v>
      </c>
      <c r="K92" s="2148" t="s">
        <v>3281</v>
      </c>
      <c r="L92" s="2148" t="s">
        <v>3282</v>
      </c>
      <c r="M92" s="2148" t="s">
        <v>3283</v>
      </c>
      <c r="N92" s="2148" t="s">
        <v>3284</v>
      </c>
    </row>
    <row r="93" spans="1:37" ht="24">
      <c r="A93" s="3069" t="s">
        <v>3263</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3264</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3260</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3265</v>
      </c>
      <c r="B96" s="3085" t="s">
        <v>3276</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3266</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3267</v>
      </c>
      <c r="B98" s="3086" t="s">
        <v>3277</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3268</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3269</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3270</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73" t="s">
        <v>3285</v>
      </c>
      <c r="B103" s="3473"/>
      <c r="C103" s="3473"/>
      <c r="D103" s="3473"/>
      <c r="E103" s="3473"/>
      <c r="F103" s="3473"/>
      <c r="G103" s="3473"/>
      <c r="H103" s="3473"/>
      <c r="I103" s="3473"/>
      <c r="J103" s="3473"/>
      <c r="K103" s="1667"/>
      <c r="L103" s="1667"/>
      <c r="M103" s="1667"/>
      <c r="N103" s="1667"/>
    </row>
    <row r="104" spans="1:14">
      <c r="A104" s="3474" t="s">
        <v>3286</v>
      </c>
      <c r="B104" s="3474" t="s">
        <v>3287</v>
      </c>
      <c r="C104" s="3089" t="s">
        <v>3288</v>
      </c>
      <c r="D104" s="3090"/>
      <c r="E104" s="3090"/>
      <c r="F104" s="3090"/>
      <c r="G104" s="3090"/>
      <c r="H104" s="3090"/>
      <c r="I104" s="3090"/>
      <c r="J104" s="3091"/>
      <c r="K104" s="3092"/>
      <c r="L104" s="3092"/>
      <c r="M104" s="3092"/>
      <c r="N104" s="3092"/>
    </row>
    <row r="105" spans="1:14">
      <c r="A105" s="3474"/>
      <c r="B105" s="3474"/>
      <c r="C105" s="3093" t="s">
        <v>3289</v>
      </c>
      <c r="D105" s="3093" t="s">
        <v>3290</v>
      </c>
      <c r="E105" s="3093" t="s">
        <v>3291</v>
      </c>
      <c r="F105" s="3093" t="s">
        <v>3292</v>
      </c>
      <c r="G105" s="3093" t="s">
        <v>3293</v>
      </c>
      <c r="H105" s="3093" t="s">
        <v>3294</v>
      </c>
      <c r="I105" s="3093" t="s">
        <v>3295</v>
      </c>
      <c r="J105" s="3093" t="s">
        <v>3296</v>
      </c>
      <c r="K105" s="3093" t="s">
        <v>3297</v>
      </c>
      <c r="L105" s="3093" t="s">
        <v>3298</v>
      </c>
      <c r="M105" s="3093" t="s">
        <v>3299</v>
      </c>
      <c r="N105" s="3093" t="s">
        <v>3300</v>
      </c>
    </row>
    <row r="106" spans="1:14">
      <c r="A106" s="3460" t="s">
        <v>3301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1"/>
      <c r="B111" s="3093" t="s">
        <v>3259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3" t="s">
        <v>3302</v>
      </c>
      <c r="B113" s="3463"/>
      <c r="C113" s="3463"/>
      <c r="D113" s="3463"/>
      <c r="E113" s="3463"/>
      <c r="F113" s="3463"/>
      <c r="G113" s="3463"/>
      <c r="H113" s="3463"/>
      <c r="I113" s="3463"/>
      <c r="J113" s="3463"/>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3303</v>
      </c>
      <c r="B116" s="3113">
        <f>G3</f>
        <v>0</v>
      </c>
      <c r="C116" s="3098" t="s">
        <v>3304</v>
      </c>
      <c r="D116" s="3099">
        <f>SUMPRODUCT((A118:A122=F116)*(B117:M117=H116)*B118:M122)</f>
        <v>0</v>
      </c>
      <c r="E116" s="162" t="s">
        <v>3305</v>
      </c>
      <c r="F116" s="3100">
        <f>E2</f>
        <v>0</v>
      </c>
      <c r="G116" s="162" t="s">
        <v>3306</v>
      </c>
      <c r="H116" s="3100">
        <f>G2</f>
        <v>0</v>
      </c>
      <c r="I116" s="162"/>
      <c r="J116" s="3101"/>
      <c r="K116" s="3101"/>
      <c r="L116" s="3101"/>
      <c r="M116" s="3101"/>
      <c r="N116" s="3096"/>
    </row>
    <row r="117" spans="1:14">
      <c r="A117" s="3102"/>
      <c r="B117" s="3103" t="s">
        <v>3307</v>
      </c>
      <c r="C117" s="3103" t="s">
        <v>3308</v>
      </c>
      <c r="D117" s="3103" t="s">
        <v>3309</v>
      </c>
      <c r="E117" s="3104" t="s">
        <v>3310</v>
      </c>
      <c r="F117" s="3104" t="s">
        <v>3311</v>
      </c>
      <c r="G117" s="3104" t="s">
        <v>3312</v>
      </c>
      <c r="H117" s="3105" t="s">
        <v>3313</v>
      </c>
      <c r="I117" s="3105" t="s">
        <v>3314</v>
      </c>
      <c r="J117" s="3106" t="s">
        <v>3315</v>
      </c>
      <c r="K117" s="3106" t="s">
        <v>3316</v>
      </c>
      <c r="L117" s="3106" t="s">
        <v>3317</v>
      </c>
      <c r="M117" s="3107" t="s">
        <v>3318</v>
      </c>
      <c r="N117" s="3096"/>
    </row>
    <row r="118" spans="1:14">
      <c r="A118" s="3056" t="s">
        <v>3319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488" t="s">
        <v>2598</v>
      </c>
      <c r="B20" s="3483" t="s">
        <v>2619</v>
      </c>
      <c r="C20" s="2841" t="s">
        <v>2430</v>
      </c>
      <c r="D20" s="2842"/>
      <c r="E20" s="2843">
        <v>1</v>
      </c>
      <c r="F20" s="2844" t="s">
        <v>2431</v>
      </c>
      <c r="G20" s="2844"/>
    </row>
    <row r="21" spans="1:13" ht="19.5" customHeight="1">
      <c r="A21" s="3489"/>
      <c r="B21" s="3482"/>
      <c r="C21" s="2845" t="s">
        <v>2432</v>
      </c>
      <c r="D21" s="2846"/>
      <c r="E21" s="2847">
        <v>1</v>
      </c>
      <c r="F21" s="2844" t="s">
        <v>2433</v>
      </c>
      <c r="G21" s="2844"/>
    </row>
    <row r="22" spans="1:13" ht="19.5" customHeight="1">
      <c r="A22" s="3489"/>
      <c r="B22" s="3482"/>
      <c r="C22" s="2845" t="s">
        <v>2434</v>
      </c>
      <c r="D22" s="2846"/>
      <c r="E22" s="2847">
        <v>0.9</v>
      </c>
      <c r="F22" s="2844" t="s">
        <v>2435</v>
      </c>
      <c r="G22" s="2844"/>
    </row>
    <row r="23" spans="1:13" ht="19.5" customHeight="1">
      <c r="A23" s="3489"/>
      <c r="B23" s="3482"/>
      <c r="C23" s="2845" t="s">
        <v>2436</v>
      </c>
      <c r="D23" s="2846"/>
      <c r="E23" s="2847">
        <v>0.9</v>
      </c>
      <c r="F23" s="2844" t="s">
        <v>2437</v>
      </c>
      <c r="G23" s="2844"/>
    </row>
    <row r="24" spans="1:13" ht="19.5" customHeight="1">
      <c r="A24" s="3489"/>
      <c r="B24" s="3482"/>
      <c r="C24" s="2845" t="s">
        <v>2438</v>
      </c>
      <c r="D24" s="2846"/>
      <c r="E24" s="2847">
        <v>0.8</v>
      </c>
      <c r="F24" s="2844" t="s">
        <v>2439</v>
      </c>
      <c r="G24" s="2844"/>
    </row>
    <row r="25" spans="1:13" ht="19.5" customHeight="1" thickBot="1">
      <c r="A25" s="3490"/>
      <c r="B25" s="3484"/>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485" t="s">
        <v>2622</v>
      </c>
      <c r="B27" s="3483" t="s">
        <v>2603</v>
      </c>
      <c r="C27" s="2841" t="s">
        <v>2443</v>
      </c>
      <c r="D27" s="2842"/>
      <c r="E27" s="2843">
        <v>1</v>
      </c>
      <c r="F27" s="2844" t="s">
        <v>2444</v>
      </c>
      <c r="G27" s="2844"/>
    </row>
    <row r="28" spans="1:13" ht="19.5" customHeight="1">
      <c r="A28" s="3486"/>
      <c r="B28" s="3482"/>
      <c r="C28" s="2845" t="s">
        <v>2445</v>
      </c>
      <c r="D28" s="2846"/>
      <c r="E28" s="2847">
        <v>1</v>
      </c>
      <c r="F28" s="2844" t="s">
        <v>2446</v>
      </c>
      <c r="G28" s="2844"/>
    </row>
    <row r="29" spans="1:13" ht="19.5" customHeight="1">
      <c r="A29" s="3486"/>
      <c r="B29" s="3482"/>
      <c r="C29" s="2845" t="s">
        <v>2447</v>
      </c>
      <c r="D29" s="2846"/>
      <c r="E29" s="2847">
        <v>0.8</v>
      </c>
      <c r="F29" s="2844" t="s">
        <v>2448</v>
      </c>
      <c r="G29" s="2844"/>
    </row>
    <row r="30" spans="1:13" ht="19.5" customHeight="1">
      <c r="A30" s="3486"/>
      <c r="B30" s="3482"/>
      <c r="C30" s="2845" t="s">
        <v>2449</v>
      </c>
      <c r="D30" s="2846"/>
      <c r="E30" s="2847">
        <v>0.8</v>
      </c>
      <c r="F30" s="2844" t="s">
        <v>2450</v>
      </c>
      <c r="G30" s="2844"/>
    </row>
    <row r="31" spans="1:13" ht="19.5" customHeight="1">
      <c r="A31" s="3486"/>
      <c r="B31" s="3482"/>
      <c r="C31" s="2845" t="s">
        <v>2451</v>
      </c>
      <c r="D31" s="2846"/>
      <c r="E31" s="2847">
        <v>0.8</v>
      </c>
      <c r="F31" s="2844" t="s">
        <v>2452</v>
      </c>
      <c r="G31" s="2844"/>
    </row>
    <row r="32" spans="1:13" ht="19.5" customHeight="1">
      <c r="A32" s="3486"/>
      <c r="B32" s="3482"/>
      <c r="C32" s="2845" t="s">
        <v>2453</v>
      </c>
      <c r="D32" s="2846"/>
      <c r="E32" s="2847">
        <v>0.7</v>
      </c>
      <c r="F32" s="2844" t="s">
        <v>2454</v>
      </c>
      <c r="G32" s="2844"/>
    </row>
    <row r="33" spans="1:7" ht="19.5" customHeight="1">
      <c r="A33" s="3486"/>
      <c r="B33" s="3482"/>
      <c r="C33" s="2845" t="s">
        <v>2455</v>
      </c>
      <c r="D33" s="2846"/>
      <c r="E33" s="2847">
        <v>0.8</v>
      </c>
      <c r="F33" s="2844" t="s">
        <v>2456</v>
      </c>
      <c r="G33" s="2844"/>
    </row>
    <row r="34" spans="1:7" ht="19.5" customHeight="1">
      <c r="A34" s="3486"/>
      <c r="B34" s="3482"/>
      <c r="C34" s="2845" t="s">
        <v>2457</v>
      </c>
      <c r="D34" s="2846"/>
      <c r="E34" s="2847">
        <v>0.6</v>
      </c>
      <c r="F34" s="2844" t="s">
        <v>2458</v>
      </c>
      <c r="G34" s="2844"/>
    </row>
    <row r="35" spans="1:7" ht="19.5" customHeight="1">
      <c r="A35" s="3486"/>
      <c r="B35" s="3482"/>
      <c r="C35" s="2845" t="s">
        <v>2459</v>
      </c>
      <c r="D35" s="2846"/>
      <c r="E35" s="2847">
        <v>0.2</v>
      </c>
      <c r="F35" s="2844" t="s">
        <v>2460</v>
      </c>
      <c r="G35" s="2844"/>
    </row>
    <row r="36" spans="1:7" ht="19.5" customHeight="1">
      <c r="A36" s="3486"/>
      <c r="B36" s="3482"/>
      <c r="C36" s="2845" t="s">
        <v>2461</v>
      </c>
      <c r="D36" s="2846"/>
      <c r="E36" s="2847">
        <v>0.2</v>
      </c>
      <c r="F36" s="2844" t="s">
        <v>2462</v>
      </c>
      <c r="G36" s="2844"/>
    </row>
    <row r="37" spans="1:7" ht="19.5" customHeight="1">
      <c r="A37" s="3486"/>
      <c r="B37" s="3480" t="s">
        <v>2623</v>
      </c>
      <c r="C37" s="2845" t="s">
        <v>2463</v>
      </c>
      <c r="D37" s="2846"/>
      <c r="E37" s="2847">
        <v>0.6</v>
      </c>
      <c r="F37" s="2844" t="s">
        <v>2464</v>
      </c>
      <c r="G37" s="2844"/>
    </row>
    <row r="38" spans="1:7" ht="19.5" customHeight="1">
      <c r="A38" s="3486"/>
      <c r="B38" s="3482"/>
      <c r="C38" s="2845" t="s">
        <v>2465</v>
      </c>
      <c r="D38" s="2846"/>
      <c r="E38" s="2847">
        <v>0.6</v>
      </c>
      <c r="F38" s="2844" t="s">
        <v>2466</v>
      </c>
      <c r="G38" s="2844"/>
    </row>
    <row r="39" spans="1:7" ht="19.5" customHeight="1" thickBot="1">
      <c r="A39" s="3487"/>
      <c r="B39" s="3484"/>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488" t="s">
        <v>2601</v>
      </c>
      <c r="B41" s="3483" t="s">
        <v>2625</v>
      </c>
      <c r="C41" s="2841" t="s">
        <v>2470</v>
      </c>
      <c r="D41" s="2842"/>
      <c r="E41" s="2843">
        <v>1</v>
      </c>
      <c r="F41" s="2844" t="s">
        <v>2471</v>
      </c>
      <c r="G41" s="2844"/>
    </row>
    <row r="42" spans="1:7" ht="19.5" customHeight="1">
      <c r="A42" s="3489"/>
      <c r="B42" s="3482"/>
      <c r="C42" s="2845" t="s">
        <v>2472</v>
      </c>
      <c r="D42" s="2846"/>
      <c r="E42" s="2847">
        <v>1</v>
      </c>
      <c r="F42" s="2844" t="s">
        <v>2473</v>
      </c>
      <c r="G42" s="2844"/>
    </row>
    <row r="43" spans="1:7" ht="19.5" customHeight="1">
      <c r="A43" s="3489"/>
      <c r="B43" s="3481"/>
      <c r="C43" s="2845" t="s">
        <v>2474</v>
      </c>
      <c r="D43" s="2846"/>
      <c r="E43" s="2847">
        <v>1.5</v>
      </c>
      <c r="F43" s="2844" t="s">
        <v>2475</v>
      </c>
      <c r="G43" s="2844"/>
    </row>
    <row r="44" spans="1:7" ht="19.5" customHeight="1">
      <c r="A44" s="3489"/>
      <c r="B44" s="2856" t="s">
        <v>2626</v>
      </c>
      <c r="C44" s="2845" t="s">
        <v>2627</v>
      </c>
      <c r="D44" s="2846"/>
      <c r="E44" s="2847">
        <v>2</v>
      </c>
      <c r="F44" s="2844" t="s">
        <v>2476</v>
      </c>
      <c r="G44" s="2844"/>
    </row>
    <row r="45" spans="1:7" ht="19.5" customHeight="1">
      <c r="A45" s="3489"/>
      <c r="B45" s="3480" t="s">
        <v>2628</v>
      </c>
      <c r="C45" s="2845" t="s">
        <v>2477</v>
      </c>
      <c r="D45" s="2846"/>
      <c r="E45" s="2847">
        <v>1</v>
      </c>
      <c r="F45" s="2844" t="s">
        <v>2478</v>
      </c>
      <c r="G45" s="2844"/>
    </row>
    <row r="46" spans="1:7" ht="19.5" customHeight="1">
      <c r="A46" s="3489"/>
      <c r="B46" s="3482"/>
      <c r="C46" s="2845" t="s">
        <v>2479</v>
      </c>
      <c r="D46" s="2846"/>
      <c r="E46" s="2847">
        <v>1</v>
      </c>
      <c r="F46" s="2844" t="s">
        <v>2480</v>
      </c>
      <c r="G46" s="2844"/>
    </row>
    <row r="47" spans="1:7" ht="19.5" customHeight="1">
      <c r="A47" s="3489"/>
      <c r="B47" s="3482"/>
      <c r="C47" s="2845" t="s">
        <v>2481</v>
      </c>
      <c r="D47" s="2846"/>
      <c r="E47" s="2847">
        <v>1</v>
      </c>
      <c r="F47" s="2844" t="s">
        <v>2482</v>
      </c>
      <c r="G47" s="2844"/>
    </row>
    <row r="48" spans="1:7" ht="19.5" customHeight="1">
      <c r="A48" s="3489"/>
      <c r="B48" s="3482"/>
      <c r="C48" s="2845" t="s">
        <v>2483</v>
      </c>
      <c r="D48" s="2846"/>
      <c r="E48" s="2847">
        <v>1</v>
      </c>
      <c r="F48" s="2844" t="s">
        <v>2484</v>
      </c>
      <c r="G48" s="2844"/>
    </row>
    <row r="49" spans="1:7" ht="19.5" customHeight="1">
      <c r="A49" s="3489"/>
      <c r="B49" s="3482"/>
      <c r="C49" s="2845" t="s">
        <v>2485</v>
      </c>
      <c r="D49" s="2846"/>
      <c r="E49" s="2847">
        <v>1</v>
      </c>
      <c r="F49" s="2844" t="s">
        <v>2486</v>
      </c>
      <c r="G49" s="2844"/>
    </row>
    <row r="50" spans="1:7" ht="19.5" customHeight="1">
      <c r="A50" s="3489"/>
      <c r="B50" s="3482"/>
      <c r="C50" s="2845" t="s">
        <v>2487</v>
      </c>
      <c r="D50" s="2846"/>
      <c r="E50" s="2847">
        <v>1</v>
      </c>
      <c r="F50" s="2844" t="s">
        <v>2488</v>
      </c>
      <c r="G50" s="2844"/>
    </row>
    <row r="51" spans="1:7" ht="19.5" customHeight="1" thickBot="1">
      <c r="A51" s="3490"/>
      <c r="B51" s="3484"/>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480" t="s">
        <v>2642</v>
      </c>
      <c r="C73" s="2830" t="s">
        <v>2643</v>
      </c>
      <c r="D73" s="2830" t="s">
        <v>2644</v>
      </c>
      <c r="E73" s="2856">
        <v>0.2</v>
      </c>
      <c r="F73" s="2856">
        <v>25</v>
      </c>
    </row>
    <row r="74" spans="1:7" ht="24">
      <c r="A74" s="2856">
        <v>2</v>
      </c>
      <c r="B74" s="3482"/>
      <c r="C74" s="2830" t="s">
        <v>2645</v>
      </c>
      <c r="D74" s="2830" t="s">
        <v>2646</v>
      </c>
      <c r="E74" s="2856">
        <v>0.2</v>
      </c>
      <c r="F74" s="2856">
        <v>25</v>
      </c>
    </row>
    <row r="75" spans="1:7" ht="24">
      <c r="A75" s="2856">
        <v>3</v>
      </c>
      <c r="B75" s="3482"/>
      <c r="C75" s="2830" t="s">
        <v>2647</v>
      </c>
      <c r="D75" s="2830" t="s">
        <v>2648</v>
      </c>
      <c r="E75" s="2856">
        <v>0.2</v>
      </c>
      <c r="F75" s="2856">
        <v>25</v>
      </c>
    </row>
    <row r="76" spans="1:7" ht="13.5">
      <c r="A76" s="2856">
        <v>4</v>
      </c>
      <c r="B76" s="3482"/>
      <c r="C76" s="2830" t="s">
        <v>2649</v>
      </c>
      <c r="D76" s="2830" t="s">
        <v>2650</v>
      </c>
      <c r="E76" s="2856">
        <v>0.15</v>
      </c>
      <c r="F76" s="2856">
        <v>20</v>
      </c>
    </row>
    <row r="77" spans="1:7" ht="24">
      <c r="A77" s="2856">
        <v>5</v>
      </c>
      <c r="B77" s="3482"/>
      <c r="C77" s="2830" t="s">
        <v>2651</v>
      </c>
      <c r="D77" s="2830" t="s">
        <v>2652</v>
      </c>
      <c r="E77" s="2856">
        <v>0.15</v>
      </c>
      <c r="F77" s="2856">
        <v>20</v>
      </c>
    </row>
    <row r="78" spans="1:7" ht="24">
      <c r="A78" s="2856">
        <v>6</v>
      </c>
      <c r="B78" s="3482"/>
      <c r="C78" s="2830" t="s">
        <v>2653</v>
      </c>
      <c r="D78" s="2830" t="s">
        <v>2654</v>
      </c>
      <c r="E78" s="2856">
        <v>0.15</v>
      </c>
      <c r="F78" s="2856">
        <v>20</v>
      </c>
    </row>
    <row r="79" spans="1:7" ht="24">
      <c r="A79" s="2856">
        <v>7</v>
      </c>
      <c r="B79" s="3482"/>
      <c r="C79" s="2830" t="s">
        <v>2655</v>
      </c>
      <c r="D79" s="2830" t="s">
        <v>2656</v>
      </c>
      <c r="E79" s="2856">
        <v>0.15</v>
      </c>
      <c r="F79" s="2856">
        <v>20</v>
      </c>
    </row>
    <row r="80" spans="1:7" ht="24">
      <c r="A80" s="2856">
        <v>8</v>
      </c>
      <c r="B80" s="3482"/>
      <c r="C80" s="2830" t="s">
        <v>2657</v>
      </c>
      <c r="D80" s="2830" t="s">
        <v>2658</v>
      </c>
      <c r="E80" s="2856">
        <v>0.1</v>
      </c>
      <c r="F80" s="2856">
        <v>15</v>
      </c>
    </row>
    <row r="81" spans="1:6" ht="24">
      <c r="A81" s="2856">
        <v>9</v>
      </c>
      <c r="B81" s="3482"/>
      <c r="C81" s="2830" t="s">
        <v>2659</v>
      </c>
      <c r="D81" s="2830" t="s">
        <v>2660</v>
      </c>
      <c r="E81" s="2856">
        <v>0.1</v>
      </c>
      <c r="F81" s="2856">
        <v>15</v>
      </c>
    </row>
    <row r="82" spans="1:6" ht="24">
      <c r="A82" s="2856">
        <v>10</v>
      </c>
      <c r="B82" s="3482"/>
      <c r="C82" s="2830" t="s">
        <v>2661</v>
      </c>
      <c r="D82" s="2830" t="s">
        <v>2662</v>
      </c>
      <c r="E82" s="2856">
        <v>0.1</v>
      </c>
      <c r="F82" s="2856">
        <v>15</v>
      </c>
    </row>
    <row r="83" spans="1:6" ht="24">
      <c r="A83" s="2856">
        <v>11</v>
      </c>
      <c r="B83" s="3482"/>
      <c r="C83" s="2830" t="s">
        <v>2663</v>
      </c>
      <c r="D83" s="2830" t="s">
        <v>2664</v>
      </c>
      <c r="E83" s="2856">
        <v>0.1</v>
      </c>
      <c r="F83" s="2856">
        <v>15</v>
      </c>
    </row>
    <row r="84" spans="1:6" ht="24">
      <c r="A84" s="2856">
        <v>12</v>
      </c>
      <c r="B84" s="3482"/>
      <c r="C84" s="2830" t="s">
        <v>2665</v>
      </c>
      <c r="D84" s="2830" t="s">
        <v>2666</v>
      </c>
      <c r="E84" s="2856">
        <v>0.1</v>
      </c>
      <c r="F84" s="2856">
        <v>15</v>
      </c>
    </row>
    <row r="85" spans="1:6" ht="13.5">
      <c r="A85" s="2856">
        <v>13</v>
      </c>
      <c r="B85" s="3482"/>
      <c r="C85" s="2830" t="s">
        <v>2667</v>
      </c>
      <c r="D85" s="2830" t="s">
        <v>2668</v>
      </c>
      <c r="E85" s="2856">
        <v>0.1</v>
      </c>
      <c r="F85" s="2856">
        <v>15</v>
      </c>
    </row>
    <row r="86" spans="1:6" ht="13.5">
      <c r="A86" s="2856">
        <v>14</v>
      </c>
      <c r="B86" s="3482"/>
      <c r="C86" s="2830" t="s">
        <v>2669</v>
      </c>
      <c r="D86" s="2830" t="s">
        <v>2670</v>
      </c>
      <c r="E86" s="2856">
        <v>0.1</v>
      </c>
      <c r="F86" s="2856">
        <v>15</v>
      </c>
    </row>
    <row r="87" spans="1:6" ht="13.5">
      <c r="A87" s="2856">
        <v>15</v>
      </c>
      <c r="B87" s="3482"/>
      <c r="C87" s="2830" t="s">
        <v>2671</v>
      </c>
      <c r="D87" s="2830" t="s">
        <v>2672</v>
      </c>
      <c r="E87" s="2856">
        <v>0.1</v>
      </c>
      <c r="F87" s="2856">
        <v>15</v>
      </c>
    </row>
    <row r="88" spans="1:6" ht="24">
      <c r="A88" s="2856">
        <v>16</v>
      </c>
      <c r="B88" s="3482"/>
      <c r="C88" s="2830" t="s">
        <v>2673</v>
      </c>
      <c r="D88" s="2830" t="s">
        <v>2674</v>
      </c>
      <c r="E88" s="2856">
        <v>0.1</v>
      </c>
      <c r="F88" s="2856">
        <v>15</v>
      </c>
    </row>
    <row r="89" spans="1:6" ht="24">
      <c r="A89" s="2856">
        <v>17</v>
      </c>
      <c r="B89" s="3481"/>
      <c r="C89" s="2830" t="s">
        <v>2675</v>
      </c>
      <c r="D89" s="2830" t="s">
        <v>2676</v>
      </c>
      <c r="E89" s="2856">
        <v>0.1</v>
      </c>
      <c r="F89" s="2856">
        <v>15</v>
      </c>
    </row>
    <row r="90" spans="1:6" ht="13.5">
      <c r="A90" s="2856">
        <v>18</v>
      </c>
      <c r="B90" s="3480" t="s">
        <v>2677</v>
      </c>
      <c r="C90" s="2830" t="s">
        <v>2678</v>
      </c>
      <c r="D90" s="2830" t="s">
        <v>2679</v>
      </c>
      <c r="E90" s="2856">
        <v>0.2</v>
      </c>
      <c r="F90" s="2856">
        <v>25</v>
      </c>
    </row>
    <row r="91" spans="1:6" ht="24">
      <c r="A91" s="2856">
        <v>19</v>
      </c>
      <c r="B91" s="3482"/>
      <c r="C91" s="2830" t="s">
        <v>2680</v>
      </c>
      <c r="D91" s="2830" t="s">
        <v>2681</v>
      </c>
      <c r="E91" s="2856">
        <v>0.2</v>
      </c>
      <c r="F91" s="2856">
        <v>25</v>
      </c>
    </row>
    <row r="92" spans="1:6" ht="13.5">
      <c r="A92" s="2856">
        <v>20</v>
      </c>
      <c r="B92" s="3482"/>
      <c r="C92" s="2830" t="s">
        <v>2682</v>
      </c>
      <c r="D92" s="2830" t="s">
        <v>2683</v>
      </c>
      <c r="E92" s="2856">
        <v>0.15</v>
      </c>
      <c r="F92" s="2856">
        <v>20</v>
      </c>
    </row>
    <row r="93" spans="1:6" ht="13.5">
      <c r="A93" s="2856">
        <v>21</v>
      </c>
      <c r="B93" s="3482"/>
      <c r="C93" s="2830" t="s">
        <v>2684</v>
      </c>
      <c r="D93" s="2830" t="s">
        <v>2685</v>
      </c>
      <c r="E93" s="2856">
        <v>0.15</v>
      </c>
      <c r="F93" s="2856">
        <v>20</v>
      </c>
    </row>
    <row r="94" spans="1:6" ht="13.5">
      <c r="A94" s="2856">
        <v>22</v>
      </c>
      <c r="B94" s="3482"/>
      <c r="C94" s="2830" t="s">
        <v>2686</v>
      </c>
      <c r="D94" s="2830" t="s">
        <v>2687</v>
      </c>
      <c r="E94" s="2856">
        <v>0.15</v>
      </c>
      <c r="F94" s="2856">
        <v>20</v>
      </c>
    </row>
    <row r="95" spans="1:6" ht="36">
      <c r="A95" s="2856">
        <v>23</v>
      </c>
      <c r="B95" s="3482"/>
      <c r="C95" s="2830" t="s">
        <v>2688</v>
      </c>
      <c r="D95" s="2830" t="s">
        <v>2689</v>
      </c>
      <c r="E95" s="2856">
        <v>0.15</v>
      </c>
      <c r="F95" s="2856">
        <v>20</v>
      </c>
    </row>
    <row r="96" spans="1:6" ht="13.5">
      <c r="A96" s="2856">
        <v>24</v>
      </c>
      <c r="B96" s="3482"/>
      <c r="C96" s="2830" t="s">
        <v>2690</v>
      </c>
      <c r="D96" s="2830" t="s">
        <v>2691</v>
      </c>
      <c r="E96" s="2856">
        <v>0.1</v>
      </c>
      <c r="F96" s="2856">
        <v>15</v>
      </c>
    </row>
    <row r="97" spans="1:6" ht="13.5">
      <c r="A97" s="2856">
        <v>25</v>
      </c>
      <c r="B97" s="3482"/>
      <c r="C97" s="2830" t="s">
        <v>2692</v>
      </c>
      <c r="D97" s="2830" t="s">
        <v>2693</v>
      </c>
      <c r="E97" s="2856">
        <v>0.1</v>
      </c>
      <c r="F97" s="2856">
        <v>15</v>
      </c>
    </row>
    <row r="98" spans="1:6" ht="24">
      <c r="A98" s="2856">
        <v>26</v>
      </c>
      <c r="B98" s="3482"/>
      <c r="C98" s="2830" t="s">
        <v>2694</v>
      </c>
      <c r="D98" s="2830" t="s">
        <v>2695</v>
      </c>
      <c r="E98" s="2856">
        <v>0.1</v>
      </c>
      <c r="F98" s="2856">
        <v>15</v>
      </c>
    </row>
    <row r="99" spans="1:6" ht="24">
      <c r="A99" s="2856">
        <v>27</v>
      </c>
      <c r="B99" s="3482"/>
      <c r="C99" s="2830" t="s">
        <v>2696</v>
      </c>
      <c r="D99" s="2830" t="s">
        <v>2697</v>
      </c>
      <c r="E99" s="2856">
        <v>0.1</v>
      </c>
      <c r="F99" s="2856">
        <v>15</v>
      </c>
    </row>
    <row r="100" spans="1:6" ht="13.5">
      <c r="A100" s="2856">
        <v>28</v>
      </c>
      <c r="B100" s="3482"/>
      <c r="C100" s="2830" t="s">
        <v>2698</v>
      </c>
      <c r="D100" s="2830" t="s">
        <v>2699</v>
      </c>
      <c r="E100" s="2856">
        <v>0.1</v>
      </c>
      <c r="F100" s="2856">
        <v>15</v>
      </c>
    </row>
    <row r="101" spans="1:6" ht="13.5">
      <c r="A101" s="2856">
        <v>29</v>
      </c>
      <c r="B101" s="3482"/>
      <c r="C101" s="2830" t="s">
        <v>2700</v>
      </c>
      <c r="D101" s="2830" t="s">
        <v>2701</v>
      </c>
      <c r="E101" s="2856">
        <v>0.1</v>
      </c>
      <c r="F101" s="2856">
        <v>15</v>
      </c>
    </row>
    <row r="102" spans="1:6" ht="13.5">
      <c r="A102" s="2856">
        <v>30</v>
      </c>
      <c r="B102" s="3482"/>
      <c r="C102" s="2830" t="s">
        <v>2702</v>
      </c>
      <c r="D102" s="2830" t="s">
        <v>2703</v>
      </c>
      <c r="E102" s="2856">
        <v>0.1</v>
      </c>
      <c r="F102" s="2856">
        <v>15</v>
      </c>
    </row>
    <row r="103" spans="1:6" ht="24">
      <c r="A103" s="2856">
        <v>31</v>
      </c>
      <c r="B103" s="3482"/>
      <c r="C103" s="2830" t="s">
        <v>2704</v>
      </c>
      <c r="D103" s="2830" t="s">
        <v>2705</v>
      </c>
      <c r="E103" s="2856">
        <v>0.1</v>
      </c>
      <c r="F103" s="2856">
        <v>15</v>
      </c>
    </row>
    <row r="104" spans="1:6" ht="24">
      <c r="A104" s="2856">
        <v>32</v>
      </c>
      <c r="B104" s="3482"/>
      <c r="C104" s="2830" t="s">
        <v>2706</v>
      </c>
      <c r="D104" s="2830" t="s">
        <v>2707</v>
      </c>
      <c r="E104" s="2856">
        <v>0.1</v>
      </c>
      <c r="F104" s="2856">
        <v>15</v>
      </c>
    </row>
    <row r="105" spans="1:6" ht="24">
      <c r="A105" s="2856">
        <v>33</v>
      </c>
      <c r="B105" s="3482"/>
      <c r="C105" s="2830" t="s">
        <v>2708</v>
      </c>
      <c r="D105" s="2830" t="s">
        <v>2709</v>
      </c>
      <c r="E105" s="2856">
        <v>0.1</v>
      </c>
      <c r="F105" s="2856">
        <v>15</v>
      </c>
    </row>
    <row r="106" spans="1:6" ht="24">
      <c r="A106" s="2856">
        <v>34</v>
      </c>
      <c r="B106" s="3481"/>
      <c r="C106" s="2830" t="s">
        <v>2710</v>
      </c>
      <c r="D106" s="2830" t="s">
        <v>2711</v>
      </c>
      <c r="E106" s="2856">
        <v>0.1</v>
      </c>
      <c r="F106" s="2856">
        <v>15</v>
      </c>
    </row>
    <row r="107" spans="1:6" ht="24">
      <c r="A107" s="2856">
        <v>35</v>
      </c>
      <c r="B107" s="3480" t="s">
        <v>2712</v>
      </c>
      <c r="C107" s="2856" t="s">
        <v>2713</v>
      </c>
      <c r="D107" s="2830" t="s">
        <v>2714</v>
      </c>
      <c r="E107" s="2856">
        <v>0.15</v>
      </c>
      <c r="F107" s="2856">
        <v>20</v>
      </c>
    </row>
    <row r="108" spans="1:6" ht="13.5">
      <c r="A108" s="2856">
        <v>36</v>
      </c>
      <c r="B108" s="3482"/>
      <c r="C108" s="2856" t="s">
        <v>2715</v>
      </c>
      <c r="D108" s="2830" t="s">
        <v>2716</v>
      </c>
      <c r="E108" s="2856">
        <v>0.15</v>
      </c>
      <c r="F108" s="2856">
        <v>20</v>
      </c>
    </row>
    <row r="109" spans="1:6" ht="13.5">
      <c r="A109" s="2856">
        <v>37</v>
      </c>
      <c r="B109" s="3482"/>
      <c r="C109" s="2856" t="s">
        <v>2717</v>
      </c>
      <c r="D109" s="2830" t="s">
        <v>2718</v>
      </c>
      <c r="E109" s="2856">
        <v>0.15</v>
      </c>
      <c r="F109" s="2856">
        <v>20</v>
      </c>
    </row>
    <row r="110" spans="1:6" ht="13.5">
      <c r="A110" s="2856">
        <v>38</v>
      </c>
      <c r="B110" s="3482"/>
      <c r="C110" s="2856" t="s">
        <v>2719</v>
      </c>
      <c r="D110" s="2830" t="s">
        <v>2720</v>
      </c>
      <c r="E110" s="2856">
        <v>0.1</v>
      </c>
      <c r="F110" s="2856">
        <v>15</v>
      </c>
    </row>
    <row r="111" spans="1:6" ht="24">
      <c r="A111" s="2856">
        <v>39</v>
      </c>
      <c r="B111" s="3482"/>
      <c r="C111" s="2856" t="s">
        <v>2721</v>
      </c>
      <c r="D111" s="2830" t="s">
        <v>2722</v>
      </c>
      <c r="E111" s="2856">
        <v>0.1</v>
      </c>
      <c r="F111" s="2856">
        <v>15</v>
      </c>
    </row>
    <row r="112" spans="1:6" ht="24">
      <c r="A112" s="2856">
        <v>40</v>
      </c>
      <c r="B112" s="3481"/>
      <c r="C112" s="2856" t="s">
        <v>2723</v>
      </c>
      <c r="D112" s="2830" t="s">
        <v>2724</v>
      </c>
      <c r="E112" s="2856">
        <v>0.1</v>
      </c>
      <c r="F112" s="2856">
        <v>15</v>
      </c>
    </row>
    <row r="113" spans="1:6" ht="13.5">
      <c r="A113" s="2856">
        <v>41</v>
      </c>
      <c r="B113" s="3479" t="s">
        <v>2725</v>
      </c>
      <c r="C113" s="2856" t="s">
        <v>2726</v>
      </c>
      <c r="D113" s="2830" t="s">
        <v>2727</v>
      </c>
      <c r="E113" s="2856">
        <v>0.1</v>
      </c>
      <c r="F113" s="2856">
        <v>15</v>
      </c>
    </row>
    <row r="114" spans="1:6" ht="13.5">
      <c r="A114" s="2856">
        <v>42</v>
      </c>
      <c r="B114" s="3479"/>
      <c r="C114" s="2856" t="s">
        <v>2728</v>
      </c>
      <c r="D114" s="2830" t="s">
        <v>2729</v>
      </c>
      <c r="E114" s="2856">
        <v>0.1</v>
      </c>
      <c r="F114" s="2856">
        <v>15</v>
      </c>
    </row>
    <row r="115" spans="1:6" ht="24">
      <c r="A115" s="2856">
        <v>43</v>
      </c>
      <c r="B115" s="3479"/>
      <c r="C115" s="2856" t="s">
        <v>2730</v>
      </c>
      <c r="D115" s="2830" t="s">
        <v>2731</v>
      </c>
      <c r="E115" s="2856">
        <v>0.1</v>
      </c>
      <c r="F115" s="2856">
        <v>15</v>
      </c>
    </row>
    <row r="116" spans="1:6" ht="13.5">
      <c r="A116" s="2856">
        <v>44</v>
      </c>
      <c r="B116" s="3480" t="s">
        <v>2732</v>
      </c>
      <c r="C116" s="2856" t="s">
        <v>2733</v>
      </c>
      <c r="D116" s="2830" t="s">
        <v>2734</v>
      </c>
      <c r="E116" s="2856">
        <v>0.1</v>
      </c>
      <c r="F116" s="2856">
        <v>15</v>
      </c>
    </row>
    <row r="117" spans="1:6" ht="24">
      <c r="A117" s="2856">
        <v>45</v>
      </c>
      <c r="B117" s="3481"/>
      <c r="C117" s="2830" t="s">
        <v>2735</v>
      </c>
      <c r="D117" s="2830" t="s">
        <v>2736</v>
      </c>
      <c r="E117" s="2856">
        <v>0.1</v>
      </c>
      <c r="F117" s="2856">
        <v>15</v>
      </c>
    </row>
    <row r="118" spans="1:6" ht="24">
      <c r="A118" s="2856">
        <v>46</v>
      </c>
      <c r="B118" s="3480" t="s">
        <v>2737</v>
      </c>
      <c r="C118" s="2856" t="s">
        <v>2738</v>
      </c>
      <c r="D118" s="2830" t="s">
        <v>2739</v>
      </c>
      <c r="E118" s="2856">
        <v>0.1</v>
      </c>
      <c r="F118" s="2856">
        <v>15</v>
      </c>
    </row>
    <row r="119" spans="1:6" ht="24">
      <c r="A119" s="2856">
        <v>47</v>
      </c>
      <c r="B119" s="3481"/>
      <c r="C119" s="2856" t="s">
        <v>2740</v>
      </c>
      <c r="D119" s="2830" t="s">
        <v>2741</v>
      </c>
      <c r="E119" s="2856">
        <v>0.1</v>
      </c>
      <c r="F119" s="2856">
        <v>15</v>
      </c>
    </row>
    <row r="120" spans="1:6" ht="13.5">
      <c r="A120" s="2856">
        <v>48</v>
      </c>
      <c r="B120" s="3480" t="s">
        <v>2742</v>
      </c>
      <c r="C120" s="2856" t="s">
        <v>2743</v>
      </c>
      <c r="D120" s="2830" t="s">
        <v>2744</v>
      </c>
      <c r="E120" s="2856">
        <v>0.1</v>
      </c>
      <c r="F120" s="2856">
        <v>15</v>
      </c>
    </row>
    <row r="121" spans="1:6" ht="13.5">
      <c r="A121" s="2856">
        <v>49</v>
      </c>
      <c r="B121" s="3481"/>
      <c r="C121" s="2856" t="s">
        <v>2745</v>
      </c>
      <c r="D121" s="2830" t="s">
        <v>2746</v>
      </c>
      <c r="E121" s="2856">
        <v>0.1</v>
      </c>
      <c r="F121" s="2856">
        <v>15</v>
      </c>
    </row>
    <row r="122" spans="1:6" ht="24">
      <c r="A122" s="2856">
        <v>50</v>
      </c>
      <c r="B122" s="3479" t="s">
        <v>2747</v>
      </c>
      <c r="C122" s="2856" t="s">
        <v>2748</v>
      </c>
      <c r="D122" s="2830" t="s">
        <v>2749</v>
      </c>
      <c r="E122" s="2856">
        <v>0.1</v>
      </c>
      <c r="F122" s="2856">
        <v>15</v>
      </c>
    </row>
    <row r="123" spans="1:6" ht="24">
      <c r="A123" s="2856">
        <v>51</v>
      </c>
      <c r="B123" s="3479"/>
      <c r="C123" s="2856" t="s">
        <v>2750</v>
      </c>
      <c r="D123" s="2830" t="s">
        <v>2751</v>
      </c>
      <c r="E123" s="2856">
        <v>0.1</v>
      </c>
      <c r="F123" s="2856">
        <v>15</v>
      </c>
    </row>
    <row r="124" spans="1:6" ht="24">
      <c r="A124" s="2856">
        <v>52</v>
      </c>
      <c r="B124" s="3479" t="s">
        <v>2752</v>
      </c>
      <c r="C124" s="2856" t="s">
        <v>2753</v>
      </c>
      <c r="D124" s="2830" t="s">
        <v>2754</v>
      </c>
      <c r="E124" s="2856">
        <v>0.1</v>
      </c>
      <c r="F124" s="2856">
        <v>15</v>
      </c>
    </row>
    <row r="125" spans="1:6" ht="24">
      <c r="A125" s="2856">
        <v>53</v>
      </c>
      <c r="B125" s="3479"/>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479" t="s">
        <v>2760</v>
      </c>
      <c r="C127" s="2856" t="s">
        <v>2761</v>
      </c>
      <c r="D127" s="2830" t="s">
        <v>2762</v>
      </c>
      <c r="E127" s="2856">
        <v>0.1</v>
      </c>
      <c r="F127" s="2856">
        <v>15</v>
      </c>
    </row>
    <row r="128" spans="1:6" ht="13.5">
      <c r="A128" s="2856">
        <v>56</v>
      </c>
      <c r="B128" s="3479"/>
      <c r="C128" s="2856" t="s">
        <v>2763</v>
      </c>
      <c r="D128" s="2830" t="s">
        <v>2764</v>
      </c>
      <c r="E128" s="2856">
        <v>0.1</v>
      </c>
      <c r="F128" s="2856">
        <v>15</v>
      </c>
    </row>
    <row r="129" spans="1:6" ht="24">
      <c r="A129" s="2856">
        <v>57</v>
      </c>
      <c r="B129" s="3479"/>
      <c r="C129" s="2856" t="s">
        <v>2765</v>
      </c>
      <c r="D129" s="2830" t="s">
        <v>2766</v>
      </c>
      <c r="E129" s="2856">
        <v>0.1</v>
      </c>
      <c r="F129" s="2856">
        <v>15</v>
      </c>
    </row>
    <row r="130" spans="1:6" ht="24">
      <c r="A130" s="2856">
        <v>58</v>
      </c>
      <c r="B130" s="3479" t="s">
        <v>2767</v>
      </c>
      <c r="C130" s="2856" t="s">
        <v>2768</v>
      </c>
      <c r="D130" s="2830" t="s">
        <v>2769</v>
      </c>
      <c r="E130" s="2856">
        <v>0.1</v>
      </c>
      <c r="F130" s="2856">
        <v>15</v>
      </c>
    </row>
    <row r="131" spans="1:6" ht="13.5">
      <c r="A131" s="2856">
        <v>59</v>
      </c>
      <c r="B131" s="3479"/>
      <c r="C131" s="2856" t="s">
        <v>2770</v>
      </c>
      <c r="D131" s="2830" t="s">
        <v>2771</v>
      </c>
      <c r="E131" s="2856">
        <v>0.1</v>
      </c>
      <c r="F131" s="2856">
        <v>15</v>
      </c>
    </row>
    <row r="132" spans="1:6" ht="13.5">
      <c r="A132" s="2856">
        <v>60</v>
      </c>
      <c r="B132" s="3480" t="s">
        <v>2772</v>
      </c>
      <c r="C132" s="2856" t="s">
        <v>2773</v>
      </c>
      <c r="D132" s="2830" t="s">
        <v>2774</v>
      </c>
      <c r="E132" s="2856">
        <v>0.1</v>
      </c>
      <c r="F132" s="2856">
        <v>15</v>
      </c>
    </row>
    <row r="133" spans="1:6" ht="13.5">
      <c r="A133" s="2856">
        <v>61</v>
      </c>
      <c r="B133" s="3481"/>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479" t="s">
        <v>2780</v>
      </c>
      <c r="C135" s="2856" t="s">
        <v>2781</v>
      </c>
      <c r="D135" s="2830" t="s">
        <v>2782</v>
      </c>
      <c r="E135" s="2856">
        <v>0.1</v>
      </c>
      <c r="F135" s="2856">
        <v>15</v>
      </c>
    </row>
    <row r="136" spans="1:6" ht="13.5">
      <c r="A136" s="2856">
        <v>64</v>
      </c>
      <c r="B136" s="3479"/>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9.5" thickBot="1">
      <c r="A4" s="1391"/>
      <c r="B4" s="3177" t="s">
        <v>917</v>
      </c>
      <c r="C4" s="3177"/>
      <c r="D4" s="3177"/>
      <c r="E4" s="1391"/>
    </row>
    <row r="5" spans="1:5" ht="16.5" thickTop="1">
      <c r="B5" s="3175" t="s">
        <v>909</v>
      </c>
      <c r="C5" s="1392" t="s">
        <v>910</v>
      </c>
      <c r="D5" s="797" t="e">
        <f ca="1">结果表!H101</f>
        <v>#REF!</v>
      </c>
    </row>
    <row r="6" spans="1:5" ht="15.75">
      <c r="B6" s="3175"/>
      <c r="C6" s="1392" t="s">
        <v>911</v>
      </c>
      <c r="D6" s="797" t="e">
        <f ca="1">NUMBERSTRING(INT(D5*10000),2)&amp;"元整"</f>
        <v>#REF!</v>
      </c>
    </row>
    <row r="7" spans="1:5" ht="15.75">
      <c r="B7" s="3180"/>
      <c r="C7" s="1393" t="s">
        <v>912</v>
      </c>
      <c r="D7" s="798" t="e">
        <f ca="1">结果表!H102</f>
        <v>#REF!</v>
      </c>
    </row>
    <row r="8" spans="1:5" ht="15.75">
      <c r="B8" s="3181" t="str">
        <f>结果表!E103</f>
        <v>2.估价师知悉的法定优先受偿款</v>
      </c>
      <c r="C8" s="1394" t="s">
        <v>913</v>
      </c>
      <c r="D8" s="798">
        <f>结果表!H103</f>
        <v>0</v>
      </c>
    </row>
    <row r="9" spans="1:5" ht="15.75">
      <c r="B9" s="318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4" t="str">
        <f>结果表!E107</f>
        <v>3.房地产抵押价值</v>
      </c>
      <c r="C13" s="1397" t="s">
        <v>910</v>
      </c>
      <c r="D13" s="800" t="e">
        <f ca="1">结果表!H107</f>
        <v>#REF!</v>
      </c>
    </row>
    <row r="14" spans="1:5" ht="15.75">
      <c r="B14" s="3175"/>
      <c r="C14" s="1392" t="s">
        <v>911</v>
      </c>
      <c r="D14" s="797" t="e">
        <f ca="1">NUMBERSTRING(INT(D13*10000),2)&amp;"元整"</f>
        <v>#REF!</v>
      </c>
    </row>
    <row r="15" spans="1:5" ht="15">
      <c r="B15" s="3180"/>
      <c r="C15" s="1393" t="s">
        <v>921</v>
      </c>
      <c r="D15" s="806" t="e">
        <f ca="1">结果表!H108</f>
        <v>#REF!</v>
      </c>
    </row>
    <row r="16" spans="1:5" ht="15">
      <c r="B16" s="3181" t="str">
        <f>结果表!E109</f>
        <v>——</v>
      </c>
      <c r="C16" s="1397" t="s">
        <v>922</v>
      </c>
      <c r="D16" s="1398" t="str">
        <f>结果表!H109</f>
        <v>——</v>
      </c>
    </row>
    <row r="17" spans="1:5" ht="15.75">
      <c r="B17" s="3182"/>
      <c r="C17" s="1392" t="s">
        <v>923</v>
      </c>
      <c r="D17" s="797" t="e">
        <f>NUMBERSTRING(INT(D16*10000),2)&amp;"元整"</f>
        <v>#VALUE!</v>
      </c>
    </row>
    <row r="18" spans="1:5" ht="15">
      <c r="B18" s="3183"/>
      <c r="C18" s="1393" t="s">
        <v>912</v>
      </c>
      <c r="D18" s="806" t="str">
        <f>结果表!H110</f>
        <v>——</v>
      </c>
    </row>
    <row r="19" spans="1:5" ht="15.75">
      <c r="B19" s="3174" t="str">
        <f>结果表!E111</f>
        <v>——</v>
      </c>
      <c r="C19" s="1397" t="s">
        <v>910</v>
      </c>
      <c r="D19" s="798" t="str">
        <f>结果表!H111</f>
        <v>——</v>
      </c>
    </row>
    <row r="20" spans="1:5" ht="15.75">
      <c r="B20" s="3175"/>
      <c r="C20" s="1392" t="s">
        <v>923</v>
      </c>
      <c r="D20" s="797" t="e">
        <f>NUMBERSTRING(INT(D19*10000),2)&amp;"元整"</f>
        <v>#VALUE!</v>
      </c>
    </row>
    <row r="21" spans="1:5" ht="15.75" thickBot="1">
      <c r="B21" s="317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299.39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299.39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299.39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55" t="s">
        <v>94</v>
      </c>
    </row>
    <row r="43" spans="1:7" ht="13.5" customHeight="1">
      <c r="A43" s="734" t="s">
        <v>347</v>
      </c>
      <c r="B43" s="207" t="s">
        <v>426</v>
      </c>
      <c r="C43" s="230" t="e">
        <f ca="1">ROUND(IF('数据-取费表'!B22&lt;=1,C39*F22*'数据-取费表'!B21/2,C39*(POWER((1+F22),'数据-取费表'!B21/2)-1)),0)</f>
        <v>#VALUE!</v>
      </c>
      <c r="D43" s="230"/>
      <c r="E43" s="230"/>
      <c r="F43" s="231"/>
      <c r="G43" s="3356"/>
    </row>
    <row r="44" spans="1:7" ht="13.5" customHeight="1">
      <c r="A44" s="734" t="s">
        <v>348</v>
      </c>
      <c r="B44" s="207" t="s">
        <v>428</v>
      </c>
      <c r="C44" s="230" t="e">
        <f ca="1">ROUND(IF('数据-取费表'!B22&lt;=1,C40*F22*'数据-取费表'!B21/2,C40*(POWER((1+F22),'数据-取费表'!B21/2)-1)),4)</f>
        <v>#VALUE!</v>
      </c>
      <c r="D44" s="230"/>
      <c r="E44" s="230"/>
      <c r="F44" s="231"/>
      <c r="G44" s="335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3" sqref="E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3" t="s">
        <v>2830</v>
      </c>
      <c r="B1" s="3493"/>
      <c r="C1" s="3493"/>
      <c r="D1" s="3493"/>
      <c r="E1" s="3493"/>
      <c r="F1" s="3493"/>
      <c r="G1" s="3494"/>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491"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492"/>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5" t="s">
        <v>3172</v>
      </c>
      <c r="B1" s="3495"/>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6" t="s">
        <v>3223</v>
      </c>
      <c r="B1" s="3496"/>
      <c r="C1" s="3496"/>
      <c r="D1" s="3496"/>
      <c r="E1" s="3496"/>
      <c r="F1" s="3497"/>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3" sqref="E3"/>
    </sheetView>
  </sheetViews>
  <sheetFormatPr defaultRowHeight="13.5"/>
  <cols>
    <col min="1" max="1" width="13.875" customWidth="1"/>
    <col min="11" max="17" width="0" hidden="1" customWidth="1"/>
    <col min="25" max="30" width="0" hidden="1" customWidth="1"/>
  </cols>
  <sheetData>
    <row r="1" spans="1:30">
      <c r="A1" s="2936">
        <f>基准地价修正!G23</f>
        <v>45707</v>
      </c>
      <c r="B1" s="2928" t="s">
        <v>3371</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30"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row>
    <row r="3" spans="1:30" s="2885" customFormat="1" ht="12.75">
      <c r="A3" s="2883" t="s">
        <v>2810</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3367</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3376</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3375</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3368</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3366</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3362</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3361</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3359</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3358</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3357</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3355</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3346</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2811</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2812</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2813</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2814</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3374</v>
      </c>
    </row>
    <row r="24" spans="1:30">
      <c r="I24" s="1405" t="s">
        <v>2816</v>
      </c>
    </row>
    <row r="26" spans="1:30" s="2007" customFormat="1" ht="12.75">
      <c r="B26" s="2928" t="s">
        <v>3372</v>
      </c>
      <c r="C26" s="2929"/>
      <c r="D26" s="2929"/>
      <c r="E26" s="2929"/>
      <c r="F26" s="2929"/>
      <c r="G26" s="2929"/>
      <c r="H26" s="2929"/>
      <c r="I26" s="2929"/>
      <c r="J26" s="2895"/>
      <c r="K26" s="2929" t="s">
        <v>2817</v>
      </c>
      <c r="L26" s="2929"/>
      <c r="M26" s="2929"/>
      <c r="N26" s="2929"/>
      <c r="O26" s="2929"/>
      <c r="P26" s="2929"/>
      <c r="Q26" s="2895"/>
      <c r="R26" s="3498" t="s">
        <v>2818</v>
      </c>
      <c r="S26" s="3499"/>
      <c r="T26" s="3499"/>
      <c r="U26" s="3499"/>
      <c r="V26" s="3499"/>
      <c r="W26" s="3499"/>
      <c r="X26" s="2895"/>
      <c r="Y26" s="3498" t="s">
        <v>2819</v>
      </c>
      <c r="Z26" s="3499"/>
      <c r="AA26" s="3499"/>
      <c r="AB26" s="3499"/>
      <c r="AC26" s="3499"/>
      <c r="AD26" s="3499"/>
    </row>
    <row r="27" spans="1:30" s="2008" customFormat="1" ht="14.25" thickBot="1">
      <c r="B27" s="2880"/>
      <c r="C27" s="2881"/>
      <c r="D27" s="2009" t="s">
        <v>2820</v>
      </c>
      <c r="E27" s="2010" t="s">
        <v>2821</v>
      </c>
      <c r="F27" s="2010" t="s">
        <v>2822</v>
      </c>
      <c r="G27" s="2010" t="s">
        <v>2823</v>
      </c>
      <c r="H27" s="2010"/>
      <c r="I27" s="2010" t="s">
        <v>2824</v>
      </c>
      <c r="J27" s="2882"/>
      <c r="K27" s="2009" t="s">
        <v>2820</v>
      </c>
      <c r="L27" s="2010" t="s">
        <v>2821</v>
      </c>
      <c r="M27" s="2010" t="s">
        <v>2822</v>
      </c>
      <c r="N27" s="2010" t="s">
        <v>2823</v>
      </c>
      <c r="O27" s="2010"/>
      <c r="P27" s="2010" t="s">
        <v>2824</v>
      </c>
      <c r="Q27" s="2882"/>
      <c r="R27" s="2009" t="s">
        <v>2820</v>
      </c>
      <c r="S27" s="2010" t="s">
        <v>2821</v>
      </c>
      <c r="T27" s="2010" t="s">
        <v>2822</v>
      </c>
      <c r="U27" s="2010" t="s">
        <v>2823</v>
      </c>
      <c r="V27" s="2010"/>
      <c r="W27" s="2010" t="s">
        <v>2824</v>
      </c>
      <c r="X27" s="2882"/>
      <c r="Y27" s="2009" t="s">
        <v>2820</v>
      </c>
      <c r="Z27" s="2010" t="s">
        <v>2821</v>
      </c>
      <c r="AA27" s="2010" t="s">
        <v>2822</v>
      </c>
      <c r="AB27" s="2010" t="s">
        <v>2823</v>
      </c>
      <c r="AC27" s="2010"/>
      <c r="AD27" s="2010" t="s">
        <v>2824</v>
      </c>
    </row>
    <row r="28" spans="1:30" s="2885" customFormat="1" ht="12.75">
      <c r="A28" s="2883" t="s">
        <v>2825</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3367</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3369</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3364</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3370</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3365</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3363</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3361</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3360</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3358</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3357</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3356</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3346</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2826</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2827</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2828</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2829</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3" sqref="E3"/>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1">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1"/>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1"/>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8"/>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4">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1"/>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1"/>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8"/>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4">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1"/>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1"/>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2"/>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0">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1"/>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1"/>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2"/>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0">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1"/>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1"/>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2"/>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5">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6"/>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6"/>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7"/>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0">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1"/>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1"/>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2"/>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0">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1">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1">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2">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0">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1">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1">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2">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0">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1">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1">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2">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0">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1">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1">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2">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0">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1">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1">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2">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0">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1">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1">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2">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0">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1">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1">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2">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0">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1">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1">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2">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0">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1">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1">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2">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0">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1">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1">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2">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3" sqref="E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45707</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5">
      <c r="A3" s="3187"/>
      <c r="B3" s="3187"/>
      <c r="C3" s="3187"/>
      <c r="D3" s="801" t="s">
        <v>925</v>
      </c>
      <c r="E3" s="801" t="s">
        <v>931</v>
      </c>
      <c r="F3" s="801" t="s">
        <v>925</v>
      </c>
      <c r="G3" s="801" t="s">
        <v>926</v>
      </c>
      <c r="H3" s="801" t="s">
        <v>925</v>
      </c>
      <c r="I3" s="801" t="s">
        <v>926</v>
      </c>
    </row>
    <row r="4" spans="1:9" ht="15">
      <c r="A4" s="1403" t="str">
        <f>项目基本情况!S2</f>
        <v>房地产</v>
      </c>
      <c r="B4" s="801">
        <f>项目基本情况!C17</f>
        <v>299.39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7" t="s">
        <v>927</v>
      </c>
      <c r="B5" s="3187"/>
      <c r="C5" s="3187"/>
      <c r="D5" s="3187" t="e">
        <f ca="1">结果表!D119</f>
        <v>#REF!</v>
      </c>
      <c r="E5" s="3187"/>
      <c r="F5" s="3187" t="e">
        <f ca="1">结果表!F119</f>
        <v>#REF!</v>
      </c>
      <c r="G5" s="3187"/>
      <c r="H5" s="3187" t="e">
        <f ca="1">结果表!H119</f>
        <v>#REF!</v>
      </c>
      <c r="I5" s="3187"/>
    </row>
    <row r="6" spans="1:9" ht="15.75">
      <c r="A6" s="3186" t="str">
        <f>结果表!A120</f>
        <v>估价师知悉的法定优先受偿款</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房地产抵押价值</v>
      </c>
      <c r="B8" s="3186"/>
      <c r="C8" s="3186"/>
      <c r="D8" s="3186" t="e">
        <f ca="1">结果表!D122</f>
        <v>#REF!</v>
      </c>
      <c r="E8" s="3186"/>
      <c r="F8" s="3186"/>
      <c r="G8" s="3186"/>
      <c r="H8" s="3186"/>
      <c r="I8" s="3186"/>
    </row>
    <row r="9" spans="1:9" ht="15">
      <c r="A9" s="3187" t="s">
        <v>927</v>
      </c>
      <c r="B9" s="3187"/>
      <c r="C9" s="3187"/>
      <c r="D9" s="3187" t="e">
        <f ca="1">结果表!D123</f>
        <v>#REF!</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3" t="str">
        <f>IF(项目基本情况!B8="抵押","3.抵押双方在办理抵押登记手续时，应使用本公司出具的正式《房地产评估报告》，特提醒报告使用者注意。","——")</f>
        <v>——</v>
      </c>
      <c r="B13" s="3198"/>
      <c r="C13" s="3198"/>
      <c r="D13" s="3198"/>
    </row>
    <row r="14" spans="1:4" ht="15.75" customHeight="1">
      <c r="A14" s="3193" t="str">
        <f>IF(项目基本情况!B8="抵押","4.本次评估估价师所知悉的法定优先受偿款情况说明如下：","——")</f>
        <v>——</v>
      </c>
      <c r="B14" s="3198"/>
      <c r="C14" s="3198"/>
      <c r="D14" s="3198"/>
    </row>
    <row r="15" spans="1:4" ht="42" customHeight="1">
      <c r="A15" s="3193" t="str">
        <f>IF(项目基本情况!B8="抵押","（1）"&amp;CONCATENATE(项目基本情况!L20,项目基本情况!L21,项目基本情况!L22),"——")</f>
        <v>——</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54" sqref="F54"/>
      <selection pane="bottomLeft" activeCell="F54" sqref="F5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7" t="s">
        <v>956</v>
      </c>
      <c r="B15" s="3202" t="s">
        <v>109</v>
      </c>
      <c r="C15" s="3203"/>
    </row>
    <row r="16" spans="1:7" ht="13.5">
      <c r="A16" s="3208"/>
      <c r="B16" s="3202" t="s">
        <v>42</v>
      </c>
      <c r="C16" s="3203"/>
    </row>
    <row r="17" spans="1:3" ht="13.5">
      <c r="A17" s="3208"/>
      <c r="B17" s="3205" t="s">
        <v>957</v>
      </c>
      <c r="C17" s="1429" t="s">
        <v>956</v>
      </c>
    </row>
    <row r="18" spans="1:3" ht="13.5">
      <c r="A18" s="3208"/>
      <c r="B18" s="3205"/>
      <c r="C18" s="1429" t="s">
        <v>958</v>
      </c>
    </row>
    <row r="19" spans="1:3" ht="13.5">
      <c r="A19" s="3208"/>
      <c r="B19" s="3205"/>
      <c r="C19" s="1429" t="s">
        <v>959</v>
      </c>
    </row>
    <row r="20" spans="1:3" ht="13.5">
      <c r="A20" s="3209"/>
      <c r="B20" s="3204" t="s">
        <v>960</v>
      </c>
      <c r="C20" s="3203"/>
    </row>
    <row r="21" spans="1:3" ht="13.5">
      <c r="A21" s="1430" t="s">
        <v>961</v>
      </c>
      <c r="B21" s="1431"/>
      <c r="C21" s="1432"/>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9" t="s">
        <v>967</v>
      </c>
    </row>
    <row r="26" spans="1:3" ht="13.5">
      <c r="A26" s="3206"/>
      <c r="B26" s="3205"/>
      <c r="C26" s="1429" t="s">
        <v>968</v>
      </c>
    </row>
    <row r="27" spans="1:3" ht="13.5">
      <c r="A27" s="3206"/>
      <c r="B27" s="3205"/>
      <c r="C27" s="1429" t="s">
        <v>969</v>
      </c>
    </row>
    <row r="28" spans="1:3" ht="13.5">
      <c r="A28" s="3206"/>
      <c r="B28" s="3205"/>
      <c r="C28" s="1429" t="s">
        <v>970</v>
      </c>
    </row>
    <row r="29" spans="1:3" ht="13.5">
      <c r="A29" s="3206"/>
      <c r="B29" s="3205"/>
      <c r="C29" s="1429" t="s">
        <v>971</v>
      </c>
    </row>
    <row r="30" spans="1:3" ht="13.5">
      <c r="A30" s="3206"/>
      <c r="B30" s="3205"/>
      <c r="C30" s="1429" t="s">
        <v>972</v>
      </c>
    </row>
    <row r="31" spans="1:3" ht="13.5">
      <c r="A31" s="3206"/>
      <c r="B31" s="3205"/>
      <c r="C31" s="1429" t="s">
        <v>973</v>
      </c>
    </row>
    <row r="32" spans="1:3" ht="13.5">
      <c r="A32" s="3206"/>
      <c r="B32" s="3205"/>
      <c r="C32" s="1429" t="s">
        <v>974</v>
      </c>
    </row>
    <row r="33" spans="1:3" ht="13.5">
      <c r="A33" s="3206"/>
      <c r="B33" s="320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54" sqref="F5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45709</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0" t="s">
        <v>2160</v>
      </c>
      <c r="B17" s="3210"/>
      <c r="C17" s="3210"/>
      <c r="D17" s="3210"/>
      <c r="E17" s="3210"/>
      <c r="F17" s="3210"/>
      <c r="G17" s="3210"/>
      <c r="H17" s="3210"/>
    </row>
    <row r="18" spans="1:8" ht="24" customHeight="1">
      <c r="A18" s="3211" t="s">
        <v>2161</v>
      </c>
      <c r="B18" s="3211"/>
      <c r="C18" s="3211"/>
      <c r="D18" s="2158"/>
      <c r="E18" s="3212" t="s">
        <v>2162</v>
      </c>
      <c r="F18" s="3211"/>
      <c r="G18" s="3211"/>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面积位置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2025-02-21T09:02:05Z</dcterms:modified>
</cp:coreProperties>
</file>