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8" activeTab="18"/>
  </bookViews>
  <sheets>
    <sheet name="因素总修正幅度表" sheetId="5" state="hidden" r:id="rId1"/>
    <sheet name="面积" sheetId="1" state="hidden" r:id="rId2"/>
    <sheet name="基准地价-地上商业（40）" sheetId="14" state="hidden" r:id="rId3"/>
    <sheet name="商业用途楼层修正系数表" sheetId="15" state="hidden" r:id="rId4"/>
    <sheet name="市场比较法（商业套用-剩余法）" sheetId="19" state="hidden" r:id="rId5"/>
    <sheet name="商业案例" sheetId="8" r:id="rId6"/>
    <sheet name="基准地价-地下商业（28.8）" sheetId="17" state="hidden" r:id="rId7"/>
    <sheet name="市场比较法（办公套用-剩余法）" sheetId="20" state="hidden" r:id="rId8"/>
    <sheet name="办公案例" sheetId="10" r:id="rId9"/>
    <sheet name="基准地价-地上办公（50）" sheetId="4" state="hidden" r:id="rId10"/>
    <sheet name="基准地价-地下车库（38.88）" sheetId="18" state="hidden" r:id="rId11"/>
    <sheet name="因素修正表" sheetId="3" state="hidden" r:id="rId12"/>
    <sheet name="地下空间修正系数表" sheetId="16" state="hidden" r:id="rId13"/>
    <sheet name="地价" sheetId="6" state="hidden" r:id="rId14"/>
    <sheet name="车位案例" sheetId="9" r:id="rId15"/>
    <sheet name="未使用案例" sheetId="11" r:id="rId16"/>
    <sheet name="Chart1" sheetId="13" state="hidden" r:id="rId17"/>
    <sheet name="地价水平" sheetId="12" state="hidden" r:id="rId18"/>
    <sheet name="结果" sheetId="21" r:id="rId19"/>
    <sheet name="办公B天通中苑二" sheetId="23" r:id="rId20"/>
    <sheet name="办公案例（AC）" sheetId="22" r:id="rId21"/>
    <sheet name="地价指数" sheetId="24" r:id="rId22"/>
    <sheet name="Sheet1" sheetId="25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9">'基准地价-地上办公（50）'!$A$2:$J$56</definedName>
    <definedName name="_xlnm.Print_Area" localSheetId="2">'基准地价-地上商业（40）'!$A$2:$J$56</definedName>
    <definedName name="_xlnm.Print_Area" localSheetId="10">'基准地价-地下车库（38.88）'!$A$2:$J$56</definedName>
    <definedName name="_xlnm.Print_Area" localSheetId="6">'基准地价-地下商业（28.8）'!$A$2:$J$56</definedName>
    <definedName name="_xlnm.Print_Area" localSheetId="18">结果!$A$14:$I$56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公用设施及基础设施水平">[2]定义!$Q$1:$Q$6</definedName>
    <definedName name="估价方法">[1]定义!$B$1:$B$50</definedName>
    <definedName name="环境">[1]定义!$S$1:$S$6</definedName>
    <definedName name="基础设施水平">[1]定义!$R$1:$R$6</definedName>
    <definedName name="季度2014">地价!$A$2:$A$22</definedName>
    <definedName name="价值类型2">[1]定义!$B$54:$B$56</definedName>
    <definedName name="交通便捷度" localSheetId="13">[1]定义!$O$1:$O$6</definedName>
    <definedName name="交通便捷度">[2]定义!$O$1:$O$6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[1]估价师及机构信息!$D$3:$D$24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25725"/>
</workbook>
</file>

<file path=xl/calcChain.xml><?xml version="1.0" encoding="utf-8"?>
<calcChain xmlns="http://schemas.openxmlformats.org/spreadsheetml/2006/main">
  <c r="J17" i="21"/>
  <c r="J18"/>
  <c r="J19"/>
  <c r="J20"/>
  <c r="J21"/>
  <c r="J22"/>
  <c r="J23"/>
  <c r="J16"/>
  <c r="C41"/>
  <c r="I22" l="1"/>
  <c r="D19"/>
  <c r="D21" s="1"/>
  <c r="D23" s="1"/>
  <c r="D18"/>
  <c r="D20" s="1"/>
  <c r="D22" s="1"/>
  <c r="D17"/>
  <c r="P45" l="1"/>
  <c r="M6" l="1"/>
  <c r="N6"/>
  <c r="O6"/>
  <c r="L6"/>
  <c r="D55" l="1"/>
  <c r="D54"/>
  <c r="B5" l="1"/>
  <c r="H9"/>
  <c r="D34" i="1"/>
  <c r="D33"/>
  <c r="D32"/>
  <c r="O31"/>
  <c r="D31"/>
  <c r="N30"/>
  <c r="K30"/>
  <c r="J30"/>
  <c r="P30" s="1"/>
  <c r="D30"/>
  <c r="P29"/>
  <c r="O29"/>
  <c r="M29"/>
  <c r="D29"/>
  <c r="N28"/>
  <c r="K28"/>
  <c r="J28"/>
  <c r="P28" s="1"/>
  <c r="D28"/>
  <c r="P27"/>
  <c r="M27"/>
  <c r="D27"/>
  <c r="J26"/>
  <c r="H3" i="21"/>
  <c r="H4"/>
  <c r="H8"/>
  <c r="D29"/>
  <c r="C29"/>
  <c r="C28"/>
  <c r="D27"/>
  <c r="C27"/>
  <c r="D25"/>
  <c r="C25"/>
  <c r="P26" i="1" l="1"/>
  <c r="P33" s="1"/>
  <c r="M28"/>
  <c r="O28"/>
  <c r="M30"/>
  <c r="O30"/>
  <c r="J32"/>
  <c r="J33"/>
  <c r="M26"/>
  <c r="M33" s="1"/>
  <c r="E28" i="21"/>
  <c r="T31" i="20" l="1"/>
  <c r="R31"/>
  <c r="R39" s="1"/>
  <c r="P31"/>
  <c r="AA30"/>
  <c r="Z30"/>
  <c r="Y30"/>
  <c r="X30"/>
  <c r="U30"/>
  <c r="S30"/>
  <c r="Q30"/>
  <c r="O30"/>
  <c r="AA29"/>
  <c r="Z29"/>
  <c r="Y29"/>
  <c r="X29"/>
  <c r="U29"/>
  <c r="S29"/>
  <c r="Q29"/>
  <c r="O29"/>
  <c r="AA28"/>
  <c r="Z28"/>
  <c r="Y28"/>
  <c r="X28"/>
  <c r="U28"/>
  <c r="S28"/>
  <c r="Q28"/>
  <c r="O28"/>
  <c r="AA27"/>
  <c r="Z27"/>
  <c r="Y27"/>
  <c r="X27"/>
  <c r="U27"/>
  <c r="S27"/>
  <c r="Q27"/>
  <c r="O27"/>
  <c r="AA26"/>
  <c r="Z26"/>
  <c r="Y26"/>
  <c r="X26"/>
  <c r="U26"/>
  <c r="S26"/>
  <c r="Q26"/>
  <c r="O26"/>
  <c r="AA25"/>
  <c r="Z25"/>
  <c r="Y25"/>
  <c r="X25"/>
  <c r="U25"/>
  <c r="S25"/>
  <c r="Q25"/>
  <c r="O25"/>
  <c r="AA24"/>
  <c r="Z24"/>
  <c r="Y24"/>
  <c r="X24"/>
  <c r="U24"/>
  <c r="S24"/>
  <c r="Q24"/>
  <c r="O24"/>
  <c r="AA23"/>
  <c r="Z23"/>
  <c r="Y23"/>
  <c r="X23"/>
  <c r="U23"/>
  <c r="S23"/>
  <c r="Q23"/>
  <c r="O23"/>
  <c r="AA22"/>
  <c r="Z22"/>
  <c r="Y22"/>
  <c r="X22"/>
  <c r="U22"/>
  <c r="S22"/>
  <c r="Q22"/>
  <c r="O22"/>
  <c r="AA21"/>
  <c r="Z21"/>
  <c r="Y21"/>
  <c r="X21"/>
  <c r="U21"/>
  <c r="S21"/>
  <c r="Q21"/>
  <c r="O21"/>
  <c r="AA20"/>
  <c r="Z20"/>
  <c r="Y20"/>
  <c r="X20"/>
  <c r="U20"/>
  <c r="S20"/>
  <c r="Q20"/>
  <c r="O20"/>
  <c r="AA19"/>
  <c r="Z19"/>
  <c r="Y19"/>
  <c r="X19"/>
  <c r="U19"/>
  <c r="S19"/>
  <c r="Q19"/>
  <c r="O19"/>
  <c r="AA18"/>
  <c r="Z18"/>
  <c r="Y18"/>
  <c r="X18"/>
  <c r="W18"/>
  <c r="U18"/>
  <c r="S18"/>
  <c r="Q18"/>
  <c r="O18"/>
  <c r="N18"/>
  <c r="AA17"/>
  <c r="Z17"/>
  <c r="Y17"/>
  <c r="X17"/>
  <c r="U17"/>
  <c r="S17"/>
  <c r="Q17"/>
  <c r="O17"/>
  <c r="AA16"/>
  <c r="Z16"/>
  <c r="Y16"/>
  <c r="X16"/>
  <c r="U16"/>
  <c r="S16"/>
  <c r="Q16"/>
  <c r="O16"/>
  <c r="AA15"/>
  <c r="Z15"/>
  <c r="Y15"/>
  <c r="X15"/>
  <c r="U15"/>
  <c r="S15"/>
  <c r="Q15"/>
  <c r="O15"/>
  <c r="AA14"/>
  <c r="Z14"/>
  <c r="Y14"/>
  <c r="X14"/>
  <c r="U14"/>
  <c r="S14"/>
  <c r="Q14"/>
  <c r="O14"/>
  <c r="AA13"/>
  <c r="Z13"/>
  <c r="Y13"/>
  <c r="X13"/>
  <c r="U13"/>
  <c r="S13"/>
  <c r="Q13"/>
  <c r="O13"/>
  <c r="AA12"/>
  <c r="Z12"/>
  <c r="Y12"/>
  <c r="X12"/>
  <c r="U12"/>
  <c r="S12"/>
  <c r="Q12"/>
  <c r="O12"/>
  <c r="AA11"/>
  <c r="Z11"/>
  <c r="Y11"/>
  <c r="X11"/>
  <c r="U11"/>
  <c r="S11"/>
  <c r="Q11"/>
  <c r="O11"/>
  <c r="AA10"/>
  <c r="Z10"/>
  <c r="Y10"/>
  <c r="X10"/>
  <c r="W10"/>
  <c r="U10"/>
  <c r="S10"/>
  <c r="Q10"/>
  <c r="O10"/>
  <c r="N10"/>
  <c r="AA9"/>
  <c r="Z9"/>
  <c r="Y9"/>
  <c r="U9"/>
  <c r="S9"/>
  <c r="Q9"/>
  <c r="N9"/>
  <c r="W9" s="1"/>
  <c r="AA8"/>
  <c r="Z8"/>
  <c r="Y8"/>
  <c r="U8"/>
  <c r="S8"/>
  <c r="Q8"/>
  <c r="N8"/>
  <c r="W8" s="1"/>
  <c r="AA7"/>
  <c r="Z7"/>
  <c r="Y7"/>
  <c r="U7"/>
  <c r="S7"/>
  <c r="Q7"/>
  <c r="N7"/>
  <c r="W7" s="1"/>
  <c r="AA6"/>
  <c r="Z6"/>
  <c r="Y6"/>
  <c r="U6"/>
  <c r="S6"/>
  <c r="Q6"/>
  <c r="N6"/>
  <c r="W6" s="1"/>
  <c r="AA5"/>
  <c r="T32" s="1"/>
  <c r="Z5"/>
  <c r="Y5"/>
  <c r="P32" s="1"/>
  <c r="U5"/>
  <c r="S5"/>
  <c r="Q5"/>
  <c r="N5"/>
  <c r="W5" s="1"/>
  <c r="T31" i="19"/>
  <c r="R31"/>
  <c r="P31"/>
  <c r="AA30"/>
  <c r="Z30"/>
  <c r="Y30"/>
  <c r="X30"/>
  <c r="U30"/>
  <c r="S30"/>
  <c r="Q30"/>
  <c r="O30"/>
  <c r="AA29"/>
  <c r="Z29"/>
  <c r="Y29"/>
  <c r="X29"/>
  <c r="U29"/>
  <c r="S29"/>
  <c r="Q29"/>
  <c r="O29"/>
  <c r="AA28"/>
  <c r="Z28"/>
  <c r="Y28"/>
  <c r="X28"/>
  <c r="U28"/>
  <c r="S28"/>
  <c r="Q28"/>
  <c r="O28"/>
  <c r="AA27"/>
  <c r="Z27"/>
  <c r="Y27"/>
  <c r="X27"/>
  <c r="U27"/>
  <c r="S27"/>
  <c r="Q27"/>
  <c r="O27"/>
  <c r="AA26"/>
  <c r="Z26"/>
  <c r="Y26"/>
  <c r="X26"/>
  <c r="U26"/>
  <c r="S26"/>
  <c r="Q26"/>
  <c r="O26"/>
  <c r="AA25"/>
  <c r="Z25"/>
  <c r="Y25"/>
  <c r="X25"/>
  <c r="U25"/>
  <c r="S25"/>
  <c r="Q25"/>
  <c r="O25"/>
  <c r="AA24"/>
  <c r="Z24"/>
  <c r="Y24"/>
  <c r="X24"/>
  <c r="U24"/>
  <c r="S24"/>
  <c r="Q24"/>
  <c r="O24"/>
  <c r="AA23"/>
  <c r="Z23"/>
  <c r="Y23"/>
  <c r="X23"/>
  <c r="U23"/>
  <c r="S23"/>
  <c r="Q23"/>
  <c r="O23"/>
  <c r="AA22"/>
  <c r="Z22"/>
  <c r="Y22"/>
  <c r="X22"/>
  <c r="U22"/>
  <c r="S22"/>
  <c r="Q22"/>
  <c r="O22"/>
  <c r="AA21"/>
  <c r="Z21"/>
  <c r="Y21"/>
  <c r="X21"/>
  <c r="U21"/>
  <c r="S21"/>
  <c r="Q21"/>
  <c r="O21"/>
  <c r="AA20"/>
  <c r="Z20"/>
  <c r="Y20"/>
  <c r="X20"/>
  <c r="U20"/>
  <c r="S20"/>
  <c r="Q20"/>
  <c r="O20"/>
  <c r="AA19"/>
  <c r="Z19"/>
  <c r="Y19"/>
  <c r="X19"/>
  <c r="U19"/>
  <c r="S19"/>
  <c r="Q19"/>
  <c r="O19"/>
  <c r="AA18"/>
  <c r="Z18"/>
  <c r="Y18"/>
  <c r="X18"/>
  <c r="W18"/>
  <c r="U18"/>
  <c r="S18"/>
  <c r="Q18"/>
  <c r="O18"/>
  <c r="N18"/>
  <c r="AA17"/>
  <c r="Z17"/>
  <c r="Y17"/>
  <c r="X17"/>
  <c r="U17"/>
  <c r="S17"/>
  <c r="Q17"/>
  <c r="O17"/>
  <c r="AA16"/>
  <c r="Z16"/>
  <c r="Y16"/>
  <c r="X16"/>
  <c r="U16"/>
  <c r="S16"/>
  <c r="Q16"/>
  <c r="O16"/>
  <c r="AA15"/>
  <c r="Z15"/>
  <c r="Y15"/>
  <c r="X15"/>
  <c r="U15"/>
  <c r="S15"/>
  <c r="Q15"/>
  <c r="O15"/>
  <c r="AA14"/>
  <c r="Z14"/>
  <c r="Y14"/>
  <c r="X14"/>
  <c r="U14"/>
  <c r="S14"/>
  <c r="Q14"/>
  <c r="O14"/>
  <c r="AA13"/>
  <c r="Z13"/>
  <c r="Y13"/>
  <c r="X13"/>
  <c r="U13"/>
  <c r="S13"/>
  <c r="Q13"/>
  <c r="O13"/>
  <c r="AA12"/>
  <c r="Z12"/>
  <c r="Y12"/>
  <c r="X12"/>
  <c r="U12"/>
  <c r="S12"/>
  <c r="Q12"/>
  <c r="O12"/>
  <c r="AA11"/>
  <c r="Z11"/>
  <c r="Y11"/>
  <c r="X11"/>
  <c r="U11"/>
  <c r="S11"/>
  <c r="Q11"/>
  <c r="O11"/>
  <c r="AA10"/>
  <c r="Z10"/>
  <c r="Y10"/>
  <c r="X10"/>
  <c r="W10"/>
  <c r="U10"/>
  <c r="S10"/>
  <c r="Q10"/>
  <c r="O10"/>
  <c r="N10"/>
  <c r="AA9"/>
  <c r="Z9"/>
  <c r="Y9"/>
  <c r="U9"/>
  <c r="S9"/>
  <c r="Q9"/>
  <c r="N9"/>
  <c r="W9" s="1"/>
  <c r="AA8"/>
  <c r="Z8"/>
  <c r="Y8"/>
  <c r="U8"/>
  <c r="S8"/>
  <c r="Q8"/>
  <c r="N8"/>
  <c r="W8" s="1"/>
  <c r="AA7"/>
  <c r="Z7"/>
  <c r="Y7"/>
  <c r="U7"/>
  <c r="S7"/>
  <c r="Q7"/>
  <c r="N7"/>
  <c r="W7" s="1"/>
  <c r="AA6"/>
  <c r="Z6"/>
  <c r="Y6"/>
  <c r="U6"/>
  <c r="S6"/>
  <c r="Q6"/>
  <c r="N6"/>
  <c r="W6" s="1"/>
  <c r="AA5"/>
  <c r="Z5"/>
  <c r="Y5"/>
  <c r="U5"/>
  <c r="S5"/>
  <c r="Q5"/>
  <c r="N5"/>
  <c r="W5" s="1"/>
  <c r="L37" i="18"/>
  <c r="G45"/>
  <c r="F45"/>
  <c r="E45"/>
  <c r="D45"/>
  <c r="F43"/>
  <c r="E43"/>
  <c r="D43"/>
  <c r="F42"/>
  <c r="E42"/>
  <c r="D42"/>
  <c r="F41"/>
  <c r="E41"/>
  <c r="D41"/>
  <c r="F36"/>
  <c r="C35" s="1"/>
  <c r="C34" s="1"/>
  <c r="C28"/>
  <c r="D33" s="1"/>
  <c r="C24"/>
  <c r="E9"/>
  <c r="E8"/>
  <c r="E7"/>
  <c r="E6"/>
  <c r="C5" s="1"/>
  <c r="C3"/>
  <c r="C28" i="4"/>
  <c r="C28" i="17"/>
  <c r="D32" s="1"/>
  <c r="F54"/>
  <c r="G45"/>
  <c r="F45"/>
  <c r="E45"/>
  <c r="D45"/>
  <c r="F43"/>
  <c r="E43"/>
  <c r="D43"/>
  <c r="F42"/>
  <c r="E42"/>
  <c r="D42"/>
  <c r="F41"/>
  <c r="E41"/>
  <c r="D41"/>
  <c r="L37"/>
  <c r="F36"/>
  <c r="C35" s="1"/>
  <c r="C34" s="1"/>
  <c r="D33"/>
  <c r="D31"/>
  <c r="C24"/>
  <c r="E9"/>
  <c r="E8"/>
  <c r="E7"/>
  <c r="E6"/>
  <c r="C3"/>
  <c r="B3" i="1"/>
  <c r="F54" i="14"/>
  <c r="C12" i="15"/>
  <c r="D12"/>
  <c r="E12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1"/>
  <c r="D21"/>
  <c r="E21"/>
  <c r="G45" i="14"/>
  <c r="F45"/>
  <c r="E45"/>
  <c r="D45"/>
  <c r="F43"/>
  <c r="E43"/>
  <c r="D43"/>
  <c r="F42"/>
  <c r="E42"/>
  <c r="D42"/>
  <c r="F41"/>
  <c r="E41"/>
  <c r="D41"/>
  <c r="L37"/>
  <c r="F36"/>
  <c r="C35"/>
  <c r="C34" s="1"/>
  <c r="D33"/>
  <c r="D32"/>
  <c r="D31"/>
  <c r="D30"/>
  <c r="C27" s="1"/>
  <c r="C26" s="1"/>
  <c r="C24"/>
  <c r="E9"/>
  <c r="E8"/>
  <c r="E7"/>
  <c r="E6"/>
  <c r="C3"/>
  <c r="C24" i="4"/>
  <c r="D30" i="18" l="1"/>
  <c r="R32" i="19"/>
  <c r="T39"/>
  <c r="R32" i="20"/>
  <c r="C5" i="14"/>
  <c r="C5" i="17"/>
  <c r="D32" i="18"/>
  <c r="D30" i="17"/>
  <c r="C27" s="1"/>
  <c r="C26" s="1"/>
  <c r="P39" i="20"/>
  <c r="R40"/>
  <c r="P39" i="19"/>
  <c r="P32"/>
  <c r="T32"/>
  <c r="T36" s="1"/>
  <c r="R40"/>
  <c r="P40"/>
  <c r="P36" i="20"/>
  <c r="P33"/>
  <c r="E32"/>
  <c r="P37"/>
  <c r="R37"/>
  <c r="R36"/>
  <c r="G32"/>
  <c r="T36"/>
  <c r="I32"/>
  <c r="T37"/>
  <c r="P40"/>
  <c r="T40"/>
  <c r="T39"/>
  <c r="R37" i="19"/>
  <c r="R36"/>
  <c r="G32"/>
  <c r="P36"/>
  <c r="P33"/>
  <c r="E32"/>
  <c r="P37"/>
  <c r="R39"/>
  <c r="T40"/>
  <c r="D31" i="18"/>
  <c r="C27" s="1"/>
  <c r="C26" s="1"/>
  <c r="J56" i="14"/>
  <c r="J55"/>
  <c r="C55" s="1"/>
  <c r="B24" i="3"/>
  <c r="B23"/>
  <c r="B22"/>
  <c r="B21"/>
  <c r="B20"/>
  <c r="B18"/>
  <c r="K17"/>
  <c r="K25" s="1"/>
  <c r="E17"/>
  <c r="E26" s="1"/>
  <c r="K4"/>
  <c r="K13" s="1"/>
  <c r="E4"/>
  <c r="E13" s="1"/>
  <c r="L37" i="4"/>
  <c r="B1" i="3" l="1"/>
  <c r="C47" i="4"/>
  <c r="C47" i="18"/>
  <c r="C53" s="1"/>
  <c r="C47" i="17"/>
  <c r="C47" i="14"/>
  <c r="C50" s="1"/>
  <c r="I32" i="19"/>
  <c r="T37"/>
  <c r="P35" i="20"/>
  <c r="C32"/>
  <c r="P35" i="19"/>
  <c r="C32"/>
  <c r="C50" i="18"/>
  <c r="J52" s="1"/>
  <c r="J51" i="14"/>
  <c r="C51" s="1"/>
  <c r="J52"/>
  <c r="Q22" i="1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N19"/>
  <c r="B20" s="1"/>
  <c r="D19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N15"/>
  <c r="B16" s="1"/>
  <c r="D15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N11"/>
  <c r="B12" s="1"/>
  <c r="D11"/>
  <c r="Q10"/>
  <c r="P10"/>
  <c r="O10"/>
  <c r="N10"/>
  <c r="B10" s="1"/>
  <c r="F10"/>
  <c r="V10" s="1"/>
  <c r="E10"/>
  <c r="U10" s="1"/>
  <c r="C10"/>
  <c r="T10" s="1"/>
  <c r="Q9"/>
  <c r="P9"/>
  <c r="O9"/>
  <c r="N9"/>
  <c r="F9"/>
  <c r="F8" s="1"/>
  <c r="Q8"/>
  <c r="P8"/>
  <c r="O8"/>
  <c r="N8"/>
  <c r="Q7"/>
  <c r="P7"/>
  <c r="O7"/>
  <c r="N7"/>
  <c r="D7"/>
  <c r="Q6"/>
  <c r="P6"/>
  <c r="O6"/>
  <c r="N6"/>
  <c r="B6" s="1"/>
  <c r="F6"/>
  <c r="V6" s="1"/>
  <c r="E6"/>
  <c r="C6"/>
  <c r="T6" s="1"/>
  <c r="Q5"/>
  <c r="P5"/>
  <c r="O5"/>
  <c r="N5"/>
  <c r="L3"/>
  <c r="K3"/>
  <c r="J3"/>
  <c r="I3"/>
  <c r="J56" i="18" l="1"/>
  <c r="J55"/>
  <c r="C55" s="1"/>
  <c r="J51"/>
  <c r="C51" s="1"/>
  <c r="C53" i="17"/>
  <c r="C50"/>
  <c r="F5" i="12"/>
  <c r="E5"/>
  <c r="B13"/>
  <c r="B14" s="1"/>
  <c r="S14" s="1"/>
  <c r="B17"/>
  <c r="B18" s="1"/>
  <c r="S18" s="1"/>
  <c r="B21"/>
  <c r="B22" s="1"/>
  <c r="S22" s="1"/>
  <c r="S10"/>
  <c r="B9"/>
  <c r="B8" s="1"/>
  <c r="C13"/>
  <c r="D12"/>
  <c r="C17"/>
  <c r="D16"/>
  <c r="C21"/>
  <c r="D20"/>
  <c r="S6"/>
  <c r="B5"/>
  <c r="U6"/>
  <c r="C5"/>
  <c r="D5" s="1"/>
  <c r="D6"/>
  <c r="C9"/>
  <c r="E9"/>
  <c r="E8" s="1"/>
  <c r="D10"/>
  <c r="J52" i="17" l="1"/>
  <c r="J51"/>
  <c r="C51" s="1"/>
  <c r="J55"/>
  <c r="C55" s="1"/>
  <c r="J56"/>
  <c r="C8" i="12"/>
  <c r="D8" s="1"/>
  <c r="D9"/>
  <c r="C22"/>
  <c r="D21"/>
  <c r="C18"/>
  <c r="D17"/>
  <c r="C14"/>
  <c r="D13"/>
  <c r="T14" l="1"/>
  <c r="D14"/>
  <c r="T18"/>
  <c r="D18"/>
  <c r="T22"/>
  <c r="D22"/>
  <c r="J86" i="10" l="1"/>
  <c r="H86"/>
  <c r="D71" i="6" l="1"/>
  <c r="F70"/>
  <c r="E70"/>
  <c r="E69" s="1"/>
  <c r="E68" s="1"/>
  <c r="C70"/>
  <c r="D70" s="1"/>
  <c r="B70"/>
  <c r="F69"/>
  <c r="F68" s="1"/>
  <c r="B69"/>
  <c r="B68" s="1"/>
  <c r="D67"/>
  <c r="F66"/>
  <c r="E66"/>
  <c r="E65" s="1"/>
  <c r="E64" s="1"/>
  <c r="C66"/>
  <c r="D66" s="1"/>
  <c r="B66"/>
  <c r="F65"/>
  <c r="F64" s="1"/>
  <c r="B65"/>
  <c r="B64" s="1"/>
  <c r="D63"/>
  <c r="Q62"/>
  <c r="P62"/>
  <c r="O62"/>
  <c r="N62"/>
  <c r="F62"/>
  <c r="V62" s="1"/>
  <c r="E62"/>
  <c r="E61" s="1"/>
  <c r="E60" s="1"/>
  <c r="C62"/>
  <c r="T62" s="1"/>
  <c r="B62"/>
  <c r="S62" s="1"/>
  <c r="Q61"/>
  <c r="P61"/>
  <c r="O61"/>
  <c r="N61"/>
  <c r="F61"/>
  <c r="F60" s="1"/>
  <c r="B61"/>
  <c r="B60" s="1"/>
  <c r="Q60"/>
  <c r="P60"/>
  <c r="O60"/>
  <c r="N60"/>
  <c r="Q59"/>
  <c r="P59"/>
  <c r="O59"/>
  <c r="N59"/>
  <c r="D59"/>
  <c r="Q58"/>
  <c r="P58"/>
  <c r="O58"/>
  <c r="N58"/>
  <c r="F58"/>
  <c r="V58" s="1"/>
  <c r="E58"/>
  <c r="E57" s="1"/>
  <c r="E56" s="1"/>
  <c r="C58"/>
  <c r="T58" s="1"/>
  <c r="B58"/>
  <c r="S58" s="1"/>
  <c r="Q57"/>
  <c r="P57"/>
  <c r="O57"/>
  <c r="N57"/>
  <c r="F57"/>
  <c r="F56" s="1"/>
  <c r="B57"/>
  <c r="B56" s="1"/>
  <c r="Q56"/>
  <c r="P56"/>
  <c r="O56"/>
  <c r="N56"/>
  <c r="Q55"/>
  <c r="P55"/>
  <c r="O55"/>
  <c r="N55"/>
  <c r="D55"/>
  <c r="Q54"/>
  <c r="P54"/>
  <c r="O54"/>
  <c r="N54"/>
  <c r="F54"/>
  <c r="V54" s="1"/>
  <c r="E54"/>
  <c r="E53" s="1"/>
  <c r="E52" s="1"/>
  <c r="C54"/>
  <c r="T54" s="1"/>
  <c r="B54"/>
  <c r="S54" s="1"/>
  <c r="Q53"/>
  <c r="P53"/>
  <c r="O53"/>
  <c r="N53"/>
  <c r="F53"/>
  <c r="F52" s="1"/>
  <c r="B53"/>
  <c r="B52" s="1"/>
  <c r="Q52"/>
  <c r="P52"/>
  <c r="O52"/>
  <c r="N52"/>
  <c r="Q51"/>
  <c r="P51"/>
  <c r="O51"/>
  <c r="N51"/>
  <c r="D51"/>
  <c r="F50"/>
  <c r="V50" s="1"/>
  <c r="E50"/>
  <c r="E49" s="1"/>
  <c r="C50"/>
  <c r="T50" s="1"/>
  <c r="B50"/>
  <c r="N50" s="1"/>
  <c r="F49"/>
  <c r="F48" s="1"/>
  <c r="B49"/>
  <c r="N49" s="1"/>
  <c r="D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N43"/>
  <c r="B44" s="1"/>
  <c r="B45" s="1"/>
  <c r="B46" s="1"/>
  <c r="S46" s="1"/>
  <c r="D43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N39"/>
  <c r="B40" s="1"/>
  <c r="B41" s="1"/>
  <c r="B42" s="1"/>
  <c r="S42" s="1"/>
  <c r="D39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N35"/>
  <c r="B36" s="1"/>
  <c r="B37" s="1"/>
  <c r="B38" s="1"/>
  <c r="S38" s="1"/>
  <c r="D35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N31"/>
  <c r="B32" s="1"/>
  <c r="B33" s="1"/>
  <c r="B34" s="1"/>
  <c r="S34" s="1"/>
  <c r="D31"/>
  <c r="T30"/>
  <c r="Q30"/>
  <c r="P30"/>
  <c r="O30"/>
  <c r="N30"/>
  <c r="D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N27"/>
  <c r="B28" s="1"/>
  <c r="B29" s="1"/>
  <c r="B30" s="1"/>
  <c r="S30" s="1"/>
  <c r="D27"/>
  <c r="Q26"/>
  <c r="P26"/>
  <c r="O26"/>
  <c r="N26"/>
  <c r="Q25"/>
  <c r="P25"/>
  <c r="O25"/>
  <c r="N25"/>
  <c r="Q24"/>
  <c r="P24"/>
  <c r="O24"/>
  <c r="N24"/>
  <c r="F24"/>
  <c r="F25" s="1"/>
  <c r="F26" s="1"/>
  <c r="V26" s="1"/>
  <c r="Q23"/>
  <c r="P23"/>
  <c r="E24" s="1"/>
  <c r="E25" s="1"/>
  <c r="E26" s="1"/>
  <c r="U26" s="1"/>
  <c r="O23"/>
  <c r="C24" s="1"/>
  <c r="N23"/>
  <c r="B24" s="1"/>
  <c r="B25" s="1"/>
  <c r="B26" s="1"/>
  <c r="S26" s="1"/>
  <c r="D23"/>
  <c r="AH22"/>
  <c r="AG22"/>
  <c r="AF22"/>
  <c r="AE22"/>
  <c r="AD22"/>
  <c r="Q22"/>
  <c r="P22"/>
  <c r="O22"/>
  <c r="N22"/>
  <c r="AH21"/>
  <c r="AG21"/>
  <c r="AE21"/>
  <c r="AF21" s="1"/>
  <c r="AD21"/>
  <c r="Q21"/>
  <c r="AB21" s="1"/>
  <c r="P21"/>
  <c r="AA21" s="1"/>
  <c r="O21"/>
  <c r="Y21" s="1"/>
  <c r="Z21" s="1"/>
  <c r="N21"/>
  <c r="X21" s="1"/>
  <c r="AH20"/>
  <c r="AG20"/>
  <c r="AE20"/>
  <c r="AF20" s="1"/>
  <c r="AD20"/>
  <c r="Q20"/>
  <c r="AB20" s="1"/>
  <c r="P20"/>
  <c r="AA20" s="1"/>
  <c r="O20"/>
  <c r="Y20" s="1"/>
  <c r="Z20" s="1"/>
  <c r="N20"/>
  <c r="X20" s="1"/>
  <c r="AH19"/>
  <c r="AG19"/>
  <c r="AF19"/>
  <c r="AE19"/>
  <c r="AD19"/>
  <c r="Q19"/>
  <c r="F20" s="1"/>
  <c r="F21" s="1"/>
  <c r="F22" s="1"/>
  <c r="V22" s="1"/>
  <c r="P19"/>
  <c r="E20" s="1"/>
  <c r="E21" s="1"/>
  <c r="E22" s="1"/>
  <c r="U22" s="1"/>
  <c r="O19"/>
  <c r="C20" s="1"/>
  <c r="N19"/>
  <c r="B20" s="1"/>
  <c r="B21" s="1"/>
  <c r="B22" s="1"/>
  <c r="S22" s="1"/>
  <c r="D19"/>
  <c r="AH18"/>
  <c r="AG18"/>
  <c r="AE18"/>
  <c r="AF18" s="1"/>
  <c r="AD18"/>
  <c r="Q18"/>
  <c r="AB18" s="1"/>
  <c r="P18"/>
  <c r="AA18" s="1"/>
  <c r="O18"/>
  <c r="Y18" s="1"/>
  <c r="Z18" s="1"/>
  <c r="N18"/>
  <c r="X18" s="1"/>
  <c r="AH17"/>
  <c r="AG17"/>
  <c r="AE17"/>
  <c r="AF17" s="1"/>
  <c r="AD17"/>
  <c r="AA17"/>
  <c r="Q17"/>
  <c r="AB17" s="1"/>
  <c r="P17"/>
  <c r="O17"/>
  <c r="Y17" s="1"/>
  <c r="Z17" s="1"/>
  <c r="N17"/>
  <c r="X17" s="1"/>
  <c r="AH16"/>
  <c r="AG16"/>
  <c r="AE16"/>
  <c r="AF16" s="1"/>
  <c r="AD16"/>
  <c r="AB16"/>
  <c r="Q16"/>
  <c r="P16"/>
  <c r="AA16" s="1"/>
  <c r="O16"/>
  <c r="Y16" s="1"/>
  <c r="Z16" s="1"/>
  <c r="N16"/>
  <c r="X16" s="1"/>
  <c r="AH15"/>
  <c r="AG15"/>
  <c r="AF15"/>
  <c r="AE15"/>
  <c r="AD15"/>
  <c r="Q15"/>
  <c r="F16" s="1"/>
  <c r="F17" s="1"/>
  <c r="F18" s="1"/>
  <c r="V18" s="1"/>
  <c r="P15"/>
  <c r="E16" s="1"/>
  <c r="E17" s="1"/>
  <c r="E18" s="1"/>
  <c r="U18" s="1"/>
  <c r="O15"/>
  <c r="Y15" s="1"/>
  <c r="Z15" s="1"/>
  <c r="N15"/>
  <c r="B16" s="1"/>
  <c r="B17" s="1"/>
  <c r="B18" s="1"/>
  <c r="S18" s="1"/>
  <c r="D15"/>
  <c r="AH14"/>
  <c r="AG14"/>
  <c r="AE14"/>
  <c r="AF14" s="1"/>
  <c r="AD14"/>
  <c r="Q14"/>
  <c r="AB14" s="1"/>
  <c r="P14"/>
  <c r="AA14" s="1"/>
  <c r="O14"/>
  <c r="Y14" s="1"/>
  <c r="Z14" s="1"/>
  <c r="N14"/>
  <c r="X14" s="1"/>
  <c r="AH13"/>
  <c r="AG13"/>
  <c r="AF13"/>
  <c r="AE13"/>
  <c r="AD13"/>
  <c r="Q13"/>
  <c r="AB13" s="1"/>
  <c r="P13"/>
  <c r="AA13" s="1"/>
  <c r="O13"/>
  <c r="Y13" s="1"/>
  <c r="Z13" s="1"/>
  <c r="N13"/>
  <c r="X13" s="1"/>
  <c r="AH12"/>
  <c r="AG12"/>
  <c r="AE12"/>
  <c r="AF12" s="1"/>
  <c r="AD12"/>
  <c r="AB12"/>
  <c r="Q12"/>
  <c r="P12"/>
  <c r="AA12" s="1"/>
  <c r="O12"/>
  <c r="Y12" s="1"/>
  <c r="Z12" s="1"/>
  <c r="N12"/>
  <c r="X12" s="1"/>
  <c r="AH11"/>
  <c r="AG11"/>
  <c r="AF11"/>
  <c r="AE11"/>
  <c r="AD11"/>
  <c r="Q11"/>
  <c r="F12" s="1"/>
  <c r="F13" s="1"/>
  <c r="F14" s="1"/>
  <c r="V14" s="1"/>
  <c r="P11"/>
  <c r="E12" s="1"/>
  <c r="E13" s="1"/>
  <c r="E14" s="1"/>
  <c r="U14" s="1"/>
  <c r="O11"/>
  <c r="Y11" s="1"/>
  <c r="Z11" s="1"/>
  <c r="N11"/>
  <c r="B12" s="1"/>
  <c r="B13" s="1"/>
  <c r="B14" s="1"/>
  <c r="S14" s="1"/>
  <c r="D11"/>
  <c r="AH10"/>
  <c r="AG10"/>
  <c r="AE10"/>
  <c r="AF10" s="1"/>
  <c r="AD10"/>
  <c r="Q10"/>
  <c r="AB10" s="1"/>
  <c r="P10"/>
  <c r="AA10" s="1"/>
  <c r="O10"/>
  <c r="Y10" s="1"/>
  <c r="Z10" s="1"/>
  <c r="N10"/>
  <c r="B10" s="1"/>
  <c r="F10"/>
  <c r="V10" s="1"/>
  <c r="E10"/>
  <c r="C10"/>
  <c r="T10" s="1"/>
  <c r="AH9"/>
  <c r="AG9"/>
  <c r="AE9"/>
  <c r="AF9" s="1"/>
  <c r="AD9"/>
  <c r="Q9"/>
  <c r="AB9" s="1"/>
  <c r="P9"/>
  <c r="AA9" s="1"/>
  <c r="O9"/>
  <c r="Y9" s="1"/>
  <c r="Z9" s="1"/>
  <c r="N9"/>
  <c r="X9" s="1"/>
  <c r="F9"/>
  <c r="AH8"/>
  <c r="AG8"/>
  <c r="AE8"/>
  <c r="AF8" s="1"/>
  <c r="AD8"/>
  <c r="AB8"/>
  <c r="Q8"/>
  <c r="P8"/>
  <c r="AA8" s="1"/>
  <c r="O8"/>
  <c r="Y8" s="1"/>
  <c r="Z8" s="1"/>
  <c r="N8"/>
  <c r="X8" s="1"/>
  <c r="AH7"/>
  <c r="AG7"/>
  <c r="AE7"/>
  <c r="AF7" s="1"/>
  <c r="AD7"/>
  <c r="Q7"/>
  <c r="AB7" s="1"/>
  <c r="P7"/>
  <c r="AA7" s="1"/>
  <c r="O7"/>
  <c r="Y7" s="1"/>
  <c r="Z7" s="1"/>
  <c r="N7"/>
  <c r="X7" s="1"/>
  <c r="D7"/>
  <c r="AH6"/>
  <c r="AG6"/>
  <c r="AE6"/>
  <c r="AF6" s="1"/>
  <c r="AD6"/>
  <c r="AB6"/>
  <c r="Q6"/>
  <c r="P6"/>
  <c r="AA6" s="1"/>
  <c r="O6"/>
  <c r="Y6" s="1"/>
  <c r="Z6" s="1"/>
  <c r="N6"/>
  <c r="B6" s="1"/>
  <c r="F6"/>
  <c r="V6" s="1"/>
  <c r="E6"/>
  <c r="E5" s="1"/>
  <c r="C6"/>
  <c r="T6" s="1"/>
  <c r="AH5"/>
  <c r="AG5"/>
  <c r="AF5"/>
  <c r="AE5"/>
  <c r="AD5"/>
  <c r="Q5"/>
  <c r="AB5" s="1"/>
  <c r="P5"/>
  <c r="AA5" s="1"/>
  <c r="O5"/>
  <c r="Y3" s="1"/>
  <c r="Z3" s="1"/>
  <c r="N5"/>
  <c r="F5"/>
  <c r="AB3"/>
  <c r="L3"/>
  <c r="AH3" s="1"/>
  <c r="K3"/>
  <c r="AG3" s="1"/>
  <c r="J3"/>
  <c r="AE3" s="1"/>
  <c r="AF3" s="1"/>
  <c r="I3"/>
  <c r="AD3" s="1"/>
  <c r="K28" i="5"/>
  <c r="B27"/>
  <c r="B26"/>
  <c r="B25"/>
  <c r="B24"/>
  <c r="B23"/>
  <c r="B21"/>
  <c r="K20"/>
  <c r="E20"/>
  <c r="E29" s="1"/>
  <c r="B15"/>
  <c r="B14"/>
  <c r="B13"/>
  <c r="B12"/>
  <c r="B11"/>
  <c r="B10"/>
  <c r="B8"/>
  <c r="K7"/>
  <c r="K16" s="1"/>
  <c r="B4" s="1"/>
  <c r="E7"/>
  <c r="E16" s="1"/>
  <c r="G45" i="4"/>
  <c r="F45"/>
  <c r="E45"/>
  <c r="D45"/>
  <c r="F43"/>
  <c r="E43"/>
  <c r="D43"/>
  <c r="F42"/>
  <c r="E42"/>
  <c r="D42"/>
  <c r="F41"/>
  <c r="E41"/>
  <c r="D41"/>
  <c r="F36"/>
  <c r="C35" s="1"/>
  <c r="C34" s="1"/>
  <c r="D33"/>
  <c r="D32"/>
  <c r="D31"/>
  <c r="C27" s="1"/>
  <c r="C26" s="1"/>
  <c r="D30"/>
  <c r="E9"/>
  <c r="E7"/>
  <c r="E6"/>
  <c r="C3"/>
  <c r="X3" i="6" l="1"/>
  <c r="X5"/>
  <c r="F8"/>
  <c r="E9"/>
  <c r="E8" s="1"/>
  <c r="AA11"/>
  <c r="AA15"/>
  <c r="S50"/>
  <c r="AA19"/>
  <c r="C53" i="4"/>
  <c r="J56" s="1"/>
  <c r="E8"/>
  <c r="C5"/>
  <c r="S6" i="6"/>
  <c r="B5"/>
  <c r="P49"/>
  <c r="E48"/>
  <c r="S10"/>
  <c r="B9"/>
  <c r="B8" s="1"/>
  <c r="C21"/>
  <c r="D20"/>
  <c r="C25"/>
  <c r="D24"/>
  <c r="C29"/>
  <c r="D29" s="1"/>
  <c r="D28"/>
  <c r="C33"/>
  <c r="D32"/>
  <c r="C37"/>
  <c r="D36"/>
  <c r="C41"/>
  <c r="D40"/>
  <c r="C45"/>
  <c r="D44"/>
  <c r="Q48"/>
  <c r="Q47"/>
  <c r="Y5"/>
  <c r="Z5" s="1"/>
  <c r="U6"/>
  <c r="X6"/>
  <c r="C12"/>
  <c r="C16"/>
  <c r="Y19"/>
  <c r="Z19" s="1"/>
  <c r="Q49"/>
  <c r="P50"/>
  <c r="U50"/>
  <c r="U54"/>
  <c r="U58"/>
  <c r="U62"/>
  <c r="U10"/>
  <c r="X10"/>
  <c r="AA3"/>
  <c r="C5"/>
  <c r="D5" s="1"/>
  <c r="D6"/>
  <c r="C9"/>
  <c r="D10"/>
  <c r="X11"/>
  <c r="AB11"/>
  <c r="X15"/>
  <c r="AB15"/>
  <c r="X19"/>
  <c r="AB19"/>
  <c r="B48"/>
  <c r="C49"/>
  <c r="D50"/>
  <c r="O50"/>
  <c r="Q50"/>
  <c r="C53"/>
  <c r="D54"/>
  <c r="C57"/>
  <c r="D58"/>
  <c r="C61"/>
  <c r="D62"/>
  <c r="C65"/>
  <c r="C69"/>
  <c r="C50" i="4"/>
  <c r="J55" l="1"/>
  <c r="D69" i="6"/>
  <c r="C68"/>
  <c r="D68" s="1"/>
  <c r="N47"/>
  <c r="N48"/>
  <c r="D9"/>
  <c r="C8"/>
  <c r="D8" s="1"/>
  <c r="C13"/>
  <c r="D12"/>
  <c r="P47"/>
  <c r="P48"/>
  <c r="D65"/>
  <c r="C64"/>
  <c r="D64" s="1"/>
  <c r="D61"/>
  <c r="C60"/>
  <c r="D60" s="1"/>
  <c r="D57"/>
  <c r="C56"/>
  <c r="D56" s="1"/>
  <c r="D53"/>
  <c r="C52"/>
  <c r="D52" s="1"/>
  <c r="O49"/>
  <c r="D49"/>
  <c r="C48"/>
  <c r="C17"/>
  <c r="D16"/>
  <c r="C46"/>
  <c r="D45"/>
  <c r="C42"/>
  <c r="D41"/>
  <c r="C38"/>
  <c r="D37"/>
  <c r="C34"/>
  <c r="D33"/>
  <c r="C26"/>
  <c r="D25"/>
  <c r="C22"/>
  <c r="D21"/>
  <c r="J51" i="4"/>
  <c r="C51" s="1"/>
  <c r="J52"/>
  <c r="T22" i="6" l="1"/>
  <c r="D22"/>
  <c r="T26"/>
  <c r="D26"/>
  <c r="T34"/>
  <c r="D34"/>
  <c r="T38"/>
  <c r="D38"/>
  <c r="T42"/>
  <c r="D42"/>
  <c r="T46"/>
  <c r="D46"/>
  <c r="C18"/>
  <c r="D17"/>
  <c r="O48"/>
  <c r="D48"/>
  <c r="O47"/>
  <c r="C14"/>
  <c r="D13"/>
  <c r="T14" l="1"/>
  <c r="D14"/>
  <c r="T18"/>
  <c r="D18"/>
  <c r="G3" i="1" l="1"/>
  <c r="Q5" s="1"/>
  <c r="B8"/>
  <c r="G8" s="1"/>
  <c r="Q10" s="1"/>
  <c r="B9"/>
  <c r="H9" s="1"/>
  <c r="B4"/>
  <c r="G4" s="1"/>
  <c r="H8" l="1"/>
  <c r="H4"/>
  <c r="G9"/>
  <c r="Q12" s="1"/>
  <c r="Q14" s="1"/>
  <c r="N34" i="21" l="1"/>
  <c r="C32" i="1" l="1"/>
  <c r="C31" l="1"/>
  <c r="E31" s="1"/>
  <c r="N38" i="21" l="1"/>
  <c r="C34" i="1" l="1"/>
  <c r="C33" l="1"/>
  <c r="E33" s="1"/>
  <c r="C28" l="1"/>
  <c r="C27" l="1"/>
  <c r="E27" s="1"/>
  <c r="N27" l="1"/>
  <c r="O27" s="1"/>
  <c r="N26"/>
  <c r="O26" s="1"/>
  <c r="C30" l="1"/>
  <c r="C29" l="1"/>
  <c r="E29" s="1"/>
  <c r="L32" s="1"/>
  <c r="O32" s="1"/>
  <c r="O33" s="1"/>
  <c r="C22" i="21" l="1"/>
  <c r="C26" s="1"/>
  <c r="E26" s="1"/>
  <c r="H18"/>
  <c r="C18"/>
  <c r="C24" l="1"/>
  <c r="E24" s="1"/>
  <c r="J37"/>
  <c r="H19" l="1"/>
  <c r="I18" s="1"/>
  <c r="C19"/>
  <c r="E18" l="1"/>
  <c r="F18" l="1"/>
  <c r="D37"/>
  <c r="D67" s="1"/>
  <c r="L52" l="1"/>
  <c r="G18"/>
  <c r="M52" s="1"/>
  <c r="M41" l="1"/>
  <c r="J41" l="1"/>
  <c r="J38"/>
  <c r="K37" s="1"/>
  <c r="C23" l="1"/>
  <c r="E22" s="1"/>
  <c r="L37"/>
  <c r="D40" l="1"/>
  <c r="F22"/>
  <c r="L57" l="1"/>
  <c r="G22"/>
  <c r="M57" s="1"/>
  <c r="D72"/>
  <c r="E40"/>
  <c r="E53"/>
  <c r="F53" s="1"/>
  <c r="E72" s="1"/>
  <c r="M44" l="1"/>
  <c r="J35" s="1"/>
  <c r="J44" l="1"/>
  <c r="C21" s="1"/>
  <c r="C20" l="1"/>
  <c r="E20" s="1"/>
  <c r="F20" s="1"/>
  <c r="I13"/>
  <c r="H16"/>
  <c r="C16"/>
  <c r="L55" l="1"/>
  <c r="G20"/>
  <c r="D39"/>
  <c r="D70" s="1"/>
  <c r="E85"/>
  <c r="J34"/>
  <c r="K34" s="1"/>
  <c r="M55" l="1"/>
  <c r="E52"/>
  <c r="L34"/>
  <c r="E39" l="1"/>
  <c r="E70" s="1"/>
  <c r="F52"/>
  <c r="F54" s="1"/>
  <c r="H17" l="1"/>
  <c r="I16" s="1"/>
  <c r="C17"/>
  <c r="G47" l="1"/>
  <c r="F38"/>
  <c r="E16"/>
  <c r="F16" s="1"/>
  <c r="L50" l="1"/>
  <c r="L54" s="1"/>
  <c r="L59" s="1"/>
  <c r="G16"/>
  <c r="H32"/>
  <c r="D36"/>
  <c r="M50" l="1"/>
  <c r="M54" s="1"/>
  <c r="M59" s="1"/>
  <c r="D38"/>
  <c r="E38" s="1"/>
  <c r="E69" s="1"/>
  <c r="E74" s="1"/>
  <c r="D65"/>
  <c r="E47"/>
  <c r="D69" l="1"/>
  <c r="E80"/>
  <c r="F80" s="1"/>
  <c r="F82" s="1"/>
  <c r="F47"/>
  <c r="F49" s="1"/>
  <c r="F55" s="1"/>
  <c r="E41"/>
</calcChain>
</file>

<file path=xl/comments1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依据《北京市区片基准地价表》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参见商业路线价加价幅度表</t>
        </r>
      </text>
    </comment>
    <comment ref="C16" authorId="0">
      <text>
        <r>
          <rPr>
            <b/>
            <sz val="9"/>
            <color indexed="81"/>
            <rFont val="宋体"/>
            <family val="3"/>
            <charset val="134"/>
          </rPr>
          <t>需根据项目情况调整，公式：差异项相加÷级别平均容积率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宋体"/>
            <family val="3"/>
            <charset val="134"/>
          </rPr>
          <t>参见基准地价用途修正系数表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7" authorId="0">
      <text>
        <r>
          <rPr>
            <b/>
            <sz val="9"/>
            <color indexed="81"/>
            <rFont val="宋体"/>
            <family val="3"/>
            <charset val="134"/>
          </rPr>
          <t>依用途选择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9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宋体"/>
            <family val="3"/>
            <charset val="134"/>
          </rPr>
          <t>对应附表‘商业用途楼层修正系数表’录入相应值</t>
        </r>
      </text>
    </comment>
    <comment ref="C51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宋体"/>
            <family val="3"/>
            <charset val="134"/>
          </rPr>
          <t>参见附表‘地下空间修正系数’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3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3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2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2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2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依据《北京市区片基准地价表》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参见商业路线价加价幅度表</t>
        </r>
      </text>
    </comment>
    <comment ref="C16" authorId="0">
      <text>
        <r>
          <rPr>
            <b/>
            <sz val="9"/>
            <color indexed="81"/>
            <rFont val="宋体"/>
            <family val="3"/>
            <charset val="134"/>
          </rPr>
          <t>需根据项目情况调整，公式：差异项相加÷级别平均容积率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宋体"/>
            <family val="3"/>
            <charset val="134"/>
          </rPr>
          <t>参见基准地价用途修正系数表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7" authorId="0">
      <text>
        <r>
          <rPr>
            <b/>
            <sz val="9"/>
            <color indexed="81"/>
            <rFont val="宋体"/>
            <family val="3"/>
            <charset val="134"/>
          </rPr>
          <t>依用途选择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9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宋体"/>
            <family val="3"/>
            <charset val="134"/>
          </rPr>
          <t>对应附表‘商业用途楼层修正系数表’录入相应值</t>
        </r>
      </text>
    </comment>
    <comment ref="C51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宋体"/>
            <family val="3"/>
            <charset val="134"/>
          </rPr>
          <t>参见附表‘地下空间修正系数’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依据《北京市区片基准地价表》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参见商业路线价加价幅度表</t>
        </r>
      </text>
    </comment>
    <comment ref="C16" authorId="0">
      <text>
        <r>
          <rPr>
            <b/>
            <sz val="9"/>
            <color indexed="81"/>
            <rFont val="宋体"/>
            <family val="3"/>
            <charset val="134"/>
          </rPr>
          <t>需根据项目情况调整，公式：差异项相加÷级别平均容积率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宋体"/>
            <family val="3"/>
            <charset val="134"/>
          </rPr>
          <t>参见基准地价用途修正系数表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7" authorId="0">
      <text>
        <r>
          <rPr>
            <b/>
            <sz val="9"/>
            <color indexed="81"/>
            <rFont val="宋体"/>
            <family val="3"/>
            <charset val="134"/>
          </rPr>
          <t>依用途选择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9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宋体"/>
            <family val="3"/>
            <charset val="134"/>
          </rPr>
          <t>对应附表‘商业用途楼层修正系数表’录入相应值</t>
        </r>
      </text>
    </comment>
    <comment ref="C51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宋体"/>
            <family val="3"/>
            <charset val="134"/>
          </rPr>
          <t>参见附表‘地下空间修正系数’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依据《北京市区片基准地价表》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参见商业路线价加价幅度表</t>
        </r>
      </text>
    </comment>
    <comment ref="C16" authorId="0">
      <text>
        <r>
          <rPr>
            <b/>
            <sz val="9"/>
            <color indexed="81"/>
            <rFont val="宋体"/>
            <family val="3"/>
            <charset val="134"/>
          </rPr>
          <t>需根据项目情况调整，公式：差异项相加÷级别平均容积率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宋体"/>
            <family val="3"/>
            <charset val="134"/>
          </rPr>
          <t>参见基准地价用途修正系数表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7" authorId="0">
      <text>
        <r>
          <rPr>
            <b/>
            <sz val="9"/>
            <color indexed="81"/>
            <rFont val="宋体"/>
            <family val="3"/>
            <charset val="134"/>
          </rPr>
          <t>依用途选择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9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宋体"/>
            <family val="3"/>
            <charset val="134"/>
          </rPr>
          <t>对应附表‘商业用途楼层修正系数表’录入相应值</t>
        </r>
      </text>
    </comment>
    <comment ref="C51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宋体"/>
            <family val="3"/>
            <charset val="134"/>
          </rPr>
          <t>参见附表‘地下空间修正系数’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宋体"/>
            <family val="3"/>
            <charset val="134"/>
          </rPr>
          <t>依用途录入右侧计算结果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C21" authorId="0">
      <text>
        <r>
          <rPr>
            <b/>
            <sz val="9"/>
            <color indexed="81"/>
            <rFont val="宋体"/>
            <family val="3"/>
            <charset val="134"/>
          </rPr>
          <t>年期修正系数：</t>
        </r>
        <r>
          <rPr>
            <b/>
            <sz val="9"/>
            <color indexed="81"/>
            <rFont val="Tahoma"/>
            <family val="2"/>
          </rPr>
          <t>0.8894
8611×0.8894=7658</t>
        </r>
      </text>
    </comment>
  </commentList>
</comments>
</file>

<file path=xl/sharedStrings.xml><?xml version="1.0" encoding="utf-8"?>
<sst xmlns="http://schemas.openxmlformats.org/spreadsheetml/2006/main" count="1990" uniqueCount="704">
  <si>
    <t>地上</t>
    <phoneticPr fontId="1" type="noConversion"/>
  </si>
  <si>
    <t>商业</t>
    <phoneticPr fontId="1" type="noConversion"/>
  </si>
  <si>
    <t>商务办公</t>
    <phoneticPr fontId="1" type="noConversion"/>
  </si>
  <si>
    <t>商业</t>
    <phoneticPr fontId="1" type="noConversion"/>
  </si>
  <si>
    <t xml:space="preserve">商务办公 </t>
    <phoneticPr fontId="1" type="noConversion"/>
  </si>
  <si>
    <t>C</t>
    <phoneticPr fontId="1" type="noConversion"/>
  </si>
  <si>
    <t>设备用房</t>
    <phoneticPr fontId="1" type="noConversion"/>
  </si>
  <si>
    <t>小计</t>
    <phoneticPr fontId="1" type="noConversion"/>
  </si>
  <si>
    <t>B</t>
    <phoneticPr fontId="1" type="noConversion"/>
  </si>
  <si>
    <t>A#商业楼</t>
    <phoneticPr fontId="1" type="noConversion"/>
  </si>
  <si>
    <t>地上</t>
    <phoneticPr fontId="1" type="noConversion"/>
  </si>
  <si>
    <t>人防出入口</t>
    <phoneticPr fontId="1" type="noConversion"/>
  </si>
  <si>
    <t>地下</t>
    <phoneticPr fontId="1" type="noConversion"/>
  </si>
  <si>
    <t>地下车库</t>
    <phoneticPr fontId="1" type="noConversion"/>
  </si>
  <si>
    <t>机动车库</t>
    <phoneticPr fontId="1" type="noConversion"/>
  </si>
  <si>
    <t>自行车库</t>
    <phoneticPr fontId="1" type="noConversion"/>
  </si>
  <si>
    <t>㎡</t>
    <phoneticPr fontId="1" type="noConversion"/>
  </si>
  <si>
    <t>人防</t>
    <phoneticPr fontId="1" type="noConversion"/>
  </si>
  <si>
    <t>人防</t>
    <phoneticPr fontId="1" type="noConversion"/>
  </si>
  <si>
    <t>合计</t>
    <phoneticPr fontId="1" type="noConversion"/>
  </si>
  <si>
    <t>合计</t>
    <phoneticPr fontId="1" type="noConversion"/>
  </si>
  <si>
    <t>-</t>
    <phoneticPr fontId="1" type="noConversion"/>
  </si>
  <si>
    <t>=</t>
    <phoneticPr fontId="1" type="noConversion"/>
  </si>
  <si>
    <t>地下商业</t>
    <phoneticPr fontId="1" type="noConversion"/>
  </si>
  <si>
    <t>地下商业</t>
    <phoneticPr fontId="1" type="noConversion"/>
  </si>
  <si>
    <t>办公</t>
    <phoneticPr fontId="1" type="noConversion"/>
  </si>
  <si>
    <t>变更后后面积</t>
    <phoneticPr fontId="1" type="noConversion"/>
  </si>
  <si>
    <t>变更前面积</t>
    <phoneticPr fontId="1" type="noConversion"/>
  </si>
  <si>
    <t>变更面积</t>
    <phoneticPr fontId="1" type="noConversion"/>
  </si>
  <si>
    <t>浅灰色底色为录入项</t>
    <phoneticPr fontId="7" type="noConversion"/>
  </si>
  <si>
    <t>小数点后保留4位</t>
    <phoneticPr fontId="7" type="noConversion"/>
  </si>
  <si>
    <t>基准地价（办公）</t>
    <phoneticPr fontId="7" type="noConversion"/>
  </si>
  <si>
    <t>一、</t>
    <phoneticPr fontId="7" type="noConversion"/>
  </si>
  <si>
    <t>适用的楼面熟地价</t>
    <phoneticPr fontId="7" type="noConversion"/>
  </si>
  <si>
    <t>不存在商业路线价及特殊修正时，结果为1±3；其他两种情况直接等于相应修正结果。</t>
    <phoneticPr fontId="7" type="noConversion"/>
  </si>
  <si>
    <t>1、</t>
    <phoneticPr fontId="7" type="noConversion"/>
  </si>
  <si>
    <t>依据《北京市区片基准地价表》</t>
    <phoneticPr fontId="7" type="noConversion"/>
  </si>
  <si>
    <t>2、</t>
    <phoneticPr fontId="7" type="noConversion"/>
  </si>
  <si>
    <t>商业路线价修正（商业用途）</t>
    <phoneticPr fontId="7" type="noConversion"/>
  </si>
  <si>
    <t>所在商业街</t>
    <phoneticPr fontId="7" type="noConversion"/>
  </si>
  <si>
    <t>A1</t>
    <phoneticPr fontId="7" type="noConversion"/>
  </si>
  <si>
    <t>临商业街红线1/4标准深度占地面积／宗地总面积</t>
    <phoneticPr fontId="7" type="noConversion"/>
  </si>
  <si>
    <t>加价幅度</t>
    <phoneticPr fontId="7" type="noConversion"/>
  </si>
  <si>
    <t>A2</t>
  </si>
  <si>
    <t>临商业街红线1/4至2/4标准深度占地面积／宗地总面积</t>
    <phoneticPr fontId="7" type="noConversion"/>
  </si>
  <si>
    <t>标准深度（米）</t>
    <phoneticPr fontId="7" type="noConversion"/>
  </si>
  <si>
    <t>A3</t>
  </si>
  <si>
    <t>临商业街红线2/4至3/4标准深度占地面积／宗地总面积</t>
    <phoneticPr fontId="7" type="noConversion"/>
  </si>
  <si>
    <r>
      <t>1</t>
    </r>
    <r>
      <rPr>
        <sz val="10"/>
        <rFont val="宋体"/>
        <family val="3"/>
        <charset val="134"/>
      </rPr>
      <t>/4标准深度</t>
    </r>
    <phoneticPr fontId="7" type="noConversion"/>
  </si>
  <si>
    <t>A4</t>
  </si>
  <si>
    <t>临商业街红线3/4至4/4标准深度占地面积／宗地总面积</t>
    <phoneticPr fontId="7" type="noConversion"/>
  </si>
  <si>
    <t>宗地深度（米）</t>
    <phoneticPr fontId="7" type="noConversion"/>
  </si>
  <si>
    <t>特殊情况修正（居住用途）</t>
    <phoneticPr fontId="7" type="noConversion"/>
  </si>
  <si>
    <t>需根据项目情况调整公式修正项</t>
    <phoneticPr fontId="7" type="noConversion"/>
  </si>
  <si>
    <t>特殊情况</t>
    <phoneticPr fontId="7" type="noConversion"/>
  </si>
  <si>
    <t>公园</t>
    <phoneticPr fontId="7" type="noConversion"/>
  </si>
  <si>
    <t>水系</t>
    <phoneticPr fontId="7" type="noConversion"/>
  </si>
  <si>
    <t>中小学名校</t>
    <phoneticPr fontId="7" type="noConversion"/>
  </si>
  <si>
    <t>轨道交通站点周边（500米范围内）</t>
    <phoneticPr fontId="7" type="noConversion"/>
  </si>
  <si>
    <t>轨道交通站点周边（500-1000米）</t>
    <phoneticPr fontId="7" type="noConversion"/>
  </si>
  <si>
    <t>其他（垃圾填埋场/污水处理厂/殡葬长/重污染源）</t>
    <phoneticPr fontId="7" type="noConversion"/>
  </si>
  <si>
    <t>修正幅度</t>
    <phoneticPr fontId="7" type="noConversion"/>
  </si>
  <si>
    <t>修正系数</t>
    <phoneticPr fontId="7" type="noConversion"/>
  </si>
  <si>
    <t>固定值，不可调</t>
    <phoneticPr fontId="7" type="noConversion"/>
  </si>
  <si>
    <t>自定值，但修正幅度不超过±10%</t>
    <phoneticPr fontId="7" type="noConversion"/>
  </si>
  <si>
    <t>3、</t>
    <phoneticPr fontId="7" type="noConversion"/>
  </si>
  <si>
    <t>开发程度差异修正</t>
    <phoneticPr fontId="7" type="noConversion"/>
  </si>
  <si>
    <r>
      <t>需根据项目情况调整，公式：差异项相加÷</t>
    </r>
    <r>
      <rPr>
        <sz val="10"/>
        <rFont val="宋体"/>
        <family val="3"/>
        <charset val="134"/>
      </rPr>
      <t>级别平均容积率</t>
    </r>
    <phoneticPr fontId="7" type="noConversion"/>
  </si>
  <si>
    <t>估价对象开发程度</t>
    <phoneticPr fontId="7" type="noConversion"/>
  </si>
  <si>
    <t>七通一平</t>
    <phoneticPr fontId="7" type="noConversion"/>
  </si>
  <si>
    <t>级别开发程度</t>
    <phoneticPr fontId="7" type="noConversion"/>
  </si>
  <si>
    <t>级别平均容积率</t>
    <phoneticPr fontId="7" type="noConversion"/>
  </si>
  <si>
    <t>建设用地基础设施建设费（土地开发费）</t>
    <phoneticPr fontId="7" type="noConversion"/>
  </si>
  <si>
    <t>通路</t>
    <phoneticPr fontId="7" type="noConversion"/>
  </si>
  <si>
    <t>通电</t>
    <phoneticPr fontId="7" type="noConversion"/>
  </si>
  <si>
    <t>通讯</t>
    <phoneticPr fontId="7" type="noConversion"/>
  </si>
  <si>
    <t>通上水</t>
    <phoneticPr fontId="7" type="noConversion"/>
  </si>
  <si>
    <t>通下水</t>
    <phoneticPr fontId="7" type="noConversion"/>
  </si>
  <si>
    <t>通热</t>
    <phoneticPr fontId="7" type="noConversion"/>
  </si>
  <si>
    <t>通燃气</t>
    <phoneticPr fontId="7" type="noConversion"/>
  </si>
  <si>
    <t>平整</t>
    <phoneticPr fontId="7" type="noConversion"/>
  </si>
  <si>
    <t>1至2级</t>
    <phoneticPr fontId="7" type="noConversion"/>
  </si>
  <si>
    <t>3至7级</t>
    <phoneticPr fontId="7" type="noConversion"/>
  </si>
  <si>
    <t>8至12级</t>
    <phoneticPr fontId="7" type="noConversion"/>
  </si>
  <si>
    <t>二、</t>
    <phoneticPr fontId="7" type="noConversion"/>
  </si>
  <si>
    <t>用途修正系数</t>
    <phoneticPr fontId="7" type="noConversion"/>
  </si>
  <si>
    <t>参见基准地价用途修正系数表</t>
    <phoneticPr fontId="7" type="noConversion"/>
  </si>
  <si>
    <t>估价对象用途（需列二级分类确定）</t>
    <phoneticPr fontId="7" type="noConversion"/>
  </si>
  <si>
    <t>办公—商务金融用地</t>
    <phoneticPr fontId="7" type="noConversion"/>
  </si>
  <si>
    <t>三、</t>
    <phoneticPr fontId="7" type="noConversion"/>
  </si>
  <si>
    <t>期日修正指数</t>
    <phoneticPr fontId="7" type="noConversion"/>
  </si>
  <si>
    <r>
      <t>基准日</t>
    </r>
    <r>
      <rPr>
        <sz val="10"/>
        <rFont val="Times New Roman"/>
        <family val="1"/>
      </rPr>
      <t>2014.1.1</t>
    </r>
    <r>
      <rPr>
        <sz val="10"/>
        <rFont val="宋体"/>
        <family val="3"/>
        <charset val="134"/>
      </rPr>
      <t>地价水平</t>
    </r>
    <phoneticPr fontId="7" type="noConversion"/>
  </si>
  <si>
    <t>估价基准日地价水平</t>
    <phoneticPr fontId="7" type="noConversion"/>
  </si>
  <si>
    <t>or按照前4个季度的平均增长幅度确定？</t>
    <phoneticPr fontId="7" type="noConversion"/>
  </si>
  <si>
    <t>四、</t>
    <phoneticPr fontId="7" type="noConversion"/>
  </si>
  <si>
    <t>年期修正系数</t>
    <phoneticPr fontId="7" type="noConversion"/>
  </si>
  <si>
    <t>土地还原利率</t>
    <phoneticPr fontId="7" type="noConversion"/>
  </si>
  <si>
    <t>剩余使用年限</t>
    <phoneticPr fontId="7" type="noConversion"/>
  </si>
  <si>
    <t>法定最高使用年限</t>
    <phoneticPr fontId="7" type="noConversion"/>
  </si>
  <si>
    <t>用途</t>
    <phoneticPr fontId="7" type="noConversion"/>
  </si>
  <si>
    <t>上浮比率</t>
    <phoneticPr fontId="7" type="noConversion"/>
  </si>
  <si>
    <t>商业</t>
    <phoneticPr fontId="7" type="noConversion"/>
  </si>
  <si>
    <t>办公</t>
    <phoneticPr fontId="7" type="noConversion"/>
  </si>
  <si>
    <t>居住</t>
    <phoneticPr fontId="7" type="noConversion"/>
  </si>
  <si>
    <t>工业</t>
    <phoneticPr fontId="7" type="noConversion"/>
  </si>
  <si>
    <t>五、</t>
    <phoneticPr fontId="7" type="noConversion"/>
  </si>
  <si>
    <t>容积率/楼层修正</t>
    <phoneticPr fontId="7" type="noConversion"/>
  </si>
  <si>
    <t>根据项目情况选择容积率修正系数或楼层修正系数</t>
    <phoneticPr fontId="7" type="noConversion"/>
  </si>
  <si>
    <t>五-1</t>
    <phoneticPr fontId="7" type="noConversion"/>
  </si>
  <si>
    <t>容积率修正系数</t>
    <phoneticPr fontId="7" type="noConversion"/>
  </si>
  <si>
    <r>
      <t>R</t>
    </r>
    <r>
      <rPr>
        <sz val="10"/>
        <rFont val="Times New Roman"/>
        <family val="1"/>
      </rPr>
      <t>&lt;</t>
    </r>
    <r>
      <rPr>
        <sz val="10"/>
        <rFont val="宋体"/>
        <family val="3"/>
        <charset val="134"/>
      </rPr>
      <t>10</t>
    </r>
    <phoneticPr fontId="7" type="noConversion"/>
  </si>
  <si>
    <r>
      <t>宗地容积率</t>
    </r>
    <r>
      <rPr>
        <sz val="10"/>
        <rFont val="Times New Roman"/>
        <family val="1"/>
      </rPr>
      <t>R</t>
    </r>
    <phoneticPr fontId="7" type="noConversion"/>
  </si>
  <si>
    <r>
      <t>R1</t>
    </r>
    <r>
      <rPr>
        <sz val="10"/>
        <rFont val="宋体"/>
        <family val="3"/>
        <charset val="134"/>
      </rPr>
      <t/>
    </r>
    <phoneticPr fontId="7" type="noConversion"/>
  </si>
  <si>
    <t>R2</t>
    <phoneticPr fontId="7" type="noConversion"/>
  </si>
  <si>
    <r>
      <t>R1</t>
    </r>
    <r>
      <rPr>
        <sz val="10"/>
        <rFont val="宋体"/>
        <family val="3"/>
        <charset val="134"/>
      </rPr>
      <t>＜</t>
    </r>
    <r>
      <rPr>
        <sz val="10"/>
        <rFont val="Times New Roman"/>
        <family val="1"/>
      </rPr>
      <t>R&lt;R2</t>
    </r>
    <phoneticPr fontId="7" type="noConversion"/>
  </si>
  <si>
    <t>x1</t>
    <phoneticPr fontId="7" type="noConversion"/>
  </si>
  <si>
    <t>x2</t>
    <phoneticPr fontId="7" type="noConversion"/>
  </si>
  <si>
    <t>R&gt;10</t>
    <phoneticPr fontId="7" type="noConversion"/>
  </si>
  <si>
    <t>宗地容积率R</t>
    <phoneticPr fontId="7" type="noConversion"/>
  </si>
  <si>
    <t>1～2级</t>
    <phoneticPr fontId="7" type="noConversion"/>
  </si>
  <si>
    <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级</t>
    </r>
    <phoneticPr fontId="7" type="noConversion"/>
  </si>
  <si>
    <t>8～12级</t>
    <phoneticPr fontId="7" type="noConversion"/>
  </si>
  <si>
    <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级</t>
    </r>
    <phoneticPr fontId="7" type="noConversion"/>
  </si>
  <si>
    <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级</t>
    </r>
    <phoneticPr fontId="7" type="noConversion"/>
  </si>
  <si>
    <t>五-2</t>
    <phoneticPr fontId="7" type="noConversion"/>
  </si>
  <si>
    <t>楼层修正系数（商业）</t>
    <phoneticPr fontId="7" type="noConversion"/>
  </si>
  <si>
    <t>对应附表‘商业用途楼层修正系数表’录入相应值；商业优先采用楼层修正，不具备条件时采用容积率修正</t>
    <phoneticPr fontId="7" type="noConversion"/>
  </si>
  <si>
    <t>六、</t>
    <phoneticPr fontId="7" type="noConversion"/>
  </si>
  <si>
    <t>因素修正系数</t>
    <phoneticPr fontId="7" type="noConversion"/>
  </si>
  <si>
    <t>链接至‘因素总修正幅度’表</t>
    <phoneticPr fontId="7" type="noConversion"/>
  </si>
  <si>
    <t>七、</t>
    <phoneticPr fontId="7" type="noConversion"/>
  </si>
  <si>
    <t>估算结果</t>
    <phoneticPr fontId="7" type="noConversion"/>
  </si>
  <si>
    <t>七-1</t>
    <phoneticPr fontId="7" type="noConversion"/>
  </si>
  <si>
    <t>单价</t>
    <phoneticPr fontId="7" type="noConversion"/>
  </si>
  <si>
    <t>地上</t>
    <phoneticPr fontId="7" type="noConversion"/>
  </si>
  <si>
    <t>地上部分——楼面熟地价</t>
    <phoneticPr fontId="7" type="noConversion"/>
  </si>
  <si>
    <r>
      <t>楼面熟地价=适用的基准地价×用途修正系数×期日修正系数×年期修正系数×（</t>
    </r>
    <r>
      <rPr>
        <sz val="10"/>
        <color indexed="10"/>
        <rFont val="宋体"/>
        <family val="3"/>
        <charset val="134"/>
      </rPr>
      <t>容积率修正系数或楼层修正系数</t>
    </r>
    <r>
      <rPr>
        <sz val="10"/>
        <rFont val="宋体"/>
        <family val="3"/>
        <charset val="134"/>
      </rPr>
      <t>）×因素修正系数</t>
    </r>
    <phoneticPr fontId="7" type="noConversion"/>
  </si>
  <si>
    <t>地上部分——政府土地出让收益</t>
    <phoneticPr fontId="7" type="noConversion"/>
  </si>
  <si>
    <t>政府土地出让收益=楼面熟地价×政府土地出让收益比例</t>
    <phoneticPr fontId="7" type="noConversion"/>
  </si>
  <si>
    <r>
      <t>商业/办公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居住</t>
    </r>
    <phoneticPr fontId="7" type="noConversion"/>
  </si>
  <si>
    <t>依用途录入右侧计算结果</t>
    <phoneticPr fontId="7" type="noConversion"/>
  </si>
  <si>
    <t>工业</t>
    <phoneticPr fontId="7" type="noConversion"/>
  </si>
  <si>
    <t>地下</t>
    <phoneticPr fontId="7" type="noConversion"/>
  </si>
  <si>
    <t>地下部分——楼面熟地价</t>
    <phoneticPr fontId="7" type="noConversion"/>
  </si>
  <si>
    <t>楼面熟地价=适用的基准地价×期日修正系数×年期修正系数×因素修正系数×相应用途地下空间修正系数</t>
    <phoneticPr fontId="7" type="noConversion"/>
  </si>
  <si>
    <t>相应用途地下空间修正系数</t>
  </si>
  <si>
    <t>参见附表‘地下空间修正系数’</t>
    <phoneticPr fontId="7" type="noConversion"/>
  </si>
  <si>
    <t>地下部分——政府土地出让收益</t>
    <phoneticPr fontId="7" type="noConversion"/>
  </si>
  <si>
    <t>七-2</t>
    <phoneticPr fontId="7" type="noConversion"/>
  </si>
  <si>
    <t>总额</t>
    <phoneticPr fontId="7" type="noConversion"/>
  </si>
  <si>
    <t>地上部分</t>
    <phoneticPr fontId="7" type="noConversion"/>
  </si>
  <si>
    <t>地下部分</t>
    <phoneticPr fontId="7" type="noConversion"/>
  </si>
  <si>
    <t>依据《北京市区片基准地价因素总修正幅度表》按照用途确定修正幅度</t>
    <phoneticPr fontId="7" type="noConversion"/>
  </si>
  <si>
    <t>浅绿色底色为固定项，不可动</t>
    <phoneticPr fontId="7" type="noConversion"/>
  </si>
  <si>
    <t>选用值</t>
    <phoneticPr fontId="7" type="noConversion"/>
  </si>
  <si>
    <t>结果不可超过《北京市区片基准地价因素总修正幅度表》所列修正幅度；依据估价对象用途调整链接</t>
    <phoneticPr fontId="7" type="noConversion"/>
  </si>
  <si>
    <t>商业用途</t>
    <phoneticPr fontId="7" type="noConversion"/>
  </si>
  <si>
    <t>办公用途</t>
    <phoneticPr fontId="7" type="noConversion"/>
  </si>
  <si>
    <t>影响因素</t>
    <phoneticPr fontId="7" type="noConversion"/>
  </si>
  <si>
    <t>等级</t>
    <phoneticPr fontId="7" type="noConversion"/>
  </si>
  <si>
    <t>权重</t>
    <phoneticPr fontId="7" type="noConversion"/>
  </si>
  <si>
    <t>合计</t>
    <phoneticPr fontId="7" type="noConversion"/>
  </si>
  <si>
    <t>影响因素</t>
    <phoneticPr fontId="7" type="noConversion"/>
  </si>
  <si>
    <t>修正幅度</t>
    <phoneticPr fontId="7" type="noConversion"/>
  </si>
  <si>
    <t>权重</t>
    <phoneticPr fontId="7" type="noConversion"/>
  </si>
  <si>
    <t>合计</t>
    <phoneticPr fontId="7" type="noConversion"/>
  </si>
  <si>
    <t xml:space="preserve"> 商业繁华程度</t>
    <phoneticPr fontId="7" type="noConversion"/>
  </si>
  <si>
    <t>一般</t>
    <phoneticPr fontId="7" type="noConversion"/>
  </si>
  <si>
    <t>办公集聚程度</t>
    <phoneticPr fontId="7" type="noConversion"/>
  </si>
  <si>
    <t>较差</t>
    <phoneticPr fontId="7" type="noConversion"/>
  </si>
  <si>
    <t>交通便捷度</t>
    <phoneticPr fontId="7" type="noConversion"/>
  </si>
  <si>
    <t>区域土地利用方向</t>
    <phoneticPr fontId="7" type="noConversion"/>
  </si>
  <si>
    <t>一般</t>
    <phoneticPr fontId="7" type="noConversion"/>
  </si>
  <si>
    <t>临街宽度和深度</t>
    <phoneticPr fontId="7" type="noConversion"/>
  </si>
  <si>
    <t>临街道路状况</t>
    <phoneticPr fontId="7" type="noConversion"/>
  </si>
  <si>
    <t>临街道路状况</t>
    <phoneticPr fontId="7" type="noConversion"/>
  </si>
  <si>
    <t>宗地形状及可利用程度</t>
    <phoneticPr fontId="7" type="noConversion"/>
  </si>
  <si>
    <t>较好</t>
    <phoneticPr fontId="7" type="noConversion"/>
  </si>
  <si>
    <t>公共服务设施状况</t>
    <phoneticPr fontId="7" type="noConversion"/>
  </si>
  <si>
    <t>基础设施完备状况</t>
    <phoneticPr fontId="7" type="noConversion"/>
  </si>
  <si>
    <t>好</t>
    <phoneticPr fontId="7" type="noConversion"/>
  </si>
  <si>
    <t>自然和人文环境状况</t>
    <phoneticPr fontId="7" type="noConversion"/>
  </si>
  <si>
    <t>居住用途</t>
    <phoneticPr fontId="7" type="noConversion"/>
  </si>
  <si>
    <t>工业用途</t>
    <phoneticPr fontId="7" type="noConversion"/>
  </si>
  <si>
    <t>居住社区成熟度</t>
    <phoneticPr fontId="7" type="noConversion"/>
  </si>
  <si>
    <t>产业集聚程度</t>
    <phoneticPr fontId="7" type="noConversion"/>
  </si>
  <si>
    <t>较差</t>
    <phoneticPr fontId="7" type="noConversion"/>
  </si>
  <si>
    <t>交通便捷度</t>
    <phoneticPr fontId="7" type="noConversion"/>
  </si>
  <si>
    <t>临路状况</t>
    <phoneticPr fontId="7" type="noConversion"/>
  </si>
  <si>
    <t>环境状况</t>
    <phoneticPr fontId="7" type="noConversion"/>
  </si>
  <si>
    <t>与区域中心的接近程度</t>
    <phoneticPr fontId="7" type="noConversion"/>
  </si>
  <si>
    <t>公示地价指数</t>
    <phoneticPr fontId="36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</si>
  <si>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36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</si>
  <si>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36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</si>
  <si>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36" type="noConversion"/>
  </si>
  <si>
    <t>季度连乘</t>
    <phoneticPr fontId="3" type="noConversion"/>
  </si>
  <si>
    <t>平均增幅</t>
    <phoneticPr fontId="3" type="noConversion"/>
  </si>
  <si>
    <t>综合</t>
    <phoneticPr fontId="7" type="noConversion"/>
  </si>
  <si>
    <r>
      <rPr>
        <sz val="11"/>
        <color indexed="8"/>
        <rFont val="楷体_GB2312"/>
        <family val="3"/>
        <charset val="134"/>
      </rPr>
      <t>商业</t>
    </r>
    <phoneticPr fontId="7" type="noConversion"/>
  </si>
  <si>
    <t>住宅</t>
    <phoneticPr fontId="7" type="noConversion"/>
  </si>
  <si>
    <r>
      <rPr>
        <sz val="11"/>
        <color indexed="8"/>
        <rFont val="楷体_GB2312"/>
        <family val="3"/>
        <charset val="134"/>
      </rPr>
      <t>工业</t>
    </r>
    <phoneticPr fontId="7" type="noConversion"/>
  </si>
  <si>
    <t>商服</t>
    <phoneticPr fontId="7" type="noConversion"/>
  </si>
  <si>
    <t>本行不参与计算</t>
    <phoneticPr fontId="3" type="noConversion"/>
  </si>
  <si>
    <t>2018-2</t>
    <phoneticPr fontId="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</si>
  <si>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3" type="noConversion"/>
  </si>
  <si>
    <t>2018-1</t>
    <phoneticPr fontId="7" type="noConversion"/>
  </si>
  <si>
    <t>2017-4</t>
    <phoneticPr fontId="7" type="noConversion"/>
  </si>
  <si>
    <t>2017-3</t>
    <phoneticPr fontId="7" type="noConversion"/>
  </si>
  <si>
    <t>2017-2</t>
    <phoneticPr fontId="7" type="noConversion"/>
  </si>
  <si>
    <t>2017-1</t>
    <phoneticPr fontId="7" type="noConversion"/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</si>
  <si>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</si>
  <si>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</si>
  <si>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</si>
  <si>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</si>
  <si>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</si>
  <si>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</si>
  <si>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</si>
  <si>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</si>
  <si>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</si>
  <si>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</si>
  <si>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</si>
  <si>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</si>
  <si>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基准季度</t>
    <phoneticPr fontId="3" type="noConversion"/>
  </si>
  <si>
    <t>2013-4</t>
    <phoneticPr fontId="3" type="noConversion"/>
  </si>
  <si>
    <t>2013-3</t>
    <phoneticPr fontId="3" type="noConversion"/>
  </si>
  <si>
    <t>2013-2</t>
    <phoneticPr fontId="3" type="noConversion"/>
  </si>
  <si>
    <t>2013-1</t>
    <phoneticPr fontId="3" type="noConversion"/>
  </si>
  <si>
    <r>
      <t>2</t>
    </r>
    <r>
      <rPr>
        <sz val="10"/>
        <color theme="1"/>
        <rFont val="Arial"/>
        <family val="2"/>
      </rPr>
      <t>012-4</t>
    </r>
    <phoneticPr fontId="3" type="noConversion"/>
  </si>
  <si>
    <r>
      <t>2</t>
    </r>
    <r>
      <rPr>
        <sz val="10"/>
        <color theme="1"/>
        <rFont val="Arial"/>
        <family val="2"/>
      </rPr>
      <t>012-3</t>
    </r>
    <phoneticPr fontId="3" type="noConversion"/>
  </si>
  <si>
    <r>
      <t>2</t>
    </r>
    <r>
      <rPr>
        <sz val="10"/>
        <color theme="1"/>
        <rFont val="Arial"/>
        <family val="2"/>
      </rPr>
      <t>012-2</t>
    </r>
    <phoneticPr fontId="3" type="noConversion"/>
  </si>
  <si>
    <r>
      <t>2</t>
    </r>
    <r>
      <rPr>
        <sz val="10"/>
        <color theme="1"/>
        <rFont val="Arial"/>
        <family val="2"/>
      </rPr>
      <t>012-1</t>
    </r>
    <phoneticPr fontId="3" type="noConversion"/>
  </si>
  <si>
    <r>
      <t>2</t>
    </r>
    <r>
      <rPr>
        <sz val="10"/>
        <color theme="1"/>
        <rFont val="Arial"/>
        <family val="2"/>
      </rPr>
      <t>011-4</t>
    </r>
    <phoneticPr fontId="3" type="noConversion"/>
  </si>
  <si>
    <r>
      <t>2</t>
    </r>
    <r>
      <rPr>
        <sz val="10"/>
        <color theme="1"/>
        <rFont val="Arial"/>
        <family val="2"/>
      </rPr>
      <t>011-3</t>
    </r>
    <phoneticPr fontId="3" type="noConversion"/>
  </si>
  <si>
    <r>
      <t>2</t>
    </r>
    <r>
      <rPr>
        <sz val="10"/>
        <color theme="1"/>
        <rFont val="Arial"/>
        <family val="2"/>
      </rPr>
      <t>011-2</t>
    </r>
    <phoneticPr fontId="3" type="noConversion"/>
  </si>
  <si>
    <r>
      <t>2</t>
    </r>
    <r>
      <rPr>
        <sz val="10"/>
        <color theme="1"/>
        <rFont val="Arial"/>
        <family val="2"/>
      </rPr>
      <t>011-1</t>
    </r>
    <phoneticPr fontId="3" type="noConversion"/>
  </si>
  <si>
    <r>
      <t>2</t>
    </r>
    <r>
      <rPr>
        <sz val="10"/>
        <color theme="1"/>
        <rFont val="Arial"/>
        <family val="2"/>
      </rPr>
      <t>010-4</t>
    </r>
    <phoneticPr fontId="3" type="noConversion"/>
  </si>
  <si>
    <r>
      <t>2</t>
    </r>
    <r>
      <rPr>
        <sz val="10"/>
        <color theme="1"/>
        <rFont val="Arial"/>
        <family val="2"/>
      </rPr>
      <t>010-3</t>
    </r>
    <phoneticPr fontId="3" type="noConversion"/>
  </si>
  <si>
    <r>
      <t>2</t>
    </r>
    <r>
      <rPr>
        <sz val="10"/>
        <color theme="1"/>
        <rFont val="Arial"/>
        <family val="2"/>
      </rPr>
      <t>010-2</t>
    </r>
    <phoneticPr fontId="3" type="noConversion"/>
  </si>
  <si>
    <r>
      <t>2</t>
    </r>
    <r>
      <rPr>
        <sz val="10"/>
        <color theme="1"/>
        <rFont val="Arial"/>
        <family val="2"/>
      </rPr>
      <t>010-1</t>
    </r>
    <phoneticPr fontId="3" type="noConversion"/>
  </si>
  <si>
    <r>
      <t>2</t>
    </r>
    <r>
      <rPr>
        <sz val="10"/>
        <color theme="1"/>
        <rFont val="Arial"/>
        <family val="2"/>
      </rPr>
      <t>009-4</t>
    </r>
    <phoneticPr fontId="3" type="noConversion"/>
  </si>
  <si>
    <r>
      <t>2</t>
    </r>
    <r>
      <rPr>
        <sz val="10"/>
        <color theme="1"/>
        <rFont val="Arial"/>
        <family val="2"/>
      </rPr>
      <t>009-3</t>
    </r>
    <phoneticPr fontId="3" type="noConversion"/>
  </si>
  <si>
    <r>
      <t>2</t>
    </r>
    <r>
      <rPr>
        <sz val="10"/>
        <color theme="1"/>
        <rFont val="Arial"/>
        <family val="2"/>
      </rPr>
      <t>009-2</t>
    </r>
    <phoneticPr fontId="3" type="noConversion"/>
  </si>
  <si>
    <r>
      <t>2</t>
    </r>
    <r>
      <rPr>
        <sz val="10"/>
        <color theme="1"/>
        <rFont val="Arial"/>
        <family val="2"/>
      </rPr>
      <t>009-1</t>
    </r>
    <phoneticPr fontId="3" type="noConversion"/>
  </si>
  <si>
    <r>
      <t>2</t>
    </r>
    <r>
      <rPr>
        <sz val="10"/>
        <color theme="1"/>
        <rFont val="Arial"/>
        <family val="2"/>
      </rPr>
      <t>008-4</t>
    </r>
    <phoneticPr fontId="3" type="noConversion"/>
  </si>
  <si>
    <r>
      <t>2</t>
    </r>
    <r>
      <rPr>
        <sz val="10"/>
        <color theme="1"/>
        <rFont val="Arial"/>
        <family val="2"/>
      </rPr>
      <t>008-3</t>
    </r>
    <phoneticPr fontId="3" type="noConversion"/>
  </si>
  <si>
    <r>
      <t>2</t>
    </r>
    <r>
      <rPr>
        <sz val="10"/>
        <color theme="1"/>
        <rFont val="Arial"/>
        <family val="2"/>
      </rPr>
      <t>008-2</t>
    </r>
    <phoneticPr fontId="3" type="noConversion"/>
  </si>
  <si>
    <r>
      <t>2</t>
    </r>
    <r>
      <rPr>
        <sz val="10"/>
        <color theme="1"/>
        <rFont val="Arial"/>
        <family val="2"/>
      </rPr>
      <t>008-1</t>
    </r>
    <phoneticPr fontId="3" type="noConversion"/>
  </si>
  <si>
    <r>
      <t>2</t>
    </r>
    <r>
      <rPr>
        <sz val="10"/>
        <color theme="1"/>
        <rFont val="Arial"/>
        <family val="2"/>
      </rPr>
      <t>007-4</t>
    </r>
    <phoneticPr fontId="3" type="noConversion"/>
  </si>
  <si>
    <r>
      <t>2</t>
    </r>
    <r>
      <rPr>
        <sz val="10"/>
        <color theme="1"/>
        <rFont val="Arial"/>
        <family val="2"/>
      </rPr>
      <t>007-3</t>
    </r>
    <phoneticPr fontId="3" type="noConversion"/>
  </si>
  <si>
    <r>
      <t>2</t>
    </r>
    <r>
      <rPr>
        <sz val="10"/>
        <color theme="1"/>
        <rFont val="Arial"/>
        <family val="2"/>
      </rPr>
      <t>007-2</t>
    </r>
    <phoneticPr fontId="3" type="noConversion"/>
  </si>
  <si>
    <r>
      <t>2</t>
    </r>
    <r>
      <rPr>
        <sz val="10"/>
        <color theme="1"/>
        <rFont val="Arial"/>
        <family val="2"/>
      </rPr>
      <t>007-1</t>
    </r>
    <phoneticPr fontId="3" type="noConversion"/>
  </si>
  <si>
    <r>
      <t>2</t>
    </r>
    <r>
      <rPr>
        <sz val="10"/>
        <color theme="1"/>
        <rFont val="Arial"/>
        <family val="2"/>
      </rPr>
      <t>006-4</t>
    </r>
    <phoneticPr fontId="3" type="noConversion"/>
  </si>
  <si>
    <t>2006-3</t>
    <phoneticPr fontId="3" type="noConversion"/>
  </si>
  <si>
    <t>2006-2</t>
    <phoneticPr fontId="3" type="noConversion"/>
  </si>
  <si>
    <t>2006-1</t>
    <phoneticPr fontId="3" type="noConversion"/>
  </si>
  <si>
    <r>
      <t>2</t>
    </r>
    <r>
      <rPr>
        <sz val="10"/>
        <color theme="1"/>
        <rFont val="Arial"/>
        <family val="2"/>
      </rPr>
      <t>005-4</t>
    </r>
    <phoneticPr fontId="3" type="noConversion"/>
  </si>
  <si>
    <r>
      <t>2</t>
    </r>
    <r>
      <rPr>
        <sz val="10"/>
        <color theme="1"/>
        <rFont val="Arial"/>
        <family val="2"/>
      </rPr>
      <t>005-3</t>
    </r>
    <phoneticPr fontId="3" type="noConversion"/>
  </si>
  <si>
    <r>
      <t>2</t>
    </r>
    <r>
      <rPr>
        <sz val="10"/>
        <color theme="1"/>
        <rFont val="Arial"/>
        <family val="2"/>
      </rPr>
      <t>005-2</t>
    </r>
    <phoneticPr fontId="3" type="noConversion"/>
  </si>
  <si>
    <r>
      <t>2</t>
    </r>
    <r>
      <rPr>
        <sz val="10"/>
        <color theme="1"/>
        <rFont val="Arial"/>
        <family val="2"/>
      </rPr>
      <t>005-1</t>
    </r>
    <phoneticPr fontId="3" type="noConversion"/>
  </si>
  <si>
    <r>
      <t>2</t>
    </r>
    <r>
      <rPr>
        <sz val="10"/>
        <color theme="1"/>
        <rFont val="Arial"/>
        <family val="2"/>
      </rPr>
      <t>004-4</t>
    </r>
    <phoneticPr fontId="3" type="noConversion"/>
  </si>
  <si>
    <r>
      <t>2</t>
    </r>
    <r>
      <rPr>
        <sz val="10"/>
        <color theme="1"/>
        <rFont val="Arial"/>
        <family val="2"/>
      </rPr>
      <t>004-3</t>
    </r>
    <phoneticPr fontId="3" type="noConversion"/>
  </si>
  <si>
    <r>
      <t>2</t>
    </r>
    <r>
      <rPr>
        <sz val="10"/>
        <color theme="1"/>
        <rFont val="Arial"/>
        <family val="2"/>
      </rPr>
      <t>004-2</t>
    </r>
    <phoneticPr fontId="3" type="noConversion"/>
  </si>
  <si>
    <r>
      <t>2</t>
    </r>
    <r>
      <rPr>
        <sz val="10"/>
        <color theme="1"/>
        <rFont val="Arial"/>
        <family val="2"/>
      </rPr>
      <t>004-1</t>
    </r>
    <phoneticPr fontId="3" type="noConversion"/>
  </si>
  <si>
    <r>
      <t>2</t>
    </r>
    <r>
      <rPr>
        <sz val="10"/>
        <color theme="1"/>
        <rFont val="Arial"/>
        <family val="2"/>
      </rPr>
      <t>003-4</t>
    </r>
    <phoneticPr fontId="3" type="noConversion"/>
  </si>
  <si>
    <r>
      <t>2</t>
    </r>
    <r>
      <rPr>
        <sz val="10"/>
        <color theme="1"/>
        <rFont val="Arial"/>
        <family val="2"/>
      </rPr>
      <t>003-3</t>
    </r>
    <phoneticPr fontId="3" type="noConversion"/>
  </si>
  <si>
    <r>
      <t>2</t>
    </r>
    <r>
      <rPr>
        <sz val="10"/>
        <color theme="1"/>
        <rFont val="Arial"/>
        <family val="2"/>
      </rPr>
      <t>003-2</t>
    </r>
    <phoneticPr fontId="3" type="noConversion"/>
  </si>
  <si>
    <r>
      <t>2</t>
    </r>
    <r>
      <rPr>
        <sz val="10"/>
        <color theme="1"/>
        <rFont val="Arial"/>
        <family val="2"/>
      </rPr>
      <t>003-1</t>
    </r>
    <phoneticPr fontId="3" type="noConversion"/>
  </si>
  <si>
    <r>
      <t>2</t>
    </r>
    <r>
      <rPr>
        <sz val="10"/>
        <color theme="1"/>
        <rFont val="Arial"/>
        <family val="2"/>
      </rPr>
      <t>002-4</t>
    </r>
    <phoneticPr fontId="3" type="noConversion"/>
  </si>
  <si>
    <r>
      <t>2</t>
    </r>
    <r>
      <rPr>
        <sz val="10"/>
        <color theme="1"/>
        <rFont val="Arial"/>
        <family val="2"/>
      </rPr>
      <t>002-3</t>
    </r>
    <phoneticPr fontId="3" type="noConversion"/>
  </si>
  <si>
    <r>
      <t>2</t>
    </r>
    <r>
      <rPr>
        <sz val="10"/>
        <color theme="1"/>
        <rFont val="Arial"/>
        <family val="2"/>
      </rPr>
      <t>002-2</t>
    </r>
    <phoneticPr fontId="3" type="noConversion"/>
  </si>
  <si>
    <r>
      <t>2</t>
    </r>
    <r>
      <rPr>
        <sz val="10"/>
        <color theme="1"/>
        <rFont val="Arial"/>
        <family val="2"/>
      </rPr>
      <t>002-1</t>
    </r>
    <phoneticPr fontId="3" type="noConversion"/>
  </si>
  <si>
    <t>说明</t>
    <phoneticPr fontId="3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</si>
  <si>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3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</si>
  <si>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3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</si>
  <si>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3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</si>
  <si>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</si>
  <si>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</si>
  <si>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</si>
  <si>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</si>
  <si>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t>VI-昌1</t>
    <phoneticPr fontId="7" type="noConversion"/>
  </si>
  <si>
    <t>时间</t>
  </si>
  <si>
    <t>楼栋号</t>
  </si>
  <si>
    <t>单元号</t>
  </si>
  <si>
    <t>房间号</t>
  </si>
  <si>
    <t>许可证号</t>
  </si>
  <si>
    <t>物业类型</t>
  </si>
  <si>
    <t>户型</t>
  </si>
  <si>
    <t>成交面积(㎡)</t>
  </si>
  <si>
    <t>成交金额(万元)</t>
  </si>
  <si>
    <t>成交单价(元 /㎡)</t>
  </si>
  <si>
    <t>2017-03-23</t>
  </si>
  <si>
    <t>3号楼</t>
  </si>
  <si>
    <t>--</t>
  </si>
  <si>
    <t>2单元1602</t>
  </si>
  <si>
    <t>现：X京房权证昌字第552348号</t>
  </si>
  <si>
    <t>写字楼</t>
  </si>
  <si>
    <t>其他</t>
  </si>
  <si>
    <t>81</t>
  </si>
  <si>
    <t>320.25</t>
  </si>
  <si>
    <t>39620</t>
  </si>
  <si>
    <t>2单元1808</t>
  </si>
  <si>
    <t>93</t>
  </si>
  <si>
    <t>378.63</t>
  </si>
  <si>
    <t>40920</t>
  </si>
  <si>
    <t>6号楼</t>
  </si>
  <si>
    <t>2单元308</t>
  </si>
  <si>
    <t>现：X京房权证昌字第550979号</t>
  </si>
  <si>
    <t>115</t>
  </si>
  <si>
    <t>469.75</t>
  </si>
  <si>
    <t>40720</t>
  </si>
  <si>
    <t>1单元302</t>
  </si>
  <si>
    <t>112</t>
  </si>
  <si>
    <t>472.43</t>
  </si>
  <si>
    <t>42020</t>
  </si>
  <si>
    <t>七通一平</t>
    <phoneticPr fontId="7" type="noConversion"/>
  </si>
  <si>
    <t>综合</t>
    <phoneticPr fontId="7" type="noConversion"/>
  </si>
  <si>
    <r>
      <rPr>
        <sz val="11"/>
        <color indexed="8"/>
        <rFont val="楷体_GB2312"/>
        <family val="3"/>
        <charset val="134"/>
      </rPr>
      <t>商业</t>
    </r>
    <phoneticPr fontId="7" type="noConversion"/>
  </si>
  <si>
    <t>住宅</t>
    <phoneticPr fontId="7" type="noConversion"/>
  </si>
  <si>
    <r>
      <rPr>
        <sz val="11"/>
        <color indexed="8"/>
        <rFont val="楷体_GB2312"/>
        <family val="3"/>
        <charset val="134"/>
      </rPr>
      <t>工业</t>
    </r>
    <phoneticPr fontId="7" type="noConversion"/>
  </si>
  <si>
    <t>商服</t>
    <phoneticPr fontId="7" type="noConversion"/>
  </si>
  <si>
    <t>本行不参与计算</t>
    <phoneticPr fontId="3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</si>
  <si>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3" type="noConversion"/>
  </si>
  <si>
    <t>2018-1</t>
    <phoneticPr fontId="7" type="noConversion"/>
  </si>
  <si>
    <t>2017-4</t>
    <phoneticPr fontId="7" type="noConversion"/>
  </si>
  <si>
    <t>综合</t>
  </si>
  <si>
    <t>商服</t>
  </si>
  <si>
    <t>住宅</t>
  </si>
  <si>
    <t>工业</t>
  </si>
  <si>
    <t>年度</t>
  </si>
  <si>
    <t>年度/季度</t>
  </si>
  <si>
    <t>整年</t>
  </si>
  <si>
    <t>1季度</t>
  </si>
  <si>
    <t>2季度</t>
  </si>
  <si>
    <t>3季度</t>
  </si>
  <si>
    <t>容积率</t>
    <phoneticPr fontId="1" type="noConversion"/>
  </si>
  <si>
    <t>较好</t>
  </si>
  <si>
    <t>一般</t>
  </si>
  <si>
    <t>好</t>
  </si>
  <si>
    <t>办公集聚程度</t>
    <phoneticPr fontId="7" type="noConversion"/>
  </si>
  <si>
    <t>较差</t>
    <phoneticPr fontId="7" type="noConversion"/>
  </si>
  <si>
    <t>区域土地利用方向</t>
    <phoneticPr fontId="7" type="noConversion"/>
  </si>
  <si>
    <t>宗地形状及可利用程度</t>
    <phoneticPr fontId="7" type="noConversion"/>
  </si>
  <si>
    <t>公共服务设施状况</t>
    <phoneticPr fontId="7" type="noConversion"/>
  </si>
  <si>
    <t>基础设施完备状况</t>
    <phoneticPr fontId="7" type="noConversion"/>
  </si>
  <si>
    <t>临路状况</t>
    <phoneticPr fontId="7" type="noConversion"/>
  </si>
  <si>
    <t>环境状况</t>
    <phoneticPr fontId="7" type="noConversion"/>
  </si>
  <si>
    <t>按公式增长率</t>
    <phoneticPr fontId="1" type="noConversion"/>
  </si>
  <si>
    <t>公式增长率</t>
    <phoneticPr fontId="1" type="noConversion"/>
  </si>
  <si>
    <t>基准地价（商业）</t>
    <phoneticPr fontId="7" type="noConversion"/>
  </si>
  <si>
    <t>商业—批发零售用地</t>
    <phoneticPr fontId="7" type="noConversion"/>
  </si>
  <si>
    <t>办公</t>
    <phoneticPr fontId="1" type="noConversion"/>
  </si>
  <si>
    <t>商业</t>
    <phoneticPr fontId="1" type="noConversion"/>
  </si>
  <si>
    <t>说明：R为宗地地上容积率</t>
    <phoneticPr fontId="7" type="noConversion"/>
  </si>
  <si>
    <t>对应所在楼层的修正系数</t>
    <phoneticPr fontId="7" type="noConversion"/>
  </si>
  <si>
    <t>录入估价对象楼层</t>
    <phoneticPr fontId="7" type="noConversion"/>
  </si>
  <si>
    <t>地上第7层及以上各层</t>
    <phoneticPr fontId="7" type="noConversion"/>
  </si>
  <si>
    <t>地上第6层</t>
  </si>
  <si>
    <t>地上第5层</t>
  </si>
  <si>
    <t>地上第4层</t>
  </si>
  <si>
    <t>地上第3层</t>
  </si>
  <si>
    <t>地上第2层</t>
  </si>
  <si>
    <t>地上第1层</t>
    <phoneticPr fontId="7" type="noConversion"/>
  </si>
  <si>
    <t>录入估价对象容积率</t>
    <phoneticPr fontId="7" type="noConversion"/>
  </si>
  <si>
    <t>容积率</t>
    <phoneticPr fontId="7" type="noConversion"/>
  </si>
  <si>
    <r>
      <t>商业R</t>
    </r>
    <r>
      <rPr>
        <sz val="10"/>
        <color indexed="8"/>
        <rFont val="宋体"/>
        <family val="3"/>
        <charset val="134"/>
      </rPr>
      <t>&lt;1</t>
    </r>
    <phoneticPr fontId="7" type="noConversion"/>
  </si>
  <si>
    <r>
      <t>商业R</t>
    </r>
    <r>
      <rPr>
        <sz val="10"/>
        <color indexed="8"/>
        <rFont val="仿宋_GB2312"/>
        <family val="3"/>
        <charset val="134"/>
      </rPr>
      <t>≥</t>
    </r>
    <r>
      <rPr>
        <sz val="10"/>
        <color indexed="8"/>
        <rFont val="宋体"/>
        <family val="3"/>
        <charset val="134"/>
      </rPr>
      <t>1</t>
    </r>
    <phoneticPr fontId="7" type="noConversion"/>
  </si>
  <si>
    <t>八至十二级</t>
    <phoneticPr fontId="7" type="noConversion"/>
  </si>
  <si>
    <t>三至七级</t>
    <phoneticPr fontId="7" type="noConversion"/>
  </si>
  <si>
    <t>一至二级</t>
    <phoneticPr fontId="7" type="noConversion"/>
  </si>
  <si>
    <t>楼层修正系数</t>
    <phoneticPr fontId="7" type="noConversion"/>
  </si>
  <si>
    <t>所在楼层</t>
    <phoneticPr fontId="7" type="noConversion"/>
  </si>
  <si>
    <t>用途</t>
    <phoneticPr fontId="7" type="noConversion"/>
  </si>
  <si>
    <t>北京市基准地价商业用途楼层修正系数表</t>
    <phoneticPr fontId="7" type="noConversion"/>
  </si>
  <si>
    <t>浅灰色底色为录入项</t>
    <phoneticPr fontId="7" type="noConversion"/>
  </si>
  <si>
    <t>北京市基准地价地下空间修正系数表</t>
    <phoneticPr fontId="7" type="noConversion"/>
  </si>
  <si>
    <t>地下空间    用途</t>
    <phoneticPr fontId="7" type="noConversion"/>
  </si>
  <si>
    <t>适用基准    地价</t>
    <phoneticPr fontId="7" type="noConversion"/>
  </si>
  <si>
    <t>楼层</t>
    <phoneticPr fontId="7" type="noConversion"/>
  </si>
  <si>
    <t>地下空间修正系数</t>
    <phoneticPr fontId="7" type="noConversion"/>
  </si>
  <si>
    <t>一至二级</t>
    <phoneticPr fontId="7" type="noConversion"/>
  </si>
  <si>
    <t>三至七级</t>
    <phoneticPr fontId="7" type="noConversion"/>
  </si>
  <si>
    <t>八至十二级</t>
    <phoneticPr fontId="7" type="noConversion"/>
  </si>
  <si>
    <t>地下商业</t>
    <phoneticPr fontId="7" type="noConversion"/>
  </si>
  <si>
    <t>商业用途    比准类别</t>
    <phoneticPr fontId="7" type="noConversion"/>
  </si>
  <si>
    <t>地下第1层</t>
    <phoneticPr fontId="7" type="noConversion"/>
  </si>
  <si>
    <t>地下第2层</t>
  </si>
  <si>
    <t>地下第3层</t>
  </si>
  <si>
    <t>地下第4层及以下各层</t>
    <phoneticPr fontId="7" type="noConversion"/>
  </si>
  <si>
    <t>地下办公</t>
    <phoneticPr fontId="7" type="noConversion"/>
  </si>
  <si>
    <t>办公用途    比准类别</t>
    <phoneticPr fontId="7" type="noConversion"/>
  </si>
  <si>
    <t>—</t>
    <phoneticPr fontId="7" type="noConversion"/>
  </si>
  <si>
    <t>地下仓储</t>
    <phoneticPr fontId="7" type="noConversion"/>
  </si>
  <si>
    <t>地上主用途  比准类别</t>
    <phoneticPr fontId="7" type="noConversion"/>
  </si>
  <si>
    <t>地下车库</t>
    <phoneticPr fontId="7" type="noConversion"/>
  </si>
  <si>
    <t>按公式增长率</t>
    <phoneticPr fontId="1" type="noConversion"/>
  </si>
  <si>
    <t>现行1-3年期贷款利率</t>
    <phoneticPr fontId="7" type="noConversion"/>
  </si>
  <si>
    <r>
      <t>市场比较法</t>
    </r>
    <r>
      <rPr>
        <b/>
        <sz val="16"/>
        <color indexed="10"/>
        <rFont val="仿宋_GB2312"/>
        <family val="3"/>
        <charset val="134"/>
      </rPr>
      <t>（商业）</t>
    </r>
    <phoneticPr fontId="7" type="noConversion"/>
  </si>
  <si>
    <t>比较因素</t>
    <phoneticPr fontId="7" type="noConversion"/>
  </si>
  <si>
    <t>估价对象</t>
    <phoneticPr fontId="7" type="noConversion"/>
  </si>
  <si>
    <t>案例A</t>
    <phoneticPr fontId="7" type="noConversion"/>
  </si>
  <si>
    <t>案例B</t>
    <phoneticPr fontId="7" type="noConversion"/>
  </si>
  <si>
    <t>案例C</t>
    <phoneticPr fontId="7" type="noConversion"/>
  </si>
  <si>
    <t>项目坐落</t>
    <phoneticPr fontId="7" type="noConversion"/>
  </si>
  <si>
    <t>交易时间</t>
    <phoneticPr fontId="7" type="noConversion"/>
  </si>
  <si>
    <t>每向后一季度，相应修正一级</t>
    <phoneticPr fontId="7" type="noConversion"/>
  </si>
  <si>
    <t>100/</t>
    <phoneticPr fontId="7" type="noConversion"/>
  </si>
  <si>
    <t>交易情况</t>
    <phoneticPr fontId="7" type="noConversion"/>
  </si>
  <si>
    <t>估价对象及各案例均为正常，故不做修正</t>
    <phoneticPr fontId="7" type="noConversion"/>
  </si>
  <si>
    <t>——</t>
    <phoneticPr fontId="7" type="noConversion"/>
  </si>
  <si>
    <t>100/</t>
    <phoneticPr fontId="7" type="noConversion"/>
  </si>
  <si>
    <t>用途</t>
    <phoneticPr fontId="7" type="noConversion"/>
  </si>
  <si>
    <t>估价对象及各案例均为住宅，故不做修正</t>
    <phoneticPr fontId="7" type="noConversion"/>
  </si>
  <si>
    <t>100/</t>
    <phoneticPr fontId="7" type="noConversion"/>
  </si>
  <si>
    <t>45（含）-50、40（含）-45、35（含）-40、30（含）-35、25（含）-30、25以下</t>
    <phoneticPr fontId="7" type="noConversion"/>
  </si>
  <si>
    <t>容积率</t>
    <phoneticPr fontId="7" type="noConversion"/>
  </si>
  <si>
    <t>0-1（含）、1-2（含）、2-3（含）、3-4（含）、4-5（含）、5-6（含）、6-7（含）、7-8（含）、8以上</t>
    <phoneticPr fontId="7" type="noConversion"/>
  </si>
  <si>
    <t>区域因素</t>
    <phoneticPr fontId="7" type="noConversion"/>
  </si>
  <si>
    <t>商业繁华度</t>
    <phoneticPr fontId="7" type="noConversion"/>
  </si>
  <si>
    <t>好、较好、一般、较差、差</t>
    <phoneticPr fontId="7" type="noConversion"/>
  </si>
  <si>
    <t>100/</t>
    <phoneticPr fontId="7" type="noConversion"/>
  </si>
  <si>
    <t>交通便捷度</t>
    <phoneticPr fontId="7" type="noConversion"/>
  </si>
  <si>
    <t>好、较好、一般、较差、差</t>
    <phoneticPr fontId="7" type="noConversion"/>
  </si>
  <si>
    <t>区域基础设施完备状况</t>
    <phoneticPr fontId="7" type="noConversion"/>
  </si>
  <si>
    <t>七通、六通、五通、四通、三通、临时三通</t>
    <phoneticPr fontId="7" type="noConversion"/>
  </si>
  <si>
    <t>自然及人文环境状况</t>
    <phoneticPr fontId="7" type="noConversion"/>
  </si>
  <si>
    <t>公共服务设施状况</t>
    <phoneticPr fontId="7" type="noConversion"/>
  </si>
  <si>
    <t>齐全、较齐全、一般、较不齐全、不齐全</t>
    <phoneticPr fontId="7" type="noConversion"/>
  </si>
  <si>
    <t>特殊因素</t>
    <phoneticPr fontId="7" type="noConversion"/>
  </si>
  <si>
    <t>个别因素</t>
    <phoneticPr fontId="7" type="noConversion"/>
  </si>
  <si>
    <t>商业类型</t>
    <phoneticPr fontId="7" type="noConversion"/>
  </si>
  <si>
    <t>商业街商铺、独栋商业、沿街商铺、写字楼配套、住宅配套</t>
    <phoneticPr fontId="7" type="noConversion"/>
  </si>
  <si>
    <t>建筑结构</t>
    <phoneticPr fontId="7" type="noConversion"/>
  </si>
  <si>
    <t>钢、钢混、砖混、砖木</t>
    <phoneticPr fontId="7" type="noConversion"/>
  </si>
  <si>
    <t>建筑面积（平方米）</t>
    <phoneticPr fontId="7" type="noConversion"/>
  </si>
  <si>
    <t>层高</t>
    <phoneticPr fontId="7" type="noConversion"/>
  </si>
  <si>
    <t>6米（含）以上、4（含）-6米、4米以下</t>
    <phoneticPr fontId="7" type="noConversion"/>
  </si>
  <si>
    <t>100/</t>
  </si>
  <si>
    <t>楼层</t>
    <phoneticPr fontId="7" type="noConversion"/>
  </si>
  <si>
    <t>1层、2层、3层及下沉式广场地下1层、4层及地下1层、5层及地下2层</t>
    <phoneticPr fontId="7" type="noConversion"/>
  </si>
  <si>
    <r>
      <rPr>
        <sz val="10.5"/>
        <color indexed="10"/>
        <rFont val="仿宋_GB2312"/>
        <family val="3"/>
        <charset val="134"/>
      </rPr>
      <t>宗地</t>
    </r>
    <r>
      <rPr>
        <sz val="10.5"/>
        <color indexed="8"/>
        <rFont val="仿宋_GB2312"/>
        <family val="3"/>
        <charset val="134"/>
      </rPr>
      <t>基础设施条件</t>
    </r>
    <phoneticPr fontId="7" type="noConversion"/>
  </si>
  <si>
    <t>七通、六通、五通、四通、三通、临时三通</t>
    <phoneticPr fontId="7" type="noConversion"/>
  </si>
  <si>
    <t>内部装修</t>
    <phoneticPr fontId="7" type="noConversion"/>
  </si>
  <si>
    <t>豪装、精装、普装、简装、毛坯</t>
    <phoneticPr fontId="7" type="noConversion"/>
  </si>
  <si>
    <t>物业等级</t>
    <phoneticPr fontId="7" type="noConversion"/>
  </si>
  <si>
    <t>专业、普通、单位或居委会、无</t>
    <phoneticPr fontId="7" type="noConversion"/>
  </si>
  <si>
    <t>成新率</t>
    <phoneticPr fontId="7" type="noConversion"/>
  </si>
  <si>
    <t>以估价对象为基准，每增加或减少一年，相应增减一级；95%-100%（含）、90%-95%（含）、85%-90%（含）、80%-85%（含）、75%-80%（含）、70%-75%（含）、70%（含）以下</t>
    <phoneticPr fontId="7" type="noConversion"/>
  </si>
  <si>
    <t>业态</t>
    <phoneticPr fontId="7" type="noConversion"/>
  </si>
  <si>
    <t>可餐饮、不可餐饮</t>
    <phoneticPr fontId="7" type="noConversion"/>
  </si>
  <si>
    <t>可视性</t>
    <phoneticPr fontId="7" type="noConversion"/>
  </si>
  <si>
    <t>好、较好、一般、较差、差</t>
    <phoneticPr fontId="7" type="noConversion"/>
  </si>
  <si>
    <t>所属项目临路级别</t>
    <phoneticPr fontId="7" type="noConversion"/>
  </si>
  <si>
    <t>城市高速路、城市快速路、城市主干道（含国道）、城市次干道、城市支路、规划路</t>
    <phoneticPr fontId="7" type="noConversion"/>
  </si>
  <si>
    <t>临街状况</t>
    <phoneticPr fontId="7" type="noConversion"/>
  </si>
  <si>
    <t>街角地、双面临街、单面临街、不临街</t>
    <phoneticPr fontId="7" type="noConversion"/>
  </si>
  <si>
    <t>成交单价（元/平方米）</t>
    <phoneticPr fontId="7" type="noConversion"/>
  </si>
  <si>
    <t>——</t>
    <phoneticPr fontId="7" type="noConversion"/>
  </si>
  <si>
    <t>备注：以上修正因素从左到右依次向下修正一级</t>
    <phoneticPr fontId="7" type="noConversion"/>
  </si>
  <si>
    <t>销售单价</t>
    <phoneticPr fontId="7" type="noConversion"/>
  </si>
  <si>
    <t>比准价格（元/平方米）</t>
    <phoneticPr fontId="7" type="noConversion"/>
  </si>
  <si>
    <t>估价对象比准价格为三个案例比准价格的简单算术平均值</t>
    <phoneticPr fontId="7" type="noConversion"/>
  </si>
  <si>
    <t>比准价格</t>
    <phoneticPr fontId="7" type="noConversion"/>
  </si>
  <si>
    <t>楼面价格</t>
    <phoneticPr fontId="7" type="noConversion"/>
  </si>
  <si>
    <t>建筑面积</t>
    <phoneticPr fontId="7" type="noConversion"/>
  </si>
  <si>
    <t>房地产总值</t>
    <phoneticPr fontId="7" type="noConversion"/>
  </si>
  <si>
    <t>修正幅度</t>
    <phoneticPr fontId="7" type="noConversion"/>
  </si>
  <si>
    <t>案例之间差不能超过30%</t>
    <phoneticPr fontId="7" type="noConversion"/>
  </si>
  <si>
    <r>
      <t>市场比较法</t>
    </r>
    <r>
      <rPr>
        <b/>
        <sz val="16"/>
        <color indexed="10"/>
        <rFont val="仿宋_GB2312"/>
        <family val="3"/>
        <charset val="134"/>
      </rPr>
      <t>（办公）</t>
    </r>
    <phoneticPr fontId="7" type="noConversion"/>
  </si>
  <si>
    <t>比较因素</t>
    <phoneticPr fontId="7" type="noConversion"/>
  </si>
  <si>
    <t>估价对象</t>
    <phoneticPr fontId="7" type="noConversion"/>
  </si>
  <si>
    <t>案例A</t>
    <phoneticPr fontId="7" type="noConversion"/>
  </si>
  <si>
    <t>案例B</t>
    <phoneticPr fontId="7" type="noConversion"/>
  </si>
  <si>
    <t>案例C</t>
    <phoneticPr fontId="7" type="noConversion"/>
  </si>
  <si>
    <t>项目名称</t>
    <phoneticPr fontId="7" type="noConversion"/>
  </si>
  <si>
    <t>项目坐落</t>
    <phoneticPr fontId="7" type="noConversion"/>
  </si>
  <si>
    <t>交易时间</t>
    <phoneticPr fontId="7" type="noConversion"/>
  </si>
  <si>
    <t>每向后一季度，相应修正一级</t>
    <phoneticPr fontId="7" type="noConversion"/>
  </si>
  <si>
    <t>交易情况</t>
    <phoneticPr fontId="7" type="noConversion"/>
  </si>
  <si>
    <t>估价对象及各案例均为正常，故不做修正</t>
    <phoneticPr fontId="7" type="noConversion"/>
  </si>
  <si>
    <t>估价对象及各案例均为住宅，故不做修正</t>
    <phoneticPr fontId="7" type="noConversion"/>
  </si>
  <si>
    <t>土地使用年限</t>
    <phoneticPr fontId="7" type="noConversion"/>
  </si>
  <si>
    <t>45（含）-50、40（含）-45、35（含）-40、30（含）-35、25（含）-30、25以下</t>
    <phoneticPr fontId="7" type="noConversion"/>
  </si>
  <si>
    <t>0-1（含）、1-2（含）、2-3（含）、3-4（含）、4-5（含）、5-6（含）、6-7（含）、7-8（含）、8以上</t>
    <phoneticPr fontId="7" type="noConversion"/>
  </si>
  <si>
    <t>区域因素</t>
    <phoneticPr fontId="7" type="noConversion"/>
  </si>
  <si>
    <t>办公集聚度</t>
    <phoneticPr fontId="7" type="noConversion"/>
  </si>
  <si>
    <t>交通便捷度</t>
    <phoneticPr fontId="7" type="noConversion"/>
  </si>
  <si>
    <t>区域基础设施完备状况</t>
    <phoneticPr fontId="7" type="noConversion"/>
  </si>
  <si>
    <t>自然及人文环境状况</t>
    <phoneticPr fontId="7" type="noConversion"/>
  </si>
  <si>
    <t>公共服务设施状况</t>
    <phoneticPr fontId="7" type="noConversion"/>
  </si>
  <si>
    <t>齐全、较齐全、一般、较不齐全、不齐全</t>
    <phoneticPr fontId="7" type="noConversion"/>
  </si>
  <si>
    <t>特殊因素</t>
    <phoneticPr fontId="7" type="noConversion"/>
  </si>
  <si>
    <t>建筑类型</t>
    <phoneticPr fontId="7" type="noConversion"/>
  </si>
  <si>
    <t>独栋办公楼、普通办公楼</t>
    <phoneticPr fontId="7" type="noConversion"/>
  </si>
  <si>
    <t>建筑结构</t>
    <phoneticPr fontId="7" type="noConversion"/>
  </si>
  <si>
    <t>钢、钢混、砖混、砖木</t>
    <phoneticPr fontId="7" type="noConversion"/>
  </si>
  <si>
    <t>以估价对象为基准，每高或低一层，系数相应增减一级</t>
    <phoneticPr fontId="7" type="noConversion"/>
  </si>
  <si>
    <t>物业等级</t>
    <phoneticPr fontId="7" type="noConversion"/>
  </si>
  <si>
    <t>甲级、乙级、丙级、未评级</t>
    <phoneticPr fontId="7" type="noConversion"/>
  </si>
  <si>
    <t>公共部分装修</t>
    <phoneticPr fontId="7" type="noConversion"/>
  </si>
  <si>
    <t xml:space="preserve"> 恒大幸福家园</t>
    <phoneticPr fontId="7" type="noConversion"/>
  </si>
  <si>
    <t>昌平区高教园北四街6号院</t>
    <phoneticPr fontId="7" type="noConversion"/>
  </si>
  <si>
    <t>（发证时间是2016年11月，设定至估价期日均匀售出，取时间的中点为交易日期进行修正）</t>
  </si>
  <si>
    <t>2016-11</t>
    <phoneticPr fontId="1" type="noConversion"/>
  </si>
  <si>
    <t>2016-12</t>
  </si>
  <si>
    <t>2017-1</t>
    <phoneticPr fontId="1" type="noConversion"/>
  </si>
  <si>
    <t>2017-2</t>
    <phoneticPr fontId="1" type="noConversion"/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</si>
  <si>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</si>
  <si>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</si>
  <si>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</si>
  <si>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</si>
  <si>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</si>
  <si>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</si>
  <si>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</si>
  <si>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</si>
  <si>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</si>
  <si>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</si>
  <si>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2018-1</t>
    <phoneticPr fontId="1" type="noConversion"/>
  </si>
  <si>
    <t>2018-2</t>
  </si>
  <si>
    <t>2018-3</t>
  </si>
  <si>
    <t>2018-4</t>
  </si>
  <si>
    <t>2018-5</t>
  </si>
  <si>
    <t>正常</t>
    <phoneticPr fontId="1" type="noConversion"/>
  </si>
  <si>
    <t>商业</t>
    <phoneticPr fontId="1" type="noConversion"/>
  </si>
  <si>
    <t>40</t>
    <phoneticPr fontId="1" type="noConversion"/>
  </si>
  <si>
    <t>2.5</t>
    <phoneticPr fontId="1" type="noConversion"/>
  </si>
  <si>
    <t>较好</t>
    <phoneticPr fontId="1" type="noConversion"/>
  </si>
  <si>
    <t>一般</t>
    <phoneticPr fontId="1" type="noConversion"/>
  </si>
  <si>
    <t>最高土地使用年限</t>
    <phoneticPr fontId="7" type="noConversion"/>
  </si>
  <si>
    <t>40年</t>
    <phoneticPr fontId="1" type="noConversion"/>
  </si>
  <si>
    <t>钢混</t>
    <phoneticPr fontId="1" type="noConversion"/>
  </si>
  <si>
    <t>具备“七通”条件</t>
    <phoneticPr fontId="1" type="noConversion"/>
  </si>
  <si>
    <t>毛坯</t>
    <phoneticPr fontId="1" type="noConversion"/>
  </si>
  <si>
    <t>昌平区农学院北路9号院二区</t>
    <phoneticPr fontId="7" type="noConversion"/>
  </si>
  <si>
    <t>2016-7</t>
    <phoneticPr fontId="1" type="noConversion"/>
  </si>
  <si>
    <t>2016-8</t>
    <phoneticPr fontId="1" type="noConversion"/>
  </si>
  <si>
    <t>2016-9</t>
  </si>
  <si>
    <t>2016-10</t>
  </si>
  <si>
    <t>2017年6月</t>
    <phoneticPr fontId="1" type="noConversion"/>
  </si>
  <si>
    <t>紫晶七星大厦</t>
    <phoneticPr fontId="7" type="noConversion"/>
  </si>
  <si>
    <t>昌平区文华东路8号院</t>
    <phoneticPr fontId="7" type="noConversion"/>
  </si>
  <si>
    <t>2014-8</t>
    <phoneticPr fontId="1" type="noConversion"/>
  </si>
  <si>
    <t>天通苑</t>
    <phoneticPr fontId="7" type="noConversion"/>
  </si>
  <si>
    <t xml:space="preserve"> 昌平区天通中苑二区</t>
    <phoneticPr fontId="7" type="noConversion"/>
  </si>
  <si>
    <t>2015-7</t>
    <phoneticPr fontId="1" type="noConversion"/>
  </si>
  <si>
    <t>珠江摩尔国际中心</t>
    <phoneticPr fontId="7" type="noConversion"/>
  </si>
  <si>
    <t>2.8</t>
    <phoneticPr fontId="1" type="noConversion"/>
  </si>
  <si>
    <t>3.2</t>
    <phoneticPr fontId="1" type="noConversion"/>
  </si>
  <si>
    <t>1.6</t>
    <phoneticPr fontId="1" type="noConversion"/>
  </si>
  <si>
    <t>绿地云谷中心</t>
    <phoneticPr fontId="7" type="noConversion"/>
  </si>
  <si>
    <t>领秀慧谷小区</t>
    <phoneticPr fontId="7" type="noConversion"/>
  </si>
  <si>
    <t>部位</t>
  </si>
  <si>
    <t>用途</t>
  </si>
  <si>
    <t>出让建筑面积</t>
  </si>
  <si>
    <t>楼面熟地单价</t>
  </si>
  <si>
    <t>需补缴地价款</t>
  </si>
  <si>
    <t>地面熟地单价</t>
  </si>
  <si>
    <r>
      <t>（</t>
    </r>
    <r>
      <rPr>
        <b/>
        <sz val="10.5"/>
        <color rgb="FF000000"/>
        <rFont val="华文仿宋"/>
        <family val="3"/>
        <charset val="134"/>
      </rPr>
      <t>㎡</t>
    </r>
    <r>
      <rPr>
        <b/>
        <sz val="10.5"/>
        <color rgb="FF000000"/>
        <rFont val="仿宋_GB2312"/>
        <family val="3"/>
        <charset val="134"/>
      </rPr>
      <t>）</t>
    </r>
  </si>
  <si>
    <r>
      <t>（元/</t>
    </r>
    <r>
      <rPr>
        <b/>
        <sz val="10.5"/>
        <color rgb="FF000000"/>
        <rFont val="华文仿宋"/>
        <family val="3"/>
        <charset val="134"/>
      </rPr>
      <t>㎡</t>
    </r>
    <r>
      <rPr>
        <b/>
        <sz val="10.5"/>
        <color rgb="FF000000"/>
        <rFont val="仿宋_GB2312"/>
        <family val="3"/>
        <charset val="134"/>
      </rPr>
      <t>）</t>
    </r>
  </si>
  <si>
    <t>熟地总价</t>
  </si>
  <si>
    <t>(万元）</t>
  </si>
  <si>
    <t>地上</t>
  </si>
  <si>
    <t>新增</t>
  </si>
  <si>
    <t>面积</t>
  </si>
  <si>
    <t>小计</t>
  </si>
  <si>
    <t>政府土地出让收益单价</t>
  </si>
  <si>
    <t>地面单价</t>
  </si>
  <si>
    <t>政府土地出让收益总价(万元）</t>
  </si>
  <si>
    <t>地下</t>
  </si>
  <si>
    <t>地下车库</t>
  </si>
  <si>
    <t>合计</t>
  </si>
  <si>
    <t>变更用途</t>
    <phoneticPr fontId="1" type="noConversion"/>
  </si>
  <si>
    <t>办公</t>
    <phoneticPr fontId="1" type="noConversion"/>
  </si>
  <si>
    <t>地下商业</t>
  </si>
  <si>
    <t>地下商业</t>
    <phoneticPr fontId="1" type="noConversion"/>
  </si>
  <si>
    <t>地下车库</t>
    <phoneticPr fontId="1" type="noConversion"/>
  </si>
  <si>
    <t>=</t>
    <phoneticPr fontId="1" type="noConversion"/>
  </si>
  <si>
    <t>转换用途</t>
    <phoneticPr fontId="1" type="noConversion"/>
  </si>
  <si>
    <t>结果表</t>
    <phoneticPr fontId="3" type="noConversion"/>
  </si>
  <si>
    <t>用途</t>
    <phoneticPr fontId="3" type="noConversion"/>
  </si>
  <si>
    <t>方法</t>
    <phoneticPr fontId="3" type="noConversion"/>
  </si>
  <si>
    <t>权重</t>
    <phoneticPr fontId="3" type="noConversion"/>
  </si>
  <si>
    <t>楼面单价</t>
    <phoneticPr fontId="3" type="noConversion"/>
  </si>
  <si>
    <t>剩余法</t>
    <phoneticPr fontId="3" type="noConversion"/>
  </si>
  <si>
    <t>基准地价</t>
    <phoneticPr fontId="3" type="noConversion"/>
  </si>
  <si>
    <t>地下办公36.64</t>
    <phoneticPr fontId="3" type="noConversion"/>
  </si>
  <si>
    <t>地下商业26.63</t>
    <phoneticPr fontId="3" type="noConversion"/>
  </si>
  <si>
    <t>地下仓储50</t>
    <phoneticPr fontId="3" type="noConversion"/>
  </si>
  <si>
    <t>地上商业40年</t>
    <phoneticPr fontId="3" type="noConversion"/>
  </si>
  <si>
    <t>地上办公50年</t>
    <phoneticPr fontId="3" type="noConversion"/>
  </si>
  <si>
    <t>地下商业28.88年</t>
    <phoneticPr fontId="3" type="noConversion"/>
  </si>
  <si>
    <t>地下车库38.88年</t>
    <phoneticPr fontId="3" type="noConversion"/>
  </si>
  <si>
    <t>地面单价</t>
    <phoneticPr fontId="3" type="noConversion"/>
  </si>
  <si>
    <t>位置</t>
    <phoneticPr fontId="3" type="noConversion"/>
  </si>
  <si>
    <t>面积</t>
    <phoneticPr fontId="3" type="noConversion"/>
  </si>
  <si>
    <t>熟地单价</t>
    <phoneticPr fontId="3" type="noConversion"/>
  </si>
  <si>
    <t>熟地单价差额</t>
    <phoneticPr fontId="3" type="noConversion"/>
  </si>
  <si>
    <t>熟地总价</t>
    <phoneticPr fontId="3" type="noConversion"/>
  </si>
  <si>
    <t>政府土地出让收益单价</t>
    <phoneticPr fontId="3" type="noConversion"/>
  </si>
  <si>
    <t>总价</t>
    <phoneticPr fontId="3" type="noConversion"/>
  </si>
  <si>
    <t>分摊土地面积</t>
    <phoneticPr fontId="3" type="noConversion"/>
  </si>
  <si>
    <t>——</t>
    <phoneticPr fontId="3" type="noConversion"/>
  </si>
  <si>
    <t>地下</t>
    <phoneticPr fontId="3" type="noConversion"/>
  </si>
  <si>
    <t>新增文体活动站</t>
    <phoneticPr fontId="3" type="noConversion"/>
  </si>
  <si>
    <t>新增物业管理用房</t>
    <phoneticPr fontId="3" type="noConversion"/>
  </si>
  <si>
    <t>贮藏室转物业管理用房</t>
    <phoneticPr fontId="3" type="noConversion"/>
  </si>
  <si>
    <t>合计</t>
    <phoneticPr fontId="3" type="noConversion"/>
  </si>
  <si>
    <t>地上</t>
    <phoneticPr fontId="3" type="noConversion"/>
  </si>
  <si>
    <t>变更用途</t>
    <phoneticPr fontId="1" type="noConversion"/>
  </si>
  <si>
    <t>商业转为商务办公</t>
    <phoneticPr fontId="1" type="noConversion"/>
  </si>
  <si>
    <t>商业</t>
  </si>
  <si>
    <r>
      <t>（</t>
    </r>
    <r>
      <rPr>
        <b/>
        <sz val="12"/>
        <color rgb="FF000000"/>
        <rFont val="华文仿宋"/>
        <family val="3"/>
        <charset val="134"/>
      </rPr>
      <t>㎡</t>
    </r>
    <r>
      <rPr>
        <b/>
        <sz val="12"/>
        <color rgb="FF000000"/>
        <rFont val="仿宋_GB2312"/>
        <family val="3"/>
        <charset val="134"/>
      </rPr>
      <t>）</t>
    </r>
  </si>
  <si>
    <r>
      <t>（元/</t>
    </r>
    <r>
      <rPr>
        <b/>
        <sz val="12"/>
        <color rgb="FF000000"/>
        <rFont val="华文仿宋"/>
        <family val="3"/>
        <charset val="134"/>
      </rPr>
      <t>㎡</t>
    </r>
    <r>
      <rPr>
        <b/>
        <sz val="12"/>
        <color rgb="FF000000"/>
        <rFont val="仿宋_GB2312"/>
        <family val="3"/>
        <charset val="134"/>
      </rPr>
      <t>）</t>
    </r>
  </si>
  <si>
    <t>调整</t>
  </si>
  <si>
    <t>商务办公</t>
  </si>
  <si>
    <t>（增加）</t>
  </si>
  <si>
    <r>
      <t>12951.41</t>
    </r>
    <r>
      <rPr>
        <b/>
        <sz val="12"/>
        <color rgb="FFFF0000"/>
        <rFont val="仿宋_GB2312"/>
        <family val="3"/>
        <charset val="134"/>
      </rPr>
      <t>（增加）</t>
    </r>
  </si>
  <si>
    <t>出让建筑</t>
  </si>
  <si>
    <r>
      <t>（</t>
    </r>
    <r>
      <rPr>
        <b/>
        <sz val="12"/>
        <color rgb="FF000000"/>
        <rFont val="华文仿宋"/>
        <family val="3"/>
        <charset val="134"/>
      </rPr>
      <t>㎡</t>
    </r>
    <r>
      <rPr>
        <b/>
        <sz val="12"/>
        <color theme="1"/>
        <rFont val="仿宋_GB2312"/>
        <family val="3"/>
        <charset val="134"/>
      </rPr>
      <t>）</t>
    </r>
  </si>
  <si>
    <t>楼面熟地</t>
  </si>
  <si>
    <t>单价</t>
  </si>
  <si>
    <r>
      <t>（元/</t>
    </r>
    <r>
      <rPr>
        <b/>
        <sz val="12"/>
        <color rgb="FF000000"/>
        <rFont val="华文仿宋"/>
        <family val="3"/>
        <charset val="134"/>
      </rPr>
      <t>㎡</t>
    </r>
    <r>
      <rPr>
        <b/>
        <sz val="12"/>
        <color theme="1"/>
        <rFont val="仿宋_GB2312"/>
        <family val="3"/>
        <charset val="134"/>
      </rPr>
      <t>）</t>
    </r>
  </si>
  <si>
    <t>商业、商务办公用途之差</t>
  </si>
  <si>
    <t>熟地价</t>
    <phoneticPr fontId="1" type="noConversion"/>
  </si>
  <si>
    <t>楼面熟地单价</t>
    <phoneticPr fontId="1" type="noConversion"/>
  </si>
  <si>
    <t>权重楼面熟地单价</t>
    <phoneticPr fontId="3" type="noConversion"/>
  </si>
  <si>
    <r>
      <t>Ã</t>
    </r>
    <r>
      <rPr>
        <b/>
        <sz val="12"/>
        <color theme="1"/>
        <rFont val="宋体"/>
        <family val="3"/>
        <charset val="134"/>
        <scheme val="minor"/>
      </rPr>
      <t>需补缴地价款</t>
    </r>
  </si>
  <si>
    <t>增加</t>
    <phoneticPr fontId="1" type="noConversion"/>
  </si>
  <si>
    <r>
      <rPr>
        <sz val="12"/>
        <color theme="1"/>
        <rFont val="宋体"/>
        <family val="2"/>
        <charset val="134"/>
      </rPr>
      <t>（增加）</t>
    </r>
    <phoneticPr fontId="1" type="noConversion"/>
  </si>
  <si>
    <t>(减少）</t>
    <phoneticPr fontId="1" type="noConversion"/>
  </si>
  <si>
    <t>变更后面积</t>
    <phoneticPr fontId="1" type="noConversion"/>
  </si>
  <si>
    <t>——</t>
    <phoneticPr fontId="1" type="noConversion"/>
  </si>
  <si>
    <t>——</t>
    <phoneticPr fontId="1" type="noConversion"/>
  </si>
  <si>
    <t>办公B</t>
    <phoneticPr fontId="1" type="noConversion"/>
  </si>
  <si>
    <t>A</t>
    <phoneticPr fontId="1" type="noConversion"/>
  </si>
  <si>
    <t>平均2018年1月</t>
    <phoneticPr fontId="3" type="noConversion"/>
  </si>
  <si>
    <t>c</t>
    <phoneticPr fontId="1" type="noConversion"/>
  </si>
  <si>
    <t>合计</t>
    <phoneticPr fontId="1" type="noConversion"/>
  </si>
  <si>
    <t>2017-4</t>
    <phoneticPr fontId="7" type="noConversion"/>
  </si>
  <si>
    <t>2017-3</t>
    <phoneticPr fontId="7" type="noConversion"/>
  </si>
  <si>
    <t>2017-2</t>
    <phoneticPr fontId="7" type="noConversion"/>
  </si>
  <si>
    <t>2017-1</t>
    <phoneticPr fontId="7" type="noConversion"/>
  </si>
  <si>
    <t>政府土地出让收入单价</t>
    <phoneticPr fontId="1" type="noConversion"/>
  </si>
  <si>
    <t>政府土地出让收入总价</t>
    <phoneticPr fontId="1" type="noConversion"/>
  </si>
  <si>
    <t>总面积：4884</t>
    <phoneticPr fontId="1" type="noConversion"/>
  </si>
  <si>
    <t>合计</t>
    <phoneticPr fontId="1" type="noConversion"/>
  </si>
  <si>
    <t>基准地价</t>
    <phoneticPr fontId="1" type="noConversion"/>
  </si>
  <si>
    <t>地下商业</t>
    <phoneticPr fontId="1" type="noConversion"/>
  </si>
  <si>
    <t>剩余</t>
    <phoneticPr fontId="1" type="noConversion"/>
  </si>
  <si>
    <t>地下车库</t>
    <phoneticPr fontId="1" type="noConversion"/>
  </si>
  <si>
    <t>年期修正</t>
    <phoneticPr fontId="1" type="noConversion"/>
  </si>
  <si>
    <t>地下车库楼面熟地价＝适用基准地价（参照地上主用途办公用途比准类别）×期日修正系数×年期修正系数×因素修正系数×相应用途地下空间修正系数</t>
    <phoneticPr fontId="3" type="noConversion"/>
  </si>
  <si>
    <t>地下商业楼面熟地价＝适用基准地价（参照地上主用途办公用途比准类别）×期日修正系数×年期修正系数×因素修正系数×相应用途地下空间修正系数</t>
    <phoneticPr fontId="3" type="noConversion"/>
  </si>
  <si>
    <t>综合</t>
    <phoneticPr fontId="7" type="noConversion"/>
  </si>
  <si>
    <t>商服</t>
    <phoneticPr fontId="7" type="noConversion"/>
  </si>
  <si>
    <t>住宅</t>
    <phoneticPr fontId="7" type="noConversion"/>
  </si>
  <si>
    <r>
      <rPr>
        <sz val="11"/>
        <color indexed="8"/>
        <rFont val="楷体_GB2312"/>
        <family val="3"/>
        <charset val="134"/>
      </rPr>
      <t>工业</t>
    </r>
    <phoneticPr fontId="7" type="noConversion"/>
  </si>
  <si>
    <r>
      <rPr>
        <sz val="10"/>
        <color rgb="FF707070"/>
        <rFont val="宋体"/>
        <family val="3"/>
        <charset val="134"/>
      </rPr>
      <t>年度</t>
    </r>
    <r>
      <rPr>
        <sz val="12"/>
        <color rgb="FF7030A0"/>
        <rFont val="Arial"/>
        <family val="2"/>
      </rPr>
      <t>/</t>
    </r>
    <r>
      <rPr>
        <sz val="12"/>
        <color rgb="FF7030A0"/>
        <rFont val="仿宋_GB2312"/>
        <family val="3"/>
        <charset val="134"/>
      </rPr>
      <t>季度</t>
    </r>
    <phoneticPr fontId="1" type="noConversion"/>
  </si>
  <si>
    <t>（减少）</t>
  </si>
  <si>
    <t>楼面政府土地出让收益单价</t>
  </si>
  <si>
    <r>
      <t>558</t>
    </r>
    <r>
      <rPr>
        <sz val="12"/>
        <color rgb="FFFF0000"/>
        <rFont val="仿宋_GB2312"/>
        <family val="3"/>
        <charset val="134"/>
      </rPr>
      <t>（增加）</t>
    </r>
  </si>
  <si>
    <r>
      <t xml:space="preserve">216.44 </t>
    </r>
    <r>
      <rPr>
        <sz val="12"/>
        <color rgb="FFFF0000"/>
        <rFont val="仿宋_GB2312"/>
        <family val="3"/>
        <charset val="134"/>
      </rPr>
      <t>（增加）</t>
    </r>
  </si>
  <si>
    <r>
      <t>216.44</t>
    </r>
    <r>
      <rPr>
        <sz val="12"/>
        <color rgb="FFFF0000"/>
        <rFont val="仿宋_GB2312"/>
        <family val="3"/>
        <charset val="134"/>
      </rPr>
      <t>（增加）</t>
    </r>
    <r>
      <rPr>
        <sz val="12"/>
        <color rgb="FFFF0000"/>
        <rFont val="Arial"/>
        <family val="2"/>
      </rPr>
      <t xml:space="preserve"> </t>
    </r>
  </si>
  <si>
    <r>
      <t xml:space="preserve">3400.67 </t>
    </r>
    <r>
      <rPr>
        <b/>
        <sz val="12"/>
        <color rgb="FFFF0000"/>
        <rFont val="仿宋_GB2312"/>
        <family val="3"/>
        <charset val="134"/>
      </rPr>
      <t>（增加）</t>
    </r>
  </si>
  <si>
    <t>新增面积</t>
  </si>
  <si>
    <r>
      <t>216.44</t>
    </r>
    <r>
      <rPr>
        <sz val="12"/>
        <color rgb="FFFF0000"/>
        <rFont val="仿宋_GB2312"/>
        <family val="3"/>
        <charset val="134"/>
      </rPr>
      <t>（增加）</t>
    </r>
    <r>
      <rPr>
        <b/>
        <sz val="12"/>
        <color rgb="FFFF0000"/>
        <rFont val="Arial"/>
        <family val="2"/>
      </rPr>
      <t xml:space="preserve"> </t>
    </r>
  </si>
  <si>
    <t>地上</t>
    <phoneticPr fontId="1" type="noConversion"/>
  </si>
  <si>
    <t>商务办公</t>
    <phoneticPr fontId="1" type="noConversion"/>
  </si>
  <si>
    <t>基准地价法</t>
    <phoneticPr fontId="1" type="noConversion"/>
  </si>
  <si>
    <t>剩余法</t>
    <phoneticPr fontId="1" type="noConversion"/>
  </si>
  <si>
    <t>楼面熟地单价</t>
    <phoneticPr fontId="1" type="noConversion"/>
  </si>
  <si>
    <t>熟地总价</t>
    <phoneticPr fontId="1" type="noConversion"/>
  </si>
  <si>
    <t>地面熟地单价</t>
    <phoneticPr fontId="1" type="noConversion"/>
  </si>
  <si>
    <t>地面熟地总价</t>
    <phoneticPr fontId="1" type="noConversion"/>
  </si>
  <si>
    <t>方法</t>
    <phoneticPr fontId="1" type="noConversion"/>
  </si>
  <si>
    <t>用途</t>
    <phoneticPr fontId="1" type="noConversion"/>
  </si>
  <si>
    <t>部位</t>
    <phoneticPr fontId="1" type="noConversion"/>
  </si>
  <si>
    <t>权重楼面熟地总价</t>
    <phoneticPr fontId="3" type="noConversion"/>
  </si>
  <si>
    <r>
      <t>Ã</t>
    </r>
    <r>
      <rPr>
        <b/>
        <sz val="14"/>
        <color theme="1"/>
        <rFont val="仿宋_GB2312"/>
        <family val="3"/>
        <charset val="134"/>
      </rPr>
      <t>政府土地出让收益</t>
    </r>
    <phoneticPr fontId="1" type="noConversion"/>
  </si>
  <si>
    <t>需补缴地价款</t>
    <phoneticPr fontId="1" type="noConversion"/>
  </si>
  <si>
    <r>
      <t>139</t>
    </r>
    <r>
      <rPr>
        <sz val="12"/>
        <color theme="1"/>
        <rFont val="仿宋_GB2312"/>
        <family val="3"/>
        <charset val="134"/>
      </rPr>
      <t>（减少）</t>
    </r>
  </si>
  <si>
    <r>
      <t>571.47</t>
    </r>
    <r>
      <rPr>
        <sz val="12"/>
        <color theme="1"/>
        <rFont val="仿宋_GB2312"/>
        <family val="3"/>
        <charset val="134"/>
      </rPr>
      <t>（减少）</t>
    </r>
  </si>
  <si>
    <r>
      <t>1216.6</t>
    </r>
    <r>
      <rPr>
        <sz val="12"/>
        <color theme="1"/>
        <rFont val="仿宋_GB2312"/>
        <family val="3"/>
        <charset val="134"/>
      </rPr>
      <t>（减少）</t>
    </r>
  </si>
  <si>
    <r>
      <t>13388</t>
    </r>
    <r>
      <rPr>
        <sz val="12"/>
        <color theme="1"/>
        <rFont val="仿宋_GB2312"/>
        <family val="3"/>
        <charset val="134"/>
      </rPr>
      <t>（增加）</t>
    </r>
  </si>
  <si>
    <r>
      <t>3083.26</t>
    </r>
    <r>
      <rPr>
        <sz val="12"/>
        <color theme="1"/>
        <rFont val="仿宋_GB2312"/>
        <family val="3"/>
        <charset val="134"/>
      </rPr>
      <t>（增加）</t>
    </r>
  </si>
  <si>
    <r>
      <t>3998</t>
    </r>
    <r>
      <rPr>
        <sz val="12"/>
        <color theme="1"/>
        <rFont val="仿宋_GB2312"/>
        <family val="3"/>
        <charset val="134"/>
      </rPr>
      <t>（增加）</t>
    </r>
  </si>
  <si>
    <r>
      <t>955.92</t>
    </r>
    <r>
      <rPr>
        <sz val="12"/>
        <color theme="1"/>
        <rFont val="仿宋_GB2312"/>
        <family val="3"/>
        <charset val="134"/>
      </rPr>
      <t>（增加）</t>
    </r>
  </si>
  <si>
    <r>
      <t>3467.71</t>
    </r>
    <r>
      <rPr>
        <sz val="12"/>
        <color theme="1"/>
        <rFont val="仿宋_GB2312"/>
        <family val="3"/>
        <charset val="134"/>
      </rPr>
      <t>（增加）</t>
    </r>
  </si>
  <si>
    <r>
      <t>Ã</t>
    </r>
    <r>
      <rPr>
        <b/>
        <sz val="14"/>
        <color theme="1"/>
        <rFont val="仿宋_GB2312"/>
        <family val="3"/>
        <charset val="134"/>
      </rPr>
      <t>熟地价</t>
    </r>
  </si>
  <si>
    <r>
      <t>Ã</t>
    </r>
    <r>
      <rPr>
        <sz val="14"/>
        <color theme="1"/>
        <rFont val="仿宋_GB2312"/>
        <family val="3"/>
        <charset val="134"/>
      </rPr>
      <t>政府土地出让收益</t>
    </r>
  </si>
  <si>
    <r>
      <t>（</t>
    </r>
    <r>
      <rPr>
        <b/>
        <sz val="12"/>
        <color theme="1"/>
        <rFont val="华文仿宋"/>
        <family val="3"/>
        <charset val="134"/>
      </rPr>
      <t>㎡</t>
    </r>
    <r>
      <rPr>
        <b/>
        <sz val="12"/>
        <color theme="1"/>
        <rFont val="仿宋_GB2312"/>
        <family val="3"/>
        <charset val="134"/>
      </rPr>
      <t>）</t>
    </r>
  </si>
  <si>
    <r>
      <t>（元/</t>
    </r>
    <r>
      <rPr>
        <b/>
        <sz val="12"/>
        <color theme="1"/>
        <rFont val="华文仿宋"/>
        <family val="3"/>
        <charset val="134"/>
      </rPr>
      <t>㎡</t>
    </r>
    <r>
      <rPr>
        <b/>
        <sz val="12"/>
        <color theme="1"/>
        <rFont val="仿宋_GB2312"/>
        <family val="3"/>
        <charset val="134"/>
      </rPr>
      <t>）</t>
    </r>
  </si>
  <si>
    <r>
      <t>-143.89</t>
    </r>
    <r>
      <rPr>
        <sz val="12"/>
        <color theme="1"/>
        <rFont val="仿宋_GB2312"/>
        <family val="3"/>
        <charset val="134"/>
      </rPr>
      <t>（减少）</t>
    </r>
  </si>
  <si>
    <r>
      <t>3347</t>
    </r>
    <r>
      <rPr>
        <sz val="12"/>
        <color theme="1"/>
        <rFont val="仿宋_GB2312"/>
        <family val="3"/>
        <charset val="134"/>
      </rPr>
      <t>（增加）</t>
    </r>
  </si>
  <si>
    <r>
      <t>770.81</t>
    </r>
    <r>
      <rPr>
        <sz val="12"/>
        <color theme="1"/>
        <rFont val="仿宋_GB2312"/>
        <family val="3"/>
        <charset val="134"/>
      </rPr>
      <t>（增加）</t>
    </r>
  </si>
  <si>
    <r>
      <t>1000</t>
    </r>
    <r>
      <rPr>
        <sz val="12"/>
        <color theme="1"/>
        <rFont val="仿宋_GB2312"/>
        <family val="3"/>
        <charset val="134"/>
      </rPr>
      <t>（增加）</t>
    </r>
  </si>
  <si>
    <r>
      <t>239.1</t>
    </r>
    <r>
      <rPr>
        <sz val="12"/>
        <color theme="1"/>
        <rFont val="仿宋_GB2312"/>
        <family val="3"/>
        <charset val="134"/>
      </rPr>
      <t>（增加）</t>
    </r>
  </si>
  <si>
    <r>
      <t>866.02</t>
    </r>
    <r>
      <rPr>
        <b/>
        <sz val="12"/>
        <color theme="1"/>
        <rFont val="仿宋_GB2312"/>
        <family val="3"/>
        <charset val="134"/>
      </rPr>
      <t>（增加）</t>
    </r>
  </si>
  <si>
    <r>
      <t>139</t>
    </r>
    <r>
      <rPr>
        <sz val="12"/>
        <color rgb="FFFF0000"/>
        <rFont val="仿宋_GB2312"/>
        <family val="3"/>
        <charset val="134"/>
      </rPr>
      <t>（减少）</t>
    </r>
  </si>
  <si>
    <r>
      <t>571.47</t>
    </r>
    <r>
      <rPr>
        <sz val="12"/>
        <color rgb="FFFF0000"/>
        <rFont val="仿宋_GB2312"/>
        <family val="3"/>
        <charset val="134"/>
      </rPr>
      <t>（减少）</t>
    </r>
  </si>
  <si>
    <r>
      <t>770.81</t>
    </r>
    <r>
      <rPr>
        <sz val="12"/>
        <color rgb="FFFF0000"/>
        <rFont val="仿宋_GB2312"/>
        <family val="3"/>
        <charset val="134"/>
      </rPr>
      <t>（增加）</t>
    </r>
  </si>
  <si>
    <r>
      <t>239.1</t>
    </r>
    <r>
      <rPr>
        <sz val="12"/>
        <color rgb="FFFF0000"/>
        <rFont val="仿宋_GB2312"/>
        <family val="3"/>
        <charset val="134"/>
      </rPr>
      <t>（增加）</t>
    </r>
  </si>
  <si>
    <r>
      <t>1009.91</t>
    </r>
    <r>
      <rPr>
        <sz val="12"/>
        <color rgb="FFFF0000"/>
        <rFont val="仿宋_GB2312"/>
        <family val="3"/>
        <charset val="134"/>
      </rPr>
      <t>（增加）</t>
    </r>
    <r>
      <rPr>
        <b/>
        <sz val="12"/>
        <color rgb="FFFF0000"/>
        <rFont val="Arial"/>
        <family val="2"/>
      </rPr>
      <t xml:space="preserve"> </t>
    </r>
  </si>
  <si>
    <r>
      <t>438.44</t>
    </r>
    <r>
      <rPr>
        <b/>
        <sz val="12"/>
        <color rgb="FFFF0000"/>
        <rFont val="仿宋_GB2312"/>
        <family val="3"/>
        <charset val="134"/>
      </rPr>
      <t>（增加）</t>
    </r>
  </si>
  <si>
    <t>地面单价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</si>
</sst>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00_ "/>
    <numFmt numFmtId="177" formatCode="0.0%"/>
    <numFmt numFmtId="178" formatCode="0.0000_);[Red]\(0.0000\)"/>
    <numFmt numFmtId="179" formatCode="0.000_ "/>
    <numFmt numFmtId="180" formatCode="0_ "/>
    <numFmt numFmtId="181" formatCode="0_);[Red]\(0\)"/>
    <numFmt numFmtId="182" formatCode="0.0_ "/>
    <numFmt numFmtId="183" formatCode="0.00_ "/>
    <numFmt numFmtId="184" formatCode="0.000_);[Red]\(0.000\)"/>
  </numFmts>
  <fonts count="1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Adobe 黑体 Std R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4"/>
      <color theme="3" tint="0.3999755851924192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sz val="10"/>
      <color theme="9" tint="-0.249977111117893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theme="1"/>
      <name val="Tahoma"/>
      <family val="2"/>
    </font>
    <font>
      <u/>
      <sz val="12"/>
      <color indexed="12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theme="5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b/>
      <sz val="10"/>
      <color theme="1"/>
      <name val="Arial"/>
      <family val="2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b/>
      <sz val="10"/>
      <color theme="1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707070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rgb="FF707070"/>
      <name val="宋体"/>
      <family val="3"/>
      <charset val="134"/>
    </font>
    <font>
      <sz val="10"/>
      <name val="仿宋_GB2312"/>
      <family val="3"/>
      <charset val="134"/>
    </font>
    <font>
      <sz val="10"/>
      <color rgb="FF00B050"/>
      <name val="宋体"/>
      <family val="3"/>
      <charset val="134"/>
    </font>
    <font>
      <sz val="11"/>
      <color rgb="FF00B050"/>
      <name val="宋体"/>
      <family val="2"/>
      <charset val="134"/>
      <scheme val="minor"/>
    </font>
    <font>
      <sz val="9"/>
      <color rgb="FF70707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.5"/>
      <color theme="1"/>
      <name val="仿宋_GB2312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name val="仿宋_GB2312"/>
      <family val="3"/>
      <charset val="134"/>
    </font>
    <font>
      <b/>
      <sz val="16"/>
      <color indexed="10"/>
      <name val="仿宋_GB2312"/>
      <family val="3"/>
      <charset val="134"/>
    </font>
    <font>
      <b/>
      <sz val="16"/>
      <name val="楷体_GB2312"/>
      <family val="3"/>
      <charset val="134"/>
    </font>
    <font>
      <sz val="10"/>
      <name val="楷体_GB2312"/>
      <family val="3"/>
      <charset val="134"/>
    </font>
    <font>
      <sz val="8"/>
      <color indexed="8"/>
      <name val="仿宋_GB2312"/>
      <family val="3"/>
      <charset val="134"/>
    </font>
    <font>
      <sz val="8"/>
      <color theme="9" tint="-0.249977111117893"/>
      <name val="仿宋_GB2312"/>
      <family val="3"/>
      <charset val="134"/>
    </font>
    <font>
      <sz val="10.5"/>
      <color indexed="10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8"/>
      <name val="仿宋_GB2312"/>
      <family val="3"/>
      <charset val="134"/>
    </font>
    <font>
      <b/>
      <sz val="8"/>
      <name val="仿宋_GB2312"/>
      <family val="3"/>
      <charset val="134"/>
    </font>
    <font>
      <b/>
      <sz val="10"/>
      <name val="楷体_GB2312"/>
      <family val="3"/>
      <charset val="134"/>
    </font>
    <font>
      <sz val="10"/>
      <color theme="9" tint="-0.249977111117893"/>
      <name val="仿宋_GB2312"/>
      <family val="3"/>
      <charset val="134"/>
    </font>
    <font>
      <sz val="10"/>
      <color theme="9" tint="-0.249977111117893"/>
      <name val="楷体_GB2312"/>
      <family val="3"/>
      <charset val="134"/>
    </font>
    <font>
      <b/>
      <sz val="10"/>
      <color theme="1"/>
      <name val="楷体_GB2312"/>
      <family val="3"/>
      <charset val="134"/>
    </font>
    <font>
      <b/>
      <sz val="10"/>
      <color theme="9" tint="-0.249977111117893"/>
      <name val="楷体_GB2312"/>
      <family val="3"/>
      <charset val="134"/>
    </font>
    <font>
      <sz val="10"/>
      <color indexed="53"/>
      <name val="楷体_GB2312"/>
      <family val="3"/>
      <charset val="134"/>
    </font>
    <font>
      <sz val="10"/>
      <color theme="1"/>
      <name val="仿宋_GB2312"/>
      <family val="3"/>
      <charset val="134"/>
    </font>
    <font>
      <b/>
      <sz val="10.5"/>
      <color theme="1"/>
      <name val="仿宋_GB2312"/>
      <family val="3"/>
      <charset val="134"/>
    </font>
    <font>
      <b/>
      <sz val="10.5"/>
      <color rgb="FF000000"/>
      <name val="仿宋_GB2312"/>
      <family val="3"/>
      <charset val="134"/>
    </font>
    <font>
      <b/>
      <sz val="10.5"/>
      <color rgb="FF000000"/>
      <name val="华文仿宋"/>
      <family val="3"/>
      <charset val="134"/>
    </font>
    <font>
      <sz val="10.5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6"/>
      <color theme="1"/>
      <name val="Adobe 黑体 Std R"/>
      <family val="2"/>
      <charset val="134"/>
    </font>
    <font>
      <b/>
      <sz val="12"/>
      <color theme="1"/>
      <name val="Adobe 黑体 Std R"/>
      <family val="2"/>
      <charset val="134"/>
    </font>
    <font>
      <sz val="11"/>
      <color theme="1"/>
      <name val="Adobe 黑体 Std R"/>
      <family val="2"/>
      <charset val="134"/>
    </font>
    <font>
      <sz val="11"/>
      <name val="宋体"/>
      <family val="2"/>
      <scheme val="minor"/>
    </font>
    <font>
      <b/>
      <sz val="12"/>
      <color theme="1"/>
      <name val="仿宋_GB2312"/>
      <family val="3"/>
      <charset val="134"/>
    </font>
    <font>
      <b/>
      <sz val="12"/>
      <color rgb="FF000000"/>
      <name val="华文仿宋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仿宋_GB2312"/>
      <family val="3"/>
      <charset val="134"/>
    </font>
    <font>
      <b/>
      <sz val="12"/>
      <color theme="1"/>
      <name val="Wingdings 2"/>
      <family val="1"/>
      <charset val="2"/>
    </font>
    <font>
      <b/>
      <sz val="12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2"/>
      <color theme="1"/>
      <name val="宋体"/>
      <family val="2"/>
      <charset val="134"/>
    </font>
    <font>
      <sz val="11"/>
      <color rgb="FFFF0000"/>
      <name val="Adobe 黑体 Std R"/>
      <family val="2"/>
      <charset val="134"/>
    </font>
    <font>
      <sz val="11"/>
      <color theme="1"/>
      <name val="宋体"/>
      <family val="2"/>
      <scheme val="minor"/>
    </font>
    <font>
      <b/>
      <sz val="9"/>
      <color indexed="81"/>
      <name val="Tahoma"/>
      <family val="2"/>
    </font>
    <font>
      <sz val="11"/>
      <color theme="1"/>
      <name val="仿宋_GB2312"/>
      <family val="3"/>
      <charset val="134"/>
    </font>
    <font>
      <sz val="12"/>
      <color rgb="FF7030A0"/>
      <name val="仿宋_GB2312"/>
      <family val="3"/>
      <charset val="134"/>
    </font>
    <font>
      <sz val="12"/>
      <color rgb="FF7030A0"/>
      <name val="Arial"/>
      <family val="2"/>
    </font>
    <font>
      <sz val="12"/>
      <color rgb="FFFF0000"/>
      <name val="仿宋_GB2312"/>
      <family val="3"/>
      <charset val="134"/>
    </font>
    <font>
      <sz val="5"/>
      <color theme="1"/>
      <name val="仿宋_GB2312"/>
      <family val="3"/>
      <charset val="134"/>
    </font>
    <font>
      <b/>
      <sz val="14"/>
      <color theme="1"/>
      <name val="Wingdings 2"/>
      <family val="1"/>
      <charset val="2"/>
    </font>
    <font>
      <b/>
      <sz val="14"/>
      <color theme="1"/>
      <name val="仿宋_GB2312"/>
      <family val="3"/>
      <charset val="134"/>
    </font>
    <font>
      <sz val="10.5"/>
      <color theme="1"/>
      <name val="Calibri"/>
      <family val="2"/>
    </font>
    <font>
      <sz val="14"/>
      <color theme="1"/>
      <name val="仿宋_GB2312"/>
      <family val="3"/>
      <charset val="134"/>
    </font>
    <font>
      <b/>
      <sz val="12"/>
      <color theme="1"/>
      <name val="华文仿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medium">
        <color rgb="FFDFE8ED"/>
      </bottom>
      <diagonal/>
    </border>
    <border>
      <left style="medium">
        <color rgb="FFCED2D3"/>
      </left>
      <right style="thin">
        <color rgb="FFDFE8ED"/>
      </right>
      <top style="medium">
        <color rgb="FFCED2D3"/>
      </top>
      <bottom style="medium">
        <color rgb="FFCED2D3"/>
      </bottom>
      <diagonal/>
    </border>
    <border>
      <left style="thin">
        <color rgb="FFDFE8ED"/>
      </left>
      <right style="thin">
        <color rgb="FFDFE8ED"/>
      </right>
      <top style="medium">
        <color rgb="FFCED2D3"/>
      </top>
      <bottom style="medium">
        <color rgb="FFCED2D3"/>
      </bottom>
      <diagonal/>
    </border>
    <border>
      <left style="thin">
        <color rgb="FFDFE8ED"/>
      </left>
      <right style="medium">
        <color rgb="FFCED2D3"/>
      </right>
      <top style="medium">
        <color rgb="FFCED2D3"/>
      </top>
      <bottom style="medium">
        <color rgb="FFCED2D3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4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1" fillId="0" borderId="0"/>
    <xf numFmtId="0" fontId="22" fillId="0" borderId="0">
      <alignment vertical="center"/>
    </xf>
    <xf numFmtId="0" fontId="23" fillId="0" borderId="0">
      <alignment vertical="center"/>
    </xf>
    <xf numFmtId="0" fontId="21" fillId="0" borderId="0"/>
    <xf numFmtId="0" fontId="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0" fillId="0" borderId="0"/>
  </cellStyleXfs>
  <cellXfs count="7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6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left" vertical="center" wrapText="1"/>
    </xf>
    <xf numFmtId="0" fontId="10" fillId="6" borderId="8" xfId="1" applyFont="1" applyFill="1" applyBorder="1" applyAlignment="1">
      <alignment vertical="center" wrapText="1"/>
    </xf>
    <xf numFmtId="0" fontId="11" fillId="0" borderId="7" xfId="1" applyFont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9" fontId="5" fillId="6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5" fillId="6" borderId="12" xfId="1" applyFont="1" applyFill="1" applyBorder="1" applyAlignment="1">
      <alignment vertical="center"/>
    </xf>
    <xf numFmtId="0" fontId="5" fillId="6" borderId="13" xfId="1" applyFont="1" applyFill="1" applyBorder="1" applyAlignment="1">
      <alignment vertical="center" wrapText="1"/>
    </xf>
    <xf numFmtId="0" fontId="5" fillId="6" borderId="14" xfId="1" applyFont="1" applyFill="1" applyBorder="1" applyAlignment="1">
      <alignment vertical="center" wrapText="1"/>
    </xf>
    <xf numFmtId="9" fontId="14" fillId="0" borderId="15" xfId="1" applyNumberFormat="1" applyFont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9" fontId="14" fillId="0" borderId="16" xfId="1" applyNumberFormat="1" applyFont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6" borderId="7" xfId="1" applyFont="1" applyFill="1" applyBorder="1" applyAlignment="1">
      <alignment vertical="center"/>
    </xf>
    <xf numFmtId="176" fontId="10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10" fontId="5" fillId="0" borderId="1" xfId="1" applyNumberFormat="1" applyFont="1" applyBorder="1" applyAlignment="1">
      <alignment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0" fontId="5" fillId="6" borderId="2" xfId="1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9" fontId="5" fillId="0" borderId="11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9" fontId="5" fillId="0" borderId="15" xfId="1" applyNumberFormat="1" applyFont="1" applyBorder="1" applyAlignment="1">
      <alignment horizontal="center" vertical="center" wrapText="1"/>
    </xf>
    <xf numFmtId="10" fontId="5" fillId="0" borderId="16" xfId="1" applyNumberFormat="1" applyFont="1" applyBorder="1" applyAlignment="1">
      <alignment horizontal="center" vertical="center" wrapText="1"/>
    </xf>
    <xf numFmtId="9" fontId="5" fillId="0" borderId="21" xfId="1" applyNumberFormat="1" applyFont="1" applyBorder="1" applyAlignment="1">
      <alignment horizontal="center" vertical="center" wrapText="1"/>
    </xf>
    <xf numFmtId="10" fontId="5" fillId="0" borderId="23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vertical="center" wrapText="1"/>
    </xf>
    <xf numFmtId="177" fontId="5" fillId="0" borderId="1" xfId="1" applyNumberFormat="1" applyFont="1" applyBorder="1" applyAlignment="1">
      <alignment vertical="center" wrapText="1"/>
    </xf>
    <xf numFmtId="0" fontId="5" fillId="0" borderId="24" xfId="1" applyFont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vertical="center" wrapText="1"/>
    </xf>
    <xf numFmtId="0" fontId="16" fillId="0" borderId="10" xfId="1" applyFont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178" fontId="5" fillId="6" borderId="22" xfId="1" applyNumberFormat="1" applyFont="1" applyFill="1" applyBorder="1" applyAlignment="1">
      <alignment horizontal="center" vertical="center" wrapText="1"/>
    </xf>
    <xf numFmtId="178" fontId="5" fillId="6" borderId="23" xfId="1" applyNumberFormat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6" borderId="29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79" fontId="5" fillId="0" borderId="11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center" vertical="center" wrapText="1"/>
    </xf>
    <xf numFmtId="178" fontId="5" fillId="0" borderId="16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178" fontId="5" fillId="0" borderId="22" xfId="1" applyNumberFormat="1" applyFont="1" applyBorder="1" applyAlignment="1">
      <alignment horizontal="center" vertical="center" wrapText="1"/>
    </xf>
    <xf numFmtId="178" fontId="5" fillId="0" borderId="23" xfId="1" applyNumberFormat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176" fontId="5" fillId="0" borderId="22" xfId="1" applyNumberFormat="1" applyFont="1" applyBorder="1" applyAlignment="1">
      <alignment horizontal="center" vertical="center" wrapText="1"/>
    </xf>
    <xf numFmtId="176" fontId="16" fillId="0" borderId="23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5" fillId="6" borderId="30" xfId="1" applyFont="1" applyFill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16" fillId="0" borderId="20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 wrapText="1"/>
    </xf>
    <xf numFmtId="0" fontId="10" fillId="0" borderId="31" xfId="1" applyFont="1" applyBorder="1" applyAlignment="1">
      <alignment horizontal="left" vertical="center" wrapText="1"/>
    </xf>
    <xf numFmtId="0" fontId="13" fillId="0" borderId="2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180" fontId="5" fillId="6" borderId="6" xfId="1" applyNumberFormat="1" applyFont="1" applyFill="1" applyBorder="1" applyAlignment="1">
      <alignment vertical="center" wrapText="1"/>
    </xf>
    <xf numFmtId="9" fontId="5" fillId="0" borderId="1" xfId="1" applyNumberFormat="1" applyFont="1" applyBorder="1" applyAlignment="1">
      <alignment horizontal="center" vertical="center"/>
    </xf>
    <xf numFmtId="180" fontId="5" fillId="0" borderId="16" xfId="1" applyNumberFormat="1" applyFont="1" applyBorder="1" applyAlignment="1">
      <alignment vertical="center"/>
    </xf>
    <xf numFmtId="0" fontId="5" fillId="0" borderId="21" xfId="1" applyFont="1" applyBorder="1" applyAlignment="1">
      <alignment horizontal="right" vertical="center" wrapText="1"/>
    </xf>
    <xf numFmtId="0" fontId="5" fillId="0" borderId="2" xfId="1" applyFont="1" applyBorder="1" applyAlignment="1">
      <alignment vertical="center"/>
    </xf>
    <xf numFmtId="0" fontId="5" fillId="0" borderId="22" xfId="1" applyFont="1" applyBorder="1" applyAlignment="1">
      <alignment vertical="center" wrapText="1"/>
    </xf>
    <xf numFmtId="9" fontId="5" fillId="0" borderId="22" xfId="1" applyNumberFormat="1" applyFont="1" applyBorder="1" applyAlignment="1">
      <alignment horizontal="center" vertical="center" wrapText="1"/>
    </xf>
    <xf numFmtId="180" fontId="5" fillId="0" borderId="23" xfId="1" applyNumberFormat="1" applyFont="1" applyBorder="1" applyAlignment="1">
      <alignment vertical="center"/>
    </xf>
    <xf numFmtId="0" fontId="5" fillId="0" borderId="15" xfId="1" applyFont="1" applyBorder="1" applyAlignment="1">
      <alignment horizontal="right" vertical="center" wrapText="1"/>
    </xf>
    <xf numFmtId="0" fontId="13" fillId="0" borderId="7" xfId="1" applyFont="1" applyBorder="1" applyAlignment="1">
      <alignment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0" fontId="5" fillId="6" borderId="6" xfId="1" applyFont="1" applyFill="1" applyBorder="1" applyAlignment="1">
      <alignment vertical="center" wrapText="1"/>
    </xf>
    <xf numFmtId="0" fontId="5" fillId="0" borderId="22" xfId="1" applyFont="1" applyBorder="1" applyAlignment="1">
      <alignment vertical="center"/>
    </xf>
    <xf numFmtId="0" fontId="13" fillId="0" borderId="2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 wrapText="1"/>
    </xf>
    <xf numFmtId="9" fontId="5" fillId="0" borderId="4" xfId="1" applyNumberFormat="1" applyFont="1" applyBorder="1" applyAlignment="1">
      <alignment vertical="center" wrapText="1"/>
    </xf>
    <xf numFmtId="0" fontId="4" fillId="0" borderId="0" xfId="1">
      <alignment vertical="center"/>
    </xf>
    <xf numFmtId="0" fontId="26" fillId="6" borderId="0" xfId="1" applyFont="1" applyFill="1" applyAlignment="1">
      <alignment horizontal="left" vertical="center"/>
    </xf>
    <xf numFmtId="0" fontId="4" fillId="6" borderId="0" xfId="1" applyFill="1">
      <alignment vertical="center"/>
    </xf>
    <xf numFmtId="0" fontId="27" fillId="8" borderId="0" xfId="1" applyFont="1" applyFill="1">
      <alignment vertical="center"/>
    </xf>
    <xf numFmtId="0" fontId="9" fillId="0" borderId="0" xfId="1" applyFont="1" applyFill="1" applyAlignment="1">
      <alignment horizontal="left" vertical="center"/>
    </xf>
    <xf numFmtId="0" fontId="28" fillId="0" borderId="0" xfId="1" applyFont="1" applyFill="1">
      <alignment vertical="center"/>
    </xf>
    <xf numFmtId="0" fontId="29" fillId="0" borderId="0" xfId="1" applyFont="1" applyFill="1" applyAlignment="1">
      <alignment horizontal="left" vertical="center"/>
    </xf>
    <xf numFmtId="176" fontId="4" fillId="6" borderId="0" xfId="1" applyNumberFormat="1" applyFill="1">
      <alignment vertical="center"/>
    </xf>
    <xf numFmtId="0" fontId="30" fillId="0" borderId="0" xfId="1" applyFont="1" applyFill="1">
      <alignment vertical="center"/>
    </xf>
    <xf numFmtId="0" fontId="4" fillId="0" borderId="0" xfId="1" applyFill="1">
      <alignment vertical="center"/>
    </xf>
    <xf numFmtId="0" fontId="4" fillId="9" borderId="24" xfId="1" applyFill="1" applyBorder="1" applyAlignment="1">
      <alignment horizontal="center" vertical="center"/>
    </xf>
    <xf numFmtId="0" fontId="14" fillId="8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31" fillId="6" borderId="1" xfId="1" applyFont="1" applyFill="1" applyBorder="1" applyAlignment="1">
      <alignment horizontal="center" vertical="center" wrapText="1"/>
    </xf>
    <xf numFmtId="10" fontId="31" fillId="6" borderId="1" xfId="1" applyNumberFormat="1" applyFont="1" applyFill="1" applyBorder="1" applyAlignment="1">
      <alignment horizontal="center" vertical="center" wrapText="1"/>
    </xf>
    <xf numFmtId="9" fontId="14" fillId="8" borderId="1" xfId="1" applyNumberFormat="1" applyFont="1" applyFill="1" applyBorder="1" applyAlignment="1">
      <alignment horizontal="center" vertical="center" wrapText="1"/>
    </xf>
    <xf numFmtId="176" fontId="5" fillId="9" borderId="2" xfId="1" applyNumberFormat="1" applyFont="1" applyFill="1" applyBorder="1" applyAlignment="1">
      <alignment horizontal="center" vertical="center" wrapText="1"/>
    </xf>
    <xf numFmtId="176" fontId="5" fillId="9" borderId="3" xfId="1" applyNumberFormat="1" applyFont="1" applyFill="1" applyBorder="1" applyAlignment="1">
      <alignment horizontal="center" vertical="center" wrapText="1"/>
    </xf>
    <xf numFmtId="176" fontId="5" fillId="9" borderId="4" xfId="1" applyNumberFormat="1" applyFont="1" applyFill="1" applyBorder="1" applyAlignment="1">
      <alignment horizontal="center" vertical="center" wrapText="1"/>
    </xf>
    <xf numFmtId="176" fontId="32" fillId="2" borderId="0" xfId="1" applyNumberFormat="1" applyFont="1" applyFill="1">
      <alignment vertical="center"/>
    </xf>
    <xf numFmtId="176" fontId="32" fillId="9" borderId="0" xfId="1" applyNumberFormat="1" applyFont="1" applyFill="1">
      <alignment vertical="center"/>
    </xf>
    <xf numFmtId="0" fontId="4" fillId="9" borderId="0" xfId="1" applyFill="1">
      <alignment vertical="center"/>
    </xf>
    <xf numFmtId="177" fontId="31" fillId="6" borderId="1" xfId="1" applyNumberFormat="1" applyFont="1" applyFill="1" applyBorder="1" applyAlignment="1">
      <alignment horizontal="center" vertical="center" wrapText="1"/>
    </xf>
    <xf numFmtId="176" fontId="5" fillId="9" borderId="27" xfId="1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177" fontId="31" fillId="0" borderId="0" xfId="1" applyNumberFormat="1" applyFont="1" applyBorder="1" applyAlignment="1">
      <alignment horizontal="center" vertical="center" wrapText="1"/>
    </xf>
    <xf numFmtId="9" fontId="14" fillId="0" borderId="0" xfId="1" applyNumberFormat="1" applyFont="1" applyBorder="1" applyAlignment="1">
      <alignment horizontal="center" vertical="center" wrapText="1"/>
    </xf>
    <xf numFmtId="0" fontId="34" fillId="0" borderId="0" xfId="17" applyFont="1">
      <alignment vertical="center"/>
    </xf>
    <xf numFmtId="0" fontId="34" fillId="0" borderId="0" xfId="17" applyFont="1" applyAlignment="1">
      <alignment horizontal="center" vertical="center"/>
    </xf>
    <xf numFmtId="0" fontId="34" fillId="0" borderId="37" xfId="17" applyFont="1" applyBorder="1">
      <alignment vertical="center"/>
    </xf>
    <xf numFmtId="0" fontId="38" fillId="10" borderId="37" xfId="18" applyFont="1" applyFill="1" applyBorder="1" applyAlignment="1" applyProtection="1">
      <alignment horizontal="center" vertical="center"/>
    </xf>
    <xf numFmtId="0" fontId="39" fillId="10" borderId="37" xfId="18" applyFont="1" applyFill="1" applyBorder="1" applyAlignment="1" applyProtection="1">
      <alignment horizontal="center" vertical="center"/>
    </xf>
    <xf numFmtId="0" fontId="34" fillId="0" borderId="38" xfId="17" applyFont="1" applyBorder="1" applyAlignment="1">
      <alignment vertical="center"/>
    </xf>
    <xf numFmtId="0" fontId="34" fillId="0" borderId="37" xfId="17" applyFont="1" applyBorder="1" applyAlignment="1">
      <alignment vertical="center"/>
    </xf>
    <xf numFmtId="0" fontId="34" fillId="0" borderId="37" xfId="17" applyFont="1" applyBorder="1" applyAlignment="1">
      <alignment horizontal="center" vertical="center"/>
    </xf>
    <xf numFmtId="0" fontId="40" fillId="8" borderId="0" xfId="19" applyFont="1" applyFill="1">
      <alignment vertical="center"/>
    </xf>
    <xf numFmtId="0" fontId="41" fillId="8" borderId="0" xfId="18" applyFont="1" applyFill="1" applyAlignment="1" applyProtection="1">
      <alignment horizontal="center" vertical="center"/>
    </xf>
    <xf numFmtId="0" fontId="39" fillId="8" borderId="0" xfId="18" applyFont="1" applyFill="1" applyAlignment="1" applyProtection="1">
      <alignment horizontal="center" vertical="center"/>
    </xf>
    <xf numFmtId="0" fontId="34" fillId="8" borderId="39" xfId="17" applyFont="1" applyFill="1" applyBorder="1" applyAlignment="1">
      <alignment horizontal="center" vertical="center"/>
    </xf>
    <xf numFmtId="0" fontId="34" fillId="8" borderId="0" xfId="17" applyFont="1" applyFill="1" applyBorder="1" applyAlignment="1">
      <alignment horizontal="center" vertical="center"/>
    </xf>
    <xf numFmtId="0" fontId="42" fillId="8" borderId="0" xfId="19" applyFont="1" applyFill="1" applyBorder="1" applyAlignment="1" applyProtection="1">
      <alignment horizontal="center" vertical="center"/>
      <protection locked="0"/>
    </xf>
    <xf numFmtId="0" fontId="34" fillId="8" borderId="0" xfId="17" applyFont="1" applyFill="1">
      <alignment vertical="center"/>
    </xf>
    <xf numFmtId="0" fontId="34" fillId="8" borderId="0" xfId="17" applyFont="1" applyFill="1" applyAlignment="1">
      <alignment horizontal="center" vertical="center"/>
    </xf>
    <xf numFmtId="0" fontId="37" fillId="8" borderId="0" xfId="19" applyFont="1" applyFill="1">
      <alignment vertical="center"/>
    </xf>
    <xf numFmtId="0" fontId="43" fillId="8" borderId="0" xfId="17" applyFont="1" applyFill="1" applyAlignment="1">
      <alignment horizontal="center" vertical="center"/>
    </xf>
    <xf numFmtId="10" fontId="43" fillId="8" borderId="0" xfId="17" applyNumberFormat="1" applyFont="1" applyFill="1" applyAlignment="1">
      <alignment horizontal="center" vertical="center"/>
    </xf>
    <xf numFmtId="0" fontId="34" fillId="0" borderId="0" xfId="17" applyFont="1" applyFill="1">
      <alignment vertical="center"/>
    </xf>
    <xf numFmtId="0" fontId="41" fillId="0" borderId="0" xfId="18" applyFont="1" applyFill="1" applyAlignment="1" applyProtection="1">
      <alignment horizontal="center" vertical="center"/>
    </xf>
    <xf numFmtId="0" fontId="39" fillId="0" borderId="0" xfId="18" applyFont="1" applyFill="1" applyAlignment="1" applyProtection="1">
      <alignment horizontal="center" vertical="center"/>
    </xf>
    <xf numFmtId="0" fontId="34" fillId="0" borderId="39" xfId="17" applyFont="1" applyFill="1" applyBorder="1" applyAlignment="1">
      <alignment horizontal="center" vertical="center"/>
    </xf>
    <xf numFmtId="0" fontId="34" fillId="0" borderId="0" xfId="17" applyFont="1" applyFill="1" applyBorder="1" applyAlignment="1">
      <alignment horizontal="center" vertical="center"/>
    </xf>
    <xf numFmtId="0" fontId="34" fillId="0" borderId="0" xfId="17" applyFont="1" applyFill="1" applyBorder="1" applyAlignment="1" applyProtection="1">
      <alignment horizontal="center" vertical="center"/>
      <protection locked="0"/>
    </xf>
    <xf numFmtId="0" fontId="34" fillId="0" borderId="0" xfId="17" applyFont="1" applyFill="1" applyAlignment="1">
      <alignment horizontal="center" vertical="center"/>
    </xf>
    <xf numFmtId="0" fontId="34" fillId="0" borderId="0" xfId="19" applyFont="1" applyFill="1">
      <alignment vertical="center"/>
    </xf>
    <xf numFmtId="0" fontId="43" fillId="0" borderId="0" xfId="17" applyFont="1" applyAlignment="1">
      <alignment horizontal="center" vertical="center"/>
    </xf>
    <xf numFmtId="10" fontId="43" fillId="0" borderId="0" xfId="17" applyNumberFormat="1" applyFont="1" applyAlignment="1">
      <alignment horizontal="center" vertical="center"/>
    </xf>
    <xf numFmtId="49" fontId="44" fillId="11" borderId="1" xfId="17" applyNumberFormat="1" applyFont="1" applyFill="1" applyBorder="1" applyAlignment="1" applyProtection="1">
      <alignment horizontal="center" vertical="center" wrapText="1"/>
    </xf>
    <xf numFmtId="181" fontId="42" fillId="11" borderId="0" xfId="17" applyNumberFormat="1" applyFont="1" applyFill="1" applyBorder="1" applyAlignment="1">
      <alignment horizontal="center" vertical="center"/>
    </xf>
    <xf numFmtId="0" fontId="45" fillId="11" borderId="40" xfId="17" applyFont="1" applyFill="1" applyBorder="1" applyAlignment="1" applyProtection="1">
      <alignment horizontal="center" vertical="center" wrapText="1"/>
    </xf>
    <xf numFmtId="0" fontId="42" fillId="11" borderId="0" xfId="17" applyFont="1" applyFill="1" applyBorder="1" applyAlignment="1" applyProtection="1">
      <alignment horizontal="center" vertical="center"/>
      <protection locked="0"/>
    </xf>
    <xf numFmtId="0" fontId="34" fillId="11" borderId="0" xfId="17" applyFont="1" applyFill="1">
      <alignment vertical="center"/>
    </xf>
    <xf numFmtId="10" fontId="42" fillId="11" borderId="41" xfId="17" applyNumberFormat="1" applyFont="1" applyFill="1" applyBorder="1" applyAlignment="1">
      <alignment vertical="center"/>
    </xf>
    <xf numFmtId="0" fontId="34" fillId="11" borderId="0" xfId="17" applyFont="1" applyFill="1" applyAlignment="1">
      <alignment horizontal="center" vertical="center"/>
    </xf>
    <xf numFmtId="0" fontId="34" fillId="11" borderId="39" xfId="17" applyFont="1" applyFill="1" applyBorder="1" applyAlignment="1">
      <alignment horizontal="center" vertical="center"/>
    </xf>
    <xf numFmtId="0" fontId="46" fillId="2" borderId="0" xfId="19" applyFont="1" applyFill="1">
      <alignment vertical="center"/>
    </xf>
    <xf numFmtId="0" fontId="43" fillId="11" borderId="0" xfId="17" applyFont="1" applyFill="1" applyAlignment="1">
      <alignment horizontal="center" vertical="center"/>
    </xf>
    <xf numFmtId="10" fontId="43" fillId="11" borderId="0" xfId="17" applyNumberFormat="1" applyFont="1" applyFill="1" applyAlignment="1">
      <alignment horizontal="center" vertical="center"/>
    </xf>
    <xf numFmtId="49" fontId="44" fillId="10" borderId="1" xfId="17" applyNumberFormat="1" applyFont="1" applyFill="1" applyBorder="1" applyAlignment="1" applyProtection="1">
      <alignment horizontal="center" vertical="center" wrapText="1"/>
    </xf>
    <xf numFmtId="181" fontId="43" fillId="0" borderId="0" xfId="17" applyNumberFormat="1" applyFont="1" applyAlignment="1">
      <alignment horizontal="center" vertical="center"/>
    </xf>
    <xf numFmtId="0" fontId="45" fillId="12" borderId="42" xfId="17" applyFont="1" applyFill="1" applyBorder="1" applyAlignment="1" applyProtection="1">
      <alignment vertical="center" wrapText="1"/>
    </xf>
    <xf numFmtId="0" fontId="45" fillId="13" borderId="40" xfId="17" applyFont="1" applyFill="1" applyBorder="1" applyAlignment="1" applyProtection="1">
      <alignment horizontal="center" vertical="center" wrapText="1"/>
    </xf>
    <xf numFmtId="0" fontId="45" fillId="13" borderId="43" xfId="17" applyFont="1" applyFill="1" applyBorder="1" applyAlignment="1" applyProtection="1">
      <alignment horizontal="center" vertical="center" wrapText="1"/>
    </xf>
    <xf numFmtId="0" fontId="43" fillId="0" borderId="0" xfId="17" applyFont="1">
      <alignment vertical="center"/>
    </xf>
    <xf numFmtId="10" fontId="43" fillId="0" borderId="39" xfId="17" applyNumberFormat="1" applyFont="1" applyBorder="1">
      <alignment vertical="center"/>
    </xf>
    <xf numFmtId="10" fontId="43" fillId="0" borderId="0" xfId="17" applyNumberFormat="1" applyFont="1">
      <alignment vertical="center"/>
    </xf>
    <xf numFmtId="180" fontId="43" fillId="0" borderId="0" xfId="17" applyNumberFormat="1" applyFont="1">
      <alignment vertical="center"/>
    </xf>
    <xf numFmtId="10" fontId="43" fillId="0" borderId="41" xfId="17" applyNumberFormat="1" applyFont="1" applyBorder="1">
      <alignment vertical="center"/>
    </xf>
    <xf numFmtId="10" fontId="43" fillId="0" borderId="24" xfId="17" applyNumberFormat="1" applyFont="1" applyBorder="1">
      <alignment vertical="center"/>
    </xf>
    <xf numFmtId="0" fontId="42" fillId="11" borderId="0" xfId="17" applyFont="1" applyFill="1">
      <alignment vertical="center"/>
    </xf>
    <xf numFmtId="181" fontId="34" fillId="12" borderId="44" xfId="19" applyNumberFormat="1" applyFont="1" applyFill="1" applyBorder="1" applyAlignment="1">
      <alignment horizontal="center" vertical="center" wrapText="1"/>
    </xf>
    <xf numFmtId="181" fontId="34" fillId="12" borderId="45" xfId="19" applyNumberFormat="1" applyFont="1" applyFill="1" applyBorder="1" applyAlignment="1">
      <alignment horizontal="center" vertical="center" wrapText="1"/>
    </xf>
    <xf numFmtId="0" fontId="45" fillId="12" borderId="46" xfId="17" applyFont="1" applyFill="1" applyBorder="1" applyAlignment="1" applyProtection="1">
      <alignment horizontal="center" vertical="center" wrapText="1"/>
    </xf>
    <xf numFmtId="0" fontId="45" fillId="12" borderId="44" xfId="17" applyFont="1" applyFill="1" applyBorder="1" applyAlignment="1" applyProtection="1">
      <alignment horizontal="center" vertical="center" wrapText="1"/>
    </xf>
    <xf numFmtId="0" fontId="45" fillId="12" borderId="47" xfId="17" applyFont="1" applyFill="1" applyBorder="1" applyAlignment="1" applyProtection="1">
      <alignment horizontal="center" vertical="center" wrapText="1"/>
    </xf>
    <xf numFmtId="177" fontId="43" fillId="0" borderId="39" xfId="17" applyNumberFormat="1" applyFont="1" applyBorder="1">
      <alignment vertical="center"/>
    </xf>
    <xf numFmtId="177" fontId="43" fillId="0" borderId="0" xfId="17" applyNumberFormat="1" applyFont="1">
      <alignment vertical="center"/>
    </xf>
    <xf numFmtId="0" fontId="45" fillId="12" borderId="46" xfId="17" applyFont="1" applyFill="1" applyBorder="1" applyAlignment="1" applyProtection="1">
      <alignment vertical="center" wrapText="1"/>
    </xf>
    <xf numFmtId="0" fontId="45" fillId="12" borderId="40" xfId="17" applyFont="1" applyFill="1" applyBorder="1" applyAlignment="1" applyProtection="1">
      <alignment horizontal="center" vertical="center" wrapText="1"/>
    </xf>
    <xf numFmtId="0" fontId="45" fillId="12" borderId="43" xfId="17" applyFont="1" applyFill="1" applyBorder="1" applyAlignment="1" applyProtection="1">
      <alignment horizontal="center" vertical="center" wrapText="1"/>
    </xf>
    <xf numFmtId="0" fontId="34" fillId="0" borderId="39" xfId="17" applyFont="1" applyBorder="1" applyAlignment="1">
      <alignment horizontal="center" vertical="center"/>
    </xf>
    <xf numFmtId="181" fontId="34" fillId="12" borderId="44" xfId="17" applyNumberFormat="1" applyFont="1" applyFill="1" applyBorder="1" applyAlignment="1">
      <alignment horizontal="center" vertical="center" wrapText="1"/>
    </xf>
    <xf numFmtId="181" fontId="34" fillId="12" borderId="45" xfId="17" applyNumberFormat="1" applyFont="1" applyFill="1" applyBorder="1" applyAlignment="1">
      <alignment horizontal="center" vertical="center" wrapText="1"/>
    </xf>
    <xf numFmtId="0" fontId="45" fillId="12" borderId="51" xfId="17" applyFont="1" applyFill="1" applyBorder="1" applyAlignment="1" applyProtection="1">
      <alignment horizontal="center" vertical="center" wrapText="1"/>
    </xf>
    <xf numFmtId="0" fontId="45" fillId="12" borderId="52" xfId="17" applyFont="1" applyFill="1" applyBorder="1" applyAlignment="1" applyProtection="1">
      <alignment horizontal="center" vertical="center" wrapText="1"/>
    </xf>
    <xf numFmtId="10" fontId="43" fillId="0" borderId="53" xfId="17" applyNumberFormat="1" applyFont="1" applyBorder="1">
      <alignment vertical="center"/>
    </xf>
    <xf numFmtId="10" fontId="43" fillId="0" borderId="31" xfId="17" applyNumberFormat="1" applyFont="1" applyBorder="1">
      <alignment vertical="center"/>
    </xf>
    <xf numFmtId="0" fontId="43" fillId="0" borderId="39" xfId="17" applyFont="1" applyBorder="1">
      <alignment vertical="center"/>
    </xf>
    <xf numFmtId="0" fontId="45" fillId="13" borderId="44" xfId="17" applyFont="1" applyFill="1" applyBorder="1" applyAlignment="1" applyProtection="1">
      <alignment horizontal="center" vertical="center" wrapText="1"/>
    </xf>
    <xf numFmtId="0" fontId="45" fillId="13" borderId="47" xfId="17" applyFont="1" applyFill="1" applyBorder="1" applyAlignment="1" applyProtection="1">
      <alignment horizontal="center" vertical="center" wrapText="1"/>
    </xf>
    <xf numFmtId="10" fontId="43" fillId="0" borderId="0" xfId="17" applyNumberFormat="1" applyFont="1" applyBorder="1">
      <alignment vertical="center"/>
    </xf>
    <xf numFmtId="181" fontId="34" fillId="12" borderId="40" xfId="17" applyNumberFormat="1" applyFont="1" applyFill="1" applyBorder="1" applyAlignment="1">
      <alignment horizontal="center" vertical="center" wrapText="1"/>
    </xf>
    <xf numFmtId="181" fontId="34" fillId="12" borderId="54" xfId="17" applyNumberFormat="1" applyFont="1" applyFill="1" applyBorder="1" applyAlignment="1">
      <alignment horizontal="center" vertical="center" wrapText="1"/>
    </xf>
    <xf numFmtId="0" fontId="43" fillId="13" borderId="44" xfId="17" applyFont="1" applyFill="1" applyBorder="1" applyAlignment="1" applyProtection="1">
      <alignment horizontal="center" vertical="center" wrapText="1"/>
    </xf>
    <xf numFmtId="0" fontId="43" fillId="13" borderId="47" xfId="17" applyFont="1" applyFill="1" applyBorder="1" applyAlignment="1" applyProtection="1">
      <alignment horizontal="center" vertical="center" wrapText="1"/>
    </xf>
    <xf numFmtId="49" fontId="44" fillId="2" borderId="1" xfId="17" applyNumberFormat="1" applyFont="1" applyFill="1" applyBorder="1" applyAlignment="1" applyProtection="1">
      <alignment horizontal="center" vertical="center" wrapText="1"/>
    </xf>
    <xf numFmtId="181" fontId="43" fillId="2" borderId="0" xfId="17" applyNumberFormat="1" applyFont="1" applyFill="1" applyAlignment="1">
      <alignment horizontal="center" vertical="center"/>
    </xf>
    <xf numFmtId="0" fontId="43" fillId="2" borderId="40" xfId="17" applyFont="1" applyFill="1" applyBorder="1" applyAlignment="1" applyProtection="1">
      <alignment horizontal="center" vertical="center" wrapText="1"/>
    </xf>
    <xf numFmtId="0" fontId="43" fillId="2" borderId="43" xfId="17" applyFont="1" applyFill="1" applyBorder="1" applyAlignment="1" applyProtection="1">
      <alignment horizontal="center" vertical="center" wrapText="1"/>
    </xf>
    <xf numFmtId="0" fontId="43" fillId="2" borderId="0" xfId="17" applyFont="1" applyFill="1">
      <alignment vertical="center"/>
    </xf>
    <xf numFmtId="10" fontId="43" fillId="2" borderId="39" xfId="17" applyNumberFormat="1" applyFont="1" applyFill="1" applyBorder="1">
      <alignment vertical="center"/>
    </xf>
    <xf numFmtId="10" fontId="43" fillId="2" borderId="0" xfId="17" applyNumberFormat="1" applyFont="1" applyFill="1">
      <alignment vertical="center"/>
    </xf>
    <xf numFmtId="180" fontId="43" fillId="2" borderId="0" xfId="17" applyNumberFormat="1" applyFont="1" applyFill="1">
      <alignment vertical="center"/>
    </xf>
    <xf numFmtId="10" fontId="43" fillId="2" borderId="41" xfId="17" applyNumberFormat="1" applyFont="1" applyFill="1" applyBorder="1">
      <alignment vertical="center"/>
    </xf>
    <xf numFmtId="10" fontId="43" fillId="2" borderId="24" xfId="17" applyNumberFormat="1" applyFont="1" applyFill="1" applyBorder="1">
      <alignment vertical="center"/>
    </xf>
    <xf numFmtId="0" fontId="47" fillId="2" borderId="0" xfId="17" applyFont="1" applyFill="1">
      <alignment vertical="center"/>
    </xf>
    <xf numFmtId="0" fontId="43" fillId="2" borderId="0" xfId="17" applyNumberFormat="1" applyFont="1" applyFill="1" applyAlignment="1">
      <alignment horizontal="center" vertical="center"/>
    </xf>
    <xf numFmtId="10" fontId="43" fillId="2" borderId="0" xfId="17" applyNumberFormat="1" applyFont="1" applyFill="1" applyAlignment="1">
      <alignment horizontal="center" vertical="center"/>
    </xf>
    <xf numFmtId="0" fontId="43" fillId="12" borderId="51" xfId="17" applyFont="1" applyFill="1" applyBorder="1" applyAlignment="1" applyProtection="1">
      <alignment horizontal="center" vertical="center" wrapText="1"/>
    </xf>
    <xf numFmtId="0" fontId="43" fillId="12" borderId="52" xfId="17" applyFont="1" applyFill="1" applyBorder="1" applyAlignment="1" applyProtection="1">
      <alignment horizontal="center" vertical="center" wrapText="1"/>
    </xf>
    <xf numFmtId="14" fontId="43" fillId="0" borderId="0" xfId="17" applyNumberFormat="1" applyFont="1">
      <alignment vertical="center"/>
    </xf>
    <xf numFmtId="0" fontId="47" fillId="0" borderId="0" xfId="17" applyFont="1">
      <alignment vertical="center"/>
    </xf>
    <xf numFmtId="0" fontId="43" fillId="0" borderId="0" xfId="17" applyNumberFormat="1" applyFont="1" applyAlignment="1">
      <alignment horizontal="center" vertical="center"/>
    </xf>
    <xf numFmtId="181" fontId="34" fillId="12" borderId="51" xfId="17" applyNumberFormat="1" applyFont="1" applyFill="1" applyBorder="1" applyAlignment="1">
      <alignment horizontal="center" vertical="center" wrapText="1"/>
    </xf>
    <xf numFmtId="181" fontId="34" fillId="12" borderId="55" xfId="17" applyNumberFormat="1" applyFont="1" applyFill="1" applyBorder="1" applyAlignment="1">
      <alignment horizontal="center" vertical="center" wrapText="1"/>
    </xf>
    <xf numFmtId="181" fontId="43" fillId="11" borderId="0" xfId="17" applyNumberFormat="1" applyFont="1" applyFill="1" applyAlignment="1">
      <alignment horizontal="center" vertical="center"/>
    </xf>
    <xf numFmtId="181" fontId="43" fillId="0" borderId="56" xfId="17" applyNumberFormat="1" applyFont="1" applyBorder="1" applyAlignment="1">
      <alignment horizontal="center" vertical="center"/>
    </xf>
    <xf numFmtId="0" fontId="45" fillId="13" borderId="57" xfId="17" applyFont="1" applyFill="1" applyBorder="1" applyAlignment="1" applyProtection="1">
      <alignment horizontal="center" vertical="center" wrapText="1"/>
    </xf>
    <xf numFmtId="0" fontId="45" fillId="13" borderId="58" xfId="17" applyFont="1" applyFill="1" applyBorder="1" applyAlignment="1" applyProtection="1">
      <alignment horizontal="center" vertical="center" wrapText="1"/>
    </xf>
    <xf numFmtId="0" fontId="43" fillId="0" borderId="56" xfId="17" applyFont="1" applyBorder="1">
      <alignment vertical="center"/>
    </xf>
    <xf numFmtId="10" fontId="43" fillId="0" borderId="59" xfId="17" applyNumberFormat="1" applyFont="1" applyBorder="1">
      <alignment vertical="center"/>
    </xf>
    <xf numFmtId="10" fontId="43" fillId="0" borderId="56" xfId="17" applyNumberFormat="1" applyFont="1" applyBorder="1">
      <alignment vertical="center"/>
    </xf>
    <xf numFmtId="180" fontId="43" fillId="0" borderId="56" xfId="17" applyNumberFormat="1" applyFont="1" applyBorder="1">
      <alignment vertical="center"/>
    </xf>
    <xf numFmtId="10" fontId="43" fillId="0" borderId="56" xfId="17" applyNumberFormat="1" applyFont="1" applyBorder="1" applyAlignment="1">
      <alignment horizontal="center" vertical="center"/>
    </xf>
    <xf numFmtId="0" fontId="45" fillId="12" borderId="60" xfId="17" applyFont="1" applyFill="1" applyBorder="1" applyAlignment="1" applyProtection="1">
      <alignment horizontal="center" vertical="center" wrapText="1"/>
    </xf>
    <xf numFmtId="0" fontId="45" fillId="12" borderId="61" xfId="17" applyFont="1" applyFill="1" applyBorder="1" applyAlignment="1" applyProtection="1">
      <alignment horizontal="center" vertical="center" wrapText="1"/>
    </xf>
    <xf numFmtId="10" fontId="43" fillId="14" borderId="39" xfId="17" applyNumberFormat="1" applyFont="1" applyFill="1" applyBorder="1">
      <alignment vertical="center"/>
    </xf>
    <xf numFmtId="10" fontId="43" fillId="14" borderId="0" xfId="17" applyNumberFormat="1" applyFont="1" applyFill="1">
      <alignment vertical="center"/>
    </xf>
    <xf numFmtId="182" fontId="43" fillId="0" borderId="0" xfId="17" applyNumberFormat="1" applyFont="1" applyAlignment="1">
      <alignment horizontal="center" vertical="center"/>
    </xf>
    <xf numFmtId="10" fontId="43" fillId="14" borderId="41" xfId="17" applyNumberFormat="1" applyFont="1" applyFill="1" applyBorder="1">
      <alignment vertical="center"/>
    </xf>
    <xf numFmtId="10" fontId="43" fillId="14" borderId="24" xfId="17" applyNumberFormat="1" applyFont="1" applyFill="1" applyBorder="1">
      <alignment vertical="center"/>
    </xf>
    <xf numFmtId="10" fontId="43" fillId="14" borderId="59" xfId="17" applyNumberFormat="1" applyFont="1" applyFill="1" applyBorder="1">
      <alignment vertical="center"/>
    </xf>
    <xf numFmtId="10" fontId="43" fillId="14" borderId="56" xfId="17" applyNumberFormat="1" applyFont="1" applyFill="1" applyBorder="1">
      <alignment vertical="center"/>
    </xf>
    <xf numFmtId="182" fontId="43" fillId="0" borderId="56" xfId="17" applyNumberFormat="1" applyFont="1" applyBorder="1" applyAlignment="1">
      <alignment horizontal="center" vertical="center"/>
    </xf>
    <xf numFmtId="0" fontId="34" fillId="13" borderId="62" xfId="17" applyFont="1" applyFill="1" applyBorder="1" applyAlignment="1">
      <alignment horizontal="center" vertical="center" wrapText="1"/>
    </xf>
    <xf numFmtId="0" fontId="34" fillId="13" borderId="63" xfId="17" applyFont="1" applyFill="1" applyBorder="1" applyAlignment="1">
      <alignment horizontal="center" vertical="center" wrapText="1"/>
    </xf>
    <xf numFmtId="179" fontId="43" fillId="0" borderId="0" xfId="17" applyNumberFormat="1" applyFont="1" applyAlignment="1">
      <alignment horizontal="center" vertical="center"/>
    </xf>
    <xf numFmtId="179" fontId="43" fillId="0" borderId="39" xfId="17" applyNumberFormat="1" applyFont="1" applyBorder="1" applyAlignment="1">
      <alignment horizontal="center" vertical="center"/>
    </xf>
    <xf numFmtId="180" fontId="43" fillId="14" borderId="0" xfId="17" applyNumberFormat="1" applyFont="1" applyFill="1" applyAlignment="1">
      <alignment horizontal="center" vertical="center"/>
    </xf>
    <xf numFmtId="0" fontId="45" fillId="13" borderId="51" xfId="17" applyFont="1" applyFill="1" applyBorder="1" applyAlignment="1" applyProtection="1">
      <alignment horizontal="center" vertical="center" wrapText="1"/>
    </xf>
    <xf numFmtId="0" fontId="34" fillId="12" borderId="51" xfId="17" applyFont="1" applyFill="1" applyBorder="1" applyAlignment="1">
      <alignment horizontal="center" vertical="center" wrapText="1"/>
    </xf>
    <xf numFmtId="0" fontId="34" fillId="12" borderId="55" xfId="17" applyFont="1" applyFill="1" applyBorder="1" applyAlignment="1">
      <alignment horizontal="center" vertical="center" wrapText="1"/>
    </xf>
    <xf numFmtId="180" fontId="43" fillId="2" borderId="0" xfId="17" applyNumberFormat="1" applyFont="1" applyFill="1" applyAlignment="1">
      <alignment horizontal="center" vertical="center"/>
    </xf>
    <xf numFmtId="0" fontId="45" fillId="2" borderId="40" xfId="17" applyFont="1" applyFill="1" applyBorder="1" applyAlignment="1" applyProtection="1">
      <alignment horizontal="center" vertical="center" wrapText="1"/>
    </xf>
    <xf numFmtId="179" fontId="43" fillId="2" borderId="0" xfId="17" applyNumberFormat="1" applyFont="1" applyFill="1" applyAlignment="1">
      <alignment horizontal="center" vertical="center"/>
    </xf>
    <xf numFmtId="0" fontId="43" fillId="2" borderId="39" xfId="17" applyFont="1" applyFill="1" applyBorder="1">
      <alignment vertical="center"/>
    </xf>
    <xf numFmtId="182" fontId="43" fillId="2" borderId="0" xfId="17" applyNumberFormat="1" applyFont="1" applyFill="1" applyAlignment="1">
      <alignment horizontal="center" vertical="center"/>
    </xf>
    <xf numFmtId="0" fontId="34" fillId="12" borderId="64" xfId="17" applyFont="1" applyFill="1" applyBorder="1" applyAlignment="1">
      <alignment horizontal="center" vertical="center" wrapText="1"/>
    </xf>
    <xf numFmtId="0" fontId="34" fillId="12" borderId="65" xfId="17" applyFont="1" applyFill="1" applyBorder="1" applyAlignment="1">
      <alignment horizontal="center" vertical="center" wrapText="1"/>
    </xf>
    <xf numFmtId="0" fontId="34" fillId="12" borderId="66" xfId="17" applyFont="1" applyFill="1" applyBorder="1" applyAlignment="1">
      <alignment horizontal="center" vertical="center" wrapText="1"/>
    </xf>
    <xf numFmtId="0" fontId="15" fillId="0" borderId="0" xfId="17" applyFont="1">
      <alignment vertical="center"/>
    </xf>
    <xf numFmtId="0" fontId="46" fillId="0" borderId="0" xfId="17" applyFont="1">
      <alignment vertical="center"/>
    </xf>
    <xf numFmtId="0" fontId="46" fillId="0" borderId="39" xfId="17" applyFont="1" applyBorder="1">
      <alignment vertical="center"/>
    </xf>
    <xf numFmtId="179" fontId="46" fillId="0" borderId="0" xfId="17" applyNumberFormat="1" applyFont="1" applyAlignment="1">
      <alignment horizontal="center" vertical="center"/>
    </xf>
    <xf numFmtId="179" fontId="46" fillId="0" borderId="39" xfId="17" applyNumberFormat="1" applyFont="1" applyBorder="1" applyAlignment="1">
      <alignment horizontal="center" vertical="center"/>
    </xf>
    <xf numFmtId="0" fontId="45" fillId="13" borderId="67" xfId="17" applyFont="1" applyFill="1" applyBorder="1" applyAlignment="1">
      <alignment horizontal="center" vertical="center" wrapText="1"/>
    </xf>
    <xf numFmtId="0" fontId="45" fillId="13" borderId="44" xfId="17" applyFont="1" applyFill="1" applyBorder="1" applyAlignment="1">
      <alignment horizontal="center" vertical="center" wrapText="1"/>
    </xf>
    <xf numFmtId="0" fontId="45" fillId="12" borderId="68" xfId="17" applyFont="1" applyFill="1" applyBorder="1" applyAlignment="1">
      <alignment horizontal="center" vertical="center" wrapText="1"/>
    </xf>
    <xf numFmtId="0" fontId="45" fillId="12" borderId="40" xfId="17" applyFont="1" applyFill="1" applyBorder="1" applyAlignment="1">
      <alignment horizontal="center" vertical="center" wrapText="1"/>
    </xf>
    <xf numFmtId="0" fontId="45" fillId="13" borderId="68" xfId="17" applyFont="1" applyFill="1" applyBorder="1" applyAlignment="1">
      <alignment horizontal="center" vertical="center" wrapText="1"/>
    </xf>
    <xf numFmtId="0" fontId="45" fillId="13" borderId="40" xfId="17" applyFont="1" applyFill="1" applyBorder="1" applyAlignment="1">
      <alignment horizontal="center" vertical="center" wrapText="1"/>
    </xf>
    <xf numFmtId="0" fontId="45" fillId="12" borderId="69" xfId="17" applyFont="1" applyFill="1" applyBorder="1" applyAlignment="1">
      <alignment horizontal="center" vertical="center" wrapText="1"/>
    </xf>
    <xf numFmtId="0" fontId="45" fillId="12" borderId="51" xfId="17" applyFont="1" applyFill="1" applyBorder="1" applyAlignment="1">
      <alignment horizontal="center" vertical="center" wrapText="1"/>
    </xf>
    <xf numFmtId="0" fontId="49" fillId="15" borderId="0" xfId="4" applyFont="1" applyFill="1" applyAlignment="1" applyProtection="1">
      <alignment vertical="center" wrapText="1"/>
    </xf>
    <xf numFmtId="0" fontId="49" fillId="15" borderId="0" xfId="4" applyFont="1" applyFill="1" applyAlignment="1" applyProtection="1">
      <alignment vertical="center" wrapText="1"/>
      <protection locked="0"/>
    </xf>
    <xf numFmtId="0" fontId="49" fillId="15" borderId="0" xfId="4" applyFont="1" applyFill="1" applyAlignment="1" applyProtection="1">
      <alignment horizontal="center" vertical="center" wrapText="1"/>
      <protection locked="0"/>
    </xf>
    <xf numFmtId="0" fontId="49" fillId="15" borderId="0" xfId="4" applyFont="1" applyFill="1" applyAlignment="1" applyProtection="1">
      <alignment horizontal="center" vertical="center" wrapText="1"/>
    </xf>
    <xf numFmtId="0" fontId="50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1" fillId="0" borderId="0" xfId="0" applyFont="1">
      <alignment vertical="center"/>
    </xf>
    <xf numFmtId="0" fontId="0" fillId="16" borderId="0" xfId="0" applyFill="1">
      <alignment vertical="center"/>
    </xf>
    <xf numFmtId="0" fontId="5" fillId="0" borderId="1" xfId="1" applyFont="1" applyBorder="1" applyAlignment="1">
      <alignment horizontal="center" vertical="center" wrapText="1"/>
    </xf>
    <xf numFmtId="0" fontId="34" fillId="0" borderId="0" xfId="17" applyFont="1" applyAlignment="1">
      <alignment horizontal="center" vertical="center"/>
    </xf>
    <xf numFmtId="0" fontId="45" fillId="12" borderId="46" xfId="17" applyFont="1" applyFill="1" applyBorder="1" applyAlignment="1" applyProtection="1">
      <alignment horizontal="center" vertical="center" wrapText="1"/>
    </xf>
    <xf numFmtId="0" fontId="50" fillId="6" borderId="1" xfId="1" applyFont="1" applyFill="1" applyBorder="1" applyAlignment="1">
      <alignment horizontal="center" vertical="center" wrapText="1"/>
    </xf>
    <xf numFmtId="176" fontId="10" fillId="17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0" xfId="4">
      <alignment vertical="center"/>
    </xf>
    <xf numFmtId="0" fontId="52" fillId="13" borderId="64" xfId="8" applyFont="1" applyFill="1" applyBorder="1" applyAlignment="1">
      <alignment horizontal="center" vertical="center" wrapText="1"/>
    </xf>
    <xf numFmtId="0" fontId="52" fillId="13" borderId="65" xfId="8" applyFont="1" applyFill="1" applyBorder="1" applyAlignment="1">
      <alignment horizontal="center" vertical="center" wrapText="1"/>
    </xf>
    <xf numFmtId="0" fontId="52" fillId="13" borderId="70" xfId="8" applyFont="1" applyFill="1" applyBorder="1" applyAlignment="1">
      <alignment horizontal="center" vertical="center" wrapText="1"/>
    </xf>
    <xf numFmtId="0" fontId="53" fillId="12" borderId="71" xfId="0" applyFont="1" applyFill="1" applyBorder="1" applyAlignment="1">
      <alignment horizontal="center" vertical="center" wrapText="1"/>
    </xf>
    <xf numFmtId="0" fontId="53" fillId="12" borderId="72" xfId="0" applyFont="1" applyFill="1" applyBorder="1" applyAlignment="1">
      <alignment horizontal="center" vertical="center" wrapText="1"/>
    </xf>
    <xf numFmtId="0" fontId="53" fillId="12" borderId="73" xfId="0" applyFont="1" applyFill="1" applyBorder="1" applyAlignment="1">
      <alignment horizontal="center" vertical="center" wrapText="1"/>
    </xf>
    <xf numFmtId="0" fontId="7" fillId="6" borderId="64" xfId="7" applyFont="1" applyFill="1" applyBorder="1" applyAlignment="1">
      <alignment horizontal="center" vertical="center" wrapText="1"/>
    </xf>
    <xf numFmtId="0" fontId="7" fillId="6" borderId="65" xfId="7" applyFont="1" applyFill="1" applyBorder="1" applyAlignment="1">
      <alignment horizontal="center" vertical="center" wrapText="1"/>
    </xf>
    <xf numFmtId="0" fontId="7" fillId="6" borderId="70" xfId="7" applyFont="1" applyFill="1" applyBorder="1" applyAlignment="1">
      <alignment horizontal="center" vertical="center" wrapText="1"/>
    </xf>
    <xf numFmtId="0" fontId="7" fillId="6" borderId="74" xfId="8" applyFont="1" applyFill="1" applyBorder="1" applyAlignment="1">
      <alignment horizontal="center" vertical="center" wrapText="1"/>
    </xf>
    <xf numFmtId="0" fontId="7" fillId="6" borderId="44" xfId="8" applyFont="1" applyFill="1" applyBorder="1" applyAlignment="1">
      <alignment horizontal="center" vertical="center" wrapText="1"/>
    </xf>
    <xf numFmtId="0" fontId="7" fillId="6" borderId="47" xfId="8" applyFont="1" applyFill="1" applyBorder="1" applyAlignment="1">
      <alignment horizontal="center" vertical="center" wrapText="1"/>
    </xf>
    <xf numFmtId="0" fontId="7" fillId="6" borderId="75" xfId="8" applyFont="1" applyFill="1" applyBorder="1" applyAlignment="1">
      <alignment horizontal="center" vertical="center" wrapText="1"/>
    </xf>
    <xf numFmtId="0" fontId="7" fillId="6" borderId="51" xfId="8" applyFont="1" applyFill="1" applyBorder="1" applyAlignment="1">
      <alignment horizontal="center" vertical="center" wrapText="1"/>
    </xf>
    <xf numFmtId="0" fontId="7" fillId="6" borderId="52" xfId="8" applyFont="1" applyFill="1" applyBorder="1" applyAlignment="1">
      <alignment horizontal="center" vertical="center" wrapText="1"/>
    </xf>
    <xf numFmtId="0" fontId="54" fillId="0" borderId="77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79" xfId="0" applyFont="1" applyBorder="1" applyAlignment="1">
      <alignment horizontal="center" wrapText="1"/>
    </xf>
    <xf numFmtId="0" fontId="54" fillId="0" borderId="80" xfId="0" applyFont="1" applyBorder="1" applyAlignment="1">
      <alignment horizontal="center" vertical="center" wrapText="1"/>
    </xf>
    <xf numFmtId="10" fontId="54" fillId="0" borderId="80" xfId="0" applyNumberFormat="1" applyFont="1" applyBorder="1" applyAlignment="1">
      <alignment horizontal="center" wrapText="1"/>
    </xf>
    <xf numFmtId="0" fontId="54" fillId="0" borderId="80" xfId="0" applyFont="1" applyBorder="1" applyAlignment="1">
      <alignment horizontal="center" wrapText="1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10" fillId="0" borderId="1" xfId="1" applyNumberFormat="1" applyFont="1" applyFill="1" applyBorder="1" applyAlignment="1">
      <alignment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3" fillId="6" borderId="0" xfId="4" applyFont="1" applyFill="1" applyAlignment="1">
      <alignment horizontal="center" vertical="center"/>
    </xf>
    <xf numFmtId="0" fontId="7" fillId="6" borderId="76" xfId="8" applyFont="1" applyFill="1" applyBorder="1" applyAlignment="1">
      <alignment horizontal="center" vertical="center" wrapText="1"/>
    </xf>
    <xf numFmtId="0" fontId="14" fillId="0" borderId="0" xfId="18" applyFont="1">
      <alignment vertical="center"/>
    </xf>
    <xf numFmtId="0" fontId="14" fillId="0" borderId="0" xfId="18" applyFont="1" applyAlignment="1">
      <alignment horizontal="center" vertical="center"/>
    </xf>
    <xf numFmtId="176" fontId="14" fillId="0" borderId="1" xfId="18" applyNumberFormat="1" applyFont="1" applyBorder="1" applyAlignment="1">
      <alignment horizontal="center" vertical="center" wrapText="1"/>
    </xf>
    <xf numFmtId="180" fontId="14" fillId="6" borderId="1" xfId="18" applyNumberFormat="1" applyFont="1" applyFill="1" applyBorder="1" applyAlignment="1">
      <alignment horizontal="center" vertical="center"/>
    </xf>
    <xf numFmtId="176" fontId="14" fillId="0" borderId="1" xfId="18" applyNumberFormat="1" applyFont="1" applyBorder="1" applyAlignment="1">
      <alignment horizontal="center" vertical="center"/>
    </xf>
    <xf numFmtId="0" fontId="14" fillId="0" borderId="1" xfId="18" applyFont="1" applyBorder="1" applyAlignment="1">
      <alignment horizontal="center" vertical="center"/>
    </xf>
    <xf numFmtId="183" fontId="14" fillId="6" borderId="1" xfId="18" applyNumberFormat="1" applyFont="1" applyFill="1" applyBorder="1" applyAlignment="1">
      <alignment horizontal="center" vertical="center"/>
    </xf>
    <xf numFmtId="0" fontId="14" fillId="0" borderId="4" xfId="18" applyFont="1" applyBorder="1" applyAlignment="1">
      <alignment horizontal="center" vertical="center" wrapText="1"/>
    </xf>
    <xf numFmtId="0" fontId="14" fillId="6" borderId="0" xfId="18" applyFont="1" applyFill="1" applyAlignment="1">
      <alignment horizontal="center" vertical="center"/>
    </xf>
    <xf numFmtId="0" fontId="6" fillId="6" borderId="0" xfId="18" applyFont="1" applyFill="1" applyAlignment="1">
      <alignment horizontal="left" vertical="center"/>
    </xf>
    <xf numFmtId="0" fontId="5" fillId="2" borderId="3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4" fillId="0" borderId="0" xfId="18" applyFont="1" applyAlignment="1">
      <alignment vertical="center" wrapText="1"/>
    </xf>
    <xf numFmtId="0" fontId="14" fillId="0" borderId="1" xfId="18" applyFont="1" applyBorder="1" applyAlignment="1">
      <alignment horizontal="center" vertical="center" wrapText="1"/>
    </xf>
    <xf numFmtId="0" fontId="55" fillId="4" borderId="1" xfId="0" applyFont="1" applyFill="1" applyBorder="1">
      <alignment vertical="center"/>
    </xf>
    <xf numFmtId="0" fontId="61" fillId="0" borderId="7" xfId="18" applyFont="1" applyFill="1" applyBorder="1" applyAlignment="1">
      <alignment horizontal="center" vertical="center"/>
    </xf>
    <xf numFmtId="0" fontId="61" fillId="0" borderId="7" xfId="18" applyFont="1" applyFill="1" applyBorder="1" applyAlignment="1">
      <alignment vertical="center"/>
    </xf>
    <xf numFmtId="0" fontId="61" fillId="0" borderId="8" xfId="18" applyFont="1" applyFill="1" applyBorder="1" applyAlignment="1">
      <alignment vertical="center"/>
    </xf>
    <xf numFmtId="0" fontId="62" fillId="0" borderId="0" xfId="18" applyFont="1" applyFill="1" applyAlignment="1"/>
    <xf numFmtId="49" fontId="49" fillId="0" borderId="1" xfId="18" applyNumberFormat="1" applyFont="1" applyFill="1" applyBorder="1" applyAlignment="1">
      <alignment horizontal="center" vertical="center"/>
    </xf>
    <xf numFmtId="0" fontId="49" fillId="0" borderId="1" xfId="18" applyFont="1" applyFill="1" applyBorder="1" applyAlignment="1">
      <alignment horizontal="center" vertical="center"/>
    </xf>
    <xf numFmtId="0" fontId="64" fillId="0" borderId="1" xfId="18" applyFont="1" applyFill="1" applyBorder="1" applyAlignment="1">
      <alignment vertical="center" wrapText="1"/>
    </xf>
    <xf numFmtId="9" fontId="64" fillId="0" borderId="1" xfId="18" applyNumberFormat="1" applyFont="1" applyFill="1" applyBorder="1" applyAlignment="1">
      <alignment horizontal="center" vertical="center" wrapText="1"/>
    </xf>
    <xf numFmtId="184" fontId="62" fillId="0" borderId="6" xfId="18" applyNumberFormat="1" applyFont="1" applyFill="1" applyBorder="1" applyAlignment="1">
      <alignment horizontal="right"/>
    </xf>
    <xf numFmtId="49" fontId="62" fillId="0" borderId="8" xfId="18" applyNumberFormat="1" applyFont="1" applyFill="1" applyBorder="1" applyAlignment="1">
      <alignment horizontal="left"/>
    </xf>
    <xf numFmtId="0" fontId="62" fillId="0" borderId="1" xfId="18" applyNumberFormat="1" applyFont="1" applyFill="1" applyBorder="1" applyAlignment="1">
      <alignment horizontal="center"/>
    </xf>
    <xf numFmtId="0" fontId="64" fillId="0" borderId="1" xfId="18" applyFont="1" applyFill="1" applyBorder="1" applyAlignment="1">
      <alignment horizontal="center" vertical="center" wrapText="1"/>
    </xf>
    <xf numFmtId="0" fontId="49" fillId="0" borderId="1" xfId="18" applyFont="1" applyFill="1" applyBorder="1" applyAlignment="1">
      <alignment vertical="center"/>
    </xf>
    <xf numFmtId="0" fontId="62" fillId="0" borderId="1" xfId="18" applyFont="1" applyFill="1" applyBorder="1" applyAlignment="1">
      <alignment horizontal="center"/>
    </xf>
    <xf numFmtId="0" fontId="49" fillId="0" borderId="1" xfId="18" applyNumberFormat="1" applyFont="1" applyFill="1" applyBorder="1" applyAlignment="1">
      <alignment horizontal="center" vertical="center"/>
    </xf>
    <xf numFmtId="0" fontId="49" fillId="0" borderId="0" xfId="18" applyFont="1" applyFill="1" applyBorder="1" applyAlignment="1"/>
    <xf numFmtId="0" fontId="49" fillId="0" borderId="0" xfId="18" applyFont="1" applyFill="1" applyBorder="1" applyAlignment="1">
      <alignment vertical="center"/>
    </xf>
    <xf numFmtId="0" fontId="49" fillId="0" borderId="0" xfId="18" applyFont="1" applyFill="1" applyBorder="1" applyAlignment="1">
      <alignment horizontal="center"/>
    </xf>
    <xf numFmtId="0" fontId="70" fillId="0" borderId="0" xfId="18" applyFont="1" applyFill="1" applyBorder="1" applyAlignment="1">
      <alignment horizontal="center"/>
    </xf>
    <xf numFmtId="9" fontId="70" fillId="0" borderId="0" xfId="18" applyNumberFormat="1" applyFont="1" applyFill="1" applyBorder="1" applyAlignment="1">
      <alignment horizontal="center"/>
    </xf>
    <xf numFmtId="0" fontId="67" fillId="0" borderId="0" xfId="18" applyFont="1" applyFill="1" applyBorder="1" applyAlignment="1">
      <alignment vertical="center" wrapText="1"/>
    </xf>
    <xf numFmtId="9" fontId="63" fillId="0" borderId="0" xfId="18" applyNumberFormat="1" applyFont="1" applyFill="1" applyBorder="1" applyAlignment="1">
      <alignment horizontal="center" vertical="center" wrapText="1"/>
    </xf>
    <xf numFmtId="0" fontId="67" fillId="0" borderId="0" xfId="18" applyFont="1" applyFill="1" applyBorder="1" applyAlignment="1">
      <alignment vertical="top" wrapText="1"/>
    </xf>
    <xf numFmtId="0" fontId="62" fillId="0" borderId="0" xfId="18" applyFont="1" applyFill="1" applyAlignment="1">
      <alignment horizontal="center"/>
    </xf>
    <xf numFmtId="0" fontId="62" fillId="0" borderId="0" xfId="18" applyFont="1" applyFill="1" applyAlignment="1">
      <alignment horizontal="center" vertical="center"/>
    </xf>
    <xf numFmtId="0" fontId="62" fillId="0" borderId="0" xfId="18" applyFont="1" applyFill="1" applyAlignment="1">
      <alignment horizontal="left" vertical="center"/>
    </xf>
    <xf numFmtId="0" fontId="71" fillId="0" borderId="0" xfId="18" applyFont="1" applyFill="1" applyAlignment="1"/>
    <xf numFmtId="0" fontId="72" fillId="0" borderId="0" xfId="18" applyFont="1" applyFill="1" applyAlignment="1">
      <alignment horizontal="center"/>
    </xf>
    <xf numFmtId="0" fontId="71" fillId="0" borderId="0" xfId="18" applyFont="1" applyFill="1" applyAlignment="1">
      <alignment horizontal="left" vertical="center"/>
    </xf>
    <xf numFmtId="0" fontId="71" fillId="0" borderId="0" xfId="18" applyFont="1" applyFill="1" applyAlignment="1">
      <alignment horizontal="center"/>
    </xf>
    <xf numFmtId="0" fontId="73" fillId="0" borderId="0" xfId="18" applyFont="1" applyFill="1" applyAlignment="1">
      <alignment horizontal="center"/>
    </xf>
    <xf numFmtId="0" fontId="73" fillId="0" borderId="0" xfId="18" applyFont="1" applyFill="1" applyAlignment="1"/>
    <xf numFmtId="0" fontId="74" fillId="0" borderId="0" xfId="18" applyFont="1" applyFill="1" applyAlignment="1"/>
    <xf numFmtId="0" fontId="75" fillId="0" borderId="0" xfId="0" applyFont="1">
      <alignment vertical="center"/>
    </xf>
    <xf numFmtId="49" fontId="71" fillId="0" borderId="0" xfId="18" applyNumberFormat="1" applyFont="1" applyFill="1" applyAlignment="1">
      <alignment horizontal="center"/>
    </xf>
    <xf numFmtId="49" fontId="71" fillId="2" borderId="0" xfId="18" applyNumberFormat="1" applyFont="1" applyFill="1" applyAlignment="1">
      <alignment horizontal="center"/>
    </xf>
    <xf numFmtId="57" fontId="75" fillId="0" borderId="1" xfId="0" applyNumberFormat="1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17" fontId="72" fillId="0" borderId="0" xfId="18" applyNumberFormat="1" applyFont="1" applyFill="1" applyAlignment="1">
      <alignment horizontal="center"/>
    </xf>
    <xf numFmtId="49" fontId="70" fillId="0" borderId="0" xfId="18" applyNumberFormat="1" applyFont="1" applyFill="1" applyBorder="1" applyAlignment="1">
      <alignment horizontal="center"/>
    </xf>
    <xf numFmtId="0" fontId="76" fillId="0" borderId="78" xfId="0" applyFont="1" applyBorder="1" applyAlignment="1">
      <alignment horizontal="center" vertical="center" wrapText="1"/>
    </xf>
    <xf numFmtId="0" fontId="77" fillId="0" borderId="78" xfId="0" applyFont="1" applyBorder="1" applyAlignment="1">
      <alignment horizontal="center" vertical="center" wrapText="1"/>
    </xf>
    <xf numFmtId="0" fontId="77" fillId="0" borderId="85" xfId="0" applyFont="1" applyBorder="1" applyAlignment="1">
      <alignment horizontal="center" vertical="center" wrapText="1"/>
    </xf>
    <xf numFmtId="0" fontId="77" fillId="0" borderId="80" xfId="0" applyFont="1" applyBorder="1" applyAlignment="1">
      <alignment horizontal="center" vertical="center" wrapText="1"/>
    </xf>
    <xf numFmtId="0" fontId="79" fillId="0" borderId="80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76" fillId="0" borderId="80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left" vertical="center" wrapText="1"/>
    </xf>
    <xf numFmtId="0" fontId="83" fillId="19" borderId="1" xfId="0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9" fontId="84" fillId="0" borderId="1" xfId="0" applyNumberFormat="1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23" borderId="1" xfId="0" applyFont="1" applyFill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/>
    </xf>
    <xf numFmtId="0" fontId="0" fillId="0" borderId="0" xfId="0" applyAlignment="1"/>
    <xf numFmtId="0" fontId="32" fillId="24" borderId="1" xfId="0" applyFont="1" applyFill="1" applyBorder="1" applyAlignment="1">
      <alignment horizontal="center" vertical="center" wrapText="1"/>
    </xf>
    <xf numFmtId="0" fontId="85" fillId="24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86" fillId="0" borderId="78" xfId="0" applyFont="1" applyBorder="1" applyAlignment="1">
      <alignment horizontal="center" vertical="center" wrapText="1"/>
    </xf>
    <xf numFmtId="0" fontId="81" fillId="0" borderId="78" xfId="0" applyFont="1" applyBorder="1" applyAlignment="1">
      <alignment horizontal="center" vertical="center" wrapText="1"/>
    </xf>
    <xf numFmtId="0" fontId="81" fillId="0" borderId="85" xfId="0" applyFont="1" applyBorder="1" applyAlignment="1">
      <alignment horizontal="center" vertical="center" wrapText="1"/>
    </xf>
    <xf numFmtId="0" fontId="81" fillId="0" borderId="80" xfId="0" applyFont="1" applyBorder="1" applyAlignment="1">
      <alignment horizontal="center" vertical="center" wrapText="1"/>
    </xf>
    <xf numFmtId="0" fontId="80" fillId="0" borderId="85" xfId="0" applyFont="1" applyBorder="1" applyAlignment="1">
      <alignment horizontal="center" vertical="center" wrapText="1"/>
    </xf>
    <xf numFmtId="0" fontId="80" fillId="0" borderId="80" xfId="0" applyFont="1" applyBorder="1" applyAlignment="1">
      <alignment horizontal="center" vertical="center" wrapText="1"/>
    </xf>
    <xf numFmtId="0" fontId="91" fillId="0" borderId="80" xfId="0" applyFont="1" applyBorder="1" applyAlignment="1">
      <alignment horizontal="center" vertical="center" wrapText="1"/>
    </xf>
    <xf numFmtId="0" fontId="90" fillId="0" borderId="80" xfId="0" applyFont="1" applyBorder="1" applyAlignment="1">
      <alignment horizontal="center" vertical="center" wrapText="1"/>
    </xf>
    <xf numFmtId="0" fontId="92" fillId="0" borderId="80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0" fillId="0" borderId="80" xfId="0" applyBorder="1" applyAlignment="1">
      <alignment vertical="center" wrapText="1"/>
    </xf>
    <xf numFmtId="0" fontId="80" fillId="0" borderId="80" xfId="0" applyFont="1" applyBorder="1" applyAlignment="1">
      <alignment vertical="center" wrapText="1"/>
    </xf>
    <xf numFmtId="0" fontId="89" fillId="0" borderId="80" xfId="0" applyFont="1" applyBorder="1" applyAlignment="1">
      <alignment horizontal="center" vertical="center" wrapText="1"/>
    </xf>
    <xf numFmtId="0" fontId="93" fillId="0" borderId="80" xfId="0" applyFont="1" applyBorder="1" applyAlignment="1">
      <alignment horizontal="center" vertical="center" wrapText="1"/>
    </xf>
    <xf numFmtId="0" fontId="86" fillId="0" borderId="84" xfId="0" applyFont="1" applyBorder="1" applyAlignment="1">
      <alignment horizontal="center" vertical="center" wrapText="1"/>
    </xf>
    <xf numFmtId="0" fontId="86" fillId="0" borderId="85" xfId="0" applyFont="1" applyBorder="1" applyAlignment="1">
      <alignment horizontal="center" vertical="center" wrapText="1"/>
    </xf>
    <xf numFmtId="0" fontId="88" fillId="0" borderId="80" xfId="0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9" fillId="0" borderId="0" xfId="0" applyFont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 wrapText="1"/>
    </xf>
    <xf numFmtId="0" fontId="95" fillId="0" borderId="0" xfId="0" applyFont="1">
      <alignment vertical="center"/>
    </xf>
    <xf numFmtId="0" fontId="97" fillId="0" borderId="80" xfId="0" applyFont="1" applyBorder="1" applyAlignment="1">
      <alignment horizontal="center" vertical="center" wrapText="1"/>
    </xf>
    <xf numFmtId="0" fontId="89" fillId="0" borderId="85" xfId="0" applyFont="1" applyFill="1" applyBorder="1" applyAlignment="1">
      <alignment horizontal="center" vertical="center" wrapText="1"/>
    </xf>
    <xf numFmtId="0" fontId="89" fillId="0" borderId="80" xfId="0" applyFont="1" applyFill="1" applyBorder="1" applyAlignment="1">
      <alignment horizontal="center" vertical="center" wrapText="1"/>
    </xf>
    <xf numFmtId="0" fontId="89" fillId="2" borderId="80" xfId="0" applyFont="1" applyFill="1" applyBorder="1" applyAlignment="1">
      <alignment horizontal="center" vertical="center" wrapText="1"/>
    </xf>
    <xf numFmtId="0" fontId="91" fillId="2" borderId="8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0" fillId="0" borderId="0" xfId="23"/>
    <xf numFmtId="17" fontId="100" fillId="0" borderId="0" xfId="23" applyNumberFormat="1"/>
    <xf numFmtId="0" fontId="100" fillId="0" borderId="1" xfId="23" applyBorder="1"/>
    <xf numFmtId="0" fontId="84" fillId="4" borderId="1" xfId="0" applyFont="1" applyFill="1" applyBorder="1" applyAlignment="1">
      <alignment horizontal="center" vertical="center" wrapText="1"/>
    </xf>
    <xf numFmtId="9" fontId="84" fillId="4" borderId="1" xfId="0" applyNumberFormat="1" applyFont="1" applyFill="1" applyBorder="1" applyAlignment="1">
      <alignment horizontal="center" vertical="center" wrapText="1"/>
    </xf>
    <xf numFmtId="0" fontId="84" fillId="5" borderId="1" xfId="0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4" fillId="3" borderId="1" xfId="0" applyFont="1" applyFill="1" applyBorder="1" applyAlignment="1">
      <alignment horizontal="center" vertical="center" wrapText="1"/>
    </xf>
    <xf numFmtId="9" fontId="84" fillId="3" borderId="1" xfId="0" applyNumberFormat="1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84" fillId="2" borderId="1" xfId="0" applyFont="1" applyFill="1" applyBorder="1" applyAlignment="1">
      <alignment horizontal="center" vertical="center" wrapText="1"/>
    </xf>
    <xf numFmtId="9" fontId="8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1" fillId="0" borderId="78" xfId="0" applyFont="1" applyBorder="1" applyAlignment="1">
      <alignment horizontal="center" vertical="center" wrapText="1"/>
    </xf>
    <xf numFmtId="0" fontId="81" fillId="0" borderId="84" xfId="0" applyFont="1" applyBorder="1" applyAlignment="1">
      <alignment horizontal="center" vertical="center" wrapText="1"/>
    </xf>
    <xf numFmtId="0" fontId="81" fillId="0" borderId="85" xfId="0" applyFont="1" applyBorder="1" applyAlignment="1">
      <alignment horizontal="center" vertical="center" wrapText="1"/>
    </xf>
    <xf numFmtId="0" fontId="81" fillId="0" borderId="80" xfId="0" applyFont="1" applyBorder="1" applyAlignment="1">
      <alignment horizontal="center" vertical="center" wrapText="1"/>
    </xf>
    <xf numFmtId="0" fontId="102" fillId="0" borderId="0" xfId="0" applyFont="1">
      <alignment vertical="center"/>
    </xf>
    <xf numFmtId="0" fontId="86" fillId="2" borderId="1" xfId="0" applyFont="1" applyFill="1" applyBorder="1" applyAlignment="1">
      <alignment horizontal="center" vertical="center" wrapText="1"/>
    </xf>
    <xf numFmtId="0" fontId="45" fillId="0" borderId="1" xfId="17" applyFont="1" applyFill="1" applyBorder="1" applyAlignment="1" applyProtection="1">
      <alignment horizontal="center" vertical="center" wrapText="1"/>
    </xf>
    <xf numFmtId="0" fontId="43" fillId="0" borderId="1" xfId="17" applyFont="1" applyFill="1" applyBorder="1" applyAlignment="1" applyProtection="1">
      <alignment horizontal="center" vertical="center" wrapText="1"/>
    </xf>
    <xf numFmtId="0" fontId="86" fillId="0" borderId="1" xfId="0" applyFont="1" applyFill="1" applyBorder="1" applyAlignment="1">
      <alignment horizontal="center" vertical="center" wrapText="1"/>
    </xf>
    <xf numFmtId="0" fontId="81" fillId="0" borderId="80" xfId="0" applyFont="1" applyBorder="1" applyAlignment="1">
      <alignment horizontal="center" vertical="center" wrapText="1"/>
    </xf>
    <xf numFmtId="0" fontId="81" fillId="0" borderId="78" xfId="0" applyFont="1" applyBorder="1" applyAlignment="1">
      <alignment horizontal="center" vertical="center" wrapText="1"/>
    </xf>
    <xf numFmtId="0" fontId="81" fillId="0" borderId="85" xfId="0" applyFont="1" applyBorder="1" applyAlignment="1">
      <alignment horizontal="center" vertical="center" wrapText="1"/>
    </xf>
    <xf numFmtId="0" fontId="89" fillId="0" borderId="85" xfId="0" applyFont="1" applyBorder="1" applyAlignment="1">
      <alignment horizontal="center" vertical="center" wrapText="1"/>
    </xf>
    <xf numFmtId="0" fontId="105" fillId="0" borderId="80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106" fillId="0" borderId="0" xfId="0" applyFont="1">
      <alignment vertical="center"/>
    </xf>
    <xf numFmtId="0" fontId="107" fillId="0" borderId="0" xfId="0" applyFont="1">
      <alignment vertical="center"/>
    </xf>
    <xf numFmtId="0" fontId="96" fillId="0" borderId="0" xfId="0" applyFont="1">
      <alignment vertical="center"/>
    </xf>
    <xf numFmtId="0" fontId="86" fillId="0" borderId="82" xfId="0" applyFont="1" applyBorder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8" fillId="0" borderId="82" xfId="0" applyFont="1" applyBorder="1" applyAlignment="1">
      <alignment horizontal="center" vertical="center" wrapText="1"/>
    </xf>
    <xf numFmtId="0" fontId="88" fillId="0" borderId="83" xfId="0" applyFont="1" applyBorder="1" applyAlignment="1">
      <alignment horizontal="center" vertical="center" wrapText="1"/>
    </xf>
    <xf numFmtId="0" fontId="88" fillId="0" borderId="79" xfId="0" applyFont="1" applyBorder="1" applyAlignment="1">
      <alignment horizontal="center" vertical="center" wrapText="1"/>
    </xf>
    <xf numFmtId="0" fontId="90" fillId="0" borderId="82" xfId="0" applyFont="1" applyBorder="1" applyAlignment="1">
      <alignment horizontal="center" vertical="center" wrapText="1"/>
    </xf>
    <xf numFmtId="0" fontId="90" fillId="0" borderId="79" xfId="0" applyFont="1" applyBorder="1" applyAlignment="1">
      <alignment horizontal="center" vertical="center" wrapText="1"/>
    </xf>
    <xf numFmtId="0" fontId="81" fillId="0" borderId="84" xfId="0" applyFont="1" applyBorder="1" applyAlignment="1">
      <alignment horizontal="center" vertical="center" wrapText="1"/>
    </xf>
    <xf numFmtId="0" fontId="81" fillId="0" borderId="80" xfId="0" applyFont="1" applyBorder="1" applyAlignment="1">
      <alignment horizontal="center" vertical="center" wrapText="1"/>
    </xf>
    <xf numFmtId="0" fontId="109" fillId="0" borderId="0" xfId="0" applyFont="1" applyAlignment="1">
      <alignment vertical="center" wrapText="1"/>
    </xf>
    <xf numFmtId="0" fontId="88" fillId="0" borderId="9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10" fontId="5" fillId="0" borderId="3" xfId="1" applyNumberFormat="1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25" fillId="0" borderId="0" xfId="1" applyFont="1" applyFill="1" applyAlignment="1">
      <alignment horizontal="left" vertical="center"/>
    </xf>
    <xf numFmtId="0" fontId="25" fillId="0" borderId="24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4" fillId="0" borderId="2" xfId="0" applyFont="1" applyFill="1" applyBorder="1" applyAlignment="1">
      <alignment horizontal="center" vertical="center" wrapText="1"/>
    </xf>
    <xf numFmtId="0" fontId="84" fillId="0" borderId="4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85" fillId="0" borderId="2" xfId="0" applyFont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0" fontId="32" fillId="23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 wrapText="1"/>
    </xf>
    <xf numFmtId="0" fontId="54" fillId="0" borderId="79" xfId="0" applyFont="1" applyBorder="1" applyAlignment="1">
      <alignment horizontal="center" vertical="center" wrapText="1"/>
    </xf>
    <xf numFmtId="0" fontId="77" fillId="0" borderId="86" xfId="0" applyFont="1" applyBorder="1" applyAlignment="1">
      <alignment horizontal="center" vertical="center" wrapText="1"/>
    </xf>
    <xf numFmtId="0" fontId="77" fillId="0" borderId="56" xfId="0" applyFont="1" applyBorder="1" applyAlignment="1">
      <alignment horizontal="center" vertical="center" wrapText="1"/>
    </xf>
    <xf numFmtId="0" fontId="77" fillId="0" borderId="80" xfId="0" applyFont="1" applyBorder="1" applyAlignment="1">
      <alignment horizontal="center" vertical="center" wrapText="1"/>
    </xf>
    <xf numFmtId="0" fontId="77" fillId="0" borderId="88" xfId="0" applyFont="1" applyBorder="1" applyAlignment="1">
      <alignment horizontal="center" vertical="center" wrapText="1"/>
    </xf>
    <xf numFmtId="0" fontId="77" fillId="0" borderId="89" xfId="0" applyFont="1" applyBorder="1" applyAlignment="1">
      <alignment horizontal="center" vertical="center" wrapText="1"/>
    </xf>
    <xf numFmtId="0" fontId="77" fillId="0" borderId="78" xfId="0" applyFont="1" applyBorder="1" applyAlignment="1">
      <alignment horizontal="center" vertical="center" wrapText="1"/>
    </xf>
    <xf numFmtId="0" fontId="79" fillId="0" borderId="82" xfId="0" applyFont="1" applyBorder="1" applyAlignment="1">
      <alignment horizontal="center" vertical="center" wrapText="1"/>
    </xf>
    <xf numFmtId="0" fontId="79" fillId="0" borderId="7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6" fillId="0" borderId="82" xfId="0" applyFont="1" applyBorder="1" applyAlignment="1">
      <alignment horizontal="center" vertical="center"/>
    </xf>
    <xf numFmtId="0" fontId="76" fillId="0" borderId="83" xfId="0" applyFont="1" applyBorder="1" applyAlignment="1">
      <alignment horizontal="center" vertical="center"/>
    </xf>
    <xf numFmtId="0" fontId="77" fillId="0" borderId="26" xfId="0" applyFont="1" applyBorder="1" applyAlignment="1">
      <alignment horizontal="center" vertical="center" wrapText="1"/>
    </xf>
    <xf numFmtId="0" fontId="77" fillId="0" borderId="84" xfId="0" applyFont="1" applyBorder="1" applyAlignment="1">
      <alignment horizontal="center" vertical="center" wrapText="1"/>
    </xf>
    <xf numFmtId="0" fontId="77" fillId="0" borderId="87" xfId="0" applyFont="1" applyBorder="1" applyAlignment="1">
      <alignment horizontal="center" vertical="center" wrapText="1"/>
    </xf>
    <xf numFmtId="0" fontId="77" fillId="0" borderId="85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left" vertical="center" wrapText="1"/>
    </xf>
    <xf numFmtId="0" fontId="54" fillId="0" borderId="84" xfId="0" applyFont="1" applyBorder="1" applyAlignment="1">
      <alignment horizontal="center" vertical="center" wrapText="1"/>
    </xf>
    <xf numFmtId="0" fontId="54" fillId="0" borderId="80" xfId="0" applyFont="1" applyBorder="1" applyAlignment="1">
      <alignment horizontal="center" vertical="center" wrapText="1"/>
    </xf>
    <xf numFmtId="0" fontId="79" fillId="0" borderId="82" xfId="0" applyFont="1" applyBorder="1" applyAlignment="1">
      <alignment horizontal="left" vertical="center" wrapText="1"/>
    </xf>
    <xf numFmtId="0" fontId="79" fillId="0" borderId="79" xfId="0" applyFont="1" applyBorder="1" applyAlignment="1">
      <alignment horizontal="left" vertical="center" wrapText="1"/>
    </xf>
    <xf numFmtId="0" fontId="77" fillId="0" borderId="82" xfId="0" applyFont="1" applyBorder="1" applyAlignment="1">
      <alignment horizontal="center" vertical="center" wrapText="1"/>
    </xf>
    <xf numFmtId="0" fontId="77" fillId="0" borderId="79" xfId="0" applyFont="1" applyBorder="1" applyAlignment="1">
      <alignment horizontal="center" vertical="center" wrapText="1"/>
    </xf>
    <xf numFmtId="0" fontId="82" fillId="1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23" borderId="2" xfId="0" applyFont="1" applyFill="1" applyBorder="1" applyAlignment="1">
      <alignment horizontal="center" vertical="center" wrapText="1"/>
    </xf>
    <xf numFmtId="0" fontId="32" fillId="23" borderId="4" xfId="0" applyFont="1" applyFill="1" applyBorder="1" applyAlignment="1">
      <alignment horizontal="center" vertical="center" wrapText="1"/>
    </xf>
    <xf numFmtId="0" fontId="76" fillId="0" borderId="79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4" fillId="0" borderId="0" xfId="18" applyFont="1" applyAlignment="1">
      <alignment horizontal="left" vertical="center"/>
    </xf>
    <xf numFmtId="0" fontId="14" fillId="0" borderId="2" xfId="18" applyFont="1" applyBorder="1" applyAlignment="1">
      <alignment horizontal="center" vertical="center" wrapText="1"/>
    </xf>
    <xf numFmtId="0" fontId="14" fillId="0" borderId="4" xfId="18" applyFont="1" applyBorder="1" applyAlignment="1">
      <alignment horizontal="center" vertical="center" wrapText="1"/>
    </xf>
    <xf numFmtId="0" fontId="14" fillId="0" borderId="2" xfId="18" applyFont="1" applyBorder="1" applyAlignment="1">
      <alignment horizontal="center" vertical="center"/>
    </xf>
    <xf numFmtId="0" fontId="14" fillId="0" borderId="3" xfId="18" applyFont="1" applyBorder="1" applyAlignment="1">
      <alignment horizontal="center" vertical="center"/>
    </xf>
    <xf numFmtId="0" fontId="14" fillId="0" borderId="4" xfId="18" applyFont="1" applyBorder="1" applyAlignment="1">
      <alignment horizontal="center" vertical="center"/>
    </xf>
    <xf numFmtId="0" fontId="58" fillId="0" borderId="0" xfId="18" applyFont="1" applyAlignment="1">
      <alignment horizontal="center" vertical="center"/>
    </xf>
    <xf numFmtId="0" fontId="14" fillId="0" borderId="1" xfId="18" applyFont="1" applyBorder="1" applyAlignment="1">
      <alignment horizontal="center" vertical="center"/>
    </xf>
    <xf numFmtId="0" fontId="59" fillId="0" borderId="6" xfId="18" applyFont="1" applyFill="1" applyBorder="1" applyAlignment="1">
      <alignment horizontal="center" vertical="center"/>
    </xf>
    <xf numFmtId="0" fontId="59" fillId="0" borderId="7" xfId="18" applyFont="1" applyFill="1" applyBorder="1" applyAlignment="1">
      <alignment horizontal="center" vertical="center"/>
    </xf>
    <xf numFmtId="0" fontId="49" fillId="0" borderId="1" xfId="18" applyFont="1" applyFill="1" applyBorder="1" applyAlignment="1">
      <alignment horizontal="center" vertical="center"/>
    </xf>
    <xf numFmtId="0" fontId="62" fillId="0" borderId="2" xfId="18" applyFont="1" applyFill="1" applyBorder="1" applyAlignment="1">
      <alignment horizontal="center" vertical="center"/>
    </xf>
    <xf numFmtId="0" fontId="62" fillId="0" borderId="3" xfId="18" applyFont="1" applyFill="1" applyBorder="1" applyAlignment="1">
      <alignment horizontal="center" vertical="center"/>
    </xf>
    <xf numFmtId="0" fontId="62" fillId="0" borderId="4" xfId="18" applyFont="1" applyFill="1" applyBorder="1" applyAlignment="1">
      <alignment horizontal="center" vertical="center"/>
    </xf>
    <xf numFmtId="0" fontId="63" fillId="0" borderId="1" xfId="18" applyFont="1" applyFill="1" applyBorder="1" applyAlignment="1">
      <alignment horizontal="center" vertical="center" wrapText="1"/>
    </xf>
    <xf numFmtId="0" fontId="62" fillId="0" borderId="3" xfId="18" applyFont="1" applyFill="1" applyBorder="1" applyAlignment="1">
      <alignment horizontal="center"/>
    </xf>
    <xf numFmtId="0" fontId="62" fillId="0" borderId="20" xfId="18" applyFont="1" applyFill="1" applyBorder="1" applyAlignment="1">
      <alignment horizontal="center" vertical="center"/>
    </xf>
    <xf numFmtId="0" fontId="62" fillId="0" borderId="30" xfId="18" applyFont="1" applyFill="1" applyBorder="1" applyAlignment="1">
      <alignment horizontal="center" vertical="center"/>
    </xf>
    <xf numFmtId="0" fontId="62" fillId="0" borderId="25" xfId="18" applyFont="1" applyFill="1" applyBorder="1" applyAlignment="1">
      <alignment horizontal="center" vertical="center"/>
    </xf>
    <xf numFmtId="0" fontId="62" fillId="0" borderId="5" xfId="18" applyFont="1" applyFill="1" applyBorder="1" applyAlignment="1">
      <alignment horizontal="center" vertical="center"/>
    </xf>
    <xf numFmtId="0" fontId="62" fillId="0" borderId="27" xfId="18" applyFont="1" applyFill="1" applyBorder="1" applyAlignment="1">
      <alignment horizontal="center" vertical="center"/>
    </xf>
    <xf numFmtId="0" fontId="62" fillId="0" borderId="81" xfId="18" applyFont="1" applyFill="1" applyBorder="1" applyAlignment="1">
      <alignment horizontal="center" vertical="center"/>
    </xf>
    <xf numFmtId="0" fontId="62" fillId="0" borderId="6" xfId="18" applyFont="1" applyFill="1" applyBorder="1" applyAlignment="1">
      <alignment horizontal="center"/>
    </xf>
    <xf numFmtId="0" fontId="62" fillId="0" borderId="7" xfId="18" applyFont="1" applyFill="1" applyBorder="1" applyAlignment="1">
      <alignment horizontal="center"/>
    </xf>
    <xf numFmtId="0" fontId="49" fillId="0" borderId="1" xfId="18" applyFont="1" applyFill="1" applyBorder="1" applyAlignment="1">
      <alignment horizontal="center" vertical="center" wrapText="1" readingOrder="1"/>
    </xf>
    <xf numFmtId="0" fontId="62" fillId="0" borderId="2" xfId="18" applyFont="1" applyFill="1" applyBorder="1" applyAlignment="1">
      <alignment horizontal="center" vertical="center" wrapText="1" readingOrder="1"/>
    </xf>
    <xf numFmtId="0" fontId="62" fillId="0" borderId="3" xfId="18" applyFont="1" applyFill="1" applyBorder="1" applyAlignment="1">
      <alignment horizontal="center" vertical="center" wrapText="1" readingOrder="1"/>
    </xf>
    <xf numFmtId="0" fontId="62" fillId="0" borderId="4" xfId="18" applyFont="1" applyFill="1" applyBorder="1" applyAlignment="1">
      <alignment horizontal="center" vertical="center" wrapText="1" readingOrder="1"/>
    </xf>
    <xf numFmtId="0" fontId="49" fillId="0" borderId="1" xfId="18" applyFont="1" applyFill="1" applyBorder="1" applyAlignment="1">
      <alignment horizontal="center" vertical="center" textRotation="255" wrapText="1"/>
    </xf>
    <xf numFmtId="0" fontId="62" fillId="0" borderId="1" xfId="18" applyFont="1" applyFill="1" applyBorder="1" applyAlignment="1">
      <alignment horizontal="center" vertical="center" textRotation="255" wrapText="1"/>
    </xf>
    <xf numFmtId="0" fontId="67" fillId="0" borderId="1" xfId="18" applyFont="1" applyFill="1" applyBorder="1" applyAlignment="1">
      <alignment horizontal="center" vertical="center" wrapText="1"/>
    </xf>
    <xf numFmtId="0" fontId="64" fillId="0" borderId="1" xfId="18" applyFont="1" applyFill="1" applyBorder="1" applyAlignment="1">
      <alignment horizontal="center" vertical="center" wrapText="1"/>
    </xf>
    <xf numFmtId="0" fontId="67" fillId="0" borderId="1" xfId="18" applyFont="1" applyFill="1" applyBorder="1" applyAlignment="1">
      <alignment horizontal="center" vertical="top" wrapText="1"/>
    </xf>
    <xf numFmtId="0" fontId="62" fillId="0" borderId="8" xfId="18" applyFont="1" applyFill="1" applyBorder="1" applyAlignment="1">
      <alignment horizontal="center"/>
    </xf>
    <xf numFmtId="0" fontId="62" fillId="0" borderId="1" xfId="18" applyFont="1" applyFill="1" applyBorder="1" applyAlignment="1">
      <alignment horizontal="center" vertical="center"/>
    </xf>
    <xf numFmtId="181" fontId="67" fillId="0" borderId="1" xfId="18" applyNumberFormat="1" applyFont="1" applyFill="1" applyBorder="1" applyAlignment="1">
      <alignment horizontal="center" vertical="center" wrapText="1"/>
    </xf>
    <xf numFmtId="0" fontId="67" fillId="0" borderId="6" xfId="18" applyFont="1" applyFill="1" applyBorder="1" applyAlignment="1">
      <alignment horizontal="center" vertical="top" wrapText="1"/>
    </xf>
    <xf numFmtId="0" fontId="67" fillId="0" borderId="8" xfId="18" applyFont="1" applyFill="1" applyBorder="1" applyAlignment="1">
      <alignment horizontal="center" vertical="top" wrapText="1"/>
    </xf>
    <xf numFmtId="181" fontId="62" fillId="0" borderId="1" xfId="18" applyNumberFormat="1" applyFont="1" applyFill="1" applyBorder="1" applyAlignment="1">
      <alignment horizontal="center"/>
    </xf>
    <xf numFmtId="0" fontId="68" fillId="0" borderId="1" xfId="18" applyFont="1" applyFill="1" applyBorder="1" applyAlignment="1">
      <alignment horizontal="center" vertical="center" wrapText="1"/>
    </xf>
    <xf numFmtId="181" fontId="68" fillId="0" borderId="1" xfId="18" applyNumberFormat="1" applyFont="1" applyFill="1" applyBorder="1" applyAlignment="1">
      <alignment horizontal="center" vertical="center" wrapText="1"/>
    </xf>
    <xf numFmtId="0" fontId="69" fillId="0" borderId="1" xfId="18" applyFont="1" applyFill="1" applyBorder="1" applyAlignment="1">
      <alignment horizontal="center"/>
    </xf>
    <xf numFmtId="181" fontId="69" fillId="0" borderId="1" xfId="18" applyNumberFormat="1" applyFont="1" applyFill="1" applyBorder="1" applyAlignment="1">
      <alignment horizontal="center" vertical="center"/>
    </xf>
    <xf numFmtId="177" fontId="62" fillId="0" borderId="1" xfId="18" applyNumberFormat="1" applyFont="1" applyFill="1" applyBorder="1" applyAlignment="1">
      <alignment horizontal="center"/>
    </xf>
    <xf numFmtId="0" fontId="69" fillId="0" borderId="1" xfId="18" applyFont="1" applyFill="1" applyBorder="1" applyAlignment="1">
      <alignment horizontal="center" vertical="center"/>
    </xf>
    <xf numFmtId="0" fontId="67" fillId="0" borderId="20" xfId="18" applyFont="1" applyFill="1" applyBorder="1" applyAlignment="1">
      <alignment horizontal="center" vertical="top" wrapText="1"/>
    </xf>
    <xf numFmtId="0" fontId="67" fillId="0" borderId="30" xfId="18" applyFont="1" applyFill="1" applyBorder="1" applyAlignment="1">
      <alignment horizontal="center" vertical="top" wrapText="1"/>
    </xf>
    <xf numFmtId="0" fontId="67" fillId="0" borderId="25" xfId="18" applyFont="1" applyFill="1" applyBorder="1" applyAlignment="1">
      <alignment horizontal="center" vertical="top" wrapText="1"/>
    </xf>
    <xf numFmtId="0" fontId="67" fillId="0" borderId="5" xfId="18" applyFont="1" applyFill="1" applyBorder="1" applyAlignment="1">
      <alignment horizontal="center" vertical="top" wrapText="1"/>
    </xf>
    <xf numFmtId="0" fontId="72" fillId="0" borderId="0" xfId="18" applyFont="1" applyFill="1" applyAlignment="1">
      <alignment horizontal="center"/>
    </xf>
    <xf numFmtId="0" fontId="73" fillId="0" borderId="0" xfId="18" applyFont="1" applyFill="1" applyAlignment="1">
      <alignment horizontal="center"/>
    </xf>
    <xf numFmtId="0" fontId="14" fillId="0" borderId="1" xfId="18" applyFont="1" applyBorder="1" applyAlignment="1">
      <alignment horizontal="center" vertical="center" wrapText="1"/>
    </xf>
    <xf numFmtId="0" fontId="37" fillId="0" borderId="0" xfId="17" applyFont="1" applyAlignment="1">
      <alignment horizontal="center" vertical="center"/>
    </xf>
    <xf numFmtId="0" fontId="34" fillId="0" borderId="0" xfId="17" applyFont="1" applyAlignment="1">
      <alignment horizontal="center" vertical="center"/>
    </xf>
    <xf numFmtId="0" fontId="45" fillId="12" borderId="50" xfId="17" applyFont="1" applyFill="1" applyBorder="1" applyAlignment="1" applyProtection="1">
      <alignment horizontal="center" vertical="center" wrapText="1"/>
    </xf>
    <xf numFmtId="0" fontId="45" fillId="12" borderId="46" xfId="17" applyFont="1" applyFill="1" applyBorder="1" applyAlignment="1" applyProtection="1">
      <alignment horizontal="center" vertical="center" wrapText="1"/>
    </xf>
    <xf numFmtId="0" fontId="45" fillId="12" borderId="49" xfId="17" applyFont="1" applyFill="1" applyBorder="1" applyAlignment="1" applyProtection="1">
      <alignment horizontal="center" vertical="center" wrapText="1"/>
    </xf>
    <xf numFmtId="0" fontId="35" fillId="0" borderId="0" xfId="17" applyFont="1" applyAlignment="1">
      <alignment horizontal="center" vertical="center"/>
    </xf>
    <xf numFmtId="0" fontId="45" fillId="12" borderId="48" xfId="17" applyFont="1" applyFill="1" applyBorder="1" applyAlignment="1" applyProtection="1">
      <alignment horizontal="center" vertical="center" wrapText="1"/>
    </xf>
    <xf numFmtId="0" fontId="43" fillId="12" borderId="50" xfId="17" applyFont="1" applyFill="1" applyBorder="1" applyAlignment="1" applyProtection="1">
      <alignment horizontal="center" vertical="center" wrapText="1"/>
    </xf>
    <xf numFmtId="0" fontId="43" fillId="12" borderId="46" xfId="17" applyFont="1" applyFill="1" applyBorder="1" applyAlignment="1" applyProtection="1">
      <alignment horizontal="center" vertical="center" wrapText="1"/>
    </xf>
    <xf numFmtId="0" fontId="43" fillId="12" borderId="49" xfId="17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81" fillId="0" borderId="86" xfId="0" applyFont="1" applyBorder="1" applyAlignment="1">
      <alignment horizontal="center" vertical="center" wrapText="1"/>
    </xf>
    <xf numFmtId="0" fontId="81" fillId="0" borderId="56" xfId="0" applyFont="1" applyBorder="1" applyAlignment="1">
      <alignment horizontal="center" vertical="center" wrapText="1"/>
    </xf>
    <xf numFmtId="0" fontId="81" fillId="0" borderId="80" xfId="0" applyFont="1" applyBorder="1" applyAlignment="1">
      <alignment horizontal="center" vertical="center" wrapText="1"/>
    </xf>
    <xf numFmtId="0" fontId="81" fillId="0" borderId="88" xfId="0" applyFont="1" applyBorder="1" applyAlignment="1">
      <alignment horizontal="center" vertical="center" wrapText="1"/>
    </xf>
    <xf numFmtId="0" fontId="81" fillId="0" borderId="89" xfId="0" applyFont="1" applyBorder="1" applyAlignment="1">
      <alignment horizontal="center" vertical="center" wrapText="1"/>
    </xf>
    <xf numFmtId="0" fontId="81" fillId="0" borderId="78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8" fillId="0" borderId="88" xfId="0" applyFont="1" applyBorder="1" applyAlignment="1">
      <alignment horizontal="center" vertical="center" wrapText="1"/>
    </xf>
    <xf numFmtId="0" fontId="88" fillId="0" borderId="78" xfId="0" applyFont="1" applyBorder="1" applyAlignment="1">
      <alignment horizontal="center" vertical="center" wrapText="1"/>
    </xf>
    <xf numFmtId="0" fontId="84" fillId="2" borderId="2" xfId="0" applyFont="1" applyFill="1" applyBorder="1" applyAlignment="1">
      <alignment horizontal="center" vertical="center" wrapText="1"/>
    </xf>
    <xf numFmtId="0" fontId="84" fillId="2" borderId="4" xfId="0" applyFont="1" applyFill="1" applyBorder="1" applyAlignment="1">
      <alignment horizontal="center" vertical="center" wrapText="1"/>
    </xf>
    <xf numFmtId="0" fontId="84" fillId="5" borderId="2" xfId="0" applyFont="1" applyFill="1" applyBorder="1" applyAlignment="1">
      <alignment horizontal="center" vertical="center" wrapText="1"/>
    </xf>
    <xf numFmtId="0" fontId="84" fillId="5" borderId="4" xfId="0" applyFont="1" applyFill="1" applyBorder="1" applyAlignment="1">
      <alignment horizontal="center" vertical="center" wrapText="1"/>
    </xf>
    <xf numFmtId="0" fontId="86" fillId="0" borderId="82" xfId="0" applyFont="1" applyBorder="1" applyAlignment="1">
      <alignment horizontal="center" vertical="center" wrapText="1"/>
    </xf>
    <xf numFmtId="0" fontId="86" fillId="0" borderId="83" xfId="0" applyFont="1" applyBorder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8" fillId="0" borderId="82" xfId="0" applyFont="1" applyBorder="1" applyAlignment="1">
      <alignment horizontal="center" vertical="center" wrapText="1"/>
    </xf>
    <xf numFmtId="0" fontId="88" fillId="0" borderId="83" xfId="0" applyFont="1" applyBorder="1" applyAlignment="1">
      <alignment horizontal="center" vertical="center" wrapText="1"/>
    </xf>
    <xf numFmtId="0" fontId="88" fillId="0" borderId="79" xfId="0" applyFont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84" fillId="0" borderId="4" xfId="0" applyFont="1" applyBorder="1" applyAlignment="1">
      <alignment horizontal="center" vertical="center" wrapText="1"/>
    </xf>
    <xf numFmtId="0" fontId="81" fillId="0" borderId="82" xfId="0" applyFont="1" applyBorder="1" applyAlignment="1">
      <alignment horizontal="center" vertical="center" wrapText="1"/>
    </xf>
    <xf numFmtId="0" fontId="81" fillId="0" borderId="79" xfId="0" applyFont="1" applyBorder="1" applyAlignment="1">
      <alignment horizontal="center" vertical="center" wrapText="1"/>
    </xf>
    <xf numFmtId="0" fontId="80" fillId="0" borderId="82" xfId="0" applyFont="1" applyBorder="1" applyAlignment="1">
      <alignment vertical="center" wrapText="1"/>
    </xf>
    <xf numFmtId="0" fontId="80" fillId="0" borderId="79" xfId="0" applyFont="1" applyBorder="1" applyAlignment="1">
      <alignment vertical="center" wrapText="1"/>
    </xf>
    <xf numFmtId="0" fontId="89" fillId="0" borderId="82" xfId="0" applyFont="1" applyBorder="1" applyAlignment="1">
      <alignment horizontal="center" vertical="center" wrapText="1"/>
    </xf>
    <xf numFmtId="0" fontId="89" fillId="0" borderId="79" xfId="0" applyFont="1" applyBorder="1" applyAlignment="1">
      <alignment horizontal="center" vertical="center" wrapText="1"/>
    </xf>
    <xf numFmtId="0" fontId="89" fillId="0" borderId="82" xfId="0" applyFont="1" applyFill="1" applyBorder="1" applyAlignment="1">
      <alignment horizontal="center" vertical="center" wrapText="1"/>
    </xf>
    <xf numFmtId="0" fontId="89" fillId="0" borderId="79" xfId="0" applyFont="1" applyFill="1" applyBorder="1" applyAlignment="1">
      <alignment horizontal="center" vertical="center" wrapText="1"/>
    </xf>
    <xf numFmtId="0" fontId="86" fillId="0" borderId="82" xfId="0" applyFont="1" applyBorder="1" applyAlignment="1">
      <alignment horizontal="center" vertical="center"/>
    </xf>
    <xf numFmtId="0" fontId="86" fillId="0" borderId="83" xfId="0" applyFont="1" applyBorder="1" applyAlignment="1">
      <alignment horizontal="center" vertical="center"/>
    </xf>
    <xf numFmtId="0" fontId="86" fillId="0" borderId="79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 wrapText="1"/>
    </xf>
    <xf numFmtId="0" fontId="81" fillId="0" borderId="84" xfId="0" applyFont="1" applyBorder="1" applyAlignment="1">
      <alignment horizontal="center" vertical="center" wrapText="1"/>
    </xf>
    <xf numFmtId="0" fontId="81" fillId="0" borderId="87" xfId="0" applyFont="1" applyBorder="1" applyAlignment="1">
      <alignment horizontal="center" vertical="center" wrapText="1"/>
    </xf>
    <xf numFmtId="0" fontId="81" fillId="0" borderId="8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86" fillId="5" borderId="1" xfId="0" applyFont="1" applyFill="1" applyBorder="1" applyAlignment="1">
      <alignment horizontal="center" vertical="center" wrapText="1"/>
    </xf>
    <xf numFmtId="0" fontId="86" fillId="2" borderId="1" xfId="0" applyFont="1" applyFill="1" applyBorder="1" applyAlignment="1">
      <alignment horizontal="center" vertical="center" wrapText="1"/>
    </xf>
    <xf numFmtId="0" fontId="84" fillId="4" borderId="2" xfId="0" applyFont="1" applyFill="1" applyBorder="1" applyAlignment="1">
      <alignment horizontal="center" vertical="center" wrapText="1"/>
    </xf>
    <xf numFmtId="0" fontId="84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4" fillId="3" borderId="4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90" fillId="0" borderId="82" xfId="0" applyFont="1" applyBorder="1" applyAlignment="1">
      <alignment horizontal="center" vertical="center" wrapText="1"/>
    </xf>
    <xf numFmtId="0" fontId="90" fillId="0" borderId="79" xfId="0" applyFont="1" applyBorder="1" applyAlignment="1">
      <alignment horizontal="center" vertical="center" wrapText="1"/>
    </xf>
    <xf numFmtId="0" fontId="93" fillId="0" borderId="82" xfId="0" applyFont="1" applyBorder="1" applyAlignment="1">
      <alignment horizontal="center" vertical="center" wrapText="1"/>
    </xf>
    <xf numFmtId="0" fontId="93" fillId="0" borderId="79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45" fillId="0" borderId="1" xfId="17" applyFont="1" applyFill="1" applyBorder="1" applyAlignment="1" applyProtection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88" fillId="0" borderId="94" xfId="0" applyFont="1" applyBorder="1" applyAlignment="1">
      <alignment horizontal="center" vertical="center" wrapText="1"/>
    </xf>
    <xf numFmtId="0" fontId="109" fillId="0" borderId="87" xfId="0" applyFont="1" applyBorder="1" applyAlignment="1">
      <alignment vertical="center" wrapText="1"/>
    </xf>
    <xf numFmtId="0" fontId="88" fillId="0" borderId="92" xfId="0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 wrapText="1"/>
    </xf>
    <xf numFmtId="0" fontId="89" fillId="0" borderId="92" xfId="0" applyFont="1" applyBorder="1" applyAlignment="1">
      <alignment horizontal="center" vertical="center" wrapText="1"/>
    </xf>
    <xf numFmtId="0" fontId="86" fillId="0" borderId="90" xfId="0" applyFont="1" applyBorder="1" applyAlignment="1">
      <alignment horizontal="center" vertical="center" wrapText="1"/>
    </xf>
    <xf numFmtId="0" fontId="107" fillId="0" borderId="0" xfId="0" applyFont="1" applyAlignment="1">
      <alignment horizontal="center" vertical="center"/>
    </xf>
  </cellXfs>
  <cellStyles count="24">
    <cellStyle name="百分比 2" xfId="2"/>
    <cellStyle name="常规" xfId="0" builtinId="0"/>
    <cellStyle name="常规 10" xfId="3"/>
    <cellStyle name="常规 11" xfId="23"/>
    <cellStyle name="常规 16" xfId="18"/>
    <cellStyle name="常规 2" xfId="20"/>
    <cellStyle name="常规 2 2" xfId="4"/>
    <cellStyle name="常规 2 2 2" xfId="5"/>
    <cellStyle name="常规 2 2 2 2 3" xfId="21"/>
    <cellStyle name="常规 2 3" xfId="6"/>
    <cellStyle name="常规 2 5" xfId="7"/>
    <cellStyle name="常规 3" xfId="1"/>
    <cellStyle name="常规 3 2" xfId="22"/>
    <cellStyle name="常规 4" xfId="8"/>
    <cellStyle name="常规 5" xfId="9"/>
    <cellStyle name="常规 6" xfId="10"/>
    <cellStyle name="常规 6 2" xfId="17"/>
    <cellStyle name="常规 6 2 2" xfId="19"/>
    <cellStyle name="常规 7" xfId="11"/>
    <cellStyle name="常规 7 2" xfId="12"/>
    <cellStyle name="常规 8" xfId="13"/>
    <cellStyle name="常规 9" xfId="14"/>
    <cellStyle name="超链接 2" xfId="15"/>
    <cellStyle name="超链接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col"/>
        <c:grouping val="clustered"/>
        <c:ser>
          <c:idx val="0"/>
          <c:order val="0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val>
            <c:numRef>
              <c:f>地价水平!#REF!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466055936"/>
        <c:axId val="466057472"/>
      </c:barChart>
      <c:catAx>
        <c:axId val="466055936"/>
        <c:scaling>
          <c:orientation val="minMax"/>
        </c:scaling>
        <c:axPos val="b"/>
        <c:tickLblPos val="nextTo"/>
        <c:crossAx val="466057472"/>
        <c:crosses val="autoZero"/>
        <c:auto val="1"/>
        <c:lblAlgn val="ctr"/>
        <c:lblOffset val="100"/>
      </c:catAx>
      <c:valAx>
        <c:axId val="466057472"/>
        <c:scaling>
          <c:orientation val="minMax"/>
        </c:scaling>
        <c:axPos val="l"/>
        <c:majorGridlines/>
        <c:numFmt formatCode="General" sourceLinked="1"/>
        <c:tickLblPos val="nextTo"/>
        <c:crossAx val="466055936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27.png"/><Relationship Id="rId5" Type="http://schemas.openxmlformats.org/officeDocument/2006/relationships/image" Target="../media/image25.png"/><Relationship Id="rId4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70184</xdr:colOff>
      <xdr:row>26</xdr:row>
      <xdr:rowOff>160421</xdr:rowOff>
    </xdr:from>
    <xdr:to>
      <xdr:col>17</xdr:col>
      <xdr:colOff>679783</xdr:colOff>
      <xdr:row>33</xdr:row>
      <xdr:rowOff>131846</xdr:rowOff>
    </xdr:to>
    <xdr:pic>
      <xdr:nvPicPr>
        <xdr:cNvPr id="5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46631" y="5313947"/>
          <a:ext cx="5472363" cy="130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55944</xdr:colOff>
      <xdr:row>8</xdr:row>
      <xdr:rowOff>85607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14350"/>
          <a:ext cx="9657144" cy="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14</xdr:col>
      <xdr:colOff>141658</xdr:colOff>
      <xdr:row>15</xdr:row>
      <xdr:rowOff>161798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714500"/>
          <a:ext cx="9742858" cy="1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142875</xdr:rowOff>
    </xdr:from>
    <xdr:to>
      <xdr:col>14</xdr:col>
      <xdr:colOff>103567</xdr:colOff>
      <xdr:row>20</xdr:row>
      <xdr:rowOff>161837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00" y="2886075"/>
          <a:ext cx="9666667" cy="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14</xdr:col>
      <xdr:colOff>179753</xdr:colOff>
      <xdr:row>25</xdr:row>
      <xdr:rowOff>171364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3771900"/>
          <a:ext cx="9780953" cy="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28</xdr:row>
      <xdr:rowOff>19050</xdr:rowOff>
    </xdr:from>
    <xdr:to>
      <xdr:col>14</xdr:col>
      <xdr:colOff>322630</xdr:colOff>
      <xdr:row>75</xdr:row>
      <xdr:rowOff>103758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1925" y="4819650"/>
          <a:ext cx="9761905" cy="81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14</xdr:col>
      <xdr:colOff>84515</xdr:colOff>
      <xdr:row>102</xdr:row>
      <xdr:rowOff>8988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3201650"/>
          <a:ext cx="9685715" cy="42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30</xdr:col>
      <xdr:colOff>55944</xdr:colOff>
      <xdr:row>31</xdr:row>
      <xdr:rowOff>85607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72800" y="4457700"/>
          <a:ext cx="9657144" cy="94285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31</xdr:row>
      <xdr:rowOff>85725</xdr:rowOff>
    </xdr:from>
    <xdr:to>
      <xdr:col>30</xdr:col>
      <xdr:colOff>57150</xdr:colOff>
      <xdr:row>33</xdr:row>
      <xdr:rowOff>95250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068050" y="5400675"/>
          <a:ext cx="9563100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76200</xdr:colOff>
      <xdr:row>33</xdr:row>
      <xdr:rowOff>114300</xdr:rowOff>
    </xdr:from>
    <xdr:to>
      <xdr:col>30</xdr:col>
      <xdr:colOff>76200</xdr:colOff>
      <xdr:row>35</xdr:row>
      <xdr:rowOff>114300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0" y="5772150"/>
          <a:ext cx="9601200" cy="34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676275</xdr:colOff>
      <xdr:row>22</xdr:row>
      <xdr:rowOff>0</xdr:rowOff>
    </xdr:from>
    <xdr:to>
      <xdr:col>30</xdr:col>
      <xdr:colOff>55942</xdr:colOff>
      <xdr:row>26</xdr:row>
      <xdr:rowOff>18962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963275" y="3771900"/>
          <a:ext cx="9666667" cy="704762"/>
        </a:xfrm>
        <a:prstGeom prst="rect">
          <a:avLst/>
        </a:prstGeom>
      </xdr:spPr>
    </xdr:pic>
    <xdr:clientData/>
  </xdr:twoCellAnchor>
  <xdr:twoCellAnchor editAs="oneCell">
    <xdr:from>
      <xdr:col>15</xdr:col>
      <xdr:colOff>638175</xdr:colOff>
      <xdr:row>35</xdr:row>
      <xdr:rowOff>38100</xdr:rowOff>
    </xdr:from>
    <xdr:to>
      <xdr:col>30</xdr:col>
      <xdr:colOff>132128</xdr:colOff>
      <xdr:row>39</xdr:row>
      <xdr:rowOff>38014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925175" y="6038850"/>
          <a:ext cx="9780953" cy="6857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504825</xdr:colOff>
      <xdr:row>26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6677025" cy="4295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542925</xdr:colOff>
      <xdr:row>58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29150"/>
          <a:ext cx="6715125" cy="535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600075</xdr:colOff>
      <xdr:row>85</xdr:row>
      <xdr:rowOff>114300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458450"/>
          <a:ext cx="6772275" cy="4229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85</xdr:row>
      <xdr:rowOff>123825</xdr:rowOff>
    </xdr:from>
    <xdr:to>
      <xdr:col>9</xdr:col>
      <xdr:colOff>590550</xdr:colOff>
      <xdr:row>115</xdr:row>
      <xdr:rowOff>66675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4697075"/>
          <a:ext cx="6705600" cy="508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21</xdr:col>
      <xdr:colOff>47625</xdr:colOff>
      <xdr:row>28</xdr:row>
      <xdr:rowOff>19050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72375" y="0"/>
          <a:ext cx="6877050" cy="481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9525</xdr:colOff>
      <xdr:row>28</xdr:row>
      <xdr:rowOff>9525</xdr:rowOff>
    </xdr:from>
    <xdr:to>
      <xdr:col>20</xdr:col>
      <xdr:colOff>581025</xdr:colOff>
      <xdr:row>52</xdr:row>
      <xdr:rowOff>161925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53325" y="4810125"/>
          <a:ext cx="6743700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288016</xdr:colOff>
      <xdr:row>5</xdr:row>
      <xdr:rowOff>0</xdr:rowOff>
    </xdr:from>
    <xdr:to>
      <xdr:col>22</xdr:col>
      <xdr:colOff>534688</xdr:colOff>
      <xdr:row>16</xdr:row>
      <xdr:rowOff>247650</xdr:rowOff>
    </xdr:to>
    <xdr:pic>
      <xdr:nvPicPr>
        <xdr:cNvPr id="12289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4416" y="1609725"/>
          <a:ext cx="9847872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246063</xdr:colOff>
      <xdr:row>61</xdr:row>
      <xdr:rowOff>79375</xdr:rowOff>
    </xdr:from>
    <xdr:to>
      <xdr:col>6</xdr:col>
      <xdr:colOff>379413</xdr:colOff>
      <xdr:row>65</xdr:row>
      <xdr:rowOff>127000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6563" y="10437813"/>
          <a:ext cx="1935163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10</xdr:col>
      <xdr:colOff>171450</xdr:colOff>
      <xdr:row>64</xdr:row>
      <xdr:rowOff>38100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10582275"/>
          <a:ext cx="1543050" cy="34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10</xdr:col>
      <xdr:colOff>142875</xdr:colOff>
      <xdr:row>66</xdr:row>
      <xdr:rowOff>142875</xdr:rowOff>
    </xdr:to>
    <xdr:pic>
      <xdr:nvPicPr>
        <xdr:cNvPr id="112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95975" y="11039475"/>
          <a:ext cx="1514475" cy="295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6</xdr:col>
      <xdr:colOff>676275</xdr:colOff>
      <xdr:row>11</xdr:row>
      <xdr:rowOff>0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392900"/>
          <a:ext cx="6762750" cy="169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11</xdr:row>
      <xdr:rowOff>19050</xdr:rowOff>
    </xdr:from>
    <xdr:to>
      <xdr:col>7</xdr:col>
      <xdr:colOff>0</xdr:colOff>
      <xdr:row>26</xdr:row>
      <xdr:rowOff>28575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1107400"/>
          <a:ext cx="6781800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25</xdr:row>
      <xdr:rowOff>161925</xdr:rowOff>
    </xdr:from>
    <xdr:to>
      <xdr:col>6</xdr:col>
      <xdr:colOff>600075</xdr:colOff>
      <xdr:row>38</xdr:row>
      <xdr:rowOff>133350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448175"/>
          <a:ext cx="6724650" cy="2200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41</xdr:row>
      <xdr:rowOff>38100</xdr:rowOff>
    </xdr:from>
    <xdr:to>
      <xdr:col>6</xdr:col>
      <xdr:colOff>590550</xdr:colOff>
      <xdr:row>71</xdr:row>
      <xdr:rowOff>38100</xdr:rowOff>
    </xdr:to>
    <xdr:pic>
      <xdr:nvPicPr>
        <xdr:cNvPr id="30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067550"/>
          <a:ext cx="6715125" cy="514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73</xdr:row>
      <xdr:rowOff>152400</xdr:rowOff>
    </xdr:from>
    <xdr:to>
      <xdr:col>6</xdr:col>
      <xdr:colOff>666750</xdr:colOff>
      <xdr:row>104</xdr:row>
      <xdr:rowOff>95250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668250"/>
          <a:ext cx="6791325" cy="525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17</xdr:col>
      <xdr:colOff>676275</xdr:colOff>
      <xdr:row>111</xdr:row>
      <xdr:rowOff>19050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96175" y="12687300"/>
          <a:ext cx="6848475" cy="6362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0</xdr:colOff>
      <xdr:row>74</xdr:row>
      <xdr:rowOff>0</xdr:rowOff>
    </xdr:from>
    <xdr:to>
      <xdr:col>28</xdr:col>
      <xdr:colOff>47625</xdr:colOff>
      <xdr:row>106</xdr:row>
      <xdr:rowOff>76200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354175" y="12687300"/>
          <a:ext cx="6905625" cy="556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0</xdr:colOff>
      <xdr:row>74</xdr:row>
      <xdr:rowOff>0</xdr:rowOff>
    </xdr:from>
    <xdr:to>
      <xdr:col>37</xdr:col>
      <xdr:colOff>666750</xdr:colOff>
      <xdr:row>116</xdr:row>
      <xdr:rowOff>123825</xdr:rowOff>
    </xdr:to>
    <xdr:pic>
      <xdr:nvPicPr>
        <xdr:cNvPr id="122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212175" y="12687300"/>
          <a:ext cx="6838950" cy="7324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0</xdr:colOff>
      <xdr:row>74</xdr:row>
      <xdr:rowOff>0</xdr:rowOff>
    </xdr:from>
    <xdr:to>
      <xdr:col>47</xdr:col>
      <xdr:colOff>581025</xdr:colOff>
      <xdr:row>107</xdr:row>
      <xdr:rowOff>66675</xdr:rowOff>
    </xdr:to>
    <xdr:pic>
      <xdr:nvPicPr>
        <xdr:cNvPr id="122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070175" y="12687300"/>
          <a:ext cx="6753225" cy="5724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48</xdr:col>
      <xdr:colOff>0</xdr:colOff>
      <xdr:row>74</xdr:row>
      <xdr:rowOff>0</xdr:rowOff>
    </xdr:from>
    <xdr:to>
      <xdr:col>57</xdr:col>
      <xdr:colOff>457200</xdr:colOff>
      <xdr:row>103</xdr:row>
      <xdr:rowOff>142875</xdr:rowOff>
    </xdr:to>
    <xdr:pic>
      <xdr:nvPicPr>
        <xdr:cNvPr id="122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928175" y="12687300"/>
          <a:ext cx="6629400" cy="511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38844</xdr:colOff>
      <xdr:row>26</xdr:row>
      <xdr:rowOff>150394</xdr:rowOff>
    </xdr:from>
    <xdr:to>
      <xdr:col>13</xdr:col>
      <xdr:colOff>249990</xdr:colOff>
      <xdr:row>37</xdr:row>
      <xdr:rowOff>150395</xdr:rowOff>
    </xdr:to>
    <xdr:pic>
      <xdr:nvPicPr>
        <xdr:cNvPr id="8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15291" y="5303920"/>
          <a:ext cx="2497146" cy="2095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9</xdr:col>
      <xdr:colOff>609600</xdr:colOff>
      <xdr:row>31</xdr:row>
      <xdr:rowOff>76200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19075"/>
          <a:ext cx="6696075" cy="517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95250</xdr:colOff>
      <xdr:row>33</xdr:row>
      <xdr:rowOff>66675</xdr:rowOff>
    </xdr:from>
    <xdr:to>
      <xdr:col>9</xdr:col>
      <xdr:colOff>657225</xdr:colOff>
      <xdr:row>65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5724525"/>
          <a:ext cx="6734175" cy="551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114300</xdr:colOff>
      <xdr:row>67</xdr:row>
      <xdr:rowOff>66675</xdr:rowOff>
    </xdr:from>
    <xdr:to>
      <xdr:col>11</xdr:col>
      <xdr:colOff>627643</xdr:colOff>
      <xdr:row>79</xdr:row>
      <xdr:rowOff>75942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300" y="11553825"/>
          <a:ext cx="8057143" cy="20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70184</xdr:colOff>
      <xdr:row>25</xdr:row>
      <xdr:rowOff>40105</xdr:rowOff>
    </xdr:from>
    <xdr:to>
      <xdr:col>13</xdr:col>
      <xdr:colOff>295775</xdr:colOff>
      <xdr:row>36</xdr:row>
      <xdr:rowOff>2608</xdr:rowOff>
    </xdr:to>
    <xdr:pic>
      <xdr:nvPicPr>
        <xdr:cNvPr id="9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46631" y="5003131"/>
          <a:ext cx="2361197" cy="20580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504825</xdr:colOff>
      <xdr:row>29</xdr:row>
      <xdr:rowOff>66675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6677025" cy="486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31</xdr:row>
      <xdr:rowOff>114300</xdr:rowOff>
    </xdr:from>
    <xdr:to>
      <xdr:col>9</xdr:col>
      <xdr:colOff>523875</xdr:colOff>
      <xdr:row>60</xdr:row>
      <xdr:rowOff>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429250"/>
          <a:ext cx="6696075" cy="4857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581025</xdr:colOff>
      <xdr:row>89</xdr:row>
      <xdr:rowOff>76200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458450"/>
          <a:ext cx="6753225" cy="4876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9</xdr:col>
      <xdr:colOff>523875</xdr:colOff>
      <xdr:row>121</xdr:row>
      <xdr:rowOff>57150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5944850"/>
          <a:ext cx="6696075" cy="4857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123</xdr:row>
      <xdr:rowOff>142875</xdr:rowOff>
    </xdr:from>
    <xdr:to>
      <xdr:col>9</xdr:col>
      <xdr:colOff>504825</xdr:colOff>
      <xdr:row>155</xdr:row>
      <xdr:rowOff>9525</xdr:rowOff>
    </xdr:to>
    <xdr:pic>
      <xdr:nvPicPr>
        <xdr:cNvPr id="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1231225"/>
          <a:ext cx="6677025" cy="535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28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77050" cy="481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628650</xdr:colOff>
      <xdr:row>7</xdr:row>
      <xdr:rowOff>28575</xdr:rowOff>
    </xdr:from>
    <xdr:to>
      <xdr:col>19</xdr:col>
      <xdr:colOff>390525</xdr:colOff>
      <xdr:row>23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0" y="1228725"/>
          <a:ext cx="6619875" cy="2771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9</xdr:col>
      <xdr:colOff>571500</xdr:colOff>
      <xdr:row>52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800600"/>
          <a:ext cx="6743700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600075</xdr:colOff>
      <xdr:row>79</xdr:row>
      <xdr:rowOff>114300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429750"/>
          <a:ext cx="6772275" cy="4229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9</xdr:col>
      <xdr:colOff>533400</xdr:colOff>
      <xdr:row>109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3716000"/>
          <a:ext cx="6705600" cy="508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666750</xdr:colOff>
      <xdr:row>135</xdr:row>
      <xdr:rowOff>114300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9202400"/>
          <a:ext cx="6838950" cy="405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9</xdr:col>
      <xdr:colOff>542925</xdr:colOff>
      <xdr:row>166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3317200"/>
          <a:ext cx="6715125" cy="514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/&#23545;&#20844;&#20107;&#19994;&#37096;&#8212;&#30005;&#31639;&#34920;-&#22303;&#223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&#26032;&#22686;&#22320;&#19979;&#36710;&#24211;38.88&#24180;&#65289;5.29&#260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&#22320;&#19979;28.88&#24180;&#26032;&#22686;2303&#24179;&#31859;&#21830;&#19994;&#65289;5.29&#26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253;&#21578;&#21450;&#26041;&#27861;\&#22303;&#22320;&#21568;&#22303;&#22320;\&#29577;&#28170;&#28525;&#21335;&#36335;\&#23545;&#20844;&#20107;&#19994;&#37096;&#8212;&#29577;&#28170;&#28525;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C/&#12304;&#27979;&#31639;&#12305;6.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&#65288;40&#24180;&#21830;&#19994;&#21464;&#26356;&#29992;&#36884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50&#24180;&#21150;&#20844;&#21464;&#26356;&#29992;&#36884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&#22320;&#19979;28.88&#24180;&#26032;&#22686;2303&#24179;&#31859;&#21830;&#1999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&#26032;&#22686;&#22320;&#19979;&#36710;&#24211;38.88&#2418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&#65288;40&#24180;&#21830;&#19994;&#21464;&#26356;&#29992;&#36884;&#65289;5.29&#260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5;&#20844;&#20107;&#19994;&#37096;&#8212;&#30005;&#31639;&#34920;-&#22303;&#22320;(50&#24180;&#21150;&#20844;&#21464;&#26356;&#29992;&#36884;&#65289;5.29&#26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李立</v>
          </cell>
        </row>
        <row r="6">
          <cell r="D6" t="str">
            <v>叶凌</v>
          </cell>
        </row>
        <row r="7">
          <cell r="D7" t="str">
            <v>王鹏</v>
          </cell>
        </row>
        <row r="8">
          <cell r="D8" t="str">
            <v>欧红伟</v>
          </cell>
        </row>
        <row r="9">
          <cell r="D9" t="str">
            <v>吴薇</v>
          </cell>
        </row>
        <row r="10">
          <cell r="D10" t="str">
            <v>陈颖</v>
          </cell>
        </row>
        <row r="11">
          <cell r="D11" t="str">
            <v>崔锴</v>
          </cell>
        </row>
        <row r="12">
          <cell r="D12" t="str">
            <v>白景生</v>
          </cell>
        </row>
        <row r="13">
          <cell r="D13" t="str">
            <v>郑燚</v>
          </cell>
        </row>
        <row r="15">
          <cell r="D15" t="str">
            <v>杨红英</v>
          </cell>
        </row>
        <row r="16">
          <cell r="D16" t="str">
            <v>刘梅</v>
          </cell>
        </row>
        <row r="21">
          <cell r="D21" t="str">
            <v>赵雯</v>
          </cell>
        </row>
        <row r="22">
          <cell r="D22" t="str">
            <v>刘敬东</v>
          </cell>
        </row>
        <row r="24">
          <cell r="D24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*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 refreshError="1"/>
      <sheetData sheetId="11" refreshError="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20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1" refreshError="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3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4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5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6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7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8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不动产比较法-车位 (2)"/>
      <sheetName val="不动产比较法-车位1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9710</v>
          </cell>
        </row>
        <row r="19">
          <cell r="C19">
            <v>1.3230999999999999</v>
          </cell>
        </row>
        <row r="20">
          <cell r="C20">
            <v>0.93479999999999996</v>
          </cell>
        </row>
        <row r="24">
          <cell r="C24">
            <v>1.0730999999999999</v>
          </cell>
        </row>
        <row r="39">
          <cell r="F39">
            <v>0.2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不动产比较法-地下商业 (28.88)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未使用案例"/>
      <sheetName val="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9740</v>
          </cell>
        </row>
        <row r="19">
          <cell r="C19">
            <v>1.3230999999999999</v>
          </cell>
        </row>
        <row r="20">
          <cell r="C20">
            <v>0.88939999999999997</v>
          </cell>
        </row>
        <row r="24">
          <cell r="C24">
            <v>1.0733999999999999</v>
          </cell>
        </row>
        <row r="33">
          <cell r="F33">
            <v>0.7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预评函-封皮"/>
      <sheetName val="预评函-1"/>
      <sheetName val="预评函-2"/>
      <sheetName val="预评函-3"/>
      <sheetName val="估价师及机构信息"/>
      <sheetName val="使用说明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剩余法-待开发"/>
      <sheetName val="剩余法-办公"/>
      <sheetName val="剩余法-车位"/>
      <sheetName val="比较法-住宅、综合"/>
      <sheetName val="比较法-工业"/>
      <sheetName val="基准地价-办公"/>
      <sheetName val="基准地价-车位"/>
      <sheetName val="修正"/>
      <sheetName val="区片价"/>
      <sheetName val="容积率修正"/>
      <sheetName val="因素修正幅度"/>
      <sheetName val="收益还原法"/>
      <sheetName val="成本逼近法"/>
      <sheetName val="不动产收益法"/>
      <sheetName val="不动产比较法-住宅"/>
      <sheetName val="不动产比较法-商业"/>
      <sheetName val="不动产比较法-办公"/>
      <sheetName val="不动产比较法-工业"/>
      <sheetName val="案例"/>
      <sheetName val="不动产比较法-车位"/>
      <sheetName val="不动产比较法-仓储"/>
      <sheetName val="典型户型修正"/>
      <sheetName val="面积1"/>
      <sheetName val="面积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O1" t="str">
            <v>交通便捷度</v>
          </cell>
          <cell r="Q1" t="str">
            <v>公用设施及基础设施水平</v>
          </cell>
        </row>
        <row r="2">
          <cell r="O2" t="str">
            <v>好</v>
          </cell>
          <cell r="Q2" t="str">
            <v>好</v>
          </cell>
        </row>
        <row r="3">
          <cell r="O3" t="str">
            <v>较好</v>
          </cell>
          <cell r="Q3" t="str">
            <v>较好</v>
          </cell>
        </row>
        <row r="4">
          <cell r="O4" t="str">
            <v>一般</v>
          </cell>
          <cell r="Q4" t="str">
            <v>一般</v>
          </cell>
        </row>
        <row r="5">
          <cell r="O5" t="str">
            <v>较差</v>
          </cell>
          <cell r="Q5" t="str">
            <v>较差</v>
          </cell>
        </row>
        <row r="6">
          <cell r="O6" t="str">
            <v>差</v>
          </cell>
          <cell r="Q6" t="str">
            <v>差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面积表"/>
      <sheetName val="结果表"/>
      <sheetName val="剩余法-地上办公"/>
      <sheetName val="市场比较法-地上办公"/>
      <sheetName val="收益法（剩余法套用）"/>
      <sheetName val="办公案例"/>
      <sheetName val="基准地价-地上办公36.64"/>
      <sheetName val="剩余法-地下办公36.64"/>
      <sheetName val="收益法-地下办公36.64"/>
      <sheetName val="剩余法-地下办公50"/>
      <sheetName val="收益法-地下办公50"/>
      <sheetName val="基准地价-地下办公50"/>
      <sheetName val="基准地价-地下办公36.64"/>
      <sheetName val="剩余法-地下商业"/>
      <sheetName val="市场比较法-地下商业"/>
      <sheetName val="商业案例"/>
      <sheetName val="基准地价-地下商业"/>
      <sheetName val="基准地价-地下商业26.64"/>
      <sheetName val="剩余法-车库"/>
      <sheetName val="市场比较法-车库"/>
      <sheetName val="车库案例"/>
      <sheetName val="收益法-地上车库"/>
      <sheetName val="基准地价-地上车库36.64"/>
      <sheetName val="剩余法-地下仓储"/>
      <sheetName val="收益法-地下仓储"/>
      <sheetName val="基准地价-地下仓储"/>
      <sheetName val="因素总修正幅度表"/>
      <sheetName val="地价水平"/>
      <sheetName val="Sheet3"/>
    </sheetNames>
    <sheetDataSet>
      <sheetData sheetId="0">
        <row r="19">
          <cell r="D19">
            <v>0.31242224244645966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仓储"/>
      <sheetName val="典型户型修正"/>
      <sheetName val="存贷款利率"/>
      <sheetName val="地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L6">
            <v>2800</v>
          </cell>
        </row>
      </sheetData>
      <sheetData sheetId="15"/>
      <sheetData sheetId="16"/>
      <sheetData sheetId="17">
        <row r="18">
          <cell r="C18">
            <v>0.5</v>
          </cell>
          <cell r="D18">
            <v>0.5</v>
          </cell>
        </row>
      </sheetData>
      <sheetData sheetId="18">
        <row r="3">
          <cell r="B3">
            <v>26619</v>
          </cell>
        </row>
      </sheetData>
      <sheetData sheetId="19"/>
      <sheetData sheetId="20"/>
      <sheetData sheetId="21"/>
      <sheetData sheetId="22">
        <row r="3">
          <cell r="B3">
            <v>14162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I1" t="str">
            <v>土地年限区间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H6">
            <v>0.04</v>
          </cell>
        </row>
      </sheetData>
      <sheetData sheetId="15"/>
      <sheetData sheetId="16"/>
      <sheetData sheetId="17">
        <row r="18">
          <cell r="C18">
            <v>0.5</v>
          </cell>
          <cell r="D18">
            <v>0.5</v>
          </cell>
        </row>
      </sheetData>
      <sheetData sheetId="18">
        <row r="3">
          <cell r="B3">
            <v>26451</v>
          </cell>
        </row>
      </sheetData>
      <sheetData sheetId="19"/>
      <sheetData sheetId="20"/>
      <sheetData sheetId="21"/>
      <sheetData sheetId="22">
        <row r="3">
          <cell r="B3">
            <v>14066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2">
          <cell r="A62" t="str">
            <v>交易情况</v>
          </cell>
        </row>
      </sheetData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不动产比较法-地下商业 (28.88)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未使用案例"/>
      <sheetName val="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8">
          <cell r="C18">
            <v>0.5</v>
          </cell>
          <cell r="D18">
            <v>0.5</v>
          </cell>
        </row>
      </sheetData>
      <sheetData sheetId="17">
        <row r="3">
          <cell r="B3">
            <v>2696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3">
          <cell r="B3">
            <v>12597</v>
          </cell>
        </row>
        <row r="20">
          <cell r="C20">
            <v>0.88939999999999997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不动产比较法-车位 (2)"/>
      <sheetName val="不动产比较法-车位1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8">
          <cell r="C18">
            <v>0.5</v>
          </cell>
          <cell r="D18">
            <v>0.5</v>
          </cell>
        </row>
      </sheetData>
      <sheetData sheetId="18">
        <row r="3">
          <cell r="B3">
            <v>2246</v>
          </cell>
        </row>
      </sheetData>
      <sheetData sheetId="19"/>
      <sheetData sheetId="20"/>
      <sheetData sheetId="21"/>
      <sheetData sheetId="22">
        <row r="51">
          <cell r="A51" t="str">
            <v>交易情况</v>
          </cell>
        </row>
      </sheetData>
      <sheetData sheetId="23"/>
      <sheetData sheetId="24">
        <row r="3">
          <cell r="B3">
            <v>2578</v>
          </cell>
        </row>
        <row r="20">
          <cell r="C20">
            <v>0.93479999999999996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仓储"/>
      <sheetName val="典型户型修正"/>
      <sheetName val="存贷款利率"/>
      <sheetName val="地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0">
          <cell r="C20">
            <v>14162</v>
          </cell>
          <cell r="D20">
            <v>26619</v>
          </cell>
        </row>
        <row r="21">
          <cell r="C21">
            <v>7323</v>
          </cell>
          <cell r="D21">
            <v>13765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未使用案例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C20">
            <v>14066</v>
          </cell>
          <cell r="D20">
            <v>26451</v>
          </cell>
        </row>
        <row r="21">
          <cell r="C21">
            <v>7274</v>
          </cell>
          <cell r="D21">
            <v>13678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workbookViewId="0">
      <selection activeCell="B28" sqref="B28"/>
    </sheetView>
  </sheetViews>
  <sheetFormatPr defaultRowHeight="18" customHeight="1"/>
  <cols>
    <col min="1" max="1" width="17.375" style="156" customWidth="1"/>
    <col min="2" max="5" width="9" style="156"/>
    <col min="6" max="6" width="8.125" style="156" customWidth="1"/>
    <col min="7" max="7" width="17.375" style="156" customWidth="1"/>
    <col min="8" max="10" width="9" style="156"/>
    <col min="11" max="11" width="9.375" style="156" bestFit="1" customWidth="1"/>
    <col min="12" max="13" width="9" style="156"/>
    <col min="14" max="14" width="9.5" style="156" bestFit="1" customWidth="1"/>
    <col min="15" max="256" width="9" style="156"/>
    <col min="257" max="257" width="17.375" style="156" customWidth="1"/>
    <col min="258" max="261" width="9" style="156"/>
    <col min="262" max="262" width="3.5" style="156" customWidth="1"/>
    <col min="263" max="263" width="17.375" style="156" customWidth="1"/>
    <col min="264" max="266" width="9" style="156"/>
    <col min="267" max="267" width="9.375" style="156" bestFit="1" customWidth="1"/>
    <col min="268" max="269" width="9" style="156"/>
    <col min="270" max="270" width="9.5" style="156" bestFit="1" customWidth="1"/>
    <col min="271" max="512" width="9" style="156"/>
    <col min="513" max="513" width="17.375" style="156" customWidth="1"/>
    <col min="514" max="517" width="9" style="156"/>
    <col min="518" max="518" width="3.5" style="156" customWidth="1"/>
    <col min="519" max="519" width="17.375" style="156" customWidth="1"/>
    <col min="520" max="522" width="9" style="156"/>
    <col min="523" max="523" width="9.375" style="156" bestFit="1" customWidth="1"/>
    <col min="524" max="525" width="9" style="156"/>
    <col min="526" max="526" width="9.5" style="156" bestFit="1" customWidth="1"/>
    <col min="527" max="768" width="9" style="156"/>
    <col min="769" max="769" width="17.375" style="156" customWidth="1"/>
    <col min="770" max="773" width="9" style="156"/>
    <col min="774" max="774" width="3.5" style="156" customWidth="1"/>
    <col min="775" max="775" width="17.375" style="156" customWidth="1"/>
    <col min="776" max="778" width="9" style="156"/>
    <col min="779" max="779" width="9.375" style="156" bestFit="1" customWidth="1"/>
    <col min="780" max="781" width="9" style="156"/>
    <col min="782" max="782" width="9.5" style="156" bestFit="1" customWidth="1"/>
    <col min="783" max="1024" width="9" style="156"/>
    <col min="1025" max="1025" width="17.375" style="156" customWidth="1"/>
    <col min="1026" max="1029" width="9" style="156"/>
    <col min="1030" max="1030" width="3.5" style="156" customWidth="1"/>
    <col min="1031" max="1031" width="17.375" style="156" customWidth="1"/>
    <col min="1032" max="1034" width="9" style="156"/>
    <col min="1035" max="1035" width="9.375" style="156" bestFit="1" customWidth="1"/>
    <col min="1036" max="1037" width="9" style="156"/>
    <col min="1038" max="1038" width="9.5" style="156" bestFit="1" customWidth="1"/>
    <col min="1039" max="1280" width="9" style="156"/>
    <col min="1281" max="1281" width="17.375" style="156" customWidth="1"/>
    <col min="1282" max="1285" width="9" style="156"/>
    <col min="1286" max="1286" width="3.5" style="156" customWidth="1"/>
    <col min="1287" max="1287" width="17.375" style="156" customWidth="1"/>
    <col min="1288" max="1290" width="9" style="156"/>
    <col min="1291" max="1291" width="9.375" style="156" bestFit="1" customWidth="1"/>
    <col min="1292" max="1293" width="9" style="156"/>
    <col min="1294" max="1294" width="9.5" style="156" bestFit="1" customWidth="1"/>
    <col min="1295" max="1536" width="9" style="156"/>
    <col min="1537" max="1537" width="17.375" style="156" customWidth="1"/>
    <col min="1538" max="1541" width="9" style="156"/>
    <col min="1542" max="1542" width="3.5" style="156" customWidth="1"/>
    <col min="1543" max="1543" width="17.375" style="156" customWidth="1"/>
    <col min="1544" max="1546" width="9" style="156"/>
    <col min="1547" max="1547" width="9.375" style="156" bestFit="1" customWidth="1"/>
    <col min="1548" max="1549" width="9" style="156"/>
    <col min="1550" max="1550" width="9.5" style="156" bestFit="1" customWidth="1"/>
    <col min="1551" max="1792" width="9" style="156"/>
    <col min="1793" max="1793" width="17.375" style="156" customWidth="1"/>
    <col min="1794" max="1797" width="9" style="156"/>
    <col min="1798" max="1798" width="3.5" style="156" customWidth="1"/>
    <col min="1799" max="1799" width="17.375" style="156" customWidth="1"/>
    <col min="1800" max="1802" width="9" style="156"/>
    <col min="1803" max="1803" width="9.375" style="156" bestFit="1" customWidth="1"/>
    <col min="1804" max="1805" width="9" style="156"/>
    <col min="1806" max="1806" width="9.5" style="156" bestFit="1" customWidth="1"/>
    <col min="1807" max="2048" width="9" style="156"/>
    <col min="2049" max="2049" width="17.375" style="156" customWidth="1"/>
    <col min="2050" max="2053" width="9" style="156"/>
    <col min="2054" max="2054" width="3.5" style="156" customWidth="1"/>
    <col min="2055" max="2055" width="17.375" style="156" customWidth="1"/>
    <col min="2056" max="2058" width="9" style="156"/>
    <col min="2059" max="2059" width="9.375" style="156" bestFit="1" customWidth="1"/>
    <col min="2060" max="2061" width="9" style="156"/>
    <col min="2062" max="2062" width="9.5" style="156" bestFit="1" customWidth="1"/>
    <col min="2063" max="2304" width="9" style="156"/>
    <col min="2305" max="2305" width="17.375" style="156" customWidth="1"/>
    <col min="2306" max="2309" width="9" style="156"/>
    <col min="2310" max="2310" width="3.5" style="156" customWidth="1"/>
    <col min="2311" max="2311" width="17.375" style="156" customWidth="1"/>
    <col min="2312" max="2314" width="9" style="156"/>
    <col min="2315" max="2315" width="9.375" style="156" bestFit="1" customWidth="1"/>
    <col min="2316" max="2317" width="9" style="156"/>
    <col min="2318" max="2318" width="9.5" style="156" bestFit="1" customWidth="1"/>
    <col min="2319" max="2560" width="9" style="156"/>
    <col min="2561" max="2561" width="17.375" style="156" customWidth="1"/>
    <col min="2562" max="2565" width="9" style="156"/>
    <col min="2566" max="2566" width="3.5" style="156" customWidth="1"/>
    <col min="2567" max="2567" width="17.375" style="156" customWidth="1"/>
    <col min="2568" max="2570" width="9" style="156"/>
    <col min="2571" max="2571" width="9.375" style="156" bestFit="1" customWidth="1"/>
    <col min="2572" max="2573" width="9" style="156"/>
    <col min="2574" max="2574" width="9.5" style="156" bestFit="1" customWidth="1"/>
    <col min="2575" max="2816" width="9" style="156"/>
    <col min="2817" max="2817" width="17.375" style="156" customWidth="1"/>
    <col min="2818" max="2821" width="9" style="156"/>
    <col min="2822" max="2822" width="3.5" style="156" customWidth="1"/>
    <col min="2823" max="2823" width="17.375" style="156" customWidth="1"/>
    <col min="2824" max="2826" width="9" style="156"/>
    <col min="2827" max="2827" width="9.375" style="156" bestFit="1" customWidth="1"/>
    <col min="2828" max="2829" width="9" style="156"/>
    <col min="2830" max="2830" width="9.5" style="156" bestFit="1" customWidth="1"/>
    <col min="2831" max="3072" width="9" style="156"/>
    <col min="3073" max="3073" width="17.375" style="156" customWidth="1"/>
    <col min="3074" max="3077" width="9" style="156"/>
    <col min="3078" max="3078" width="3.5" style="156" customWidth="1"/>
    <col min="3079" max="3079" width="17.375" style="156" customWidth="1"/>
    <col min="3080" max="3082" width="9" style="156"/>
    <col min="3083" max="3083" width="9.375" style="156" bestFit="1" customWidth="1"/>
    <col min="3084" max="3085" width="9" style="156"/>
    <col min="3086" max="3086" width="9.5" style="156" bestFit="1" customWidth="1"/>
    <col min="3087" max="3328" width="9" style="156"/>
    <col min="3329" max="3329" width="17.375" style="156" customWidth="1"/>
    <col min="3330" max="3333" width="9" style="156"/>
    <col min="3334" max="3334" width="3.5" style="156" customWidth="1"/>
    <col min="3335" max="3335" width="17.375" style="156" customWidth="1"/>
    <col min="3336" max="3338" width="9" style="156"/>
    <col min="3339" max="3339" width="9.375" style="156" bestFit="1" customWidth="1"/>
    <col min="3340" max="3341" width="9" style="156"/>
    <col min="3342" max="3342" width="9.5" style="156" bestFit="1" customWidth="1"/>
    <col min="3343" max="3584" width="9" style="156"/>
    <col min="3585" max="3585" width="17.375" style="156" customWidth="1"/>
    <col min="3586" max="3589" width="9" style="156"/>
    <col min="3590" max="3590" width="3.5" style="156" customWidth="1"/>
    <col min="3591" max="3591" width="17.375" style="156" customWidth="1"/>
    <col min="3592" max="3594" width="9" style="156"/>
    <col min="3595" max="3595" width="9.375" style="156" bestFit="1" customWidth="1"/>
    <col min="3596" max="3597" width="9" style="156"/>
    <col min="3598" max="3598" width="9.5" style="156" bestFit="1" customWidth="1"/>
    <col min="3599" max="3840" width="9" style="156"/>
    <col min="3841" max="3841" width="17.375" style="156" customWidth="1"/>
    <col min="3842" max="3845" width="9" style="156"/>
    <col min="3846" max="3846" width="3.5" style="156" customWidth="1"/>
    <col min="3847" max="3847" width="17.375" style="156" customWidth="1"/>
    <col min="3848" max="3850" width="9" style="156"/>
    <col min="3851" max="3851" width="9.375" style="156" bestFit="1" customWidth="1"/>
    <col min="3852" max="3853" width="9" style="156"/>
    <col min="3854" max="3854" width="9.5" style="156" bestFit="1" customWidth="1"/>
    <col min="3855" max="4096" width="9" style="156"/>
    <col min="4097" max="4097" width="17.375" style="156" customWidth="1"/>
    <col min="4098" max="4101" width="9" style="156"/>
    <col min="4102" max="4102" width="3.5" style="156" customWidth="1"/>
    <col min="4103" max="4103" width="17.375" style="156" customWidth="1"/>
    <col min="4104" max="4106" width="9" style="156"/>
    <col min="4107" max="4107" width="9.375" style="156" bestFit="1" customWidth="1"/>
    <col min="4108" max="4109" width="9" style="156"/>
    <col min="4110" max="4110" width="9.5" style="156" bestFit="1" customWidth="1"/>
    <col min="4111" max="4352" width="9" style="156"/>
    <col min="4353" max="4353" width="17.375" style="156" customWidth="1"/>
    <col min="4354" max="4357" width="9" style="156"/>
    <col min="4358" max="4358" width="3.5" style="156" customWidth="1"/>
    <col min="4359" max="4359" width="17.375" style="156" customWidth="1"/>
    <col min="4360" max="4362" width="9" style="156"/>
    <col min="4363" max="4363" width="9.375" style="156" bestFit="1" customWidth="1"/>
    <col min="4364" max="4365" width="9" style="156"/>
    <col min="4366" max="4366" width="9.5" style="156" bestFit="1" customWidth="1"/>
    <col min="4367" max="4608" width="9" style="156"/>
    <col min="4609" max="4609" width="17.375" style="156" customWidth="1"/>
    <col min="4610" max="4613" width="9" style="156"/>
    <col min="4614" max="4614" width="3.5" style="156" customWidth="1"/>
    <col min="4615" max="4615" width="17.375" style="156" customWidth="1"/>
    <col min="4616" max="4618" width="9" style="156"/>
    <col min="4619" max="4619" width="9.375" style="156" bestFit="1" customWidth="1"/>
    <col min="4620" max="4621" width="9" style="156"/>
    <col min="4622" max="4622" width="9.5" style="156" bestFit="1" customWidth="1"/>
    <col min="4623" max="4864" width="9" style="156"/>
    <col min="4865" max="4865" width="17.375" style="156" customWidth="1"/>
    <col min="4866" max="4869" width="9" style="156"/>
    <col min="4870" max="4870" width="3.5" style="156" customWidth="1"/>
    <col min="4871" max="4871" width="17.375" style="156" customWidth="1"/>
    <col min="4872" max="4874" width="9" style="156"/>
    <col min="4875" max="4875" width="9.375" style="156" bestFit="1" customWidth="1"/>
    <col min="4876" max="4877" width="9" style="156"/>
    <col min="4878" max="4878" width="9.5" style="156" bestFit="1" customWidth="1"/>
    <col min="4879" max="5120" width="9" style="156"/>
    <col min="5121" max="5121" width="17.375" style="156" customWidth="1"/>
    <col min="5122" max="5125" width="9" style="156"/>
    <col min="5126" max="5126" width="3.5" style="156" customWidth="1"/>
    <col min="5127" max="5127" width="17.375" style="156" customWidth="1"/>
    <col min="5128" max="5130" width="9" style="156"/>
    <col min="5131" max="5131" width="9.375" style="156" bestFit="1" customWidth="1"/>
    <col min="5132" max="5133" width="9" style="156"/>
    <col min="5134" max="5134" width="9.5" style="156" bestFit="1" customWidth="1"/>
    <col min="5135" max="5376" width="9" style="156"/>
    <col min="5377" max="5377" width="17.375" style="156" customWidth="1"/>
    <col min="5378" max="5381" width="9" style="156"/>
    <col min="5382" max="5382" width="3.5" style="156" customWidth="1"/>
    <col min="5383" max="5383" width="17.375" style="156" customWidth="1"/>
    <col min="5384" max="5386" width="9" style="156"/>
    <col min="5387" max="5387" width="9.375" style="156" bestFit="1" customWidth="1"/>
    <col min="5388" max="5389" width="9" style="156"/>
    <col min="5390" max="5390" width="9.5" style="156" bestFit="1" customWidth="1"/>
    <col min="5391" max="5632" width="9" style="156"/>
    <col min="5633" max="5633" width="17.375" style="156" customWidth="1"/>
    <col min="5634" max="5637" width="9" style="156"/>
    <col min="5638" max="5638" width="3.5" style="156" customWidth="1"/>
    <col min="5639" max="5639" width="17.375" style="156" customWidth="1"/>
    <col min="5640" max="5642" width="9" style="156"/>
    <col min="5643" max="5643" width="9.375" style="156" bestFit="1" customWidth="1"/>
    <col min="5644" max="5645" width="9" style="156"/>
    <col min="5646" max="5646" width="9.5" style="156" bestFit="1" customWidth="1"/>
    <col min="5647" max="5888" width="9" style="156"/>
    <col min="5889" max="5889" width="17.375" style="156" customWidth="1"/>
    <col min="5890" max="5893" width="9" style="156"/>
    <col min="5894" max="5894" width="3.5" style="156" customWidth="1"/>
    <col min="5895" max="5895" width="17.375" style="156" customWidth="1"/>
    <col min="5896" max="5898" width="9" style="156"/>
    <col min="5899" max="5899" width="9.375" style="156" bestFit="1" customWidth="1"/>
    <col min="5900" max="5901" width="9" style="156"/>
    <col min="5902" max="5902" width="9.5" style="156" bestFit="1" customWidth="1"/>
    <col min="5903" max="6144" width="9" style="156"/>
    <col min="6145" max="6145" width="17.375" style="156" customWidth="1"/>
    <col min="6146" max="6149" width="9" style="156"/>
    <col min="6150" max="6150" width="3.5" style="156" customWidth="1"/>
    <col min="6151" max="6151" width="17.375" style="156" customWidth="1"/>
    <col min="6152" max="6154" width="9" style="156"/>
    <col min="6155" max="6155" width="9.375" style="156" bestFit="1" customWidth="1"/>
    <col min="6156" max="6157" width="9" style="156"/>
    <col min="6158" max="6158" width="9.5" style="156" bestFit="1" customWidth="1"/>
    <col min="6159" max="6400" width="9" style="156"/>
    <col min="6401" max="6401" width="17.375" style="156" customWidth="1"/>
    <col min="6402" max="6405" width="9" style="156"/>
    <col min="6406" max="6406" width="3.5" style="156" customWidth="1"/>
    <col min="6407" max="6407" width="17.375" style="156" customWidth="1"/>
    <col min="6408" max="6410" width="9" style="156"/>
    <col min="6411" max="6411" width="9.375" style="156" bestFit="1" customWidth="1"/>
    <col min="6412" max="6413" width="9" style="156"/>
    <col min="6414" max="6414" width="9.5" style="156" bestFit="1" customWidth="1"/>
    <col min="6415" max="6656" width="9" style="156"/>
    <col min="6657" max="6657" width="17.375" style="156" customWidth="1"/>
    <col min="6658" max="6661" width="9" style="156"/>
    <col min="6662" max="6662" width="3.5" style="156" customWidth="1"/>
    <col min="6663" max="6663" width="17.375" style="156" customWidth="1"/>
    <col min="6664" max="6666" width="9" style="156"/>
    <col min="6667" max="6667" width="9.375" style="156" bestFit="1" customWidth="1"/>
    <col min="6668" max="6669" width="9" style="156"/>
    <col min="6670" max="6670" width="9.5" style="156" bestFit="1" customWidth="1"/>
    <col min="6671" max="6912" width="9" style="156"/>
    <col min="6913" max="6913" width="17.375" style="156" customWidth="1"/>
    <col min="6914" max="6917" width="9" style="156"/>
    <col min="6918" max="6918" width="3.5" style="156" customWidth="1"/>
    <col min="6919" max="6919" width="17.375" style="156" customWidth="1"/>
    <col min="6920" max="6922" width="9" style="156"/>
    <col min="6923" max="6923" width="9.375" style="156" bestFit="1" customWidth="1"/>
    <col min="6924" max="6925" width="9" style="156"/>
    <col min="6926" max="6926" width="9.5" style="156" bestFit="1" customWidth="1"/>
    <col min="6927" max="7168" width="9" style="156"/>
    <col min="7169" max="7169" width="17.375" style="156" customWidth="1"/>
    <col min="7170" max="7173" width="9" style="156"/>
    <col min="7174" max="7174" width="3.5" style="156" customWidth="1"/>
    <col min="7175" max="7175" width="17.375" style="156" customWidth="1"/>
    <col min="7176" max="7178" width="9" style="156"/>
    <col min="7179" max="7179" width="9.375" style="156" bestFit="1" customWidth="1"/>
    <col min="7180" max="7181" width="9" style="156"/>
    <col min="7182" max="7182" width="9.5" style="156" bestFit="1" customWidth="1"/>
    <col min="7183" max="7424" width="9" style="156"/>
    <col min="7425" max="7425" width="17.375" style="156" customWidth="1"/>
    <col min="7426" max="7429" width="9" style="156"/>
    <col min="7430" max="7430" width="3.5" style="156" customWidth="1"/>
    <col min="7431" max="7431" width="17.375" style="156" customWidth="1"/>
    <col min="7432" max="7434" width="9" style="156"/>
    <col min="7435" max="7435" width="9.375" style="156" bestFit="1" customWidth="1"/>
    <col min="7436" max="7437" width="9" style="156"/>
    <col min="7438" max="7438" width="9.5" style="156" bestFit="1" customWidth="1"/>
    <col min="7439" max="7680" width="9" style="156"/>
    <col min="7681" max="7681" width="17.375" style="156" customWidth="1"/>
    <col min="7682" max="7685" width="9" style="156"/>
    <col min="7686" max="7686" width="3.5" style="156" customWidth="1"/>
    <col min="7687" max="7687" width="17.375" style="156" customWidth="1"/>
    <col min="7688" max="7690" width="9" style="156"/>
    <col min="7691" max="7691" width="9.375" style="156" bestFit="1" customWidth="1"/>
    <col min="7692" max="7693" width="9" style="156"/>
    <col min="7694" max="7694" width="9.5" style="156" bestFit="1" customWidth="1"/>
    <col min="7695" max="7936" width="9" style="156"/>
    <col min="7937" max="7937" width="17.375" style="156" customWidth="1"/>
    <col min="7938" max="7941" width="9" style="156"/>
    <col min="7942" max="7942" width="3.5" style="156" customWidth="1"/>
    <col min="7943" max="7943" width="17.375" style="156" customWidth="1"/>
    <col min="7944" max="7946" width="9" style="156"/>
    <col min="7947" max="7947" width="9.375" style="156" bestFit="1" customWidth="1"/>
    <col min="7948" max="7949" width="9" style="156"/>
    <col min="7950" max="7950" width="9.5" style="156" bestFit="1" customWidth="1"/>
    <col min="7951" max="8192" width="9" style="156"/>
    <col min="8193" max="8193" width="17.375" style="156" customWidth="1"/>
    <col min="8194" max="8197" width="9" style="156"/>
    <col min="8198" max="8198" width="3.5" style="156" customWidth="1"/>
    <col min="8199" max="8199" width="17.375" style="156" customWidth="1"/>
    <col min="8200" max="8202" width="9" style="156"/>
    <col min="8203" max="8203" width="9.375" style="156" bestFit="1" customWidth="1"/>
    <col min="8204" max="8205" width="9" style="156"/>
    <col min="8206" max="8206" width="9.5" style="156" bestFit="1" customWidth="1"/>
    <col min="8207" max="8448" width="9" style="156"/>
    <col min="8449" max="8449" width="17.375" style="156" customWidth="1"/>
    <col min="8450" max="8453" width="9" style="156"/>
    <col min="8454" max="8454" width="3.5" style="156" customWidth="1"/>
    <col min="8455" max="8455" width="17.375" style="156" customWidth="1"/>
    <col min="8456" max="8458" width="9" style="156"/>
    <col min="8459" max="8459" width="9.375" style="156" bestFit="1" customWidth="1"/>
    <col min="8460" max="8461" width="9" style="156"/>
    <col min="8462" max="8462" width="9.5" style="156" bestFit="1" customWidth="1"/>
    <col min="8463" max="8704" width="9" style="156"/>
    <col min="8705" max="8705" width="17.375" style="156" customWidth="1"/>
    <col min="8706" max="8709" width="9" style="156"/>
    <col min="8710" max="8710" width="3.5" style="156" customWidth="1"/>
    <col min="8711" max="8711" width="17.375" style="156" customWidth="1"/>
    <col min="8712" max="8714" width="9" style="156"/>
    <col min="8715" max="8715" width="9.375" style="156" bestFit="1" customWidth="1"/>
    <col min="8716" max="8717" width="9" style="156"/>
    <col min="8718" max="8718" width="9.5" style="156" bestFit="1" customWidth="1"/>
    <col min="8719" max="8960" width="9" style="156"/>
    <col min="8961" max="8961" width="17.375" style="156" customWidth="1"/>
    <col min="8962" max="8965" width="9" style="156"/>
    <col min="8966" max="8966" width="3.5" style="156" customWidth="1"/>
    <col min="8967" max="8967" width="17.375" style="156" customWidth="1"/>
    <col min="8968" max="8970" width="9" style="156"/>
    <col min="8971" max="8971" width="9.375" style="156" bestFit="1" customWidth="1"/>
    <col min="8972" max="8973" width="9" style="156"/>
    <col min="8974" max="8974" width="9.5" style="156" bestFit="1" customWidth="1"/>
    <col min="8975" max="9216" width="9" style="156"/>
    <col min="9217" max="9217" width="17.375" style="156" customWidth="1"/>
    <col min="9218" max="9221" width="9" style="156"/>
    <col min="9222" max="9222" width="3.5" style="156" customWidth="1"/>
    <col min="9223" max="9223" width="17.375" style="156" customWidth="1"/>
    <col min="9224" max="9226" width="9" style="156"/>
    <col min="9227" max="9227" width="9.375" style="156" bestFit="1" customWidth="1"/>
    <col min="9228" max="9229" width="9" style="156"/>
    <col min="9230" max="9230" width="9.5" style="156" bestFit="1" customWidth="1"/>
    <col min="9231" max="9472" width="9" style="156"/>
    <col min="9473" max="9473" width="17.375" style="156" customWidth="1"/>
    <col min="9474" max="9477" width="9" style="156"/>
    <col min="9478" max="9478" width="3.5" style="156" customWidth="1"/>
    <col min="9479" max="9479" width="17.375" style="156" customWidth="1"/>
    <col min="9480" max="9482" width="9" style="156"/>
    <col min="9483" max="9483" width="9.375" style="156" bestFit="1" customWidth="1"/>
    <col min="9484" max="9485" width="9" style="156"/>
    <col min="9486" max="9486" width="9.5" style="156" bestFit="1" customWidth="1"/>
    <col min="9487" max="9728" width="9" style="156"/>
    <col min="9729" max="9729" width="17.375" style="156" customWidth="1"/>
    <col min="9730" max="9733" width="9" style="156"/>
    <col min="9734" max="9734" width="3.5" style="156" customWidth="1"/>
    <col min="9735" max="9735" width="17.375" style="156" customWidth="1"/>
    <col min="9736" max="9738" width="9" style="156"/>
    <col min="9739" max="9739" width="9.375" style="156" bestFit="1" customWidth="1"/>
    <col min="9740" max="9741" width="9" style="156"/>
    <col min="9742" max="9742" width="9.5" style="156" bestFit="1" customWidth="1"/>
    <col min="9743" max="9984" width="9" style="156"/>
    <col min="9985" max="9985" width="17.375" style="156" customWidth="1"/>
    <col min="9986" max="9989" width="9" style="156"/>
    <col min="9990" max="9990" width="3.5" style="156" customWidth="1"/>
    <col min="9991" max="9991" width="17.375" style="156" customWidth="1"/>
    <col min="9992" max="9994" width="9" style="156"/>
    <col min="9995" max="9995" width="9.375" style="156" bestFit="1" customWidth="1"/>
    <col min="9996" max="9997" width="9" style="156"/>
    <col min="9998" max="9998" width="9.5" style="156" bestFit="1" customWidth="1"/>
    <col min="9999" max="10240" width="9" style="156"/>
    <col min="10241" max="10241" width="17.375" style="156" customWidth="1"/>
    <col min="10242" max="10245" width="9" style="156"/>
    <col min="10246" max="10246" width="3.5" style="156" customWidth="1"/>
    <col min="10247" max="10247" width="17.375" style="156" customWidth="1"/>
    <col min="10248" max="10250" width="9" style="156"/>
    <col min="10251" max="10251" width="9.375" style="156" bestFit="1" customWidth="1"/>
    <col min="10252" max="10253" width="9" style="156"/>
    <col min="10254" max="10254" width="9.5" style="156" bestFit="1" customWidth="1"/>
    <col min="10255" max="10496" width="9" style="156"/>
    <col min="10497" max="10497" width="17.375" style="156" customWidth="1"/>
    <col min="10498" max="10501" width="9" style="156"/>
    <col min="10502" max="10502" width="3.5" style="156" customWidth="1"/>
    <col min="10503" max="10503" width="17.375" style="156" customWidth="1"/>
    <col min="10504" max="10506" width="9" style="156"/>
    <col min="10507" max="10507" width="9.375" style="156" bestFit="1" customWidth="1"/>
    <col min="10508" max="10509" width="9" style="156"/>
    <col min="10510" max="10510" width="9.5" style="156" bestFit="1" customWidth="1"/>
    <col min="10511" max="10752" width="9" style="156"/>
    <col min="10753" max="10753" width="17.375" style="156" customWidth="1"/>
    <col min="10754" max="10757" width="9" style="156"/>
    <col min="10758" max="10758" width="3.5" style="156" customWidth="1"/>
    <col min="10759" max="10759" width="17.375" style="156" customWidth="1"/>
    <col min="10760" max="10762" width="9" style="156"/>
    <col min="10763" max="10763" width="9.375" style="156" bestFit="1" customWidth="1"/>
    <col min="10764" max="10765" width="9" style="156"/>
    <col min="10766" max="10766" width="9.5" style="156" bestFit="1" customWidth="1"/>
    <col min="10767" max="11008" width="9" style="156"/>
    <col min="11009" max="11009" width="17.375" style="156" customWidth="1"/>
    <col min="11010" max="11013" width="9" style="156"/>
    <col min="11014" max="11014" width="3.5" style="156" customWidth="1"/>
    <col min="11015" max="11015" width="17.375" style="156" customWidth="1"/>
    <col min="11016" max="11018" width="9" style="156"/>
    <col min="11019" max="11019" width="9.375" style="156" bestFit="1" customWidth="1"/>
    <col min="11020" max="11021" width="9" style="156"/>
    <col min="11022" max="11022" width="9.5" style="156" bestFit="1" customWidth="1"/>
    <col min="11023" max="11264" width="9" style="156"/>
    <col min="11265" max="11265" width="17.375" style="156" customWidth="1"/>
    <col min="11266" max="11269" width="9" style="156"/>
    <col min="11270" max="11270" width="3.5" style="156" customWidth="1"/>
    <col min="11271" max="11271" width="17.375" style="156" customWidth="1"/>
    <col min="11272" max="11274" width="9" style="156"/>
    <col min="11275" max="11275" width="9.375" style="156" bestFit="1" customWidth="1"/>
    <col min="11276" max="11277" width="9" style="156"/>
    <col min="11278" max="11278" width="9.5" style="156" bestFit="1" customWidth="1"/>
    <col min="11279" max="11520" width="9" style="156"/>
    <col min="11521" max="11521" width="17.375" style="156" customWidth="1"/>
    <col min="11522" max="11525" width="9" style="156"/>
    <col min="11526" max="11526" width="3.5" style="156" customWidth="1"/>
    <col min="11527" max="11527" width="17.375" style="156" customWidth="1"/>
    <col min="11528" max="11530" width="9" style="156"/>
    <col min="11531" max="11531" width="9.375" style="156" bestFit="1" customWidth="1"/>
    <col min="11532" max="11533" width="9" style="156"/>
    <col min="11534" max="11534" width="9.5" style="156" bestFit="1" customWidth="1"/>
    <col min="11535" max="11776" width="9" style="156"/>
    <col min="11777" max="11777" width="17.375" style="156" customWidth="1"/>
    <col min="11778" max="11781" width="9" style="156"/>
    <col min="11782" max="11782" width="3.5" style="156" customWidth="1"/>
    <col min="11783" max="11783" width="17.375" style="156" customWidth="1"/>
    <col min="11784" max="11786" width="9" style="156"/>
    <col min="11787" max="11787" width="9.375" style="156" bestFit="1" customWidth="1"/>
    <col min="11788" max="11789" width="9" style="156"/>
    <col min="11790" max="11790" width="9.5" style="156" bestFit="1" customWidth="1"/>
    <col min="11791" max="12032" width="9" style="156"/>
    <col min="12033" max="12033" width="17.375" style="156" customWidth="1"/>
    <col min="12034" max="12037" width="9" style="156"/>
    <col min="12038" max="12038" width="3.5" style="156" customWidth="1"/>
    <col min="12039" max="12039" width="17.375" style="156" customWidth="1"/>
    <col min="12040" max="12042" width="9" style="156"/>
    <col min="12043" max="12043" width="9.375" style="156" bestFit="1" customWidth="1"/>
    <col min="12044" max="12045" width="9" style="156"/>
    <col min="12046" max="12046" width="9.5" style="156" bestFit="1" customWidth="1"/>
    <col min="12047" max="12288" width="9" style="156"/>
    <col min="12289" max="12289" width="17.375" style="156" customWidth="1"/>
    <col min="12290" max="12293" width="9" style="156"/>
    <col min="12294" max="12294" width="3.5" style="156" customWidth="1"/>
    <col min="12295" max="12295" width="17.375" style="156" customWidth="1"/>
    <col min="12296" max="12298" width="9" style="156"/>
    <col min="12299" max="12299" width="9.375" style="156" bestFit="1" customWidth="1"/>
    <col min="12300" max="12301" width="9" style="156"/>
    <col min="12302" max="12302" width="9.5" style="156" bestFit="1" customWidth="1"/>
    <col min="12303" max="12544" width="9" style="156"/>
    <col min="12545" max="12545" width="17.375" style="156" customWidth="1"/>
    <col min="12546" max="12549" width="9" style="156"/>
    <col min="12550" max="12550" width="3.5" style="156" customWidth="1"/>
    <col min="12551" max="12551" width="17.375" style="156" customWidth="1"/>
    <col min="12552" max="12554" width="9" style="156"/>
    <col min="12555" max="12555" width="9.375" style="156" bestFit="1" customWidth="1"/>
    <col min="12556" max="12557" width="9" style="156"/>
    <col min="12558" max="12558" width="9.5" style="156" bestFit="1" customWidth="1"/>
    <col min="12559" max="12800" width="9" style="156"/>
    <col min="12801" max="12801" width="17.375" style="156" customWidth="1"/>
    <col min="12802" max="12805" width="9" style="156"/>
    <col min="12806" max="12806" width="3.5" style="156" customWidth="1"/>
    <col min="12807" max="12807" width="17.375" style="156" customWidth="1"/>
    <col min="12808" max="12810" width="9" style="156"/>
    <col min="12811" max="12811" width="9.375" style="156" bestFit="1" customWidth="1"/>
    <col min="12812" max="12813" width="9" style="156"/>
    <col min="12814" max="12814" width="9.5" style="156" bestFit="1" customWidth="1"/>
    <col min="12815" max="13056" width="9" style="156"/>
    <col min="13057" max="13057" width="17.375" style="156" customWidth="1"/>
    <col min="13058" max="13061" width="9" style="156"/>
    <col min="13062" max="13062" width="3.5" style="156" customWidth="1"/>
    <col min="13063" max="13063" width="17.375" style="156" customWidth="1"/>
    <col min="13064" max="13066" width="9" style="156"/>
    <col min="13067" max="13067" width="9.375" style="156" bestFit="1" customWidth="1"/>
    <col min="13068" max="13069" width="9" style="156"/>
    <col min="13070" max="13070" width="9.5" style="156" bestFit="1" customWidth="1"/>
    <col min="13071" max="13312" width="9" style="156"/>
    <col min="13313" max="13313" width="17.375" style="156" customWidth="1"/>
    <col min="13314" max="13317" width="9" style="156"/>
    <col min="13318" max="13318" width="3.5" style="156" customWidth="1"/>
    <col min="13319" max="13319" width="17.375" style="156" customWidth="1"/>
    <col min="13320" max="13322" width="9" style="156"/>
    <col min="13323" max="13323" width="9.375" style="156" bestFit="1" customWidth="1"/>
    <col min="13324" max="13325" width="9" style="156"/>
    <col min="13326" max="13326" width="9.5" style="156" bestFit="1" customWidth="1"/>
    <col min="13327" max="13568" width="9" style="156"/>
    <col min="13569" max="13569" width="17.375" style="156" customWidth="1"/>
    <col min="13570" max="13573" width="9" style="156"/>
    <col min="13574" max="13574" width="3.5" style="156" customWidth="1"/>
    <col min="13575" max="13575" width="17.375" style="156" customWidth="1"/>
    <col min="13576" max="13578" width="9" style="156"/>
    <col min="13579" max="13579" width="9.375" style="156" bestFit="1" customWidth="1"/>
    <col min="13580" max="13581" width="9" style="156"/>
    <col min="13582" max="13582" width="9.5" style="156" bestFit="1" customWidth="1"/>
    <col min="13583" max="13824" width="9" style="156"/>
    <col min="13825" max="13825" width="17.375" style="156" customWidth="1"/>
    <col min="13826" max="13829" width="9" style="156"/>
    <col min="13830" max="13830" width="3.5" style="156" customWidth="1"/>
    <col min="13831" max="13831" width="17.375" style="156" customWidth="1"/>
    <col min="13832" max="13834" width="9" style="156"/>
    <col min="13835" max="13835" width="9.375" style="156" bestFit="1" customWidth="1"/>
    <col min="13836" max="13837" width="9" style="156"/>
    <col min="13838" max="13838" width="9.5" style="156" bestFit="1" customWidth="1"/>
    <col min="13839" max="14080" width="9" style="156"/>
    <col min="14081" max="14081" width="17.375" style="156" customWidth="1"/>
    <col min="14082" max="14085" width="9" style="156"/>
    <col min="14086" max="14086" width="3.5" style="156" customWidth="1"/>
    <col min="14087" max="14087" width="17.375" style="156" customWidth="1"/>
    <col min="14088" max="14090" width="9" style="156"/>
    <col min="14091" max="14091" width="9.375" style="156" bestFit="1" customWidth="1"/>
    <col min="14092" max="14093" width="9" style="156"/>
    <col min="14094" max="14094" width="9.5" style="156" bestFit="1" customWidth="1"/>
    <col min="14095" max="14336" width="9" style="156"/>
    <col min="14337" max="14337" width="17.375" style="156" customWidth="1"/>
    <col min="14338" max="14341" width="9" style="156"/>
    <col min="14342" max="14342" width="3.5" style="156" customWidth="1"/>
    <col min="14343" max="14343" width="17.375" style="156" customWidth="1"/>
    <col min="14344" max="14346" width="9" style="156"/>
    <col min="14347" max="14347" width="9.375" style="156" bestFit="1" customWidth="1"/>
    <col min="14348" max="14349" width="9" style="156"/>
    <col min="14350" max="14350" width="9.5" style="156" bestFit="1" customWidth="1"/>
    <col min="14351" max="14592" width="9" style="156"/>
    <col min="14593" max="14593" width="17.375" style="156" customWidth="1"/>
    <col min="14594" max="14597" width="9" style="156"/>
    <col min="14598" max="14598" width="3.5" style="156" customWidth="1"/>
    <col min="14599" max="14599" width="17.375" style="156" customWidth="1"/>
    <col min="14600" max="14602" width="9" style="156"/>
    <col min="14603" max="14603" width="9.375" style="156" bestFit="1" customWidth="1"/>
    <col min="14604" max="14605" width="9" style="156"/>
    <col min="14606" max="14606" width="9.5" style="156" bestFit="1" customWidth="1"/>
    <col min="14607" max="14848" width="9" style="156"/>
    <col min="14849" max="14849" width="17.375" style="156" customWidth="1"/>
    <col min="14850" max="14853" width="9" style="156"/>
    <col min="14854" max="14854" width="3.5" style="156" customWidth="1"/>
    <col min="14855" max="14855" width="17.375" style="156" customWidth="1"/>
    <col min="14856" max="14858" width="9" style="156"/>
    <col min="14859" max="14859" width="9.375" style="156" bestFit="1" customWidth="1"/>
    <col min="14860" max="14861" width="9" style="156"/>
    <col min="14862" max="14862" width="9.5" style="156" bestFit="1" customWidth="1"/>
    <col min="14863" max="15104" width="9" style="156"/>
    <col min="15105" max="15105" width="17.375" style="156" customWidth="1"/>
    <col min="15106" max="15109" width="9" style="156"/>
    <col min="15110" max="15110" width="3.5" style="156" customWidth="1"/>
    <col min="15111" max="15111" width="17.375" style="156" customWidth="1"/>
    <col min="15112" max="15114" width="9" style="156"/>
    <col min="15115" max="15115" width="9.375" style="156" bestFit="1" customWidth="1"/>
    <col min="15116" max="15117" width="9" style="156"/>
    <col min="15118" max="15118" width="9.5" style="156" bestFit="1" customWidth="1"/>
    <col min="15119" max="15360" width="9" style="156"/>
    <col min="15361" max="15361" width="17.375" style="156" customWidth="1"/>
    <col min="15362" max="15365" width="9" style="156"/>
    <col min="15366" max="15366" width="3.5" style="156" customWidth="1"/>
    <col min="15367" max="15367" width="17.375" style="156" customWidth="1"/>
    <col min="15368" max="15370" width="9" style="156"/>
    <col min="15371" max="15371" width="9.375" style="156" bestFit="1" customWidth="1"/>
    <col min="15372" max="15373" width="9" style="156"/>
    <col min="15374" max="15374" width="9.5" style="156" bestFit="1" customWidth="1"/>
    <col min="15375" max="15616" width="9" style="156"/>
    <col min="15617" max="15617" width="17.375" style="156" customWidth="1"/>
    <col min="15618" max="15621" width="9" style="156"/>
    <col min="15622" max="15622" width="3.5" style="156" customWidth="1"/>
    <col min="15623" max="15623" width="17.375" style="156" customWidth="1"/>
    <col min="15624" max="15626" width="9" style="156"/>
    <col min="15627" max="15627" width="9.375" style="156" bestFit="1" customWidth="1"/>
    <col min="15628" max="15629" width="9" style="156"/>
    <col min="15630" max="15630" width="9.5" style="156" bestFit="1" customWidth="1"/>
    <col min="15631" max="15872" width="9" style="156"/>
    <col min="15873" max="15873" width="17.375" style="156" customWidth="1"/>
    <col min="15874" max="15877" width="9" style="156"/>
    <col min="15878" max="15878" width="3.5" style="156" customWidth="1"/>
    <col min="15879" max="15879" width="17.375" style="156" customWidth="1"/>
    <col min="15880" max="15882" width="9" style="156"/>
    <col min="15883" max="15883" width="9.375" style="156" bestFit="1" customWidth="1"/>
    <col min="15884" max="15885" width="9" style="156"/>
    <col min="15886" max="15886" width="9.5" style="156" bestFit="1" customWidth="1"/>
    <col min="15887" max="16128" width="9" style="156"/>
    <col min="16129" max="16129" width="17.375" style="156" customWidth="1"/>
    <col min="16130" max="16133" width="9" style="156"/>
    <col min="16134" max="16134" width="3.5" style="156" customWidth="1"/>
    <col min="16135" max="16135" width="17.375" style="156" customWidth="1"/>
    <col min="16136" max="16138" width="9" style="156"/>
    <col min="16139" max="16139" width="9.375" style="156" bestFit="1" customWidth="1"/>
    <col min="16140" max="16141" width="9" style="156"/>
    <col min="16142" max="16142" width="9.5" style="156" bestFit="1" customWidth="1"/>
    <col min="16143" max="16384" width="9" style="156"/>
  </cols>
  <sheetData>
    <row r="1" spans="1:12" ht="18" customHeight="1">
      <c r="A1" s="532" t="s">
        <v>152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</row>
    <row r="2" spans="1:12" ht="18" customHeight="1">
      <c r="A2" s="157" t="s">
        <v>29</v>
      </c>
      <c r="B2" s="158"/>
      <c r="C2" s="159" t="s">
        <v>153</v>
      </c>
      <c r="D2" s="159"/>
      <c r="E2" s="159"/>
    </row>
    <row r="3" spans="1:12" s="161" customFormat="1" ht="18" customHeight="1">
      <c r="A3" s="160"/>
    </row>
    <row r="4" spans="1:12" s="165" customFormat="1" ht="18" customHeight="1">
      <c r="A4" s="162" t="s">
        <v>154</v>
      </c>
      <c r="B4" s="163">
        <f>K16</f>
        <v>1.0064</v>
      </c>
      <c r="C4" s="164" t="s">
        <v>155</v>
      </c>
    </row>
    <row r="5" spans="1:12" ht="18" customHeight="1">
      <c r="A5" s="533" t="s">
        <v>156</v>
      </c>
      <c r="B5" s="533"/>
      <c r="C5" s="533"/>
      <c r="D5" s="533"/>
      <c r="E5" s="533"/>
      <c r="F5" s="166">
        <v>14.5</v>
      </c>
      <c r="G5" s="533" t="s">
        <v>157</v>
      </c>
      <c r="H5" s="533"/>
      <c r="I5" s="533"/>
      <c r="J5" s="533"/>
      <c r="K5" s="533"/>
      <c r="L5" s="156">
        <v>14.3</v>
      </c>
    </row>
    <row r="6" spans="1:12" ht="18" customHeight="1">
      <c r="A6" s="70" t="s">
        <v>158</v>
      </c>
      <c r="B6" s="70" t="s">
        <v>159</v>
      </c>
      <c r="C6" s="70" t="s">
        <v>61</v>
      </c>
      <c r="D6" s="167" t="s">
        <v>160</v>
      </c>
      <c r="E6" s="36" t="s">
        <v>161</v>
      </c>
      <c r="F6" s="168"/>
      <c r="G6" s="70" t="s">
        <v>162</v>
      </c>
      <c r="H6" s="70" t="s">
        <v>159</v>
      </c>
      <c r="I6" s="70" t="s">
        <v>163</v>
      </c>
      <c r="J6" s="167" t="s">
        <v>164</v>
      </c>
      <c r="K6" s="36" t="s">
        <v>165</v>
      </c>
    </row>
    <row r="7" spans="1:12" ht="18" customHeight="1">
      <c r="A7" s="70" t="s">
        <v>166</v>
      </c>
      <c r="B7" s="169" t="s">
        <v>167</v>
      </c>
      <c r="C7" s="170">
        <v>0</v>
      </c>
      <c r="D7" s="171">
        <v>0.33</v>
      </c>
      <c r="E7" s="528">
        <f>C7*D7+C8*D8+C9*D9+C10*D10+C11*D11+C12*D12+C13*D13+C14*D14+C15*D15</f>
        <v>2.4649999999999998E-2</v>
      </c>
      <c r="F7" s="172"/>
      <c r="G7" s="70" t="s">
        <v>168</v>
      </c>
      <c r="H7" s="169" t="s">
        <v>169</v>
      </c>
      <c r="I7" s="170">
        <v>-7.1499999999999994E-2</v>
      </c>
      <c r="J7" s="171">
        <v>0.24</v>
      </c>
      <c r="K7" s="528">
        <f>ROUND(I7*J7+I8*J8+I9*J9+I10*J10+I11*J11+I12*J12+I13*J13+I14*J14+I15*J15,4)</f>
        <v>6.4000000000000003E-3</v>
      </c>
    </row>
    <row r="8" spans="1:12" ht="18" customHeight="1">
      <c r="A8" s="70" t="s">
        <v>170</v>
      </c>
      <c r="B8" s="169" t="str">
        <f>H8</f>
        <v>一般</v>
      </c>
      <c r="C8" s="170">
        <v>0</v>
      </c>
      <c r="D8" s="171">
        <v>0.25</v>
      </c>
      <c r="E8" s="529"/>
      <c r="F8" s="173"/>
      <c r="G8" s="70" t="s">
        <v>170</v>
      </c>
      <c r="H8" s="169" t="s">
        <v>167</v>
      </c>
      <c r="I8" s="170">
        <v>0</v>
      </c>
      <c r="J8" s="171">
        <v>0.3</v>
      </c>
      <c r="K8" s="529"/>
    </row>
    <row r="9" spans="1:12" ht="18" customHeight="1">
      <c r="A9" s="70" t="s">
        <v>171</v>
      </c>
      <c r="B9" s="169" t="s">
        <v>172</v>
      </c>
      <c r="C9" s="170">
        <v>0</v>
      </c>
      <c r="D9" s="171">
        <v>0.05</v>
      </c>
      <c r="E9" s="529"/>
      <c r="F9" s="173"/>
      <c r="G9" s="70" t="s">
        <v>171</v>
      </c>
      <c r="H9" s="169" t="s">
        <v>169</v>
      </c>
      <c r="I9" s="170">
        <v>-7.1499999999999994E-2</v>
      </c>
      <c r="J9" s="171">
        <v>0.08</v>
      </c>
      <c r="K9" s="529"/>
    </row>
    <row r="10" spans="1:12" ht="18" customHeight="1">
      <c r="A10" s="70" t="s">
        <v>173</v>
      </c>
      <c r="B10" s="169" t="str">
        <f t="shared" ref="B10:B15" si="0">H10</f>
        <v>一般</v>
      </c>
      <c r="C10" s="170">
        <v>0</v>
      </c>
      <c r="D10" s="171">
        <v>0.05</v>
      </c>
      <c r="E10" s="529"/>
      <c r="F10" s="173"/>
      <c r="G10" s="70" t="s">
        <v>173</v>
      </c>
      <c r="H10" s="169" t="s">
        <v>167</v>
      </c>
      <c r="I10" s="170">
        <v>0</v>
      </c>
      <c r="J10" s="171">
        <v>0.04</v>
      </c>
      <c r="K10" s="529"/>
    </row>
    <row r="11" spans="1:12" ht="18" customHeight="1">
      <c r="A11" s="70" t="s">
        <v>174</v>
      </c>
      <c r="B11" s="169" t="str">
        <f t="shared" si="0"/>
        <v>一般</v>
      </c>
      <c r="C11" s="170">
        <v>0</v>
      </c>
      <c r="D11" s="171">
        <v>0.08</v>
      </c>
      <c r="E11" s="529"/>
      <c r="F11" s="173"/>
      <c r="G11" s="70" t="s">
        <v>175</v>
      </c>
      <c r="H11" s="169" t="s">
        <v>172</v>
      </c>
      <c r="I11" s="170">
        <v>0</v>
      </c>
      <c r="J11" s="171">
        <v>0.05</v>
      </c>
      <c r="K11" s="529"/>
    </row>
    <row r="12" spans="1:12" ht="18" customHeight="1">
      <c r="A12" s="70" t="s">
        <v>176</v>
      </c>
      <c r="B12" s="169" t="str">
        <f t="shared" si="0"/>
        <v>较好</v>
      </c>
      <c r="C12" s="170">
        <v>7.2499999999999995E-2</v>
      </c>
      <c r="D12" s="171">
        <v>0.03</v>
      </c>
      <c r="E12" s="529"/>
      <c r="F12" s="173"/>
      <c r="G12" s="70" t="s">
        <v>176</v>
      </c>
      <c r="H12" s="169" t="s">
        <v>177</v>
      </c>
      <c r="I12" s="170">
        <v>7.1499999999999994E-2</v>
      </c>
      <c r="J12" s="171">
        <v>0.05</v>
      </c>
      <c r="K12" s="529"/>
    </row>
    <row r="13" spans="1:12" ht="18" customHeight="1">
      <c r="A13" s="70" t="s">
        <v>178</v>
      </c>
      <c r="B13" s="169" t="str">
        <f t="shared" si="0"/>
        <v>较好</v>
      </c>
      <c r="C13" s="170">
        <v>7.2499999999999995E-2</v>
      </c>
      <c r="D13" s="171">
        <v>0.05</v>
      </c>
      <c r="E13" s="529"/>
      <c r="F13" s="173"/>
      <c r="G13" s="70" t="s">
        <v>178</v>
      </c>
      <c r="H13" s="169" t="s">
        <v>177</v>
      </c>
      <c r="I13" s="170">
        <v>7.1499999999999994E-2</v>
      </c>
      <c r="J13" s="171">
        <v>0.06</v>
      </c>
      <c r="K13" s="529"/>
    </row>
    <row r="14" spans="1:12" ht="18" customHeight="1">
      <c r="A14" s="70" t="s">
        <v>179</v>
      </c>
      <c r="B14" s="169" t="str">
        <f t="shared" si="0"/>
        <v>好</v>
      </c>
      <c r="C14" s="170">
        <v>0.14499999999999999</v>
      </c>
      <c r="D14" s="171">
        <v>0.1</v>
      </c>
      <c r="E14" s="529"/>
      <c r="F14" s="173"/>
      <c r="G14" s="70" t="s">
        <v>179</v>
      </c>
      <c r="H14" s="169" t="s">
        <v>180</v>
      </c>
      <c r="I14" s="170">
        <v>0.14299999999999999</v>
      </c>
      <c r="J14" s="171">
        <v>0.12</v>
      </c>
      <c r="K14" s="529"/>
    </row>
    <row r="15" spans="1:12" ht="18" customHeight="1">
      <c r="A15" s="70" t="s">
        <v>181</v>
      </c>
      <c r="B15" s="169" t="str">
        <f t="shared" si="0"/>
        <v>较好</v>
      </c>
      <c r="C15" s="170">
        <v>7.2499999999999995E-2</v>
      </c>
      <c r="D15" s="171">
        <v>0.06</v>
      </c>
      <c r="E15" s="530"/>
      <c r="F15" s="174"/>
      <c r="G15" s="70" t="s">
        <v>181</v>
      </c>
      <c r="H15" s="169" t="s">
        <v>177</v>
      </c>
      <c r="I15" s="170">
        <v>7.1499999999999994E-2</v>
      </c>
      <c r="J15" s="171">
        <v>0.06</v>
      </c>
      <c r="K15" s="530"/>
    </row>
    <row r="16" spans="1:12" ht="18" customHeight="1">
      <c r="E16" s="175">
        <f>1+E7</f>
        <v>1.0246500000000001</v>
      </c>
      <c r="F16" s="176"/>
      <c r="K16" s="175">
        <f>1+K7</f>
        <v>1.0064</v>
      </c>
    </row>
    <row r="17" spans="1:12" ht="18" customHeight="1">
      <c r="A17" s="177"/>
      <c r="B17" s="177"/>
      <c r="C17" s="177"/>
      <c r="D17" s="177"/>
      <c r="E17" s="176"/>
      <c r="F17" s="176"/>
      <c r="G17" s="177"/>
      <c r="H17" s="177"/>
      <c r="I17" s="177"/>
      <c r="J17" s="177"/>
      <c r="K17" s="176"/>
    </row>
    <row r="18" spans="1:12" ht="18" customHeight="1">
      <c r="A18" s="533" t="s">
        <v>182</v>
      </c>
      <c r="B18" s="533"/>
      <c r="C18" s="533"/>
      <c r="D18" s="533"/>
      <c r="E18" s="533"/>
      <c r="F18" s="166">
        <v>15</v>
      </c>
      <c r="G18" s="533" t="s">
        <v>183</v>
      </c>
      <c r="H18" s="533"/>
      <c r="I18" s="533"/>
      <c r="J18" s="533"/>
      <c r="K18" s="533"/>
      <c r="L18" s="156">
        <v>15</v>
      </c>
    </row>
    <row r="19" spans="1:12" ht="18" customHeight="1">
      <c r="A19" s="70" t="s">
        <v>158</v>
      </c>
      <c r="B19" s="70" t="s">
        <v>159</v>
      </c>
      <c r="C19" s="70" t="s">
        <v>163</v>
      </c>
      <c r="D19" s="167" t="s">
        <v>164</v>
      </c>
      <c r="E19" s="36" t="s">
        <v>165</v>
      </c>
      <c r="F19" s="168"/>
      <c r="G19" s="70" t="s">
        <v>158</v>
      </c>
      <c r="H19" s="70" t="s">
        <v>159</v>
      </c>
      <c r="I19" s="70" t="s">
        <v>163</v>
      </c>
      <c r="J19" s="167" t="s">
        <v>164</v>
      </c>
      <c r="K19" s="36" t="s">
        <v>165</v>
      </c>
    </row>
    <row r="20" spans="1:12" ht="18" customHeight="1">
      <c r="A20" s="70" t="s">
        <v>184</v>
      </c>
      <c r="B20" s="169" t="s">
        <v>172</v>
      </c>
      <c r="C20" s="178">
        <v>0</v>
      </c>
      <c r="D20" s="171">
        <v>0.14000000000000001</v>
      </c>
      <c r="E20" s="528">
        <f>C20*D20+C21*D21+C22*D22+C23*D23+C24*D24+C25*D25+C26*D26+C27*D27+C28*D28</f>
        <v>3.8999999999999993E-2</v>
      </c>
      <c r="F20" s="172"/>
      <c r="G20" s="70" t="s">
        <v>185</v>
      </c>
      <c r="H20" s="169" t="s">
        <v>186</v>
      </c>
      <c r="I20" s="178">
        <v>-0.05</v>
      </c>
      <c r="J20" s="171">
        <v>0.26</v>
      </c>
      <c r="K20" s="531">
        <f>I20*J20+I21*J21+I22*J22+I23*J23+I24*J24+I25*J25+I26*J26+I27*J27</f>
        <v>-5.000000000000001E-2</v>
      </c>
    </row>
    <row r="21" spans="1:12" ht="18" customHeight="1">
      <c r="A21" s="70" t="s">
        <v>187</v>
      </c>
      <c r="B21" s="169" t="str">
        <f>H8</f>
        <v>一般</v>
      </c>
      <c r="C21" s="178">
        <v>0</v>
      </c>
      <c r="D21" s="171">
        <v>0.3</v>
      </c>
      <c r="E21" s="529"/>
      <c r="F21" s="173"/>
      <c r="G21" s="70" t="s">
        <v>187</v>
      </c>
      <c r="H21" s="169" t="s">
        <v>186</v>
      </c>
      <c r="I21" s="178">
        <v>-0.05</v>
      </c>
      <c r="J21" s="171">
        <v>0.33</v>
      </c>
      <c r="K21" s="531"/>
    </row>
    <row r="22" spans="1:12" ht="18" customHeight="1">
      <c r="A22" s="70" t="s">
        <v>171</v>
      </c>
      <c r="B22" s="169" t="s">
        <v>172</v>
      </c>
      <c r="C22" s="178">
        <v>0</v>
      </c>
      <c r="D22" s="171">
        <v>0.08</v>
      </c>
      <c r="E22" s="529"/>
      <c r="F22" s="173"/>
      <c r="G22" s="70" t="s">
        <v>171</v>
      </c>
      <c r="H22" s="169" t="s">
        <v>186</v>
      </c>
      <c r="I22" s="178">
        <v>-0.05</v>
      </c>
      <c r="J22" s="171">
        <v>0.05</v>
      </c>
      <c r="K22" s="531"/>
    </row>
    <row r="23" spans="1:12" ht="18" customHeight="1">
      <c r="A23" s="70" t="s">
        <v>188</v>
      </c>
      <c r="B23" s="169" t="str">
        <f>H11</f>
        <v>一般</v>
      </c>
      <c r="C23" s="178">
        <v>0</v>
      </c>
      <c r="D23" s="171">
        <v>0.04</v>
      </c>
      <c r="E23" s="529"/>
      <c r="F23" s="173"/>
      <c r="G23" s="70" t="s">
        <v>188</v>
      </c>
      <c r="H23" s="169" t="s">
        <v>186</v>
      </c>
      <c r="I23" s="178">
        <v>-0.05</v>
      </c>
      <c r="J23" s="171">
        <v>0.04</v>
      </c>
      <c r="K23" s="531"/>
    </row>
    <row r="24" spans="1:12" ht="18" customHeight="1">
      <c r="A24" s="70" t="s">
        <v>178</v>
      </c>
      <c r="B24" s="169" t="str">
        <f>H13</f>
        <v>较好</v>
      </c>
      <c r="C24" s="178">
        <v>7.4999999999999997E-2</v>
      </c>
      <c r="D24" s="171">
        <v>0.08</v>
      </c>
      <c r="E24" s="529"/>
      <c r="F24" s="173"/>
      <c r="G24" s="70" t="s">
        <v>178</v>
      </c>
      <c r="H24" s="169" t="s">
        <v>186</v>
      </c>
      <c r="I24" s="178">
        <v>-0.05</v>
      </c>
      <c r="J24" s="171">
        <v>0.06</v>
      </c>
      <c r="K24" s="531"/>
    </row>
    <row r="25" spans="1:12" ht="18" customHeight="1">
      <c r="A25" s="70" t="s">
        <v>176</v>
      </c>
      <c r="B25" s="169" t="str">
        <f>H12</f>
        <v>较好</v>
      </c>
      <c r="C25" s="178">
        <v>7.4999999999999997E-2</v>
      </c>
      <c r="D25" s="171">
        <v>0.05</v>
      </c>
      <c r="E25" s="529"/>
      <c r="F25" s="173"/>
      <c r="G25" s="70" t="s">
        <v>176</v>
      </c>
      <c r="H25" s="169" t="s">
        <v>186</v>
      </c>
      <c r="I25" s="178">
        <v>-0.05</v>
      </c>
      <c r="J25" s="171">
        <v>0.05</v>
      </c>
      <c r="K25" s="531"/>
    </row>
    <row r="26" spans="1:12" ht="18" customHeight="1">
      <c r="A26" s="70" t="s">
        <v>179</v>
      </c>
      <c r="B26" s="169" t="str">
        <f>H14</f>
        <v>好</v>
      </c>
      <c r="C26" s="178">
        <v>0.15</v>
      </c>
      <c r="D26" s="171">
        <v>0.12</v>
      </c>
      <c r="E26" s="529"/>
      <c r="F26" s="173"/>
      <c r="G26" s="70" t="s">
        <v>179</v>
      </c>
      <c r="H26" s="169" t="s">
        <v>186</v>
      </c>
      <c r="I26" s="178">
        <v>-0.05</v>
      </c>
      <c r="J26" s="171">
        <v>0.15</v>
      </c>
      <c r="K26" s="531"/>
    </row>
    <row r="27" spans="1:12" ht="18" customHeight="1">
      <c r="A27" s="70" t="s">
        <v>181</v>
      </c>
      <c r="B27" s="169" t="str">
        <f>H15</f>
        <v>较好</v>
      </c>
      <c r="C27" s="178">
        <v>7.4999999999999997E-2</v>
      </c>
      <c r="D27" s="171">
        <v>0.15</v>
      </c>
      <c r="E27" s="529"/>
      <c r="F27" s="173"/>
      <c r="G27" s="70" t="s">
        <v>189</v>
      </c>
      <c r="H27" s="169" t="s">
        <v>186</v>
      </c>
      <c r="I27" s="178">
        <v>-0.05</v>
      </c>
      <c r="J27" s="171">
        <v>0.06</v>
      </c>
      <c r="K27" s="531"/>
    </row>
    <row r="28" spans="1:12" ht="18" customHeight="1">
      <c r="A28" s="70" t="s">
        <v>190</v>
      </c>
      <c r="B28" s="169" t="s">
        <v>172</v>
      </c>
      <c r="C28" s="178">
        <v>0</v>
      </c>
      <c r="D28" s="171">
        <v>0.04</v>
      </c>
      <c r="E28" s="530"/>
      <c r="F28" s="179"/>
      <c r="G28" s="180"/>
      <c r="H28" s="181"/>
      <c r="I28" s="182"/>
      <c r="J28" s="183"/>
      <c r="K28" s="175">
        <f>1+K20</f>
        <v>0.95</v>
      </c>
    </row>
    <row r="29" spans="1:12" ht="18" customHeight="1">
      <c r="E29" s="175">
        <f>1+E20</f>
        <v>1.0389999999999999</v>
      </c>
      <c r="F29" s="176"/>
    </row>
  </sheetData>
  <mergeCells count="9">
    <mergeCell ref="E20:E28"/>
    <mergeCell ref="K20:K27"/>
    <mergeCell ref="A1:K1"/>
    <mergeCell ref="A5:E5"/>
    <mergeCell ref="G5:K5"/>
    <mergeCell ref="E7:E15"/>
    <mergeCell ref="K7:K15"/>
    <mergeCell ref="A18:E18"/>
    <mergeCell ref="G18:K18"/>
  </mergeCells>
  <phoneticPr fontId="1" type="noConversion"/>
  <pageMargins left="0.7" right="0.7" top="0.75" bottom="0.75" header="0.3" footer="0.3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9.9978637043366805E-2"/>
  </sheetPr>
  <dimension ref="A1:L60"/>
  <sheetViews>
    <sheetView topLeftCell="A25" zoomScale="95" zoomScaleNormal="95" workbookViewId="0">
      <selection activeCell="C43" sqref="C43"/>
    </sheetView>
  </sheetViews>
  <sheetFormatPr defaultRowHeight="18.75" customHeight="1"/>
  <cols>
    <col min="1" max="1" width="5.375" style="24" customWidth="1"/>
    <col min="2" max="2" width="31.625" style="37" customWidth="1"/>
    <col min="3" max="3" width="11.25" style="27" customWidth="1"/>
    <col min="4" max="4" width="12.5" style="27" customWidth="1"/>
    <col min="5" max="5" width="11.75" style="27" customWidth="1"/>
    <col min="6" max="6" width="11.25" style="27" customWidth="1"/>
    <col min="7" max="7" width="14.5" style="27" customWidth="1"/>
    <col min="8" max="10" width="11.25" style="27" customWidth="1"/>
    <col min="11" max="11" width="9" style="27"/>
    <col min="12" max="12" width="10.125" style="27" customWidth="1"/>
    <col min="13" max="256" width="9" style="27"/>
    <col min="257" max="257" width="5.375" style="27" customWidth="1"/>
    <col min="258" max="258" width="31.625" style="27" customWidth="1"/>
    <col min="259" max="259" width="11.25" style="27" customWidth="1"/>
    <col min="260" max="260" width="12.5" style="27" customWidth="1"/>
    <col min="261" max="261" width="11.75" style="27" customWidth="1"/>
    <col min="262" max="262" width="11.25" style="27" customWidth="1"/>
    <col min="263" max="263" width="14.5" style="27" customWidth="1"/>
    <col min="264" max="266" width="11.25" style="27" customWidth="1"/>
    <col min="267" max="512" width="9" style="27"/>
    <col min="513" max="513" width="5.375" style="27" customWidth="1"/>
    <col min="514" max="514" width="31.625" style="27" customWidth="1"/>
    <col min="515" max="515" width="11.25" style="27" customWidth="1"/>
    <col min="516" max="516" width="12.5" style="27" customWidth="1"/>
    <col min="517" max="517" width="11.75" style="27" customWidth="1"/>
    <col min="518" max="518" width="11.25" style="27" customWidth="1"/>
    <col min="519" max="519" width="14.5" style="27" customWidth="1"/>
    <col min="520" max="522" width="11.25" style="27" customWidth="1"/>
    <col min="523" max="768" width="9" style="27"/>
    <col min="769" max="769" width="5.375" style="27" customWidth="1"/>
    <col min="770" max="770" width="31.625" style="27" customWidth="1"/>
    <col min="771" max="771" width="11.25" style="27" customWidth="1"/>
    <col min="772" max="772" width="12.5" style="27" customWidth="1"/>
    <col min="773" max="773" width="11.75" style="27" customWidth="1"/>
    <col min="774" max="774" width="11.25" style="27" customWidth="1"/>
    <col min="775" max="775" width="14.5" style="27" customWidth="1"/>
    <col min="776" max="778" width="11.25" style="27" customWidth="1"/>
    <col min="779" max="1024" width="9" style="27"/>
    <col min="1025" max="1025" width="5.375" style="27" customWidth="1"/>
    <col min="1026" max="1026" width="31.625" style="27" customWidth="1"/>
    <col min="1027" max="1027" width="11.25" style="27" customWidth="1"/>
    <col min="1028" max="1028" width="12.5" style="27" customWidth="1"/>
    <col min="1029" max="1029" width="11.75" style="27" customWidth="1"/>
    <col min="1030" max="1030" width="11.25" style="27" customWidth="1"/>
    <col min="1031" max="1031" width="14.5" style="27" customWidth="1"/>
    <col min="1032" max="1034" width="11.25" style="27" customWidth="1"/>
    <col min="1035" max="1280" width="9" style="27"/>
    <col min="1281" max="1281" width="5.375" style="27" customWidth="1"/>
    <col min="1282" max="1282" width="31.625" style="27" customWidth="1"/>
    <col min="1283" max="1283" width="11.25" style="27" customWidth="1"/>
    <col min="1284" max="1284" width="12.5" style="27" customWidth="1"/>
    <col min="1285" max="1285" width="11.75" style="27" customWidth="1"/>
    <col min="1286" max="1286" width="11.25" style="27" customWidth="1"/>
    <col min="1287" max="1287" width="14.5" style="27" customWidth="1"/>
    <col min="1288" max="1290" width="11.25" style="27" customWidth="1"/>
    <col min="1291" max="1536" width="9" style="27"/>
    <col min="1537" max="1537" width="5.375" style="27" customWidth="1"/>
    <col min="1538" max="1538" width="31.625" style="27" customWidth="1"/>
    <col min="1539" max="1539" width="11.25" style="27" customWidth="1"/>
    <col min="1540" max="1540" width="12.5" style="27" customWidth="1"/>
    <col min="1541" max="1541" width="11.75" style="27" customWidth="1"/>
    <col min="1542" max="1542" width="11.25" style="27" customWidth="1"/>
    <col min="1543" max="1543" width="14.5" style="27" customWidth="1"/>
    <col min="1544" max="1546" width="11.25" style="27" customWidth="1"/>
    <col min="1547" max="1792" width="9" style="27"/>
    <col min="1793" max="1793" width="5.375" style="27" customWidth="1"/>
    <col min="1794" max="1794" width="31.625" style="27" customWidth="1"/>
    <col min="1795" max="1795" width="11.25" style="27" customWidth="1"/>
    <col min="1796" max="1796" width="12.5" style="27" customWidth="1"/>
    <col min="1797" max="1797" width="11.75" style="27" customWidth="1"/>
    <col min="1798" max="1798" width="11.25" style="27" customWidth="1"/>
    <col min="1799" max="1799" width="14.5" style="27" customWidth="1"/>
    <col min="1800" max="1802" width="11.25" style="27" customWidth="1"/>
    <col min="1803" max="2048" width="9" style="27"/>
    <col min="2049" max="2049" width="5.375" style="27" customWidth="1"/>
    <col min="2050" max="2050" width="31.625" style="27" customWidth="1"/>
    <col min="2051" max="2051" width="11.25" style="27" customWidth="1"/>
    <col min="2052" max="2052" width="12.5" style="27" customWidth="1"/>
    <col min="2053" max="2053" width="11.75" style="27" customWidth="1"/>
    <col min="2054" max="2054" width="11.25" style="27" customWidth="1"/>
    <col min="2055" max="2055" width="14.5" style="27" customWidth="1"/>
    <col min="2056" max="2058" width="11.25" style="27" customWidth="1"/>
    <col min="2059" max="2304" width="9" style="27"/>
    <col min="2305" max="2305" width="5.375" style="27" customWidth="1"/>
    <col min="2306" max="2306" width="31.625" style="27" customWidth="1"/>
    <col min="2307" max="2307" width="11.25" style="27" customWidth="1"/>
    <col min="2308" max="2308" width="12.5" style="27" customWidth="1"/>
    <col min="2309" max="2309" width="11.75" style="27" customWidth="1"/>
    <col min="2310" max="2310" width="11.25" style="27" customWidth="1"/>
    <col min="2311" max="2311" width="14.5" style="27" customWidth="1"/>
    <col min="2312" max="2314" width="11.25" style="27" customWidth="1"/>
    <col min="2315" max="2560" width="9" style="27"/>
    <col min="2561" max="2561" width="5.375" style="27" customWidth="1"/>
    <col min="2562" max="2562" width="31.625" style="27" customWidth="1"/>
    <col min="2563" max="2563" width="11.25" style="27" customWidth="1"/>
    <col min="2564" max="2564" width="12.5" style="27" customWidth="1"/>
    <col min="2565" max="2565" width="11.75" style="27" customWidth="1"/>
    <col min="2566" max="2566" width="11.25" style="27" customWidth="1"/>
    <col min="2567" max="2567" width="14.5" style="27" customWidth="1"/>
    <col min="2568" max="2570" width="11.25" style="27" customWidth="1"/>
    <col min="2571" max="2816" width="9" style="27"/>
    <col min="2817" max="2817" width="5.375" style="27" customWidth="1"/>
    <col min="2818" max="2818" width="31.625" style="27" customWidth="1"/>
    <col min="2819" max="2819" width="11.25" style="27" customWidth="1"/>
    <col min="2820" max="2820" width="12.5" style="27" customWidth="1"/>
    <col min="2821" max="2821" width="11.75" style="27" customWidth="1"/>
    <col min="2822" max="2822" width="11.25" style="27" customWidth="1"/>
    <col min="2823" max="2823" width="14.5" style="27" customWidth="1"/>
    <col min="2824" max="2826" width="11.25" style="27" customWidth="1"/>
    <col min="2827" max="3072" width="9" style="27"/>
    <col min="3073" max="3073" width="5.375" style="27" customWidth="1"/>
    <col min="3074" max="3074" width="31.625" style="27" customWidth="1"/>
    <col min="3075" max="3075" width="11.25" style="27" customWidth="1"/>
    <col min="3076" max="3076" width="12.5" style="27" customWidth="1"/>
    <col min="3077" max="3077" width="11.75" style="27" customWidth="1"/>
    <col min="3078" max="3078" width="11.25" style="27" customWidth="1"/>
    <col min="3079" max="3079" width="14.5" style="27" customWidth="1"/>
    <col min="3080" max="3082" width="11.25" style="27" customWidth="1"/>
    <col min="3083" max="3328" width="9" style="27"/>
    <col min="3329" max="3329" width="5.375" style="27" customWidth="1"/>
    <col min="3330" max="3330" width="31.625" style="27" customWidth="1"/>
    <col min="3331" max="3331" width="11.25" style="27" customWidth="1"/>
    <col min="3332" max="3332" width="12.5" style="27" customWidth="1"/>
    <col min="3333" max="3333" width="11.75" style="27" customWidth="1"/>
    <col min="3334" max="3334" width="11.25" style="27" customWidth="1"/>
    <col min="3335" max="3335" width="14.5" style="27" customWidth="1"/>
    <col min="3336" max="3338" width="11.25" style="27" customWidth="1"/>
    <col min="3339" max="3584" width="9" style="27"/>
    <col min="3585" max="3585" width="5.375" style="27" customWidth="1"/>
    <col min="3586" max="3586" width="31.625" style="27" customWidth="1"/>
    <col min="3587" max="3587" width="11.25" style="27" customWidth="1"/>
    <col min="3588" max="3588" width="12.5" style="27" customWidth="1"/>
    <col min="3589" max="3589" width="11.75" style="27" customWidth="1"/>
    <col min="3590" max="3590" width="11.25" style="27" customWidth="1"/>
    <col min="3591" max="3591" width="14.5" style="27" customWidth="1"/>
    <col min="3592" max="3594" width="11.25" style="27" customWidth="1"/>
    <col min="3595" max="3840" width="9" style="27"/>
    <col min="3841" max="3841" width="5.375" style="27" customWidth="1"/>
    <col min="3842" max="3842" width="31.625" style="27" customWidth="1"/>
    <col min="3843" max="3843" width="11.25" style="27" customWidth="1"/>
    <col min="3844" max="3844" width="12.5" style="27" customWidth="1"/>
    <col min="3845" max="3845" width="11.75" style="27" customWidth="1"/>
    <col min="3846" max="3846" width="11.25" style="27" customWidth="1"/>
    <col min="3847" max="3847" width="14.5" style="27" customWidth="1"/>
    <col min="3848" max="3850" width="11.25" style="27" customWidth="1"/>
    <col min="3851" max="4096" width="9" style="27"/>
    <col min="4097" max="4097" width="5.375" style="27" customWidth="1"/>
    <col min="4098" max="4098" width="31.625" style="27" customWidth="1"/>
    <col min="4099" max="4099" width="11.25" style="27" customWidth="1"/>
    <col min="4100" max="4100" width="12.5" style="27" customWidth="1"/>
    <col min="4101" max="4101" width="11.75" style="27" customWidth="1"/>
    <col min="4102" max="4102" width="11.25" style="27" customWidth="1"/>
    <col min="4103" max="4103" width="14.5" style="27" customWidth="1"/>
    <col min="4104" max="4106" width="11.25" style="27" customWidth="1"/>
    <col min="4107" max="4352" width="9" style="27"/>
    <col min="4353" max="4353" width="5.375" style="27" customWidth="1"/>
    <col min="4354" max="4354" width="31.625" style="27" customWidth="1"/>
    <col min="4355" max="4355" width="11.25" style="27" customWidth="1"/>
    <col min="4356" max="4356" width="12.5" style="27" customWidth="1"/>
    <col min="4357" max="4357" width="11.75" style="27" customWidth="1"/>
    <col min="4358" max="4358" width="11.25" style="27" customWidth="1"/>
    <col min="4359" max="4359" width="14.5" style="27" customWidth="1"/>
    <col min="4360" max="4362" width="11.25" style="27" customWidth="1"/>
    <col min="4363" max="4608" width="9" style="27"/>
    <col min="4609" max="4609" width="5.375" style="27" customWidth="1"/>
    <col min="4610" max="4610" width="31.625" style="27" customWidth="1"/>
    <col min="4611" max="4611" width="11.25" style="27" customWidth="1"/>
    <col min="4612" max="4612" width="12.5" style="27" customWidth="1"/>
    <col min="4613" max="4613" width="11.75" style="27" customWidth="1"/>
    <col min="4614" max="4614" width="11.25" style="27" customWidth="1"/>
    <col min="4615" max="4615" width="14.5" style="27" customWidth="1"/>
    <col min="4616" max="4618" width="11.25" style="27" customWidth="1"/>
    <col min="4619" max="4864" width="9" style="27"/>
    <col min="4865" max="4865" width="5.375" style="27" customWidth="1"/>
    <col min="4866" max="4866" width="31.625" style="27" customWidth="1"/>
    <col min="4867" max="4867" width="11.25" style="27" customWidth="1"/>
    <col min="4868" max="4868" width="12.5" style="27" customWidth="1"/>
    <col min="4869" max="4869" width="11.75" style="27" customWidth="1"/>
    <col min="4870" max="4870" width="11.25" style="27" customWidth="1"/>
    <col min="4871" max="4871" width="14.5" style="27" customWidth="1"/>
    <col min="4872" max="4874" width="11.25" style="27" customWidth="1"/>
    <col min="4875" max="5120" width="9" style="27"/>
    <col min="5121" max="5121" width="5.375" style="27" customWidth="1"/>
    <col min="5122" max="5122" width="31.625" style="27" customWidth="1"/>
    <col min="5123" max="5123" width="11.25" style="27" customWidth="1"/>
    <col min="5124" max="5124" width="12.5" style="27" customWidth="1"/>
    <col min="5125" max="5125" width="11.75" style="27" customWidth="1"/>
    <col min="5126" max="5126" width="11.25" style="27" customWidth="1"/>
    <col min="5127" max="5127" width="14.5" style="27" customWidth="1"/>
    <col min="5128" max="5130" width="11.25" style="27" customWidth="1"/>
    <col min="5131" max="5376" width="9" style="27"/>
    <col min="5377" max="5377" width="5.375" style="27" customWidth="1"/>
    <col min="5378" max="5378" width="31.625" style="27" customWidth="1"/>
    <col min="5379" max="5379" width="11.25" style="27" customWidth="1"/>
    <col min="5380" max="5380" width="12.5" style="27" customWidth="1"/>
    <col min="5381" max="5381" width="11.75" style="27" customWidth="1"/>
    <col min="5382" max="5382" width="11.25" style="27" customWidth="1"/>
    <col min="5383" max="5383" width="14.5" style="27" customWidth="1"/>
    <col min="5384" max="5386" width="11.25" style="27" customWidth="1"/>
    <col min="5387" max="5632" width="9" style="27"/>
    <col min="5633" max="5633" width="5.375" style="27" customWidth="1"/>
    <col min="5634" max="5634" width="31.625" style="27" customWidth="1"/>
    <col min="5635" max="5635" width="11.25" style="27" customWidth="1"/>
    <col min="5636" max="5636" width="12.5" style="27" customWidth="1"/>
    <col min="5637" max="5637" width="11.75" style="27" customWidth="1"/>
    <col min="5638" max="5638" width="11.25" style="27" customWidth="1"/>
    <col min="5639" max="5639" width="14.5" style="27" customWidth="1"/>
    <col min="5640" max="5642" width="11.25" style="27" customWidth="1"/>
    <col min="5643" max="5888" width="9" style="27"/>
    <col min="5889" max="5889" width="5.375" style="27" customWidth="1"/>
    <col min="5890" max="5890" width="31.625" style="27" customWidth="1"/>
    <col min="5891" max="5891" width="11.25" style="27" customWidth="1"/>
    <col min="5892" max="5892" width="12.5" style="27" customWidth="1"/>
    <col min="5893" max="5893" width="11.75" style="27" customWidth="1"/>
    <col min="5894" max="5894" width="11.25" style="27" customWidth="1"/>
    <col min="5895" max="5895" width="14.5" style="27" customWidth="1"/>
    <col min="5896" max="5898" width="11.25" style="27" customWidth="1"/>
    <col min="5899" max="6144" width="9" style="27"/>
    <col min="6145" max="6145" width="5.375" style="27" customWidth="1"/>
    <col min="6146" max="6146" width="31.625" style="27" customWidth="1"/>
    <col min="6147" max="6147" width="11.25" style="27" customWidth="1"/>
    <col min="6148" max="6148" width="12.5" style="27" customWidth="1"/>
    <col min="6149" max="6149" width="11.75" style="27" customWidth="1"/>
    <col min="6150" max="6150" width="11.25" style="27" customWidth="1"/>
    <col min="6151" max="6151" width="14.5" style="27" customWidth="1"/>
    <col min="6152" max="6154" width="11.25" style="27" customWidth="1"/>
    <col min="6155" max="6400" width="9" style="27"/>
    <col min="6401" max="6401" width="5.375" style="27" customWidth="1"/>
    <col min="6402" max="6402" width="31.625" style="27" customWidth="1"/>
    <col min="6403" max="6403" width="11.25" style="27" customWidth="1"/>
    <col min="6404" max="6404" width="12.5" style="27" customWidth="1"/>
    <col min="6405" max="6405" width="11.75" style="27" customWidth="1"/>
    <col min="6406" max="6406" width="11.25" style="27" customWidth="1"/>
    <col min="6407" max="6407" width="14.5" style="27" customWidth="1"/>
    <col min="6408" max="6410" width="11.25" style="27" customWidth="1"/>
    <col min="6411" max="6656" width="9" style="27"/>
    <col min="6657" max="6657" width="5.375" style="27" customWidth="1"/>
    <col min="6658" max="6658" width="31.625" style="27" customWidth="1"/>
    <col min="6659" max="6659" width="11.25" style="27" customWidth="1"/>
    <col min="6660" max="6660" width="12.5" style="27" customWidth="1"/>
    <col min="6661" max="6661" width="11.75" style="27" customWidth="1"/>
    <col min="6662" max="6662" width="11.25" style="27" customWidth="1"/>
    <col min="6663" max="6663" width="14.5" style="27" customWidth="1"/>
    <col min="6664" max="6666" width="11.25" style="27" customWidth="1"/>
    <col min="6667" max="6912" width="9" style="27"/>
    <col min="6913" max="6913" width="5.375" style="27" customWidth="1"/>
    <col min="6914" max="6914" width="31.625" style="27" customWidth="1"/>
    <col min="6915" max="6915" width="11.25" style="27" customWidth="1"/>
    <col min="6916" max="6916" width="12.5" style="27" customWidth="1"/>
    <col min="6917" max="6917" width="11.75" style="27" customWidth="1"/>
    <col min="6918" max="6918" width="11.25" style="27" customWidth="1"/>
    <col min="6919" max="6919" width="14.5" style="27" customWidth="1"/>
    <col min="6920" max="6922" width="11.25" style="27" customWidth="1"/>
    <col min="6923" max="7168" width="9" style="27"/>
    <col min="7169" max="7169" width="5.375" style="27" customWidth="1"/>
    <col min="7170" max="7170" width="31.625" style="27" customWidth="1"/>
    <col min="7171" max="7171" width="11.25" style="27" customWidth="1"/>
    <col min="7172" max="7172" width="12.5" style="27" customWidth="1"/>
    <col min="7173" max="7173" width="11.75" style="27" customWidth="1"/>
    <col min="7174" max="7174" width="11.25" style="27" customWidth="1"/>
    <col min="7175" max="7175" width="14.5" style="27" customWidth="1"/>
    <col min="7176" max="7178" width="11.25" style="27" customWidth="1"/>
    <col min="7179" max="7424" width="9" style="27"/>
    <col min="7425" max="7425" width="5.375" style="27" customWidth="1"/>
    <col min="7426" max="7426" width="31.625" style="27" customWidth="1"/>
    <col min="7427" max="7427" width="11.25" style="27" customWidth="1"/>
    <col min="7428" max="7428" width="12.5" style="27" customWidth="1"/>
    <col min="7429" max="7429" width="11.75" style="27" customWidth="1"/>
    <col min="7430" max="7430" width="11.25" style="27" customWidth="1"/>
    <col min="7431" max="7431" width="14.5" style="27" customWidth="1"/>
    <col min="7432" max="7434" width="11.25" style="27" customWidth="1"/>
    <col min="7435" max="7680" width="9" style="27"/>
    <col min="7681" max="7681" width="5.375" style="27" customWidth="1"/>
    <col min="7682" max="7682" width="31.625" style="27" customWidth="1"/>
    <col min="7683" max="7683" width="11.25" style="27" customWidth="1"/>
    <col min="7684" max="7684" width="12.5" style="27" customWidth="1"/>
    <col min="7685" max="7685" width="11.75" style="27" customWidth="1"/>
    <col min="7686" max="7686" width="11.25" style="27" customWidth="1"/>
    <col min="7687" max="7687" width="14.5" style="27" customWidth="1"/>
    <col min="7688" max="7690" width="11.25" style="27" customWidth="1"/>
    <col min="7691" max="7936" width="9" style="27"/>
    <col min="7937" max="7937" width="5.375" style="27" customWidth="1"/>
    <col min="7938" max="7938" width="31.625" style="27" customWidth="1"/>
    <col min="7939" max="7939" width="11.25" style="27" customWidth="1"/>
    <col min="7940" max="7940" width="12.5" style="27" customWidth="1"/>
    <col min="7941" max="7941" width="11.75" style="27" customWidth="1"/>
    <col min="7942" max="7942" width="11.25" style="27" customWidth="1"/>
    <col min="7943" max="7943" width="14.5" style="27" customWidth="1"/>
    <col min="7944" max="7946" width="11.25" style="27" customWidth="1"/>
    <col min="7947" max="8192" width="9" style="27"/>
    <col min="8193" max="8193" width="5.375" style="27" customWidth="1"/>
    <col min="8194" max="8194" width="31.625" style="27" customWidth="1"/>
    <col min="8195" max="8195" width="11.25" style="27" customWidth="1"/>
    <col min="8196" max="8196" width="12.5" style="27" customWidth="1"/>
    <col min="8197" max="8197" width="11.75" style="27" customWidth="1"/>
    <col min="8198" max="8198" width="11.25" style="27" customWidth="1"/>
    <col min="8199" max="8199" width="14.5" style="27" customWidth="1"/>
    <col min="8200" max="8202" width="11.25" style="27" customWidth="1"/>
    <col min="8203" max="8448" width="9" style="27"/>
    <col min="8449" max="8449" width="5.375" style="27" customWidth="1"/>
    <col min="8450" max="8450" width="31.625" style="27" customWidth="1"/>
    <col min="8451" max="8451" width="11.25" style="27" customWidth="1"/>
    <col min="8452" max="8452" width="12.5" style="27" customWidth="1"/>
    <col min="8453" max="8453" width="11.75" style="27" customWidth="1"/>
    <col min="8454" max="8454" width="11.25" style="27" customWidth="1"/>
    <col min="8455" max="8455" width="14.5" style="27" customWidth="1"/>
    <col min="8456" max="8458" width="11.25" style="27" customWidth="1"/>
    <col min="8459" max="8704" width="9" style="27"/>
    <col min="8705" max="8705" width="5.375" style="27" customWidth="1"/>
    <col min="8706" max="8706" width="31.625" style="27" customWidth="1"/>
    <col min="8707" max="8707" width="11.25" style="27" customWidth="1"/>
    <col min="8708" max="8708" width="12.5" style="27" customWidth="1"/>
    <col min="8709" max="8709" width="11.75" style="27" customWidth="1"/>
    <col min="8710" max="8710" width="11.25" style="27" customWidth="1"/>
    <col min="8711" max="8711" width="14.5" style="27" customWidth="1"/>
    <col min="8712" max="8714" width="11.25" style="27" customWidth="1"/>
    <col min="8715" max="8960" width="9" style="27"/>
    <col min="8961" max="8961" width="5.375" style="27" customWidth="1"/>
    <col min="8962" max="8962" width="31.625" style="27" customWidth="1"/>
    <col min="8963" max="8963" width="11.25" style="27" customWidth="1"/>
    <col min="8964" max="8964" width="12.5" style="27" customWidth="1"/>
    <col min="8965" max="8965" width="11.75" style="27" customWidth="1"/>
    <col min="8966" max="8966" width="11.25" style="27" customWidth="1"/>
    <col min="8967" max="8967" width="14.5" style="27" customWidth="1"/>
    <col min="8968" max="8970" width="11.25" style="27" customWidth="1"/>
    <col min="8971" max="9216" width="9" style="27"/>
    <col min="9217" max="9217" width="5.375" style="27" customWidth="1"/>
    <col min="9218" max="9218" width="31.625" style="27" customWidth="1"/>
    <col min="9219" max="9219" width="11.25" style="27" customWidth="1"/>
    <col min="9220" max="9220" width="12.5" style="27" customWidth="1"/>
    <col min="9221" max="9221" width="11.75" style="27" customWidth="1"/>
    <col min="9222" max="9222" width="11.25" style="27" customWidth="1"/>
    <col min="9223" max="9223" width="14.5" style="27" customWidth="1"/>
    <col min="9224" max="9226" width="11.25" style="27" customWidth="1"/>
    <col min="9227" max="9472" width="9" style="27"/>
    <col min="9473" max="9473" width="5.375" style="27" customWidth="1"/>
    <col min="9474" max="9474" width="31.625" style="27" customWidth="1"/>
    <col min="9475" max="9475" width="11.25" style="27" customWidth="1"/>
    <col min="9476" max="9476" width="12.5" style="27" customWidth="1"/>
    <col min="9477" max="9477" width="11.75" style="27" customWidth="1"/>
    <col min="9478" max="9478" width="11.25" style="27" customWidth="1"/>
    <col min="9479" max="9479" width="14.5" style="27" customWidth="1"/>
    <col min="9480" max="9482" width="11.25" style="27" customWidth="1"/>
    <col min="9483" max="9728" width="9" style="27"/>
    <col min="9729" max="9729" width="5.375" style="27" customWidth="1"/>
    <col min="9730" max="9730" width="31.625" style="27" customWidth="1"/>
    <col min="9731" max="9731" width="11.25" style="27" customWidth="1"/>
    <col min="9732" max="9732" width="12.5" style="27" customWidth="1"/>
    <col min="9733" max="9733" width="11.75" style="27" customWidth="1"/>
    <col min="9734" max="9734" width="11.25" style="27" customWidth="1"/>
    <col min="9735" max="9735" width="14.5" style="27" customWidth="1"/>
    <col min="9736" max="9738" width="11.25" style="27" customWidth="1"/>
    <col min="9739" max="9984" width="9" style="27"/>
    <col min="9985" max="9985" width="5.375" style="27" customWidth="1"/>
    <col min="9986" max="9986" width="31.625" style="27" customWidth="1"/>
    <col min="9987" max="9987" width="11.25" style="27" customWidth="1"/>
    <col min="9988" max="9988" width="12.5" style="27" customWidth="1"/>
    <col min="9989" max="9989" width="11.75" style="27" customWidth="1"/>
    <col min="9990" max="9990" width="11.25" style="27" customWidth="1"/>
    <col min="9991" max="9991" width="14.5" style="27" customWidth="1"/>
    <col min="9992" max="9994" width="11.25" style="27" customWidth="1"/>
    <col min="9995" max="10240" width="9" style="27"/>
    <col min="10241" max="10241" width="5.375" style="27" customWidth="1"/>
    <col min="10242" max="10242" width="31.625" style="27" customWidth="1"/>
    <col min="10243" max="10243" width="11.25" style="27" customWidth="1"/>
    <col min="10244" max="10244" width="12.5" style="27" customWidth="1"/>
    <col min="10245" max="10245" width="11.75" style="27" customWidth="1"/>
    <col min="10246" max="10246" width="11.25" style="27" customWidth="1"/>
    <col min="10247" max="10247" width="14.5" style="27" customWidth="1"/>
    <col min="10248" max="10250" width="11.25" style="27" customWidth="1"/>
    <col min="10251" max="10496" width="9" style="27"/>
    <col min="10497" max="10497" width="5.375" style="27" customWidth="1"/>
    <col min="10498" max="10498" width="31.625" style="27" customWidth="1"/>
    <col min="10499" max="10499" width="11.25" style="27" customWidth="1"/>
    <col min="10500" max="10500" width="12.5" style="27" customWidth="1"/>
    <col min="10501" max="10501" width="11.75" style="27" customWidth="1"/>
    <col min="10502" max="10502" width="11.25" style="27" customWidth="1"/>
    <col min="10503" max="10503" width="14.5" style="27" customWidth="1"/>
    <col min="10504" max="10506" width="11.25" style="27" customWidth="1"/>
    <col min="10507" max="10752" width="9" style="27"/>
    <col min="10753" max="10753" width="5.375" style="27" customWidth="1"/>
    <col min="10754" max="10754" width="31.625" style="27" customWidth="1"/>
    <col min="10755" max="10755" width="11.25" style="27" customWidth="1"/>
    <col min="10756" max="10756" width="12.5" style="27" customWidth="1"/>
    <col min="10757" max="10757" width="11.75" style="27" customWidth="1"/>
    <col min="10758" max="10758" width="11.25" style="27" customWidth="1"/>
    <col min="10759" max="10759" width="14.5" style="27" customWidth="1"/>
    <col min="10760" max="10762" width="11.25" style="27" customWidth="1"/>
    <col min="10763" max="11008" width="9" style="27"/>
    <col min="11009" max="11009" width="5.375" style="27" customWidth="1"/>
    <col min="11010" max="11010" width="31.625" style="27" customWidth="1"/>
    <col min="11011" max="11011" width="11.25" style="27" customWidth="1"/>
    <col min="11012" max="11012" width="12.5" style="27" customWidth="1"/>
    <col min="11013" max="11013" width="11.75" style="27" customWidth="1"/>
    <col min="11014" max="11014" width="11.25" style="27" customWidth="1"/>
    <col min="11015" max="11015" width="14.5" style="27" customWidth="1"/>
    <col min="11016" max="11018" width="11.25" style="27" customWidth="1"/>
    <col min="11019" max="11264" width="9" style="27"/>
    <col min="11265" max="11265" width="5.375" style="27" customWidth="1"/>
    <col min="11266" max="11266" width="31.625" style="27" customWidth="1"/>
    <col min="11267" max="11267" width="11.25" style="27" customWidth="1"/>
    <col min="11268" max="11268" width="12.5" style="27" customWidth="1"/>
    <col min="11269" max="11269" width="11.75" style="27" customWidth="1"/>
    <col min="11270" max="11270" width="11.25" style="27" customWidth="1"/>
    <col min="11271" max="11271" width="14.5" style="27" customWidth="1"/>
    <col min="11272" max="11274" width="11.25" style="27" customWidth="1"/>
    <col min="11275" max="11520" width="9" style="27"/>
    <col min="11521" max="11521" width="5.375" style="27" customWidth="1"/>
    <col min="11522" max="11522" width="31.625" style="27" customWidth="1"/>
    <col min="11523" max="11523" width="11.25" style="27" customWidth="1"/>
    <col min="11524" max="11524" width="12.5" style="27" customWidth="1"/>
    <col min="11525" max="11525" width="11.75" style="27" customWidth="1"/>
    <col min="11526" max="11526" width="11.25" style="27" customWidth="1"/>
    <col min="11527" max="11527" width="14.5" style="27" customWidth="1"/>
    <col min="11528" max="11530" width="11.25" style="27" customWidth="1"/>
    <col min="11531" max="11776" width="9" style="27"/>
    <col min="11777" max="11777" width="5.375" style="27" customWidth="1"/>
    <col min="11778" max="11778" width="31.625" style="27" customWidth="1"/>
    <col min="11779" max="11779" width="11.25" style="27" customWidth="1"/>
    <col min="11780" max="11780" width="12.5" style="27" customWidth="1"/>
    <col min="11781" max="11781" width="11.75" style="27" customWidth="1"/>
    <col min="11782" max="11782" width="11.25" style="27" customWidth="1"/>
    <col min="11783" max="11783" width="14.5" style="27" customWidth="1"/>
    <col min="11784" max="11786" width="11.25" style="27" customWidth="1"/>
    <col min="11787" max="12032" width="9" style="27"/>
    <col min="12033" max="12033" width="5.375" style="27" customWidth="1"/>
    <col min="12034" max="12034" width="31.625" style="27" customWidth="1"/>
    <col min="12035" max="12035" width="11.25" style="27" customWidth="1"/>
    <col min="12036" max="12036" width="12.5" style="27" customWidth="1"/>
    <col min="12037" max="12037" width="11.75" style="27" customWidth="1"/>
    <col min="12038" max="12038" width="11.25" style="27" customWidth="1"/>
    <col min="12039" max="12039" width="14.5" style="27" customWidth="1"/>
    <col min="12040" max="12042" width="11.25" style="27" customWidth="1"/>
    <col min="12043" max="12288" width="9" style="27"/>
    <col min="12289" max="12289" width="5.375" style="27" customWidth="1"/>
    <col min="12290" max="12290" width="31.625" style="27" customWidth="1"/>
    <col min="12291" max="12291" width="11.25" style="27" customWidth="1"/>
    <col min="12292" max="12292" width="12.5" style="27" customWidth="1"/>
    <col min="12293" max="12293" width="11.75" style="27" customWidth="1"/>
    <col min="12294" max="12294" width="11.25" style="27" customWidth="1"/>
    <col min="12295" max="12295" width="14.5" style="27" customWidth="1"/>
    <col min="12296" max="12298" width="11.25" style="27" customWidth="1"/>
    <col min="12299" max="12544" width="9" style="27"/>
    <col min="12545" max="12545" width="5.375" style="27" customWidth="1"/>
    <col min="12546" max="12546" width="31.625" style="27" customWidth="1"/>
    <col min="12547" max="12547" width="11.25" style="27" customWidth="1"/>
    <col min="12548" max="12548" width="12.5" style="27" customWidth="1"/>
    <col min="12549" max="12549" width="11.75" style="27" customWidth="1"/>
    <col min="12550" max="12550" width="11.25" style="27" customWidth="1"/>
    <col min="12551" max="12551" width="14.5" style="27" customWidth="1"/>
    <col min="12552" max="12554" width="11.25" style="27" customWidth="1"/>
    <col min="12555" max="12800" width="9" style="27"/>
    <col min="12801" max="12801" width="5.375" style="27" customWidth="1"/>
    <col min="12802" max="12802" width="31.625" style="27" customWidth="1"/>
    <col min="12803" max="12803" width="11.25" style="27" customWidth="1"/>
    <col min="12804" max="12804" width="12.5" style="27" customWidth="1"/>
    <col min="12805" max="12805" width="11.75" style="27" customWidth="1"/>
    <col min="12806" max="12806" width="11.25" style="27" customWidth="1"/>
    <col min="12807" max="12807" width="14.5" style="27" customWidth="1"/>
    <col min="12808" max="12810" width="11.25" style="27" customWidth="1"/>
    <col min="12811" max="13056" width="9" style="27"/>
    <col min="13057" max="13057" width="5.375" style="27" customWidth="1"/>
    <col min="13058" max="13058" width="31.625" style="27" customWidth="1"/>
    <col min="13059" max="13059" width="11.25" style="27" customWidth="1"/>
    <col min="13060" max="13060" width="12.5" style="27" customWidth="1"/>
    <col min="13061" max="13061" width="11.75" style="27" customWidth="1"/>
    <col min="13062" max="13062" width="11.25" style="27" customWidth="1"/>
    <col min="13063" max="13063" width="14.5" style="27" customWidth="1"/>
    <col min="13064" max="13066" width="11.25" style="27" customWidth="1"/>
    <col min="13067" max="13312" width="9" style="27"/>
    <col min="13313" max="13313" width="5.375" style="27" customWidth="1"/>
    <col min="13314" max="13314" width="31.625" style="27" customWidth="1"/>
    <col min="13315" max="13315" width="11.25" style="27" customWidth="1"/>
    <col min="13316" max="13316" width="12.5" style="27" customWidth="1"/>
    <col min="13317" max="13317" width="11.75" style="27" customWidth="1"/>
    <col min="13318" max="13318" width="11.25" style="27" customWidth="1"/>
    <col min="13319" max="13319" width="14.5" style="27" customWidth="1"/>
    <col min="13320" max="13322" width="11.25" style="27" customWidth="1"/>
    <col min="13323" max="13568" width="9" style="27"/>
    <col min="13569" max="13569" width="5.375" style="27" customWidth="1"/>
    <col min="13570" max="13570" width="31.625" style="27" customWidth="1"/>
    <col min="13571" max="13571" width="11.25" style="27" customWidth="1"/>
    <col min="13572" max="13572" width="12.5" style="27" customWidth="1"/>
    <col min="13573" max="13573" width="11.75" style="27" customWidth="1"/>
    <col min="13574" max="13574" width="11.25" style="27" customWidth="1"/>
    <col min="13575" max="13575" width="14.5" style="27" customWidth="1"/>
    <col min="13576" max="13578" width="11.25" style="27" customWidth="1"/>
    <col min="13579" max="13824" width="9" style="27"/>
    <col min="13825" max="13825" width="5.375" style="27" customWidth="1"/>
    <col min="13826" max="13826" width="31.625" style="27" customWidth="1"/>
    <col min="13827" max="13827" width="11.25" style="27" customWidth="1"/>
    <col min="13828" max="13828" width="12.5" style="27" customWidth="1"/>
    <col min="13829" max="13829" width="11.75" style="27" customWidth="1"/>
    <col min="13830" max="13830" width="11.25" style="27" customWidth="1"/>
    <col min="13831" max="13831" width="14.5" style="27" customWidth="1"/>
    <col min="13832" max="13834" width="11.25" style="27" customWidth="1"/>
    <col min="13835" max="14080" width="9" style="27"/>
    <col min="14081" max="14081" width="5.375" style="27" customWidth="1"/>
    <col min="14082" max="14082" width="31.625" style="27" customWidth="1"/>
    <col min="14083" max="14083" width="11.25" style="27" customWidth="1"/>
    <col min="14084" max="14084" width="12.5" style="27" customWidth="1"/>
    <col min="14085" max="14085" width="11.75" style="27" customWidth="1"/>
    <col min="14086" max="14086" width="11.25" style="27" customWidth="1"/>
    <col min="14087" max="14087" width="14.5" style="27" customWidth="1"/>
    <col min="14088" max="14090" width="11.25" style="27" customWidth="1"/>
    <col min="14091" max="14336" width="9" style="27"/>
    <col min="14337" max="14337" width="5.375" style="27" customWidth="1"/>
    <col min="14338" max="14338" width="31.625" style="27" customWidth="1"/>
    <col min="14339" max="14339" width="11.25" style="27" customWidth="1"/>
    <col min="14340" max="14340" width="12.5" style="27" customWidth="1"/>
    <col min="14341" max="14341" width="11.75" style="27" customWidth="1"/>
    <col min="14342" max="14342" width="11.25" style="27" customWidth="1"/>
    <col min="14343" max="14343" width="14.5" style="27" customWidth="1"/>
    <col min="14344" max="14346" width="11.25" style="27" customWidth="1"/>
    <col min="14347" max="14592" width="9" style="27"/>
    <col min="14593" max="14593" width="5.375" style="27" customWidth="1"/>
    <col min="14594" max="14594" width="31.625" style="27" customWidth="1"/>
    <col min="14595" max="14595" width="11.25" style="27" customWidth="1"/>
    <col min="14596" max="14596" width="12.5" style="27" customWidth="1"/>
    <col min="14597" max="14597" width="11.75" style="27" customWidth="1"/>
    <col min="14598" max="14598" width="11.25" style="27" customWidth="1"/>
    <col min="14599" max="14599" width="14.5" style="27" customWidth="1"/>
    <col min="14600" max="14602" width="11.25" style="27" customWidth="1"/>
    <col min="14603" max="14848" width="9" style="27"/>
    <col min="14849" max="14849" width="5.375" style="27" customWidth="1"/>
    <col min="14850" max="14850" width="31.625" style="27" customWidth="1"/>
    <col min="14851" max="14851" width="11.25" style="27" customWidth="1"/>
    <col min="14852" max="14852" width="12.5" style="27" customWidth="1"/>
    <col min="14853" max="14853" width="11.75" style="27" customWidth="1"/>
    <col min="14854" max="14854" width="11.25" style="27" customWidth="1"/>
    <col min="14855" max="14855" width="14.5" style="27" customWidth="1"/>
    <col min="14856" max="14858" width="11.25" style="27" customWidth="1"/>
    <col min="14859" max="15104" width="9" style="27"/>
    <col min="15105" max="15105" width="5.375" style="27" customWidth="1"/>
    <col min="15106" max="15106" width="31.625" style="27" customWidth="1"/>
    <col min="15107" max="15107" width="11.25" style="27" customWidth="1"/>
    <col min="15108" max="15108" width="12.5" style="27" customWidth="1"/>
    <col min="15109" max="15109" width="11.75" style="27" customWidth="1"/>
    <col min="15110" max="15110" width="11.25" style="27" customWidth="1"/>
    <col min="15111" max="15111" width="14.5" style="27" customWidth="1"/>
    <col min="15112" max="15114" width="11.25" style="27" customWidth="1"/>
    <col min="15115" max="15360" width="9" style="27"/>
    <col min="15361" max="15361" width="5.375" style="27" customWidth="1"/>
    <col min="15362" max="15362" width="31.625" style="27" customWidth="1"/>
    <col min="15363" max="15363" width="11.25" style="27" customWidth="1"/>
    <col min="15364" max="15364" width="12.5" style="27" customWidth="1"/>
    <col min="15365" max="15365" width="11.75" style="27" customWidth="1"/>
    <col min="15366" max="15366" width="11.25" style="27" customWidth="1"/>
    <col min="15367" max="15367" width="14.5" style="27" customWidth="1"/>
    <col min="15368" max="15370" width="11.25" style="27" customWidth="1"/>
    <col min="15371" max="15616" width="9" style="27"/>
    <col min="15617" max="15617" width="5.375" style="27" customWidth="1"/>
    <col min="15618" max="15618" width="31.625" style="27" customWidth="1"/>
    <col min="15619" max="15619" width="11.25" style="27" customWidth="1"/>
    <col min="15620" max="15620" width="12.5" style="27" customWidth="1"/>
    <col min="15621" max="15621" width="11.75" style="27" customWidth="1"/>
    <col min="15622" max="15622" width="11.25" style="27" customWidth="1"/>
    <col min="15623" max="15623" width="14.5" style="27" customWidth="1"/>
    <col min="15624" max="15626" width="11.25" style="27" customWidth="1"/>
    <col min="15627" max="15872" width="9" style="27"/>
    <col min="15873" max="15873" width="5.375" style="27" customWidth="1"/>
    <col min="15874" max="15874" width="31.625" style="27" customWidth="1"/>
    <col min="15875" max="15875" width="11.25" style="27" customWidth="1"/>
    <col min="15876" max="15876" width="12.5" style="27" customWidth="1"/>
    <col min="15877" max="15877" width="11.75" style="27" customWidth="1"/>
    <col min="15878" max="15878" width="11.25" style="27" customWidth="1"/>
    <col min="15879" max="15879" width="14.5" style="27" customWidth="1"/>
    <col min="15880" max="15882" width="11.25" style="27" customWidth="1"/>
    <col min="15883" max="16128" width="9" style="27"/>
    <col min="16129" max="16129" width="5.375" style="27" customWidth="1"/>
    <col min="16130" max="16130" width="31.625" style="27" customWidth="1"/>
    <col min="16131" max="16131" width="11.25" style="27" customWidth="1"/>
    <col min="16132" max="16132" width="12.5" style="27" customWidth="1"/>
    <col min="16133" max="16133" width="11.75" style="27" customWidth="1"/>
    <col min="16134" max="16134" width="11.25" style="27" customWidth="1"/>
    <col min="16135" max="16135" width="14.5" style="27" customWidth="1"/>
    <col min="16136" max="16138" width="11.25" style="27" customWidth="1"/>
    <col min="16139" max="16384" width="9" style="27"/>
  </cols>
  <sheetData>
    <row r="1" spans="1:10" ht="15" customHeight="1">
      <c r="B1" s="25" t="s">
        <v>29</v>
      </c>
      <c r="C1" s="26" t="s">
        <v>30</v>
      </c>
    </row>
    <row r="2" spans="1:10" ht="15" customHeight="1">
      <c r="A2" s="586" t="s">
        <v>31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s="35" customFormat="1" ht="15" customHeight="1">
      <c r="A3" s="28" t="s">
        <v>32</v>
      </c>
      <c r="B3" s="29" t="s">
        <v>33</v>
      </c>
      <c r="C3" s="30">
        <f>C4+C16</f>
        <v>9711</v>
      </c>
      <c r="D3" s="31" t="s">
        <v>34</v>
      </c>
      <c r="E3" s="32"/>
      <c r="F3" s="33"/>
      <c r="G3" s="34"/>
      <c r="H3" s="34"/>
      <c r="I3" s="34"/>
      <c r="J3" s="34"/>
    </row>
    <row r="4" spans="1:10" ht="15" customHeight="1">
      <c r="A4" s="36" t="s">
        <v>35</v>
      </c>
      <c r="B4" s="37" t="s">
        <v>33</v>
      </c>
      <c r="C4" s="340">
        <v>9710</v>
      </c>
      <c r="D4" s="39" t="s">
        <v>36</v>
      </c>
      <c r="E4" s="40"/>
      <c r="F4" s="40"/>
      <c r="G4" s="333" t="s">
        <v>279</v>
      </c>
      <c r="H4" s="41"/>
      <c r="I4" s="41"/>
      <c r="J4" s="41"/>
    </row>
    <row r="5" spans="1:10" ht="15" customHeight="1">
      <c r="A5" s="583" t="s">
        <v>37</v>
      </c>
      <c r="B5" s="42" t="s">
        <v>38</v>
      </c>
      <c r="C5" s="43" t="e">
        <f>ROUND(C4*(1+(1.6*E6+1.2*E7+0.8*E8+0.4*E10)*C7),0)</f>
        <v>#DIV/0!</v>
      </c>
      <c r="D5" s="44"/>
      <c r="E5" s="43"/>
      <c r="F5" s="43"/>
      <c r="G5" s="44"/>
      <c r="H5" s="44"/>
      <c r="I5" s="44"/>
      <c r="J5" s="44"/>
    </row>
    <row r="6" spans="1:10" ht="30.75" customHeight="1">
      <c r="A6" s="584"/>
      <c r="B6" s="36" t="s">
        <v>39</v>
      </c>
      <c r="C6" s="38"/>
      <c r="D6" s="36" t="s">
        <v>40</v>
      </c>
      <c r="E6" s="45" t="e">
        <f>ROUND(C9/C10,4)</f>
        <v>#DIV/0!</v>
      </c>
      <c r="F6" s="46" t="s">
        <v>41</v>
      </c>
      <c r="G6" s="41"/>
      <c r="H6" s="41"/>
      <c r="I6" s="41"/>
      <c r="J6" s="41"/>
    </row>
    <row r="7" spans="1:10" ht="15" customHeight="1">
      <c r="A7" s="584"/>
      <c r="B7" s="36" t="s">
        <v>42</v>
      </c>
      <c r="C7" s="47">
        <v>0</v>
      </c>
      <c r="D7" s="36" t="s">
        <v>43</v>
      </c>
      <c r="E7" s="45" t="e">
        <f>ROUND(C9/C10,4)</f>
        <v>#DIV/0!</v>
      </c>
      <c r="F7" s="46" t="s">
        <v>44</v>
      </c>
      <c r="G7" s="41"/>
      <c r="H7" s="41"/>
      <c r="I7" s="41"/>
      <c r="J7" s="41"/>
    </row>
    <row r="8" spans="1:10" ht="15" customHeight="1">
      <c r="A8" s="584"/>
      <c r="B8" s="36" t="s">
        <v>45</v>
      </c>
      <c r="C8" s="38">
        <v>0</v>
      </c>
      <c r="D8" s="36" t="s">
        <v>46</v>
      </c>
      <c r="E8" s="45" t="e">
        <f>ROUND(C9/C10,4)</f>
        <v>#DIV/0!</v>
      </c>
      <c r="F8" s="46" t="s">
        <v>47</v>
      </c>
      <c r="G8" s="41"/>
      <c r="H8" s="41"/>
      <c r="I8" s="41"/>
      <c r="J8" s="41"/>
    </row>
    <row r="9" spans="1:10" ht="15" customHeight="1">
      <c r="A9" s="584"/>
      <c r="B9" s="36" t="s">
        <v>48</v>
      </c>
      <c r="C9" s="45">
        <v>0</v>
      </c>
      <c r="D9" s="36" t="s">
        <v>49</v>
      </c>
      <c r="E9" s="45" t="e">
        <f>ROUND(C9/C10,4)</f>
        <v>#DIV/0!</v>
      </c>
      <c r="F9" s="46" t="s">
        <v>50</v>
      </c>
      <c r="G9" s="41"/>
      <c r="H9" s="41"/>
      <c r="I9" s="41"/>
      <c r="J9" s="41"/>
    </row>
    <row r="10" spans="1:10" ht="15" customHeight="1">
      <c r="A10" s="585"/>
      <c r="B10" s="36" t="s">
        <v>51</v>
      </c>
      <c r="C10" s="38">
        <v>0</v>
      </c>
      <c r="E10" s="48"/>
      <c r="G10" s="41"/>
      <c r="H10" s="41"/>
      <c r="I10" s="41"/>
      <c r="J10" s="41"/>
    </row>
    <row r="11" spans="1:10" ht="15" customHeight="1" thickBot="1">
      <c r="A11" s="583" t="s">
        <v>37</v>
      </c>
      <c r="B11" s="42" t="s">
        <v>52</v>
      </c>
      <c r="C11" s="49"/>
      <c r="D11" s="39" t="s">
        <v>53</v>
      </c>
      <c r="E11" s="50"/>
      <c r="F11" s="50"/>
      <c r="G11" s="51"/>
      <c r="H11" s="51"/>
      <c r="I11" s="51"/>
      <c r="J11" s="51"/>
    </row>
    <row r="12" spans="1:10" ht="15" customHeight="1">
      <c r="A12" s="589"/>
      <c r="B12" s="52" t="s">
        <v>54</v>
      </c>
      <c r="C12" s="53" t="s">
        <v>55</v>
      </c>
      <c r="D12" s="54" t="s">
        <v>56</v>
      </c>
      <c r="E12" s="54" t="s">
        <v>57</v>
      </c>
      <c r="F12" s="54" t="s">
        <v>58</v>
      </c>
      <c r="G12" s="55" t="s">
        <v>59</v>
      </c>
      <c r="H12" s="56" t="s">
        <v>60</v>
      </c>
      <c r="I12" s="57"/>
      <c r="J12" s="58"/>
    </row>
    <row r="13" spans="1:10" ht="15" customHeight="1">
      <c r="A13" s="589"/>
      <c r="B13" s="52" t="s">
        <v>61</v>
      </c>
      <c r="C13" s="59">
        <v>0.1</v>
      </c>
      <c r="D13" s="60">
        <v>0.1</v>
      </c>
      <c r="E13" s="60">
        <v>0.1</v>
      </c>
      <c r="F13" s="60">
        <v>0.2</v>
      </c>
      <c r="G13" s="61">
        <v>0.1</v>
      </c>
      <c r="H13" s="62"/>
      <c r="I13" s="38"/>
      <c r="J13" s="63"/>
    </row>
    <row r="14" spans="1:10" ht="15" customHeight="1">
      <c r="A14" s="589"/>
      <c r="B14" s="52" t="s">
        <v>62</v>
      </c>
      <c r="C14" s="62">
        <v>1</v>
      </c>
      <c r="D14" s="38">
        <v>1</v>
      </c>
      <c r="E14" s="38">
        <v>1</v>
      </c>
      <c r="F14" s="38">
        <v>1</v>
      </c>
      <c r="G14" s="63">
        <v>1</v>
      </c>
      <c r="H14" s="62">
        <v>1</v>
      </c>
      <c r="I14" s="38">
        <v>1</v>
      </c>
      <c r="J14" s="63">
        <v>1</v>
      </c>
    </row>
    <row r="15" spans="1:10" ht="15" customHeight="1" thickBot="1">
      <c r="A15" s="590"/>
      <c r="B15" s="64"/>
      <c r="C15" s="591" t="s">
        <v>63</v>
      </c>
      <c r="D15" s="592"/>
      <c r="E15" s="592"/>
      <c r="F15" s="592"/>
      <c r="G15" s="593"/>
      <c r="H15" s="594" t="s">
        <v>64</v>
      </c>
      <c r="I15" s="595"/>
      <c r="J15" s="596"/>
    </row>
    <row r="16" spans="1:10" ht="15" customHeight="1">
      <c r="A16" s="583" t="s">
        <v>65</v>
      </c>
      <c r="B16" s="42" t="s">
        <v>66</v>
      </c>
      <c r="C16" s="38">
        <v>1</v>
      </c>
      <c r="D16" s="39" t="s">
        <v>67</v>
      </c>
      <c r="E16" s="36"/>
      <c r="F16" s="36"/>
      <c r="G16" s="41"/>
      <c r="H16" s="41"/>
      <c r="I16" s="41"/>
      <c r="J16" s="41"/>
    </row>
    <row r="17" spans="1:12" ht="15" customHeight="1" thickBot="1">
      <c r="A17" s="584"/>
      <c r="B17" s="65" t="s">
        <v>68</v>
      </c>
      <c r="C17" s="66" t="s">
        <v>69</v>
      </c>
      <c r="D17" s="67"/>
      <c r="E17" s="65" t="s">
        <v>70</v>
      </c>
      <c r="F17" s="66" t="s">
        <v>314</v>
      </c>
      <c r="G17" s="65" t="s">
        <v>71</v>
      </c>
      <c r="H17" s="66">
        <v>2</v>
      </c>
      <c r="I17" s="51"/>
      <c r="J17" s="51"/>
    </row>
    <row r="18" spans="1:12" ht="15" customHeight="1">
      <c r="A18" s="584"/>
      <c r="B18" s="68" t="s">
        <v>72</v>
      </c>
      <c r="C18" s="53" t="s">
        <v>73</v>
      </c>
      <c r="D18" s="54" t="s">
        <v>74</v>
      </c>
      <c r="E18" s="54" t="s">
        <v>75</v>
      </c>
      <c r="F18" s="54" t="s">
        <v>76</v>
      </c>
      <c r="G18" s="54" t="s">
        <v>77</v>
      </c>
      <c r="H18" s="54" t="s">
        <v>78</v>
      </c>
      <c r="I18" s="54" t="s">
        <v>79</v>
      </c>
      <c r="J18" s="55" t="s">
        <v>80</v>
      </c>
    </row>
    <row r="19" spans="1:12" ht="15" customHeight="1">
      <c r="A19" s="584"/>
      <c r="B19" s="52" t="s">
        <v>81</v>
      </c>
      <c r="C19" s="69">
        <v>80</v>
      </c>
      <c r="D19" s="70">
        <v>70</v>
      </c>
      <c r="E19" s="70">
        <v>20</v>
      </c>
      <c r="F19" s="70">
        <v>30</v>
      </c>
      <c r="G19" s="70">
        <v>45</v>
      </c>
      <c r="H19" s="70">
        <v>60</v>
      </c>
      <c r="I19" s="70">
        <v>50</v>
      </c>
      <c r="J19" s="71">
        <v>20</v>
      </c>
    </row>
    <row r="20" spans="1:12" ht="15" customHeight="1">
      <c r="A20" s="584"/>
      <c r="B20" s="52" t="s">
        <v>82</v>
      </c>
      <c r="C20" s="69">
        <v>65</v>
      </c>
      <c r="D20" s="70">
        <v>55</v>
      </c>
      <c r="E20" s="70">
        <v>15</v>
      </c>
      <c r="F20" s="70">
        <v>25</v>
      </c>
      <c r="G20" s="70">
        <v>35</v>
      </c>
      <c r="H20" s="70">
        <v>50</v>
      </c>
      <c r="I20" s="70">
        <v>40</v>
      </c>
      <c r="J20" s="71">
        <v>15</v>
      </c>
    </row>
    <row r="21" spans="1:12" ht="15" customHeight="1" thickBot="1">
      <c r="A21" s="585"/>
      <c r="B21" s="52" t="s">
        <v>83</v>
      </c>
      <c r="C21" s="72">
        <v>50</v>
      </c>
      <c r="D21" s="73">
        <v>40</v>
      </c>
      <c r="E21" s="73">
        <v>10</v>
      </c>
      <c r="F21" s="73">
        <v>20</v>
      </c>
      <c r="G21" s="73">
        <v>25</v>
      </c>
      <c r="H21" s="73">
        <v>40</v>
      </c>
      <c r="I21" s="73">
        <v>30</v>
      </c>
      <c r="J21" s="74">
        <v>10</v>
      </c>
    </row>
    <row r="22" spans="1:12" s="35" customFormat="1" ht="15" customHeight="1">
      <c r="A22" s="28" t="s">
        <v>84</v>
      </c>
      <c r="B22" s="29" t="s">
        <v>85</v>
      </c>
      <c r="C22" s="75">
        <v>1</v>
      </c>
      <c r="D22" s="39" t="s">
        <v>86</v>
      </c>
      <c r="E22" s="76"/>
      <c r="F22" s="76"/>
      <c r="G22" s="34"/>
      <c r="H22" s="34"/>
      <c r="I22" s="34"/>
      <c r="J22" s="34"/>
    </row>
    <row r="23" spans="1:12" ht="15" customHeight="1">
      <c r="A23" s="40"/>
      <c r="B23" s="39" t="s">
        <v>87</v>
      </c>
      <c r="C23" s="77" t="s">
        <v>88</v>
      </c>
      <c r="E23" s="40"/>
      <c r="F23" s="40"/>
      <c r="G23" s="41"/>
      <c r="H23" s="41"/>
      <c r="I23" s="41"/>
      <c r="J23" s="41"/>
    </row>
    <row r="24" spans="1:12" s="35" customFormat="1" ht="15" customHeight="1">
      <c r="A24" s="28" t="s">
        <v>89</v>
      </c>
      <c r="B24" s="29" t="s">
        <v>90</v>
      </c>
      <c r="C24" s="341">
        <f>地价水平!H36</f>
        <v>1.2928999999999999</v>
      </c>
      <c r="D24" s="34"/>
      <c r="E24" s="34"/>
      <c r="F24" s="34"/>
      <c r="G24" s="34"/>
      <c r="H24" s="34"/>
      <c r="I24" s="34"/>
      <c r="J24" s="34"/>
    </row>
    <row r="25" spans="1:12" ht="15" customHeight="1">
      <c r="A25" s="79"/>
      <c r="B25" s="36" t="s">
        <v>91</v>
      </c>
      <c r="C25" s="38"/>
      <c r="D25" s="603" t="s">
        <v>92</v>
      </c>
      <c r="E25" s="603"/>
      <c r="F25" s="38"/>
      <c r="G25" s="80" t="s">
        <v>93</v>
      </c>
      <c r="H25" s="81"/>
      <c r="I25" s="81"/>
      <c r="J25" s="41"/>
      <c r="L25" s="27" t="s">
        <v>347</v>
      </c>
    </row>
    <row r="26" spans="1:12" s="35" customFormat="1" ht="15" customHeight="1">
      <c r="A26" s="28" t="s">
        <v>94</v>
      </c>
      <c r="B26" s="29" t="s">
        <v>95</v>
      </c>
      <c r="C26" s="78">
        <f>ROUND((1-1/POWER((1+C27),E27))/(1-1/POWER((1+C27),G27)),4)</f>
        <v>1</v>
      </c>
      <c r="H26" s="34"/>
      <c r="I26" s="34"/>
      <c r="J26" s="34"/>
    </row>
    <row r="27" spans="1:12" ht="15" customHeight="1">
      <c r="A27" s="36"/>
      <c r="B27" s="36" t="s">
        <v>96</v>
      </c>
      <c r="C27" s="82">
        <f>D31</f>
        <v>5.7000000000000002E-2</v>
      </c>
      <c r="D27" s="36" t="s">
        <v>97</v>
      </c>
      <c r="E27" s="38">
        <v>50</v>
      </c>
      <c r="F27" s="36" t="s">
        <v>98</v>
      </c>
      <c r="G27" s="38">
        <v>50</v>
      </c>
      <c r="H27" s="41"/>
      <c r="I27" s="41"/>
      <c r="J27" s="41"/>
    </row>
    <row r="28" spans="1:12" ht="15" customHeight="1" thickBot="1">
      <c r="A28" s="36"/>
      <c r="B28" s="342" t="s">
        <v>395</v>
      </c>
      <c r="C28" s="83">
        <f>'基准地价-地上商业（40）'!C28</f>
        <v>4.7500000000000001E-2</v>
      </c>
      <c r="D28" s="50"/>
      <c r="E28" s="36"/>
      <c r="F28" s="36"/>
      <c r="G28" s="36"/>
      <c r="H28" s="41"/>
      <c r="I28" s="41"/>
      <c r="J28" s="41"/>
    </row>
    <row r="29" spans="1:12" ht="15" customHeight="1">
      <c r="A29" s="36"/>
      <c r="B29" s="24" t="s">
        <v>99</v>
      </c>
      <c r="C29" s="84" t="s">
        <v>100</v>
      </c>
      <c r="D29" s="85" t="s">
        <v>96</v>
      </c>
      <c r="E29" s="86"/>
      <c r="F29" s="36"/>
      <c r="G29" s="36"/>
      <c r="H29" s="41"/>
      <c r="I29" s="41"/>
      <c r="J29" s="41"/>
    </row>
    <row r="30" spans="1:12" ht="15" customHeight="1">
      <c r="A30" s="36"/>
      <c r="B30" s="64" t="s">
        <v>101</v>
      </c>
      <c r="C30" s="87">
        <v>0.25</v>
      </c>
      <c r="D30" s="88">
        <f>ROUND($C$28*(1+C30),3)</f>
        <v>5.8999999999999997E-2</v>
      </c>
      <c r="E30" s="86"/>
      <c r="F30" s="36"/>
      <c r="G30" s="36"/>
      <c r="H30" s="41"/>
      <c r="I30" s="41"/>
      <c r="J30" s="41"/>
    </row>
    <row r="31" spans="1:12" ht="15" customHeight="1">
      <c r="A31" s="36"/>
      <c r="B31" s="64" t="s">
        <v>102</v>
      </c>
      <c r="C31" s="87">
        <v>0.2</v>
      </c>
      <c r="D31" s="88">
        <f>ROUND($C$28*(1+C31),3)</f>
        <v>5.7000000000000002E-2</v>
      </c>
      <c r="E31" s="86"/>
      <c r="F31" s="36"/>
      <c r="G31" s="36"/>
      <c r="H31" s="41"/>
      <c r="I31" s="41"/>
      <c r="J31" s="41"/>
    </row>
    <row r="32" spans="1:12" ht="15" customHeight="1">
      <c r="A32" s="36"/>
      <c r="B32" s="64" t="s">
        <v>103</v>
      </c>
      <c r="C32" s="87">
        <v>0.15</v>
      </c>
      <c r="D32" s="88">
        <f>ROUND($C$28*(1+C32),3)</f>
        <v>5.5E-2</v>
      </c>
      <c r="E32" s="86"/>
      <c r="F32" s="36"/>
      <c r="G32" s="36"/>
      <c r="H32" s="41"/>
      <c r="I32" s="41"/>
      <c r="J32" s="41"/>
    </row>
    <row r="33" spans="1:12" ht="15" customHeight="1" thickBot="1">
      <c r="A33" s="36"/>
      <c r="B33" s="64" t="s">
        <v>104</v>
      </c>
      <c r="C33" s="89">
        <v>0.1</v>
      </c>
      <c r="D33" s="90">
        <f>ROUND($C$28*(1+C33),3)</f>
        <v>5.1999999999999998E-2</v>
      </c>
      <c r="E33" s="86"/>
      <c r="F33" s="36"/>
      <c r="G33" s="36"/>
      <c r="H33" s="41"/>
      <c r="I33" s="91"/>
      <c r="J33" s="92"/>
    </row>
    <row r="34" spans="1:12" s="35" customFormat="1" ht="15" customHeight="1">
      <c r="A34" s="28" t="s">
        <v>105</v>
      </c>
      <c r="B34" s="29" t="s">
        <v>106</v>
      </c>
      <c r="C34" s="372">
        <f>C35</f>
        <v>1.0203</v>
      </c>
      <c r="D34" s="93" t="s">
        <v>107</v>
      </c>
      <c r="E34" s="94"/>
      <c r="F34" s="94"/>
      <c r="G34" s="94"/>
      <c r="H34" s="34"/>
      <c r="I34" s="34"/>
      <c r="J34" s="34"/>
    </row>
    <row r="35" spans="1:12" s="35" customFormat="1" ht="15" customHeight="1">
      <c r="A35" s="95" t="s">
        <v>108</v>
      </c>
      <c r="B35" s="96" t="s">
        <v>109</v>
      </c>
      <c r="C35" s="94">
        <f>F36</f>
        <v>1.0203</v>
      </c>
      <c r="D35" s="94"/>
      <c r="E35" s="94"/>
      <c r="F35" s="94"/>
      <c r="G35" s="94"/>
      <c r="H35" s="34"/>
      <c r="I35" s="34"/>
      <c r="J35" s="34"/>
    </row>
    <row r="36" spans="1:12" ht="15" customHeight="1" thickBot="1">
      <c r="A36" s="583" t="s">
        <v>35</v>
      </c>
      <c r="B36" s="604" t="s">
        <v>110</v>
      </c>
      <c r="C36" s="97" t="s">
        <v>111</v>
      </c>
      <c r="D36" s="98">
        <v>2.35</v>
      </c>
      <c r="E36" s="99" t="s">
        <v>62</v>
      </c>
      <c r="F36" s="100">
        <f>ROUND(E38+(G38-E38)*(D36-E37)/(G37-E37),4)</f>
        <v>1.0203</v>
      </c>
      <c r="G36" s="97"/>
      <c r="H36" s="41"/>
      <c r="I36" s="41"/>
      <c r="J36" s="41"/>
      <c r="L36" s="27" t="s">
        <v>334</v>
      </c>
    </row>
    <row r="37" spans="1:12" ht="15" customHeight="1">
      <c r="A37" s="584"/>
      <c r="B37" s="604"/>
      <c r="C37" s="101"/>
      <c r="D37" s="102" t="s">
        <v>112</v>
      </c>
      <c r="E37" s="103">
        <v>2.2999999999999998</v>
      </c>
      <c r="F37" s="102" t="s">
        <v>113</v>
      </c>
      <c r="G37" s="104">
        <v>2.4</v>
      </c>
      <c r="H37" s="105"/>
      <c r="I37" s="41"/>
      <c r="J37" s="41"/>
      <c r="L37" s="35">
        <f>ROUND(45382/19337.887,2)</f>
        <v>2.35</v>
      </c>
    </row>
    <row r="38" spans="1:12" ht="15" customHeight="1" thickBot="1">
      <c r="A38" s="585"/>
      <c r="B38" s="605"/>
      <c r="C38" s="106" t="s">
        <v>114</v>
      </c>
      <c r="D38" s="107" t="s">
        <v>115</v>
      </c>
      <c r="E38" s="108">
        <v>1.0271999999999999</v>
      </c>
      <c r="F38" s="107" t="s">
        <v>116</v>
      </c>
      <c r="G38" s="109">
        <v>1.0133000000000001</v>
      </c>
      <c r="H38" s="105"/>
      <c r="I38" s="41"/>
      <c r="J38" s="41"/>
    </row>
    <row r="39" spans="1:12" ht="15" customHeight="1" thickBot="1">
      <c r="A39" s="583" t="s">
        <v>37</v>
      </c>
      <c r="B39" s="606" t="s">
        <v>117</v>
      </c>
      <c r="C39" s="97" t="s">
        <v>118</v>
      </c>
      <c r="D39" s="110">
        <v>11.2</v>
      </c>
      <c r="E39" s="111" t="s">
        <v>62</v>
      </c>
      <c r="F39" s="112">
        <v>0.56989999999999996</v>
      </c>
      <c r="G39" s="43"/>
      <c r="H39" s="41"/>
      <c r="I39" s="41"/>
      <c r="J39" s="41"/>
    </row>
    <row r="40" spans="1:12" ht="15" customHeight="1">
      <c r="A40" s="584"/>
      <c r="B40" s="607"/>
      <c r="C40" s="101"/>
      <c r="D40" s="113" t="s">
        <v>119</v>
      </c>
      <c r="E40" s="102" t="s">
        <v>120</v>
      </c>
      <c r="F40" s="114" t="s">
        <v>121</v>
      </c>
      <c r="G40" s="115"/>
      <c r="H40" s="41"/>
      <c r="I40" s="41"/>
      <c r="J40" s="41"/>
    </row>
    <row r="41" spans="1:12" ht="15" customHeight="1">
      <c r="A41" s="584"/>
      <c r="B41" s="607"/>
      <c r="C41" s="116" t="s">
        <v>101</v>
      </c>
      <c r="D41" s="117">
        <f>ROUND(0.9335-0.0094*D39,4)</f>
        <v>0.82820000000000005</v>
      </c>
      <c r="E41" s="117">
        <f>ROUND(0.8331-0.0109*D39,4)</f>
        <v>0.71099999999999997</v>
      </c>
      <c r="F41" s="118">
        <f>ROUND(0.689-0.0155*D39,4)</f>
        <v>0.51539999999999997</v>
      </c>
      <c r="G41" s="115"/>
      <c r="H41" s="41"/>
      <c r="I41" s="41"/>
      <c r="J41" s="41"/>
    </row>
    <row r="42" spans="1:12" ht="15" customHeight="1">
      <c r="A42" s="584"/>
      <c r="B42" s="607"/>
      <c r="C42" s="116" t="s">
        <v>102</v>
      </c>
      <c r="D42" s="117">
        <f>ROUND(0.949-0.012*D39,4)</f>
        <v>0.81459999999999999</v>
      </c>
      <c r="E42" s="117">
        <f>ROUND(0.8567-0.013*D39,4)</f>
        <v>0.71109999999999995</v>
      </c>
      <c r="F42" s="118">
        <f>ROUND(0.7694-0.014*D39,4)</f>
        <v>0.61260000000000003</v>
      </c>
      <c r="G42" s="115"/>
      <c r="H42" s="41"/>
      <c r="I42" s="41"/>
      <c r="J42" s="41"/>
    </row>
    <row r="43" spans="1:12" ht="15" customHeight="1" thickBot="1">
      <c r="A43" s="584"/>
      <c r="B43" s="607"/>
      <c r="C43" s="119" t="s">
        <v>103</v>
      </c>
      <c r="D43" s="120">
        <f>ROUND(0.8808-0.006*D39,4)</f>
        <v>0.81359999999999999</v>
      </c>
      <c r="E43" s="120">
        <f>ROUND(0.8748-0.008*D39,4)</f>
        <v>0.78520000000000001</v>
      </c>
      <c r="F43" s="121">
        <f>ROUND(0.7412-0.0095*D39,4)</f>
        <v>0.63480000000000003</v>
      </c>
      <c r="G43" s="122"/>
      <c r="H43" s="41"/>
      <c r="I43" s="41"/>
      <c r="J43" s="41"/>
    </row>
    <row r="44" spans="1:12" ht="15" customHeight="1">
      <c r="A44" s="584"/>
      <c r="B44" s="607"/>
      <c r="C44" s="84"/>
      <c r="D44" s="113" t="s">
        <v>119</v>
      </c>
      <c r="E44" s="102" t="s">
        <v>122</v>
      </c>
      <c r="F44" s="102" t="s">
        <v>123</v>
      </c>
      <c r="G44" s="114" t="s">
        <v>121</v>
      </c>
      <c r="H44" s="105"/>
      <c r="I44" s="41"/>
      <c r="J44" s="41"/>
    </row>
    <row r="45" spans="1:12" ht="15" customHeight="1" thickBot="1">
      <c r="A45" s="585"/>
      <c r="B45" s="608"/>
      <c r="C45" s="119" t="s">
        <v>104</v>
      </c>
      <c r="D45" s="123">
        <f>ROUND(0.7275-0.01*D39,4)</f>
        <v>0.61550000000000005</v>
      </c>
      <c r="E45" s="123">
        <f>ROUND(0.7043-0.012*D39,4)</f>
        <v>0.56989999999999996</v>
      </c>
      <c r="F45" s="123">
        <f>ROUND(0.6299-0.0122*D39,4)</f>
        <v>0.49330000000000002</v>
      </c>
      <c r="G45" s="124">
        <f>ROUND(0.5667-0.0136*D39,4)</f>
        <v>0.41439999999999999</v>
      </c>
      <c r="H45" s="105"/>
      <c r="I45" s="41"/>
      <c r="J45" s="41"/>
    </row>
    <row r="46" spans="1:12" ht="15" customHeight="1">
      <c r="A46" s="125" t="s">
        <v>124</v>
      </c>
      <c r="B46" s="386" t="s">
        <v>125</v>
      </c>
      <c r="C46" s="385"/>
      <c r="D46" s="46" t="s">
        <v>126</v>
      </c>
      <c r="E46" s="128"/>
      <c r="F46" s="128"/>
      <c r="G46" s="129"/>
      <c r="H46" s="105"/>
      <c r="I46" s="41"/>
      <c r="J46" s="41"/>
    </row>
    <row r="47" spans="1:12" s="35" customFormat="1" ht="15" customHeight="1">
      <c r="A47" s="28" t="s">
        <v>127</v>
      </c>
      <c r="B47" s="29" t="s">
        <v>128</v>
      </c>
      <c r="C47" s="370">
        <f>因素修正表!K13</f>
        <v>1.0430999999999999</v>
      </c>
      <c r="D47" s="46" t="s">
        <v>129</v>
      </c>
      <c r="E47" s="34"/>
      <c r="F47" s="34"/>
      <c r="G47" s="34"/>
      <c r="H47" s="34"/>
      <c r="I47" s="34"/>
      <c r="J47" s="34"/>
    </row>
    <row r="48" spans="1:12" ht="15" customHeight="1">
      <c r="A48" s="76" t="s">
        <v>130</v>
      </c>
      <c r="B48" s="130" t="s">
        <v>131</v>
      </c>
      <c r="C48" s="41"/>
      <c r="D48" s="41"/>
      <c r="E48" s="41"/>
      <c r="F48" s="131"/>
      <c r="G48" s="41"/>
      <c r="H48" s="41"/>
      <c r="I48" s="41"/>
      <c r="J48" s="41"/>
    </row>
    <row r="49" spans="1:10" ht="15" customHeight="1" thickBot="1">
      <c r="A49" s="76" t="s">
        <v>132</v>
      </c>
      <c r="B49" s="132" t="s">
        <v>133</v>
      </c>
      <c r="C49" s="51"/>
      <c r="D49" s="51"/>
      <c r="E49" s="51"/>
      <c r="F49" s="133"/>
      <c r="G49" s="51"/>
      <c r="H49" s="51"/>
      <c r="I49" s="51"/>
      <c r="J49" s="51"/>
    </row>
    <row r="50" spans="1:10" ht="21.6" customHeight="1">
      <c r="A50" s="597" t="s">
        <v>134</v>
      </c>
      <c r="B50" s="134" t="s">
        <v>135</v>
      </c>
      <c r="C50" s="371">
        <f>ROUND(C3*C22*C24*C26*C34*C47,0)</f>
        <v>13362</v>
      </c>
      <c r="D50" s="600" t="s">
        <v>136</v>
      </c>
      <c r="E50" s="601"/>
      <c r="F50" s="601"/>
      <c r="G50" s="601"/>
      <c r="H50" s="601"/>
      <c r="I50" s="601"/>
      <c r="J50" s="602"/>
    </row>
    <row r="51" spans="1:10" ht="21.6" customHeight="1">
      <c r="A51" s="598"/>
      <c r="B51" s="135" t="s">
        <v>137</v>
      </c>
      <c r="C51" s="136">
        <f>J51</f>
        <v>3341</v>
      </c>
      <c r="D51" s="39" t="s">
        <v>138</v>
      </c>
      <c r="E51" s="39"/>
      <c r="F51" s="131"/>
      <c r="G51" s="41"/>
      <c r="H51" s="39" t="s">
        <v>139</v>
      </c>
      <c r="I51" s="137">
        <v>0.25</v>
      </c>
      <c r="J51" s="138">
        <f>ROUND(C50*I51,0)</f>
        <v>3341</v>
      </c>
    </row>
    <row r="52" spans="1:10" ht="21.6" customHeight="1" thickBot="1">
      <c r="A52" s="599"/>
      <c r="B52" s="139"/>
      <c r="C52" s="140" t="s">
        <v>140</v>
      </c>
      <c r="D52" s="141"/>
      <c r="E52" s="141"/>
      <c r="F52" s="141"/>
      <c r="G52" s="141"/>
      <c r="H52" s="141" t="s">
        <v>141</v>
      </c>
      <c r="I52" s="142">
        <v>0.15</v>
      </c>
      <c r="J52" s="143">
        <f>ROUND(C50*I52,0)</f>
        <v>2004</v>
      </c>
    </row>
    <row r="53" spans="1:10" ht="21.6" customHeight="1">
      <c r="A53" s="597" t="s">
        <v>142</v>
      </c>
      <c r="B53" s="134" t="s">
        <v>143</v>
      </c>
      <c r="C53" s="40">
        <f>ROUND(C3*C24*C26*C47*F54,0)</f>
        <v>3274</v>
      </c>
      <c r="D53" s="600" t="s">
        <v>144</v>
      </c>
      <c r="E53" s="601"/>
      <c r="F53" s="601"/>
      <c r="G53" s="601"/>
      <c r="H53" s="601"/>
      <c r="I53" s="601"/>
      <c r="J53" s="602"/>
    </row>
    <row r="54" spans="1:10" ht="21.6" customHeight="1">
      <c r="A54" s="598"/>
      <c r="B54" s="144"/>
      <c r="C54" s="145"/>
      <c r="D54" s="39" t="s">
        <v>145</v>
      </c>
      <c r="E54" s="41"/>
      <c r="F54" s="146">
        <v>0.25</v>
      </c>
      <c r="G54" s="39" t="s">
        <v>146</v>
      </c>
      <c r="H54" s="41"/>
      <c r="I54" s="41"/>
      <c r="J54" s="147"/>
    </row>
    <row r="55" spans="1:10" ht="21.6" customHeight="1">
      <c r="A55" s="598"/>
      <c r="B55" s="135" t="s">
        <v>147</v>
      </c>
      <c r="C55" s="148"/>
      <c r="D55" s="39" t="s">
        <v>138</v>
      </c>
      <c r="E55" s="39"/>
      <c r="F55" s="40"/>
      <c r="G55" s="41"/>
      <c r="H55" s="39" t="s">
        <v>139</v>
      </c>
      <c r="I55" s="137">
        <v>0.25</v>
      </c>
      <c r="J55" s="138">
        <f>ROUND(C53*I55,0)</f>
        <v>819</v>
      </c>
    </row>
    <row r="56" spans="1:10" ht="21.6" customHeight="1" thickBot="1">
      <c r="A56" s="599"/>
      <c r="B56" s="139"/>
      <c r="C56" s="149" t="s">
        <v>140</v>
      </c>
      <c r="D56" s="149"/>
      <c r="E56" s="149"/>
      <c r="F56" s="150"/>
      <c r="G56" s="141"/>
      <c r="H56" s="141" t="s">
        <v>141</v>
      </c>
      <c r="I56" s="142">
        <v>0.15</v>
      </c>
      <c r="J56" s="143">
        <f>ROUND(C53*I56,0)</f>
        <v>491</v>
      </c>
    </row>
    <row r="57" spans="1:10" ht="15" customHeight="1">
      <c r="A57" s="40" t="s">
        <v>148</v>
      </c>
      <c r="B57" s="151" t="s">
        <v>149</v>
      </c>
      <c r="C57" s="152"/>
      <c r="D57" s="153"/>
      <c r="E57" s="153"/>
      <c r="F57" s="154"/>
      <c r="G57" s="44"/>
      <c r="H57" s="44"/>
      <c r="I57" s="44"/>
      <c r="J57" s="155"/>
    </row>
    <row r="58" spans="1:10" ht="15" customHeight="1">
      <c r="A58" s="40"/>
      <c r="B58" s="42" t="s">
        <v>150</v>
      </c>
      <c r="C58" s="131"/>
      <c r="D58" s="39"/>
      <c r="E58" s="39"/>
      <c r="F58" s="40"/>
      <c r="G58" s="41"/>
      <c r="H58" s="41"/>
      <c r="I58" s="41"/>
      <c r="J58" s="91"/>
    </row>
    <row r="59" spans="1:10" ht="15" customHeight="1">
      <c r="A59" s="40"/>
      <c r="B59" s="42" t="s">
        <v>151</v>
      </c>
      <c r="C59" s="41"/>
      <c r="D59" s="41"/>
      <c r="E59" s="41"/>
      <c r="F59" s="41"/>
      <c r="G59" s="41"/>
      <c r="H59" s="41"/>
      <c r="I59" s="41"/>
      <c r="J59" s="41"/>
    </row>
    <row r="60" spans="1:10" ht="15" customHeight="1"/>
  </sheetData>
  <mergeCells count="15">
    <mergeCell ref="A53:A56"/>
    <mergeCell ref="D53:J53"/>
    <mergeCell ref="D25:E25"/>
    <mergeCell ref="A36:A38"/>
    <mergeCell ref="B36:B38"/>
    <mergeCell ref="A39:A45"/>
    <mergeCell ref="B39:B45"/>
    <mergeCell ref="A50:A52"/>
    <mergeCell ref="D50:J50"/>
    <mergeCell ref="A16:A21"/>
    <mergeCell ref="A2:J2"/>
    <mergeCell ref="A5:A10"/>
    <mergeCell ref="A11:A15"/>
    <mergeCell ref="C15:G15"/>
    <mergeCell ref="H15:J1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 tint="-9.9978637043366805E-2"/>
  </sheetPr>
  <dimension ref="A1:L60"/>
  <sheetViews>
    <sheetView topLeftCell="A31" zoomScale="95" zoomScaleNormal="95" workbookViewId="0">
      <selection activeCell="D61" sqref="D61"/>
    </sheetView>
  </sheetViews>
  <sheetFormatPr defaultRowHeight="18.75" customHeight="1"/>
  <cols>
    <col min="1" max="1" width="5.375" style="24" customWidth="1"/>
    <col min="2" max="2" width="31.625" style="37" customWidth="1"/>
    <col min="3" max="3" width="11.25" style="27" customWidth="1"/>
    <col min="4" max="4" width="12.5" style="27" customWidth="1"/>
    <col min="5" max="5" width="11.75" style="27" customWidth="1"/>
    <col min="6" max="6" width="11.25" style="27" customWidth="1"/>
    <col min="7" max="7" width="14.5" style="27" customWidth="1"/>
    <col min="8" max="10" width="11.25" style="27" customWidth="1"/>
    <col min="11" max="11" width="9" style="27"/>
    <col min="12" max="12" width="10.125" style="27" customWidth="1"/>
    <col min="13" max="256" width="9" style="27"/>
    <col min="257" max="257" width="5.375" style="27" customWidth="1"/>
    <col min="258" max="258" width="31.625" style="27" customWidth="1"/>
    <col min="259" max="259" width="11.25" style="27" customWidth="1"/>
    <col min="260" max="260" width="12.5" style="27" customWidth="1"/>
    <col min="261" max="261" width="11.75" style="27" customWidth="1"/>
    <col min="262" max="262" width="11.25" style="27" customWidth="1"/>
    <col min="263" max="263" width="14.5" style="27" customWidth="1"/>
    <col min="264" max="266" width="11.25" style="27" customWidth="1"/>
    <col min="267" max="512" width="9" style="27"/>
    <col min="513" max="513" width="5.375" style="27" customWidth="1"/>
    <col min="514" max="514" width="31.625" style="27" customWidth="1"/>
    <col min="515" max="515" width="11.25" style="27" customWidth="1"/>
    <col min="516" max="516" width="12.5" style="27" customWidth="1"/>
    <col min="517" max="517" width="11.75" style="27" customWidth="1"/>
    <col min="518" max="518" width="11.25" style="27" customWidth="1"/>
    <col min="519" max="519" width="14.5" style="27" customWidth="1"/>
    <col min="520" max="522" width="11.25" style="27" customWidth="1"/>
    <col min="523" max="768" width="9" style="27"/>
    <col min="769" max="769" width="5.375" style="27" customWidth="1"/>
    <col min="770" max="770" width="31.625" style="27" customWidth="1"/>
    <col min="771" max="771" width="11.25" style="27" customWidth="1"/>
    <col min="772" max="772" width="12.5" style="27" customWidth="1"/>
    <col min="773" max="773" width="11.75" style="27" customWidth="1"/>
    <col min="774" max="774" width="11.25" style="27" customWidth="1"/>
    <col min="775" max="775" width="14.5" style="27" customWidth="1"/>
    <col min="776" max="778" width="11.25" style="27" customWidth="1"/>
    <col min="779" max="1024" width="9" style="27"/>
    <col min="1025" max="1025" width="5.375" style="27" customWidth="1"/>
    <col min="1026" max="1026" width="31.625" style="27" customWidth="1"/>
    <col min="1027" max="1027" width="11.25" style="27" customWidth="1"/>
    <col min="1028" max="1028" width="12.5" style="27" customWidth="1"/>
    <col min="1029" max="1029" width="11.75" style="27" customWidth="1"/>
    <col min="1030" max="1030" width="11.25" style="27" customWidth="1"/>
    <col min="1031" max="1031" width="14.5" style="27" customWidth="1"/>
    <col min="1032" max="1034" width="11.25" style="27" customWidth="1"/>
    <col min="1035" max="1280" width="9" style="27"/>
    <col min="1281" max="1281" width="5.375" style="27" customWidth="1"/>
    <col min="1282" max="1282" width="31.625" style="27" customWidth="1"/>
    <col min="1283" max="1283" width="11.25" style="27" customWidth="1"/>
    <col min="1284" max="1284" width="12.5" style="27" customWidth="1"/>
    <col min="1285" max="1285" width="11.75" style="27" customWidth="1"/>
    <col min="1286" max="1286" width="11.25" style="27" customWidth="1"/>
    <col min="1287" max="1287" width="14.5" style="27" customWidth="1"/>
    <col min="1288" max="1290" width="11.25" style="27" customWidth="1"/>
    <col min="1291" max="1536" width="9" style="27"/>
    <col min="1537" max="1537" width="5.375" style="27" customWidth="1"/>
    <col min="1538" max="1538" width="31.625" style="27" customWidth="1"/>
    <col min="1539" max="1539" width="11.25" style="27" customWidth="1"/>
    <col min="1540" max="1540" width="12.5" style="27" customWidth="1"/>
    <col min="1541" max="1541" width="11.75" style="27" customWidth="1"/>
    <col min="1542" max="1542" width="11.25" style="27" customWidth="1"/>
    <col min="1543" max="1543" width="14.5" style="27" customWidth="1"/>
    <col min="1544" max="1546" width="11.25" style="27" customWidth="1"/>
    <col min="1547" max="1792" width="9" style="27"/>
    <col min="1793" max="1793" width="5.375" style="27" customWidth="1"/>
    <col min="1794" max="1794" width="31.625" style="27" customWidth="1"/>
    <col min="1795" max="1795" width="11.25" style="27" customWidth="1"/>
    <col min="1796" max="1796" width="12.5" style="27" customWidth="1"/>
    <col min="1797" max="1797" width="11.75" style="27" customWidth="1"/>
    <col min="1798" max="1798" width="11.25" style="27" customWidth="1"/>
    <col min="1799" max="1799" width="14.5" style="27" customWidth="1"/>
    <col min="1800" max="1802" width="11.25" style="27" customWidth="1"/>
    <col min="1803" max="2048" width="9" style="27"/>
    <col min="2049" max="2049" width="5.375" style="27" customWidth="1"/>
    <col min="2050" max="2050" width="31.625" style="27" customWidth="1"/>
    <col min="2051" max="2051" width="11.25" style="27" customWidth="1"/>
    <col min="2052" max="2052" width="12.5" style="27" customWidth="1"/>
    <col min="2053" max="2053" width="11.75" style="27" customWidth="1"/>
    <col min="2054" max="2054" width="11.25" style="27" customWidth="1"/>
    <col min="2055" max="2055" width="14.5" style="27" customWidth="1"/>
    <col min="2056" max="2058" width="11.25" style="27" customWidth="1"/>
    <col min="2059" max="2304" width="9" style="27"/>
    <col min="2305" max="2305" width="5.375" style="27" customWidth="1"/>
    <col min="2306" max="2306" width="31.625" style="27" customWidth="1"/>
    <col min="2307" max="2307" width="11.25" style="27" customWidth="1"/>
    <col min="2308" max="2308" width="12.5" style="27" customWidth="1"/>
    <col min="2309" max="2309" width="11.75" style="27" customWidth="1"/>
    <col min="2310" max="2310" width="11.25" style="27" customWidth="1"/>
    <col min="2311" max="2311" width="14.5" style="27" customWidth="1"/>
    <col min="2312" max="2314" width="11.25" style="27" customWidth="1"/>
    <col min="2315" max="2560" width="9" style="27"/>
    <col min="2561" max="2561" width="5.375" style="27" customWidth="1"/>
    <col min="2562" max="2562" width="31.625" style="27" customWidth="1"/>
    <col min="2563" max="2563" width="11.25" style="27" customWidth="1"/>
    <col min="2564" max="2564" width="12.5" style="27" customWidth="1"/>
    <col min="2565" max="2565" width="11.75" style="27" customWidth="1"/>
    <col min="2566" max="2566" width="11.25" style="27" customWidth="1"/>
    <col min="2567" max="2567" width="14.5" style="27" customWidth="1"/>
    <col min="2568" max="2570" width="11.25" style="27" customWidth="1"/>
    <col min="2571" max="2816" width="9" style="27"/>
    <col min="2817" max="2817" width="5.375" style="27" customWidth="1"/>
    <col min="2818" max="2818" width="31.625" style="27" customWidth="1"/>
    <col min="2819" max="2819" width="11.25" style="27" customWidth="1"/>
    <col min="2820" max="2820" width="12.5" style="27" customWidth="1"/>
    <col min="2821" max="2821" width="11.75" style="27" customWidth="1"/>
    <col min="2822" max="2822" width="11.25" style="27" customWidth="1"/>
    <col min="2823" max="2823" width="14.5" style="27" customWidth="1"/>
    <col min="2824" max="2826" width="11.25" style="27" customWidth="1"/>
    <col min="2827" max="3072" width="9" style="27"/>
    <col min="3073" max="3073" width="5.375" style="27" customWidth="1"/>
    <col min="3074" max="3074" width="31.625" style="27" customWidth="1"/>
    <col min="3075" max="3075" width="11.25" style="27" customWidth="1"/>
    <col min="3076" max="3076" width="12.5" style="27" customWidth="1"/>
    <col min="3077" max="3077" width="11.75" style="27" customWidth="1"/>
    <col min="3078" max="3078" width="11.25" style="27" customWidth="1"/>
    <col min="3079" max="3079" width="14.5" style="27" customWidth="1"/>
    <col min="3080" max="3082" width="11.25" style="27" customWidth="1"/>
    <col min="3083" max="3328" width="9" style="27"/>
    <col min="3329" max="3329" width="5.375" style="27" customWidth="1"/>
    <col min="3330" max="3330" width="31.625" style="27" customWidth="1"/>
    <col min="3331" max="3331" width="11.25" style="27" customWidth="1"/>
    <col min="3332" max="3332" width="12.5" style="27" customWidth="1"/>
    <col min="3333" max="3333" width="11.75" style="27" customWidth="1"/>
    <col min="3334" max="3334" width="11.25" style="27" customWidth="1"/>
    <col min="3335" max="3335" width="14.5" style="27" customWidth="1"/>
    <col min="3336" max="3338" width="11.25" style="27" customWidth="1"/>
    <col min="3339" max="3584" width="9" style="27"/>
    <col min="3585" max="3585" width="5.375" style="27" customWidth="1"/>
    <col min="3586" max="3586" width="31.625" style="27" customWidth="1"/>
    <col min="3587" max="3587" width="11.25" style="27" customWidth="1"/>
    <col min="3588" max="3588" width="12.5" style="27" customWidth="1"/>
    <col min="3589" max="3589" width="11.75" style="27" customWidth="1"/>
    <col min="3590" max="3590" width="11.25" style="27" customWidth="1"/>
    <col min="3591" max="3591" width="14.5" style="27" customWidth="1"/>
    <col min="3592" max="3594" width="11.25" style="27" customWidth="1"/>
    <col min="3595" max="3840" width="9" style="27"/>
    <col min="3841" max="3841" width="5.375" style="27" customWidth="1"/>
    <col min="3842" max="3842" width="31.625" style="27" customWidth="1"/>
    <col min="3843" max="3843" width="11.25" style="27" customWidth="1"/>
    <col min="3844" max="3844" width="12.5" style="27" customWidth="1"/>
    <col min="3845" max="3845" width="11.75" style="27" customWidth="1"/>
    <col min="3846" max="3846" width="11.25" style="27" customWidth="1"/>
    <col min="3847" max="3847" width="14.5" style="27" customWidth="1"/>
    <col min="3848" max="3850" width="11.25" style="27" customWidth="1"/>
    <col min="3851" max="4096" width="9" style="27"/>
    <col min="4097" max="4097" width="5.375" style="27" customWidth="1"/>
    <col min="4098" max="4098" width="31.625" style="27" customWidth="1"/>
    <col min="4099" max="4099" width="11.25" style="27" customWidth="1"/>
    <col min="4100" max="4100" width="12.5" style="27" customWidth="1"/>
    <col min="4101" max="4101" width="11.75" style="27" customWidth="1"/>
    <col min="4102" max="4102" width="11.25" style="27" customWidth="1"/>
    <col min="4103" max="4103" width="14.5" style="27" customWidth="1"/>
    <col min="4104" max="4106" width="11.25" style="27" customWidth="1"/>
    <col min="4107" max="4352" width="9" style="27"/>
    <col min="4353" max="4353" width="5.375" style="27" customWidth="1"/>
    <col min="4354" max="4354" width="31.625" style="27" customWidth="1"/>
    <col min="4355" max="4355" width="11.25" style="27" customWidth="1"/>
    <col min="4356" max="4356" width="12.5" style="27" customWidth="1"/>
    <col min="4357" max="4357" width="11.75" style="27" customWidth="1"/>
    <col min="4358" max="4358" width="11.25" style="27" customWidth="1"/>
    <col min="4359" max="4359" width="14.5" style="27" customWidth="1"/>
    <col min="4360" max="4362" width="11.25" style="27" customWidth="1"/>
    <col min="4363" max="4608" width="9" style="27"/>
    <col min="4609" max="4609" width="5.375" style="27" customWidth="1"/>
    <col min="4610" max="4610" width="31.625" style="27" customWidth="1"/>
    <col min="4611" max="4611" width="11.25" style="27" customWidth="1"/>
    <col min="4612" max="4612" width="12.5" style="27" customWidth="1"/>
    <col min="4613" max="4613" width="11.75" style="27" customWidth="1"/>
    <col min="4614" max="4614" width="11.25" style="27" customWidth="1"/>
    <col min="4615" max="4615" width="14.5" style="27" customWidth="1"/>
    <col min="4616" max="4618" width="11.25" style="27" customWidth="1"/>
    <col min="4619" max="4864" width="9" style="27"/>
    <col min="4865" max="4865" width="5.375" style="27" customWidth="1"/>
    <col min="4866" max="4866" width="31.625" style="27" customWidth="1"/>
    <col min="4867" max="4867" width="11.25" style="27" customWidth="1"/>
    <col min="4868" max="4868" width="12.5" style="27" customWidth="1"/>
    <col min="4869" max="4869" width="11.75" style="27" customWidth="1"/>
    <col min="4870" max="4870" width="11.25" style="27" customWidth="1"/>
    <col min="4871" max="4871" width="14.5" style="27" customWidth="1"/>
    <col min="4872" max="4874" width="11.25" style="27" customWidth="1"/>
    <col min="4875" max="5120" width="9" style="27"/>
    <col min="5121" max="5121" width="5.375" style="27" customWidth="1"/>
    <col min="5122" max="5122" width="31.625" style="27" customWidth="1"/>
    <col min="5123" max="5123" width="11.25" style="27" customWidth="1"/>
    <col min="5124" max="5124" width="12.5" style="27" customWidth="1"/>
    <col min="5125" max="5125" width="11.75" style="27" customWidth="1"/>
    <col min="5126" max="5126" width="11.25" style="27" customWidth="1"/>
    <col min="5127" max="5127" width="14.5" style="27" customWidth="1"/>
    <col min="5128" max="5130" width="11.25" style="27" customWidth="1"/>
    <col min="5131" max="5376" width="9" style="27"/>
    <col min="5377" max="5377" width="5.375" style="27" customWidth="1"/>
    <col min="5378" max="5378" width="31.625" style="27" customWidth="1"/>
    <col min="5379" max="5379" width="11.25" style="27" customWidth="1"/>
    <col min="5380" max="5380" width="12.5" style="27" customWidth="1"/>
    <col min="5381" max="5381" width="11.75" style="27" customWidth="1"/>
    <col min="5382" max="5382" width="11.25" style="27" customWidth="1"/>
    <col min="5383" max="5383" width="14.5" style="27" customWidth="1"/>
    <col min="5384" max="5386" width="11.25" style="27" customWidth="1"/>
    <col min="5387" max="5632" width="9" style="27"/>
    <col min="5633" max="5633" width="5.375" style="27" customWidth="1"/>
    <col min="5634" max="5634" width="31.625" style="27" customWidth="1"/>
    <col min="5635" max="5635" width="11.25" style="27" customWidth="1"/>
    <col min="5636" max="5636" width="12.5" style="27" customWidth="1"/>
    <col min="5637" max="5637" width="11.75" style="27" customWidth="1"/>
    <col min="5638" max="5638" width="11.25" style="27" customWidth="1"/>
    <col min="5639" max="5639" width="14.5" style="27" customWidth="1"/>
    <col min="5640" max="5642" width="11.25" style="27" customWidth="1"/>
    <col min="5643" max="5888" width="9" style="27"/>
    <col min="5889" max="5889" width="5.375" style="27" customWidth="1"/>
    <col min="5890" max="5890" width="31.625" style="27" customWidth="1"/>
    <col min="5891" max="5891" width="11.25" style="27" customWidth="1"/>
    <col min="5892" max="5892" width="12.5" style="27" customWidth="1"/>
    <col min="5893" max="5893" width="11.75" style="27" customWidth="1"/>
    <col min="5894" max="5894" width="11.25" style="27" customWidth="1"/>
    <col min="5895" max="5895" width="14.5" style="27" customWidth="1"/>
    <col min="5896" max="5898" width="11.25" style="27" customWidth="1"/>
    <col min="5899" max="6144" width="9" style="27"/>
    <col min="6145" max="6145" width="5.375" style="27" customWidth="1"/>
    <col min="6146" max="6146" width="31.625" style="27" customWidth="1"/>
    <col min="6147" max="6147" width="11.25" style="27" customWidth="1"/>
    <col min="6148" max="6148" width="12.5" style="27" customWidth="1"/>
    <col min="6149" max="6149" width="11.75" style="27" customWidth="1"/>
    <col min="6150" max="6150" width="11.25" style="27" customWidth="1"/>
    <col min="6151" max="6151" width="14.5" style="27" customWidth="1"/>
    <col min="6152" max="6154" width="11.25" style="27" customWidth="1"/>
    <col min="6155" max="6400" width="9" style="27"/>
    <col min="6401" max="6401" width="5.375" style="27" customWidth="1"/>
    <col min="6402" max="6402" width="31.625" style="27" customWidth="1"/>
    <col min="6403" max="6403" width="11.25" style="27" customWidth="1"/>
    <col min="6404" max="6404" width="12.5" style="27" customWidth="1"/>
    <col min="6405" max="6405" width="11.75" style="27" customWidth="1"/>
    <col min="6406" max="6406" width="11.25" style="27" customWidth="1"/>
    <col min="6407" max="6407" width="14.5" style="27" customWidth="1"/>
    <col min="6408" max="6410" width="11.25" style="27" customWidth="1"/>
    <col min="6411" max="6656" width="9" style="27"/>
    <col min="6657" max="6657" width="5.375" style="27" customWidth="1"/>
    <col min="6658" max="6658" width="31.625" style="27" customWidth="1"/>
    <col min="6659" max="6659" width="11.25" style="27" customWidth="1"/>
    <col min="6660" max="6660" width="12.5" style="27" customWidth="1"/>
    <col min="6661" max="6661" width="11.75" style="27" customWidth="1"/>
    <col min="6662" max="6662" width="11.25" style="27" customWidth="1"/>
    <col min="6663" max="6663" width="14.5" style="27" customWidth="1"/>
    <col min="6664" max="6666" width="11.25" style="27" customWidth="1"/>
    <col min="6667" max="6912" width="9" style="27"/>
    <col min="6913" max="6913" width="5.375" style="27" customWidth="1"/>
    <col min="6914" max="6914" width="31.625" style="27" customWidth="1"/>
    <col min="6915" max="6915" width="11.25" style="27" customWidth="1"/>
    <col min="6916" max="6916" width="12.5" style="27" customWidth="1"/>
    <col min="6917" max="6917" width="11.75" style="27" customWidth="1"/>
    <col min="6918" max="6918" width="11.25" style="27" customWidth="1"/>
    <col min="6919" max="6919" width="14.5" style="27" customWidth="1"/>
    <col min="6920" max="6922" width="11.25" style="27" customWidth="1"/>
    <col min="6923" max="7168" width="9" style="27"/>
    <col min="7169" max="7169" width="5.375" style="27" customWidth="1"/>
    <col min="7170" max="7170" width="31.625" style="27" customWidth="1"/>
    <col min="7171" max="7171" width="11.25" style="27" customWidth="1"/>
    <col min="7172" max="7172" width="12.5" style="27" customWidth="1"/>
    <col min="7173" max="7173" width="11.75" style="27" customWidth="1"/>
    <col min="7174" max="7174" width="11.25" style="27" customWidth="1"/>
    <col min="7175" max="7175" width="14.5" style="27" customWidth="1"/>
    <col min="7176" max="7178" width="11.25" style="27" customWidth="1"/>
    <col min="7179" max="7424" width="9" style="27"/>
    <col min="7425" max="7425" width="5.375" style="27" customWidth="1"/>
    <col min="7426" max="7426" width="31.625" style="27" customWidth="1"/>
    <col min="7427" max="7427" width="11.25" style="27" customWidth="1"/>
    <col min="7428" max="7428" width="12.5" style="27" customWidth="1"/>
    <col min="7429" max="7429" width="11.75" style="27" customWidth="1"/>
    <col min="7430" max="7430" width="11.25" style="27" customWidth="1"/>
    <col min="7431" max="7431" width="14.5" style="27" customWidth="1"/>
    <col min="7432" max="7434" width="11.25" style="27" customWidth="1"/>
    <col min="7435" max="7680" width="9" style="27"/>
    <col min="7681" max="7681" width="5.375" style="27" customWidth="1"/>
    <col min="7682" max="7682" width="31.625" style="27" customWidth="1"/>
    <col min="7683" max="7683" width="11.25" style="27" customWidth="1"/>
    <col min="7684" max="7684" width="12.5" style="27" customWidth="1"/>
    <col min="7685" max="7685" width="11.75" style="27" customWidth="1"/>
    <col min="7686" max="7686" width="11.25" style="27" customWidth="1"/>
    <col min="7687" max="7687" width="14.5" style="27" customWidth="1"/>
    <col min="7688" max="7690" width="11.25" style="27" customWidth="1"/>
    <col min="7691" max="7936" width="9" style="27"/>
    <col min="7937" max="7937" width="5.375" style="27" customWidth="1"/>
    <col min="7938" max="7938" width="31.625" style="27" customWidth="1"/>
    <col min="7939" max="7939" width="11.25" style="27" customWidth="1"/>
    <col min="7940" max="7940" width="12.5" style="27" customWidth="1"/>
    <col min="7941" max="7941" width="11.75" style="27" customWidth="1"/>
    <col min="7942" max="7942" width="11.25" style="27" customWidth="1"/>
    <col min="7943" max="7943" width="14.5" style="27" customWidth="1"/>
    <col min="7944" max="7946" width="11.25" style="27" customWidth="1"/>
    <col min="7947" max="8192" width="9" style="27"/>
    <col min="8193" max="8193" width="5.375" style="27" customWidth="1"/>
    <col min="8194" max="8194" width="31.625" style="27" customWidth="1"/>
    <col min="8195" max="8195" width="11.25" style="27" customWidth="1"/>
    <col min="8196" max="8196" width="12.5" style="27" customWidth="1"/>
    <col min="8197" max="8197" width="11.75" style="27" customWidth="1"/>
    <col min="8198" max="8198" width="11.25" style="27" customWidth="1"/>
    <col min="8199" max="8199" width="14.5" style="27" customWidth="1"/>
    <col min="8200" max="8202" width="11.25" style="27" customWidth="1"/>
    <col min="8203" max="8448" width="9" style="27"/>
    <col min="8449" max="8449" width="5.375" style="27" customWidth="1"/>
    <col min="8450" max="8450" width="31.625" style="27" customWidth="1"/>
    <col min="8451" max="8451" width="11.25" style="27" customWidth="1"/>
    <col min="8452" max="8452" width="12.5" style="27" customWidth="1"/>
    <col min="8453" max="8453" width="11.75" style="27" customWidth="1"/>
    <col min="8454" max="8454" width="11.25" style="27" customWidth="1"/>
    <col min="8455" max="8455" width="14.5" style="27" customWidth="1"/>
    <col min="8456" max="8458" width="11.25" style="27" customWidth="1"/>
    <col min="8459" max="8704" width="9" style="27"/>
    <col min="8705" max="8705" width="5.375" style="27" customWidth="1"/>
    <col min="8706" max="8706" width="31.625" style="27" customWidth="1"/>
    <col min="8707" max="8707" width="11.25" style="27" customWidth="1"/>
    <col min="8708" max="8708" width="12.5" style="27" customWidth="1"/>
    <col min="8709" max="8709" width="11.75" style="27" customWidth="1"/>
    <col min="8710" max="8710" width="11.25" style="27" customWidth="1"/>
    <col min="8711" max="8711" width="14.5" style="27" customWidth="1"/>
    <col min="8712" max="8714" width="11.25" style="27" customWidth="1"/>
    <col min="8715" max="8960" width="9" style="27"/>
    <col min="8961" max="8961" width="5.375" style="27" customWidth="1"/>
    <col min="8962" max="8962" width="31.625" style="27" customWidth="1"/>
    <col min="8963" max="8963" width="11.25" style="27" customWidth="1"/>
    <col min="8964" max="8964" width="12.5" style="27" customWidth="1"/>
    <col min="8965" max="8965" width="11.75" style="27" customWidth="1"/>
    <col min="8966" max="8966" width="11.25" style="27" customWidth="1"/>
    <col min="8967" max="8967" width="14.5" style="27" customWidth="1"/>
    <col min="8968" max="8970" width="11.25" style="27" customWidth="1"/>
    <col min="8971" max="9216" width="9" style="27"/>
    <col min="9217" max="9217" width="5.375" style="27" customWidth="1"/>
    <col min="9218" max="9218" width="31.625" style="27" customWidth="1"/>
    <col min="9219" max="9219" width="11.25" style="27" customWidth="1"/>
    <col min="9220" max="9220" width="12.5" style="27" customWidth="1"/>
    <col min="9221" max="9221" width="11.75" style="27" customWidth="1"/>
    <col min="9222" max="9222" width="11.25" style="27" customWidth="1"/>
    <col min="9223" max="9223" width="14.5" style="27" customWidth="1"/>
    <col min="9224" max="9226" width="11.25" style="27" customWidth="1"/>
    <col min="9227" max="9472" width="9" style="27"/>
    <col min="9473" max="9473" width="5.375" style="27" customWidth="1"/>
    <col min="9474" max="9474" width="31.625" style="27" customWidth="1"/>
    <col min="9475" max="9475" width="11.25" style="27" customWidth="1"/>
    <col min="9476" max="9476" width="12.5" style="27" customWidth="1"/>
    <col min="9477" max="9477" width="11.75" style="27" customWidth="1"/>
    <col min="9478" max="9478" width="11.25" style="27" customWidth="1"/>
    <col min="9479" max="9479" width="14.5" style="27" customWidth="1"/>
    <col min="9480" max="9482" width="11.25" style="27" customWidth="1"/>
    <col min="9483" max="9728" width="9" style="27"/>
    <col min="9729" max="9729" width="5.375" style="27" customWidth="1"/>
    <col min="9730" max="9730" width="31.625" style="27" customWidth="1"/>
    <col min="9731" max="9731" width="11.25" style="27" customWidth="1"/>
    <col min="9732" max="9732" width="12.5" style="27" customWidth="1"/>
    <col min="9733" max="9733" width="11.75" style="27" customWidth="1"/>
    <col min="9734" max="9734" width="11.25" style="27" customWidth="1"/>
    <col min="9735" max="9735" width="14.5" style="27" customWidth="1"/>
    <col min="9736" max="9738" width="11.25" style="27" customWidth="1"/>
    <col min="9739" max="9984" width="9" style="27"/>
    <col min="9985" max="9985" width="5.375" style="27" customWidth="1"/>
    <col min="9986" max="9986" width="31.625" style="27" customWidth="1"/>
    <col min="9987" max="9987" width="11.25" style="27" customWidth="1"/>
    <col min="9988" max="9988" width="12.5" style="27" customWidth="1"/>
    <col min="9989" max="9989" width="11.75" style="27" customWidth="1"/>
    <col min="9990" max="9990" width="11.25" style="27" customWidth="1"/>
    <col min="9991" max="9991" width="14.5" style="27" customWidth="1"/>
    <col min="9992" max="9994" width="11.25" style="27" customWidth="1"/>
    <col min="9995" max="10240" width="9" style="27"/>
    <col min="10241" max="10241" width="5.375" style="27" customWidth="1"/>
    <col min="10242" max="10242" width="31.625" style="27" customWidth="1"/>
    <col min="10243" max="10243" width="11.25" style="27" customWidth="1"/>
    <col min="10244" max="10244" width="12.5" style="27" customWidth="1"/>
    <col min="10245" max="10245" width="11.75" style="27" customWidth="1"/>
    <col min="10246" max="10246" width="11.25" style="27" customWidth="1"/>
    <col min="10247" max="10247" width="14.5" style="27" customWidth="1"/>
    <col min="10248" max="10250" width="11.25" style="27" customWidth="1"/>
    <col min="10251" max="10496" width="9" style="27"/>
    <col min="10497" max="10497" width="5.375" style="27" customWidth="1"/>
    <col min="10498" max="10498" width="31.625" style="27" customWidth="1"/>
    <col min="10499" max="10499" width="11.25" style="27" customWidth="1"/>
    <col min="10500" max="10500" width="12.5" style="27" customWidth="1"/>
    <col min="10501" max="10501" width="11.75" style="27" customWidth="1"/>
    <col min="10502" max="10502" width="11.25" style="27" customWidth="1"/>
    <col min="10503" max="10503" width="14.5" style="27" customWidth="1"/>
    <col min="10504" max="10506" width="11.25" style="27" customWidth="1"/>
    <col min="10507" max="10752" width="9" style="27"/>
    <col min="10753" max="10753" width="5.375" style="27" customWidth="1"/>
    <col min="10754" max="10754" width="31.625" style="27" customWidth="1"/>
    <col min="10755" max="10755" width="11.25" style="27" customWidth="1"/>
    <col min="10756" max="10756" width="12.5" style="27" customWidth="1"/>
    <col min="10757" max="10757" width="11.75" style="27" customWidth="1"/>
    <col min="10758" max="10758" width="11.25" style="27" customWidth="1"/>
    <col min="10759" max="10759" width="14.5" style="27" customWidth="1"/>
    <col min="10760" max="10762" width="11.25" style="27" customWidth="1"/>
    <col min="10763" max="11008" width="9" style="27"/>
    <col min="11009" max="11009" width="5.375" style="27" customWidth="1"/>
    <col min="11010" max="11010" width="31.625" style="27" customWidth="1"/>
    <col min="11011" max="11011" width="11.25" style="27" customWidth="1"/>
    <col min="11012" max="11012" width="12.5" style="27" customWidth="1"/>
    <col min="11013" max="11013" width="11.75" style="27" customWidth="1"/>
    <col min="11014" max="11014" width="11.25" style="27" customWidth="1"/>
    <col min="11015" max="11015" width="14.5" style="27" customWidth="1"/>
    <col min="11016" max="11018" width="11.25" style="27" customWidth="1"/>
    <col min="11019" max="11264" width="9" style="27"/>
    <col min="11265" max="11265" width="5.375" style="27" customWidth="1"/>
    <col min="11266" max="11266" width="31.625" style="27" customWidth="1"/>
    <col min="11267" max="11267" width="11.25" style="27" customWidth="1"/>
    <col min="11268" max="11268" width="12.5" style="27" customWidth="1"/>
    <col min="11269" max="11269" width="11.75" style="27" customWidth="1"/>
    <col min="11270" max="11270" width="11.25" style="27" customWidth="1"/>
    <col min="11271" max="11271" width="14.5" style="27" customWidth="1"/>
    <col min="11272" max="11274" width="11.25" style="27" customWidth="1"/>
    <col min="11275" max="11520" width="9" style="27"/>
    <col min="11521" max="11521" width="5.375" style="27" customWidth="1"/>
    <col min="11522" max="11522" width="31.625" style="27" customWidth="1"/>
    <col min="11523" max="11523" width="11.25" style="27" customWidth="1"/>
    <col min="11524" max="11524" width="12.5" style="27" customWidth="1"/>
    <col min="11525" max="11525" width="11.75" style="27" customWidth="1"/>
    <col min="11526" max="11526" width="11.25" style="27" customWidth="1"/>
    <col min="11527" max="11527" width="14.5" style="27" customWidth="1"/>
    <col min="11528" max="11530" width="11.25" style="27" customWidth="1"/>
    <col min="11531" max="11776" width="9" style="27"/>
    <col min="11777" max="11777" width="5.375" style="27" customWidth="1"/>
    <col min="11778" max="11778" width="31.625" style="27" customWidth="1"/>
    <col min="11779" max="11779" width="11.25" style="27" customWidth="1"/>
    <col min="11780" max="11780" width="12.5" style="27" customWidth="1"/>
    <col min="11781" max="11781" width="11.75" style="27" customWidth="1"/>
    <col min="11782" max="11782" width="11.25" style="27" customWidth="1"/>
    <col min="11783" max="11783" width="14.5" style="27" customWidth="1"/>
    <col min="11784" max="11786" width="11.25" style="27" customWidth="1"/>
    <col min="11787" max="12032" width="9" style="27"/>
    <col min="12033" max="12033" width="5.375" style="27" customWidth="1"/>
    <col min="12034" max="12034" width="31.625" style="27" customWidth="1"/>
    <col min="12035" max="12035" width="11.25" style="27" customWidth="1"/>
    <col min="12036" max="12036" width="12.5" style="27" customWidth="1"/>
    <col min="12037" max="12037" width="11.75" style="27" customWidth="1"/>
    <col min="12038" max="12038" width="11.25" style="27" customWidth="1"/>
    <col min="12039" max="12039" width="14.5" style="27" customWidth="1"/>
    <col min="12040" max="12042" width="11.25" style="27" customWidth="1"/>
    <col min="12043" max="12288" width="9" style="27"/>
    <col min="12289" max="12289" width="5.375" style="27" customWidth="1"/>
    <col min="12290" max="12290" width="31.625" style="27" customWidth="1"/>
    <col min="12291" max="12291" width="11.25" style="27" customWidth="1"/>
    <col min="12292" max="12292" width="12.5" style="27" customWidth="1"/>
    <col min="12293" max="12293" width="11.75" style="27" customWidth="1"/>
    <col min="12294" max="12294" width="11.25" style="27" customWidth="1"/>
    <col min="12295" max="12295" width="14.5" style="27" customWidth="1"/>
    <col min="12296" max="12298" width="11.25" style="27" customWidth="1"/>
    <col min="12299" max="12544" width="9" style="27"/>
    <col min="12545" max="12545" width="5.375" style="27" customWidth="1"/>
    <col min="12546" max="12546" width="31.625" style="27" customWidth="1"/>
    <col min="12547" max="12547" width="11.25" style="27" customWidth="1"/>
    <col min="12548" max="12548" width="12.5" style="27" customWidth="1"/>
    <col min="12549" max="12549" width="11.75" style="27" customWidth="1"/>
    <col min="12550" max="12550" width="11.25" style="27" customWidth="1"/>
    <col min="12551" max="12551" width="14.5" style="27" customWidth="1"/>
    <col min="12552" max="12554" width="11.25" style="27" customWidth="1"/>
    <col min="12555" max="12800" width="9" style="27"/>
    <col min="12801" max="12801" width="5.375" style="27" customWidth="1"/>
    <col min="12802" max="12802" width="31.625" style="27" customWidth="1"/>
    <col min="12803" max="12803" width="11.25" style="27" customWidth="1"/>
    <col min="12804" max="12804" width="12.5" style="27" customWidth="1"/>
    <col min="12805" max="12805" width="11.75" style="27" customWidth="1"/>
    <col min="12806" max="12806" width="11.25" style="27" customWidth="1"/>
    <col min="12807" max="12807" width="14.5" style="27" customWidth="1"/>
    <col min="12808" max="12810" width="11.25" style="27" customWidth="1"/>
    <col min="12811" max="13056" width="9" style="27"/>
    <col min="13057" max="13057" width="5.375" style="27" customWidth="1"/>
    <col min="13058" max="13058" width="31.625" style="27" customWidth="1"/>
    <col min="13059" max="13059" width="11.25" style="27" customWidth="1"/>
    <col min="13060" max="13060" width="12.5" style="27" customWidth="1"/>
    <col min="13061" max="13061" width="11.75" style="27" customWidth="1"/>
    <col min="13062" max="13062" width="11.25" style="27" customWidth="1"/>
    <col min="13063" max="13063" width="14.5" style="27" customWidth="1"/>
    <col min="13064" max="13066" width="11.25" style="27" customWidth="1"/>
    <col min="13067" max="13312" width="9" style="27"/>
    <col min="13313" max="13313" width="5.375" style="27" customWidth="1"/>
    <col min="13314" max="13314" width="31.625" style="27" customWidth="1"/>
    <col min="13315" max="13315" width="11.25" style="27" customWidth="1"/>
    <col min="13316" max="13316" width="12.5" style="27" customWidth="1"/>
    <col min="13317" max="13317" width="11.75" style="27" customWidth="1"/>
    <col min="13318" max="13318" width="11.25" style="27" customWidth="1"/>
    <col min="13319" max="13319" width="14.5" style="27" customWidth="1"/>
    <col min="13320" max="13322" width="11.25" style="27" customWidth="1"/>
    <col min="13323" max="13568" width="9" style="27"/>
    <col min="13569" max="13569" width="5.375" style="27" customWidth="1"/>
    <col min="13570" max="13570" width="31.625" style="27" customWidth="1"/>
    <col min="13571" max="13571" width="11.25" style="27" customWidth="1"/>
    <col min="13572" max="13572" width="12.5" style="27" customWidth="1"/>
    <col min="13573" max="13573" width="11.75" style="27" customWidth="1"/>
    <col min="13574" max="13574" width="11.25" style="27" customWidth="1"/>
    <col min="13575" max="13575" width="14.5" style="27" customWidth="1"/>
    <col min="13576" max="13578" width="11.25" style="27" customWidth="1"/>
    <col min="13579" max="13824" width="9" style="27"/>
    <col min="13825" max="13825" width="5.375" style="27" customWidth="1"/>
    <col min="13826" max="13826" width="31.625" style="27" customWidth="1"/>
    <col min="13827" max="13827" width="11.25" style="27" customWidth="1"/>
    <col min="13828" max="13828" width="12.5" style="27" customWidth="1"/>
    <col min="13829" max="13829" width="11.75" style="27" customWidth="1"/>
    <col min="13830" max="13830" width="11.25" style="27" customWidth="1"/>
    <col min="13831" max="13831" width="14.5" style="27" customWidth="1"/>
    <col min="13832" max="13834" width="11.25" style="27" customWidth="1"/>
    <col min="13835" max="14080" width="9" style="27"/>
    <col min="14081" max="14081" width="5.375" style="27" customWidth="1"/>
    <col min="14082" max="14082" width="31.625" style="27" customWidth="1"/>
    <col min="14083" max="14083" width="11.25" style="27" customWidth="1"/>
    <col min="14084" max="14084" width="12.5" style="27" customWidth="1"/>
    <col min="14085" max="14085" width="11.75" style="27" customWidth="1"/>
    <col min="14086" max="14086" width="11.25" style="27" customWidth="1"/>
    <col min="14087" max="14087" width="14.5" style="27" customWidth="1"/>
    <col min="14088" max="14090" width="11.25" style="27" customWidth="1"/>
    <col min="14091" max="14336" width="9" style="27"/>
    <col min="14337" max="14337" width="5.375" style="27" customWidth="1"/>
    <col min="14338" max="14338" width="31.625" style="27" customWidth="1"/>
    <col min="14339" max="14339" width="11.25" style="27" customWidth="1"/>
    <col min="14340" max="14340" width="12.5" style="27" customWidth="1"/>
    <col min="14341" max="14341" width="11.75" style="27" customWidth="1"/>
    <col min="14342" max="14342" width="11.25" style="27" customWidth="1"/>
    <col min="14343" max="14343" width="14.5" style="27" customWidth="1"/>
    <col min="14344" max="14346" width="11.25" style="27" customWidth="1"/>
    <col min="14347" max="14592" width="9" style="27"/>
    <col min="14593" max="14593" width="5.375" style="27" customWidth="1"/>
    <col min="14594" max="14594" width="31.625" style="27" customWidth="1"/>
    <col min="14595" max="14595" width="11.25" style="27" customWidth="1"/>
    <col min="14596" max="14596" width="12.5" style="27" customWidth="1"/>
    <col min="14597" max="14597" width="11.75" style="27" customWidth="1"/>
    <col min="14598" max="14598" width="11.25" style="27" customWidth="1"/>
    <col min="14599" max="14599" width="14.5" style="27" customWidth="1"/>
    <col min="14600" max="14602" width="11.25" style="27" customWidth="1"/>
    <col min="14603" max="14848" width="9" style="27"/>
    <col min="14849" max="14849" width="5.375" style="27" customWidth="1"/>
    <col min="14850" max="14850" width="31.625" style="27" customWidth="1"/>
    <col min="14851" max="14851" width="11.25" style="27" customWidth="1"/>
    <col min="14852" max="14852" width="12.5" style="27" customWidth="1"/>
    <col min="14853" max="14853" width="11.75" style="27" customWidth="1"/>
    <col min="14854" max="14854" width="11.25" style="27" customWidth="1"/>
    <col min="14855" max="14855" width="14.5" style="27" customWidth="1"/>
    <col min="14856" max="14858" width="11.25" style="27" customWidth="1"/>
    <col min="14859" max="15104" width="9" style="27"/>
    <col min="15105" max="15105" width="5.375" style="27" customWidth="1"/>
    <col min="15106" max="15106" width="31.625" style="27" customWidth="1"/>
    <col min="15107" max="15107" width="11.25" style="27" customWidth="1"/>
    <col min="15108" max="15108" width="12.5" style="27" customWidth="1"/>
    <col min="15109" max="15109" width="11.75" style="27" customWidth="1"/>
    <col min="15110" max="15110" width="11.25" style="27" customWidth="1"/>
    <col min="15111" max="15111" width="14.5" style="27" customWidth="1"/>
    <col min="15112" max="15114" width="11.25" style="27" customWidth="1"/>
    <col min="15115" max="15360" width="9" style="27"/>
    <col min="15361" max="15361" width="5.375" style="27" customWidth="1"/>
    <col min="15362" max="15362" width="31.625" style="27" customWidth="1"/>
    <col min="15363" max="15363" width="11.25" style="27" customWidth="1"/>
    <col min="15364" max="15364" width="12.5" style="27" customWidth="1"/>
    <col min="15365" max="15365" width="11.75" style="27" customWidth="1"/>
    <col min="15366" max="15366" width="11.25" style="27" customWidth="1"/>
    <col min="15367" max="15367" width="14.5" style="27" customWidth="1"/>
    <col min="15368" max="15370" width="11.25" style="27" customWidth="1"/>
    <col min="15371" max="15616" width="9" style="27"/>
    <col min="15617" max="15617" width="5.375" style="27" customWidth="1"/>
    <col min="15618" max="15618" width="31.625" style="27" customWidth="1"/>
    <col min="15619" max="15619" width="11.25" style="27" customWidth="1"/>
    <col min="15620" max="15620" width="12.5" style="27" customWidth="1"/>
    <col min="15621" max="15621" width="11.75" style="27" customWidth="1"/>
    <col min="15622" max="15622" width="11.25" style="27" customWidth="1"/>
    <col min="15623" max="15623" width="14.5" style="27" customWidth="1"/>
    <col min="15624" max="15626" width="11.25" style="27" customWidth="1"/>
    <col min="15627" max="15872" width="9" style="27"/>
    <col min="15873" max="15873" width="5.375" style="27" customWidth="1"/>
    <col min="15874" max="15874" width="31.625" style="27" customWidth="1"/>
    <col min="15875" max="15875" width="11.25" style="27" customWidth="1"/>
    <col min="15876" max="15876" width="12.5" style="27" customWidth="1"/>
    <col min="15877" max="15877" width="11.75" style="27" customWidth="1"/>
    <col min="15878" max="15878" width="11.25" style="27" customWidth="1"/>
    <col min="15879" max="15879" width="14.5" style="27" customWidth="1"/>
    <col min="15880" max="15882" width="11.25" style="27" customWidth="1"/>
    <col min="15883" max="16128" width="9" style="27"/>
    <col min="16129" max="16129" width="5.375" style="27" customWidth="1"/>
    <col min="16130" max="16130" width="31.625" style="27" customWidth="1"/>
    <col min="16131" max="16131" width="11.25" style="27" customWidth="1"/>
    <col min="16132" max="16132" width="12.5" style="27" customWidth="1"/>
    <col min="16133" max="16133" width="11.75" style="27" customWidth="1"/>
    <col min="16134" max="16134" width="11.25" style="27" customWidth="1"/>
    <col min="16135" max="16135" width="14.5" style="27" customWidth="1"/>
    <col min="16136" max="16138" width="11.25" style="27" customWidth="1"/>
    <col min="16139" max="16384" width="9" style="27"/>
  </cols>
  <sheetData>
    <row r="1" spans="1:10" ht="15" customHeight="1">
      <c r="B1" s="25" t="s">
        <v>29</v>
      </c>
      <c r="C1" s="26" t="s">
        <v>30</v>
      </c>
    </row>
    <row r="2" spans="1:10" ht="15" customHeight="1">
      <c r="A2" s="586" t="s">
        <v>31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s="35" customFormat="1" ht="15" customHeight="1">
      <c r="A3" s="28" t="s">
        <v>32</v>
      </c>
      <c r="B3" s="29" t="s">
        <v>33</v>
      </c>
      <c r="C3" s="30">
        <f>C4+C16</f>
        <v>9711</v>
      </c>
      <c r="D3" s="31" t="s">
        <v>34</v>
      </c>
      <c r="E3" s="32"/>
      <c r="F3" s="33"/>
      <c r="G3" s="34"/>
      <c r="H3" s="34"/>
      <c r="I3" s="34"/>
      <c r="J3" s="34"/>
    </row>
    <row r="4" spans="1:10" ht="15" customHeight="1">
      <c r="A4" s="342" t="s">
        <v>35</v>
      </c>
      <c r="B4" s="37" t="s">
        <v>33</v>
      </c>
      <c r="C4" s="340">
        <v>9710</v>
      </c>
      <c r="D4" s="39" t="s">
        <v>36</v>
      </c>
      <c r="E4" s="40"/>
      <c r="F4" s="40"/>
      <c r="G4" s="333" t="s">
        <v>279</v>
      </c>
      <c r="H4" s="41"/>
      <c r="I4" s="41"/>
      <c r="J4" s="41"/>
    </row>
    <row r="5" spans="1:10" ht="15" customHeight="1">
      <c r="A5" s="583" t="s">
        <v>37</v>
      </c>
      <c r="B5" s="42" t="s">
        <v>38</v>
      </c>
      <c r="C5" s="345" t="e">
        <f>ROUND(C4*(1+(1.6*E6+1.2*E7+0.8*E8+0.4*E10)*C7),0)</f>
        <v>#DIV/0!</v>
      </c>
      <c r="D5" s="44"/>
      <c r="E5" s="345"/>
      <c r="F5" s="345"/>
      <c r="G5" s="44"/>
      <c r="H5" s="44"/>
      <c r="I5" s="44"/>
      <c r="J5" s="44"/>
    </row>
    <row r="6" spans="1:10" ht="30.75" customHeight="1">
      <c r="A6" s="584"/>
      <c r="B6" s="342" t="s">
        <v>39</v>
      </c>
      <c r="C6" s="38"/>
      <c r="D6" s="342" t="s">
        <v>40</v>
      </c>
      <c r="E6" s="45" t="e">
        <f>ROUND(C9/C10,4)</f>
        <v>#DIV/0!</v>
      </c>
      <c r="F6" s="46" t="s">
        <v>41</v>
      </c>
      <c r="G6" s="41"/>
      <c r="H6" s="41"/>
      <c r="I6" s="41"/>
      <c r="J6" s="41"/>
    </row>
    <row r="7" spans="1:10" ht="15" customHeight="1">
      <c r="A7" s="584"/>
      <c r="B7" s="342" t="s">
        <v>42</v>
      </c>
      <c r="C7" s="47">
        <v>0</v>
      </c>
      <c r="D7" s="342" t="s">
        <v>43</v>
      </c>
      <c r="E7" s="45" t="e">
        <f>ROUND(C9/C10,4)</f>
        <v>#DIV/0!</v>
      </c>
      <c r="F7" s="46" t="s">
        <v>44</v>
      </c>
      <c r="G7" s="41"/>
      <c r="H7" s="41"/>
      <c r="I7" s="41"/>
      <c r="J7" s="41"/>
    </row>
    <row r="8" spans="1:10" ht="15" customHeight="1">
      <c r="A8" s="584"/>
      <c r="B8" s="342" t="s">
        <v>45</v>
      </c>
      <c r="C8" s="38">
        <v>0</v>
      </c>
      <c r="D8" s="342" t="s">
        <v>46</v>
      </c>
      <c r="E8" s="45" t="e">
        <f>ROUND(C9/C10,4)</f>
        <v>#DIV/0!</v>
      </c>
      <c r="F8" s="46" t="s">
        <v>47</v>
      </c>
      <c r="G8" s="41"/>
      <c r="H8" s="41"/>
      <c r="I8" s="41"/>
      <c r="J8" s="41"/>
    </row>
    <row r="9" spans="1:10" ht="15" customHeight="1">
      <c r="A9" s="584"/>
      <c r="B9" s="342" t="s">
        <v>48</v>
      </c>
      <c r="C9" s="45">
        <v>0</v>
      </c>
      <c r="D9" s="342" t="s">
        <v>49</v>
      </c>
      <c r="E9" s="45" t="e">
        <f>ROUND(C9/C10,4)</f>
        <v>#DIV/0!</v>
      </c>
      <c r="F9" s="46" t="s">
        <v>50</v>
      </c>
      <c r="G9" s="41"/>
      <c r="H9" s="41"/>
      <c r="I9" s="41"/>
      <c r="J9" s="41"/>
    </row>
    <row r="10" spans="1:10" ht="15" customHeight="1">
      <c r="A10" s="585"/>
      <c r="B10" s="342" t="s">
        <v>51</v>
      </c>
      <c r="C10" s="38">
        <v>0</v>
      </c>
      <c r="E10" s="48"/>
      <c r="G10" s="41"/>
      <c r="H10" s="41"/>
      <c r="I10" s="41"/>
      <c r="J10" s="41"/>
    </row>
    <row r="11" spans="1:10" ht="15" customHeight="1" thickBot="1">
      <c r="A11" s="583" t="s">
        <v>37</v>
      </c>
      <c r="B11" s="42" t="s">
        <v>52</v>
      </c>
      <c r="C11" s="49"/>
      <c r="D11" s="39" t="s">
        <v>53</v>
      </c>
      <c r="E11" s="343"/>
      <c r="F11" s="343"/>
      <c r="G11" s="51"/>
      <c r="H11" s="51"/>
      <c r="I11" s="51"/>
      <c r="J11" s="51"/>
    </row>
    <row r="12" spans="1:10" ht="15" customHeight="1">
      <c r="A12" s="589"/>
      <c r="B12" s="52" t="s">
        <v>54</v>
      </c>
      <c r="C12" s="53" t="s">
        <v>55</v>
      </c>
      <c r="D12" s="54" t="s">
        <v>56</v>
      </c>
      <c r="E12" s="54" t="s">
        <v>57</v>
      </c>
      <c r="F12" s="54" t="s">
        <v>58</v>
      </c>
      <c r="G12" s="55" t="s">
        <v>59</v>
      </c>
      <c r="H12" s="56" t="s">
        <v>60</v>
      </c>
      <c r="I12" s="57"/>
      <c r="J12" s="58"/>
    </row>
    <row r="13" spans="1:10" ht="15" customHeight="1">
      <c r="A13" s="589"/>
      <c r="B13" s="52" t="s">
        <v>61</v>
      </c>
      <c r="C13" s="59">
        <v>0.1</v>
      </c>
      <c r="D13" s="60">
        <v>0.1</v>
      </c>
      <c r="E13" s="60">
        <v>0.1</v>
      </c>
      <c r="F13" s="60">
        <v>0.2</v>
      </c>
      <c r="G13" s="61">
        <v>0.1</v>
      </c>
      <c r="H13" s="62"/>
      <c r="I13" s="38"/>
      <c r="J13" s="63"/>
    </row>
    <row r="14" spans="1:10" ht="15" customHeight="1">
      <c r="A14" s="589"/>
      <c r="B14" s="52" t="s">
        <v>62</v>
      </c>
      <c r="C14" s="62">
        <v>1</v>
      </c>
      <c r="D14" s="38">
        <v>1</v>
      </c>
      <c r="E14" s="38">
        <v>1</v>
      </c>
      <c r="F14" s="38">
        <v>1</v>
      </c>
      <c r="G14" s="63">
        <v>1</v>
      </c>
      <c r="H14" s="62">
        <v>1</v>
      </c>
      <c r="I14" s="38">
        <v>1</v>
      </c>
      <c r="J14" s="63">
        <v>1</v>
      </c>
    </row>
    <row r="15" spans="1:10" ht="15" customHeight="1" thickBot="1">
      <c r="A15" s="590"/>
      <c r="B15" s="64"/>
      <c r="C15" s="591" t="s">
        <v>63</v>
      </c>
      <c r="D15" s="592"/>
      <c r="E15" s="592"/>
      <c r="F15" s="592"/>
      <c r="G15" s="593"/>
      <c r="H15" s="594" t="s">
        <v>64</v>
      </c>
      <c r="I15" s="595"/>
      <c r="J15" s="596"/>
    </row>
    <row r="16" spans="1:10" ht="15" customHeight="1">
      <c r="A16" s="583" t="s">
        <v>65</v>
      </c>
      <c r="B16" s="42" t="s">
        <v>66</v>
      </c>
      <c r="C16" s="38">
        <v>1</v>
      </c>
      <c r="D16" s="39" t="s">
        <v>67</v>
      </c>
      <c r="E16" s="342"/>
      <c r="F16" s="342"/>
      <c r="G16" s="41"/>
      <c r="H16" s="41"/>
      <c r="I16" s="41"/>
      <c r="J16" s="41"/>
    </row>
    <row r="17" spans="1:12" ht="15" customHeight="1" thickBot="1">
      <c r="A17" s="584"/>
      <c r="B17" s="65" t="s">
        <v>68</v>
      </c>
      <c r="C17" s="66" t="s">
        <v>69</v>
      </c>
      <c r="D17" s="67"/>
      <c r="E17" s="65" t="s">
        <v>70</v>
      </c>
      <c r="F17" s="66" t="s">
        <v>314</v>
      </c>
      <c r="G17" s="65" t="s">
        <v>71</v>
      </c>
      <c r="H17" s="66">
        <v>2</v>
      </c>
      <c r="I17" s="51"/>
      <c r="J17" s="51"/>
    </row>
    <row r="18" spans="1:12" ht="15" customHeight="1">
      <c r="A18" s="584"/>
      <c r="B18" s="68" t="s">
        <v>72</v>
      </c>
      <c r="C18" s="53" t="s">
        <v>73</v>
      </c>
      <c r="D18" s="54" t="s">
        <v>74</v>
      </c>
      <c r="E18" s="54" t="s">
        <v>75</v>
      </c>
      <c r="F18" s="54" t="s">
        <v>76</v>
      </c>
      <c r="G18" s="54" t="s">
        <v>77</v>
      </c>
      <c r="H18" s="54" t="s">
        <v>78</v>
      </c>
      <c r="I18" s="54" t="s">
        <v>79</v>
      </c>
      <c r="J18" s="55" t="s">
        <v>80</v>
      </c>
    </row>
    <row r="19" spans="1:12" ht="15" customHeight="1">
      <c r="A19" s="584"/>
      <c r="B19" s="52" t="s">
        <v>81</v>
      </c>
      <c r="C19" s="69">
        <v>80</v>
      </c>
      <c r="D19" s="70">
        <v>70</v>
      </c>
      <c r="E19" s="70">
        <v>20</v>
      </c>
      <c r="F19" s="70">
        <v>30</v>
      </c>
      <c r="G19" s="70">
        <v>45</v>
      </c>
      <c r="H19" s="70">
        <v>60</v>
      </c>
      <c r="I19" s="70">
        <v>50</v>
      </c>
      <c r="J19" s="71">
        <v>20</v>
      </c>
    </row>
    <row r="20" spans="1:12" ht="15" customHeight="1">
      <c r="A20" s="584"/>
      <c r="B20" s="52" t="s">
        <v>82</v>
      </c>
      <c r="C20" s="69">
        <v>65</v>
      </c>
      <c r="D20" s="70">
        <v>55</v>
      </c>
      <c r="E20" s="70">
        <v>15</v>
      </c>
      <c r="F20" s="70">
        <v>25</v>
      </c>
      <c r="G20" s="70">
        <v>35</v>
      </c>
      <c r="H20" s="70">
        <v>50</v>
      </c>
      <c r="I20" s="70">
        <v>40</v>
      </c>
      <c r="J20" s="71">
        <v>15</v>
      </c>
    </row>
    <row r="21" spans="1:12" ht="15" customHeight="1" thickBot="1">
      <c r="A21" s="585"/>
      <c r="B21" s="52" t="s">
        <v>83</v>
      </c>
      <c r="C21" s="72">
        <v>50</v>
      </c>
      <c r="D21" s="73">
        <v>40</v>
      </c>
      <c r="E21" s="73">
        <v>10</v>
      </c>
      <c r="F21" s="73">
        <v>20</v>
      </c>
      <c r="G21" s="73">
        <v>25</v>
      </c>
      <c r="H21" s="73">
        <v>40</v>
      </c>
      <c r="I21" s="73">
        <v>30</v>
      </c>
      <c r="J21" s="74">
        <v>10</v>
      </c>
    </row>
    <row r="22" spans="1:12" s="35" customFormat="1" ht="15" customHeight="1">
      <c r="A22" s="28" t="s">
        <v>84</v>
      </c>
      <c r="B22" s="29" t="s">
        <v>85</v>
      </c>
      <c r="C22" s="75">
        <v>1</v>
      </c>
      <c r="D22" s="39" t="s">
        <v>86</v>
      </c>
      <c r="E22" s="76"/>
      <c r="F22" s="76"/>
      <c r="G22" s="34"/>
      <c r="H22" s="34"/>
      <c r="I22" s="34"/>
      <c r="J22" s="34"/>
    </row>
    <row r="23" spans="1:12" ht="15" customHeight="1">
      <c r="A23" s="40"/>
      <c r="B23" s="39" t="s">
        <v>87</v>
      </c>
      <c r="C23" s="77" t="s">
        <v>88</v>
      </c>
      <c r="E23" s="40"/>
      <c r="F23" s="40"/>
      <c r="G23" s="41"/>
      <c r="H23" s="41"/>
      <c r="I23" s="41"/>
      <c r="J23" s="41"/>
    </row>
    <row r="24" spans="1:12" s="35" customFormat="1" ht="15" customHeight="1">
      <c r="A24" s="28" t="s">
        <v>89</v>
      </c>
      <c r="B24" s="29" t="s">
        <v>90</v>
      </c>
      <c r="C24" s="341">
        <f>地价水平!H36</f>
        <v>1.2928999999999999</v>
      </c>
      <c r="D24" s="34"/>
      <c r="E24" s="34"/>
      <c r="F24" s="34"/>
      <c r="G24" s="34"/>
      <c r="H24" s="34"/>
      <c r="I24" s="34"/>
      <c r="J24" s="34"/>
    </row>
    <row r="25" spans="1:12" ht="15" customHeight="1">
      <c r="A25" s="79"/>
      <c r="B25" s="342" t="s">
        <v>91</v>
      </c>
      <c r="C25" s="38"/>
      <c r="D25" s="603" t="s">
        <v>92</v>
      </c>
      <c r="E25" s="603"/>
      <c r="F25" s="38"/>
      <c r="G25" s="80" t="s">
        <v>93</v>
      </c>
      <c r="H25" s="81"/>
      <c r="I25" s="81"/>
      <c r="J25" s="41"/>
      <c r="L25" s="27" t="s">
        <v>347</v>
      </c>
    </row>
    <row r="26" spans="1:12" s="35" customFormat="1" ht="15" customHeight="1">
      <c r="A26" s="28" t="s">
        <v>94</v>
      </c>
      <c r="B26" s="29" t="s">
        <v>95</v>
      </c>
      <c r="C26" s="78">
        <f>ROUND((1-1/POWER((1+C27),E27))/(1-1/POWER((1+C27),G27)),4)</f>
        <v>0.94310000000000005</v>
      </c>
      <c r="H26" s="34"/>
      <c r="I26" s="34"/>
      <c r="J26" s="34"/>
    </row>
    <row r="27" spans="1:12" ht="15" customHeight="1">
      <c r="A27" s="342"/>
      <c r="B27" s="342" t="s">
        <v>96</v>
      </c>
      <c r="C27" s="82">
        <f>D31</f>
        <v>5.7000000000000002E-2</v>
      </c>
      <c r="D27" s="342" t="s">
        <v>97</v>
      </c>
      <c r="E27" s="38">
        <v>38.880000000000003</v>
      </c>
      <c r="F27" s="342" t="s">
        <v>98</v>
      </c>
      <c r="G27" s="38">
        <v>50</v>
      </c>
      <c r="H27" s="41"/>
      <c r="I27" s="41"/>
      <c r="J27" s="41"/>
    </row>
    <row r="28" spans="1:12" ht="15" customHeight="1" thickBot="1">
      <c r="A28" s="342"/>
      <c r="B28" s="342" t="s">
        <v>395</v>
      </c>
      <c r="C28" s="83">
        <f>'基准地价-地上商业（40）'!C28</f>
        <v>4.7500000000000001E-2</v>
      </c>
      <c r="D28" s="343"/>
      <c r="E28" s="342"/>
      <c r="F28" s="342"/>
      <c r="G28" s="342"/>
      <c r="H28" s="41"/>
      <c r="I28" s="41"/>
      <c r="J28" s="41"/>
    </row>
    <row r="29" spans="1:12" ht="15" customHeight="1">
      <c r="A29" s="342"/>
      <c r="B29" s="24" t="s">
        <v>99</v>
      </c>
      <c r="C29" s="84" t="s">
        <v>100</v>
      </c>
      <c r="D29" s="85" t="s">
        <v>96</v>
      </c>
      <c r="E29" s="86"/>
      <c r="F29" s="342"/>
      <c r="G29" s="342"/>
      <c r="H29" s="41"/>
      <c r="I29" s="41"/>
      <c r="J29" s="41"/>
    </row>
    <row r="30" spans="1:12" ht="15" customHeight="1">
      <c r="A30" s="342"/>
      <c r="B30" s="64" t="s">
        <v>101</v>
      </c>
      <c r="C30" s="87">
        <v>0.25</v>
      </c>
      <c r="D30" s="88">
        <f>ROUND($C$28*(1+C30),3)</f>
        <v>5.8999999999999997E-2</v>
      </c>
      <c r="E30" s="86"/>
      <c r="F30" s="342"/>
      <c r="G30" s="342"/>
      <c r="H30" s="41"/>
      <c r="I30" s="41"/>
      <c r="J30" s="41"/>
    </row>
    <row r="31" spans="1:12" ht="15" customHeight="1">
      <c r="A31" s="342"/>
      <c r="B31" s="64" t="s">
        <v>102</v>
      </c>
      <c r="C31" s="87">
        <v>0.2</v>
      </c>
      <c r="D31" s="88">
        <f>ROUND($C$28*(1+C31),3)</f>
        <v>5.7000000000000002E-2</v>
      </c>
      <c r="E31" s="86"/>
      <c r="F31" s="342"/>
      <c r="G31" s="342"/>
      <c r="H31" s="41"/>
      <c r="I31" s="41"/>
      <c r="J31" s="41"/>
    </row>
    <row r="32" spans="1:12" ht="15" customHeight="1">
      <c r="A32" s="342"/>
      <c r="B32" s="64" t="s">
        <v>103</v>
      </c>
      <c r="C32" s="87">
        <v>0.15</v>
      </c>
      <c r="D32" s="88">
        <f>ROUND($C$28*(1+C32),3)</f>
        <v>5.5E-2</v>
      </c>
      <c r="E32" s="86"/>
      <c r="F32" s="342"/>
      <c r="G32" s="342"/>
      <c r="H32" s="41"/>
      <c r="I32" s="41"/>
      <c r="J32" s="41"/>
    </row>
    <row r="33" spans="1:12" ht="15" customHeight="1" thickBot="1">
      <c r="A33" s="342"/>
      <c r="B33" s="64" t="s">
        <v>104</v>
      </c>
      <c r="C33" s="89">
        <v>0.1</v>
      </c>
      <c r="D33" s="90">
        <f>ROUND($C$28*(1+C33),3)</f>
        <v>5.1999999999999998E-2</v>
      </c>
      <c r="E33" s="86"/>
      <c r="F33" s="342"/>
      <c r="G33" s="342"/>
      <c r="H33" s="41"/>
      <c r="I33" s="91"/>
      <c r="J33" s="92"/>
    </row>
    <row r="34" spans="1:12" s="35" customFormat="1" ht="15" customHeight="1">
      <c r="A34" s="28" t="s">
        <v>105</v>
      </c>
      <c r="B34" s="29" t="s">
        <v>106</v>
      </c>
      <c r="C34" s="372">
        <f>C35</f>
        <v>1.0203</v>
      </c>
      <c r="D34" s="93" t="s">
        <v>107</v>
      </c>
      <c r="E34" s="94"/>
      <c r="F34" s="94"/>
      <c r="G34" s="94"/>
      <c r="H34" s="34"/>
      <c r="I34" s="34"/>
      <c r="J34" s="34"/>
    </row>
    <row r="35" spans="1:12" s="35" customFormat="1" ht="15" customHeight="1">
      <c r="A35" s="95" t="s">
        <v>108</v>
      </c>
      <c r="B35" s="96" t="s">
        <v>109</v>
      </c>
      <c r="C35" s="94">
        <f>F36</f>
        <v>1.0203</v>
      </c>
      <c r="D35" s="94"/>
      <c r="E35" s="94"/>
      <c r="F35" s="94"/>
      <c r="G35" s="94"/>
      <c r="H35" s="34"/>
      <c r="I35" s="34"/>
      <c r="J35" s="34"/>
    </row>
    <row r="36" spans="1:12" ht="15" customHeight="1" thickBot="1">
      <c r="A36" s="583" t="s">
        <v>35</v>
      </c>
      <c r="B36" s="604" t="s">
        <v>110</v>
      </c>
      <c r="C36" s="344" t="s">
        <v>111</v>
      </c>
      <c r="D36" s="98">
        <v>2.35</v>
      </c>
      <c r="E36" s="99" t="s">
        <v>62</v>
      </c>
      <c r="F36" s="100">
        <f>ROUND(E38+(G38-E38)*(D36-E37)/(G37-E37),4)</f>
        <v>1.0203</v>
      </c>
      <c r="G36" s="344"/>
      <c r="H36" s="41"/>
      <c r="I36" s="41"/>
      <c r="J36" s="41"/>
    </row>
    <row r="37" spans="1:12" ht="15" customHeight="1">
      <c r="A37" s="584"/>
      <c r="B37" s="604"/>
      <c r="C37" s="101"/>
      <c r="D37" s="102" t="s">
        <v>112</v>
      </c>
      <c r="E37" s="103">
        <v>2.2999999999999998</v>
      </c>
      <c r="F37" s="102" t="s">
        <v>113</v>
      </c>
      <c r="G37" s="104">
        <v>2.4</v>
      </c>
      <c r="H37" s="105"/>
      <c r="I37" s="41"/>
      <c r="J37" s="41"/>
      <c r="K37" s="27" t="s">
        <v>334</v>
      </c>
      <c r="L37" s="35">
        <f>ROUND(45382/19337.887,2)</f>
        <v>2.35</v>
      </c>
    </row>
    <row r="38" spans="1:12" ht="15" customHeight="1" thickBot="1">
      <c r="A38" s="585"/>
      <c r="B38" s="605"/>
      <c r="C38" s="106" t="s">
        <v>114</v>
      </c>
      <c r="D38" s="107" t="s">
        <v>115</v>
      </c>
      <c r="E38" s="108">
        <v>1.0271999999999999</v>
      </c>
      <c r="F38" s="107" t="s">
        <v>116</v>
      </c>
      <c r="G38" s="109">
        <v>1.0133000000000001</v>
      </c>
      <c r="H38" s="105"/>
      <c r="I38" s="41"/>
      <c r="J38" s="41"/>
    </row>
    <row r="39" spans="1:12" ht="15" customHeight="1" thickBot="1">
      <c r="A39" s="583" t="s">
        <v>37</v>
      </c>
      <c r="B39" s="606" t="s">
        <v>117</v>
      </c>
      <c r="C39" s="344" t="s">
        <v>118</v>
      </c>
      <c r="D39" s="110">
        <v>11.2</v>
      </c>
      <c r="E39" s="111" t="s">
        <v>62</v>
      </c>
      <c r="F39" s="112">
        <v>0.56989999999999996</v>
      </c>
      <c r="G39" s="345"/>
      <c r="H39" s="41"/>
      <c r="I39" s="41"/>
      <c r="J39" s="41"/>
    </row>
    <row r="40" spans="1:12" ht="15" customHeight="1">
      <c r="A40" s="584"/>
      <c r="B40" s="607"/>
      <c r="C40" s="101"/>
      <c r="D40" s="113" t="s">
        <v>119</v>
      </c>
      <c r="E40" s="102" t="s">
        <v>120</v>
      </c>
      <c r="F40" s="114" t="s">
        <v>121</v>
      </c>
      <c r="G40" s="115"/>
      <c r="H40" s="41"/>
      <c r="I40" s="41"/>
      <c r="J40" s="41"/>
    </row>
    <row r="41" spans="1:12" ht="15" customHeight="1">
      <c r="A41" s="584"/>
      <c r="B41" s="607"/>
      <c r="C41" s="116" t="s">
        <v>101</v>
      </c>
      <c r="D41" s="117">
        <f>ROUND(0.9335-0.0094*D39,4)</f>
        <v>0.82820000000000005</v>
      </c>
      <c r="E41" s="117">
        <f>ROUND(0.8331-0.0109*D39,4)</f>
        <v>0.71099999999999997</v>
      </c>
      <c r="F41" s="118">
        <f>ROUND(0.689-0.0155*D39,4)</f>
        <v>0.51539999999999997</v>
      </c>
      <c r="G41" s="115"/>
      <c r="H41" s="41"/>
      <c r="I41" s="41"/>
      <c r="J41" s="41"/>
    </row>
    <row r="42" spans="1:12" ht="15" customHeight="1">
      <c r="A42" s="584"/>
      <c r="B42" s="607"/>
      <c r="C42" s="116" t="s">
        <v>102</v>
      </c>
      <c r="D42" s="117">
        <f>ROUND(0.949-0.012*D39,4)</f>
        <v>0.81459999999999999</v>
      </c>
      <c r="E42" s="117">
        <f>ROUND(0.8567-0.013*D39,4)</f>
        <v>0.71109999999999995</v>
      </c>
      <c r="F42" s="118">
        <f>ROUND(0.7694-0.014*D39,4)</f>
        <v>0.61260000000000003</v>
      </c>
      <c r="G42" s="115"/>
      <c r="H42" s="41"/>
      <c r="I42" s="41"/>
      <c r="J42" s="41"/>
    </row>
    <row r="43" spans="1:12" ht="15" customHeight="1" thickBot="1">
      <c r="A43" s="584"/>
      <c r="B43" s="607"/>
      <c r="C43" s="119" t="s">
        <v>103</v>
      </c>
      <c r="D43" s="120">
        <f>ROUND(0.8808-0.006*D39,4)</f>
        <v>0.81359999999999999</v>
      </c>
      <c r="E43" s="120">
        <f>ROUND(0.8748-0.008*D39,4)</f>
        <v>0.78520000000000001</v>
      </c>
      <c r="F43" s="121">
        <f>ROUND(0.7412-0.0095*D39,4)</f>
        <v>0.63480000000000003</v>
      </c>
      <c r="G43" s="122"/>
      <c r="H43" s="41"/>
      <c r="I43" s="41"/>
      <c r="J43" s="41"/>
    </row>
    <row r="44" spans="1:12" ht="15" customHeight="1">
      <c r="A44" s="584"/>
      <c r="B44" s="607"/>
      <c r="C44" s="84"/>
      <c r="D44" s="113" t="s">
        <v>119</v>
      </c>
      <c r="E44" s="102" t="s">
        <v>122</v>
      </c>
      <c r="F44" s="102" t="s">
        <v>123</v>
      </c>
      <c r="G44" s="114" t="s">
        <v>121</v>
      </c>
      <c r="H44" s="105"/>
      <c r="I44" s="41"/>
      <c r="J44" s="41"/>
    </row>
    <row r="45" spans="1:12" ht="15" customHeight="1" thickBot="1">
      <c r="A45" s="585"/>
      <c r="B45" s="608"/>
      <c r="C45" s="119" t="s">
        <v>104</v>
      </c>
      <c r="D45" s="123">
        <f>ROUND(0.7275-0.01*D39,4)</f>
        <v>0.61550000000000005</v>
      </c>
      <c r="E45" s="123">
        <f>ROUND(0.7043-0.012*D39,4)</f>
        <v>0.56989999999999996</v>
      </c>
      <c r="F45" s="123">
        <f>ROUND(0.6299-0.0122*D39,4)</f>
        <v>0.49330000000000002</v>
      </c>
      <c r="G45" s="124">
        <f>ROUND(0.5667-0.0136*D39,4)</f>
        <v>0.41439999999999999</v>
      </c>
      <c r="H45" s="105"/>
      <c r="I45" s="41"/>
      <c r="J45" s="41"/>
    </row>
    <row r="46" spans="1:12" ht="15" customHeight="1">
      <c r="A46" s="125" t="s">
        <v>124</v>
      </c>
      <c r="B46" s="386" t="s">
        <v>125</v>
      </c>
      <c r="C46" s="385"/>
      <c r="D46" s="46" t="s">
        <v>126</v>
      </c>
      <c r="E46" s="128"/>
      <c r="F46" s="128"/>
      <c r="G46" s="129"/>
      <c r="H46" s="105"/>
      <c r="I46" s="41"/>
      <c r="J46" s="41"/>
    </row>
    <row r="47" spans="1:12" s="35" customFormat="1" ht="15" customHeight="1">
      <c r="A47" s="28" t="s">
        <v>127</v>
      </c>
      <c r="B47" s="29" t="s">
        <v>128</v>
      </c>
      <c r="C47" s="370">
        <f>因素修正表!K13</f>
        <v>1.0430999999999999</v>
      </c>
      <c r="D47" s="46" t="s">
        <v>129</v>
      </c>
      <c r="E47" s="34"/>
      <c r="F47" s="34"/>
      <c r="G47" s="34"/>
      <c r="H47" s="34"/>
      <c r="I47" s="34"/>
      <c r="J47" s="34"/>
    </row>
    <row r="48" spans="1:12" ht="15" customHeight="1">
      <c r="A48" s="76" t="s">
        <v>130</v>
      </c>
      <c r="B48" s="130" t="s">
        <v>131</v>
      </c>
      <c r="C48" s="41"/>
      <c r="D48" s="41"/>
      <c r="E48" s="41"/>
      <c r="F48" s="131"/>
      <c r="G48" s="41"/>
      <c r="H48" s="41"/>
      <c r="I48" s="41"/>
      <c r="J48" s="41"/>
    </row>
    <row r="49" spans="1:10" ht="15" customHeight="1" thickBot="1">
      <c r="A49" s="76" t="s">
        <v>132</v>
      </c>
      <c r="B49" s="132" t="s">
        <v>133</v>
      </c>
      <c r="C49" s="51"/>
      <c r="D49" s="51"/>
      <c r="E49" s="51"/>
      <c r="F49" s="133"/>
      <c r="G49" s="51"/>
      <c r="H49" s="51"/>
      <c r="I49" s="51"/>
      <c r="J49" s="51"/>
    </row>
    <row r="50" spans="1:10" ht="21.6" customHeight="1">
      <c r="A50" s="597" t="s">
        <v>134</v>
      </c>
      <c r="B50" s="134" t="s">
        <v>135</v>
      </c>
      <c r="C50" s="371">
        <f>ROUND(C3*C22*C24*C26*C34*C47,0)</f>
        <v>12602</v>
      </c>
      <c r="D50" s="600" t="s">
        <v>136</v>
      </c>
      <c r="E50" s="601"/>
      <c r="F50" s="601"/>
      <c r="G50" s="601"/>
      <c r="H50" s="601"/>
      <c r="I50" s="601"/>
      <c r="J50" s="602"/>
    </row>
    <row r="51" spans="1:10" ht="21.6" customHeight="1">
      <c r="A51" s="598"/>
      <c r="B51" s="135" t="s">
        <v>137</v>
      </c>
      <c r="C51" s="136">
        <f>J51</f>
        <v>3151</v>
      </c>
      <c r="D51" s="39" t="s">
        <v>138</v>
      </c>
      <c r="E51" s="39"/>
      <c r="F51" s="131"/>
      <c r="G51" s="41"/>
      <c r="H51" s="39" t="s">
        <v>139</v>
      </c>
      <c r="I51" s="137">
        <v>0.25</v>
      </c>
      <c r="J51" s="138">
        <f>ROUND(C50*I51,0)</f>
        <v>3151</v>
      </c>
    </row>
    <row r="52" spans="1:10" ht="21.6" customHeight="1" thickBot="1">
      <c r="A52" s="599"/>
      <c r="B52" s="139"/>
      <c r="C52" s="140" t="s">
        <v>140</v>
      </c>
      <c r="D52" s="141"/>
      <c r="E52" s="141"/>
      <c r="F52" s="141"/>
      <c r="G52" s="141"/>
      <c r="H52" s="141" t="s">
        <v>141</v>
      </c>
      <c r="I52" s="142">
        <v>0.15</v>
      </c>
      <c r="J52" s="143">
        <f>ROUND(C50*I52,0)</f>
        <v>1890</v>
      </c>
    </row>
    <row r="53" spans="1:10" ht="21.6" customHeight="1">
      <c r="A53" s="597" t="s">
        <v>142</v>
      </c>
      <c r="B53" s="134" t="s">
        <v>143</v>
      </c>
      <c r="C53" s="40">
        <f>ROUND(C3*C24*C26*C47*F54,0)</f>
        <v>2470</v>
      </c>
      <c r="D53" s="600" t="s">
        <v>144</v>
      </c>
      <c r="E53" s="601"/>
      <c r="F53" s="601"/>
      <c r="G53" s="601"/>
      <c r="H53" s="601"/>
      <c r="I53" s="601"/>
      <c r="J53" s="602"/>
    </row>
    <row r="54" spans="1:10" ht="21.6" customHeight="1">
      <c r="A54" s="598"/>
      <c r="B54" s="144"/>
      <c r="C54" s="145"/>
      <c r="D54" s="39" t="s">
        <v>145</v>
      </c>
      <c r="E54" s="41"/>
      <c r="F54" s="146">
        <v>0.2</v>
      </c>
      <c r="G54" s="39" t="s">
        <v>146</v>
      </c>
      <c r="H54" s="41"/>
      <c r="I54" s="41"/>
      <c r="J54" s="147"/>
    </row>
    <row r="55" spans="1:10" ht="21.6" customHeight="1">
      <c r="A55" s="598"/>
      <c r="B55" s="135" t="s">
        <v>147</v>
      </c>
      <c r="C55" s="136">
        <f>J55</f>
        <v>618</v>
      </c>
      <c r="D55" s="39" t="s">
        <v>138</v>
      </c>
      <c r="E55" s="39"/>
      <c r="F55" s="40"/>
      <c r="G55" s="41"/>
      <c r="H55" s="39" t="s">
        <v>139</v>
      </c>
      <c r="I55" s="137">
        <v>0.25</v>
      </c>
      <c r="J55" s="138">
        <f>ROUND(C53*I55,0)</f>
        <v>618</v>
      </c>
    </row>
    <row r="56" spans="1:10" ht="21.6" customHeight="1" thickBot="1">
      <c r="A56" s="599"/>
      <c r="B56" s="139"/>
      <c r="C56" s="149" t="s">
        <v>140</v>
      </c>
      <c r="D56" s="149"/>
      <c r="E56" s="149"/>
      <c r="F56" s="150"/>
      <c r="G56" s="141"/>
      <c r="H56" s="141" t="s">
        <v>141</v>
      </c>
      <c r="I56" s="142">
        <v>0.15</v>
      </c>
      <c r="J56" s="143">
        <f>ROUND(C53*I56,0)</f>
        <v>371</v>
      </c>
    </row>
    <row r="57" spans="1:10" ht="15" customHeight="1">
      <c r="A57" s="40" t="s">
        <v>148</v>
      </c>
      <c r="B57" s="151" t="s">
        <v>149</v>
      </c>
      <c r="C57" s="152"/>
      <c r="D57" s="153"/>
      <c r="E57" s="153"/>
      <c r="F57" s="154"/>
      <c r="G57" s="44"/>
      <c r="H57" s="44"/>
      <c r="I57" s="44"/>
      <c r="J57" s="155"/>
    </row>
    <row r="58" spans="1:10" ht="15" customHeight="1">
      <c r="A58" s="40"/>
      <c r="B58" s="42" t="s">
        <v>150</v>
      </c>
      <c r="C58" s="131"/>
      <c r="D58" s="39"/>
      <c r="E58" s="39"/>
      <c r="F58" s="40"/>
      <c r="G58" s="41"/>
      <c r="H58" s="41"/>
      <c r="I58" s="41"/>
      <c r="J58" s="91"/>
    </row>
    <row r="59" spans="1:10" ht="15" customHeight="1">
      <c r="A59" s="40"/>
      <c r="B59" s="42" t="s">
        <v>151</v>
      </c>
      <c r="C59" s="41"/>
      <c r="D59" s="41"/>
      <c r="E59" s="41"/>
      <c r="F59" s="41"/>
      <c r="G59" s="41"/>
      <c r="H59" s="41"/>
      <c r="I59" s="41"/>
      <c r="J59" s="41"/>
    </row>
    <row r="60" spans="1:10" ht="15" customHeight="1"/>
  </sheetData>
  <mergeCells count="15">
    <mergeCell ref="A53:A56"/>
    <mergeCell ref="D53:J53"/>
    <mergeCell ref="D25:E25"/>
    <mergeCell ref="A36:A38"/>
    <mergeCell ref="B36:B38"/>
    <mergeCell ref="A39:A45"/>
    <mergeCell ref="B39:B45"/>
    <mergeCell ref="A50:A52"/>
    <mergeCell ref="D50:J50"/>
    <mergeCell ref="A16:A21"/>
    <mergeCell ref="A2:J2"/>
    <mergeCell ref="A5:A10"/>
    <mergeCell ref="A11:A15"/>
    <mergeCell ref="C15:G15"/>
    <mergeCell ref="H15:J1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26"/>
  <sheetViews>
    <sheetView workbookViewId="0">
      <selection activeCell="E17" sqref="E17:E25"/>
    </sheetView>
  </sheetViews>
  <sheetFormatPr defaultRowHeight="13.5"/>
  <cols>
    <col min="1" max="1" width="12" customWidth="1"/>
    <col min="2" max="2" width="12.875" customWidth="1"/>
    <col min="3" max="3" width="14.375" customWidth="1"/>
  </cols>
  <sheetData>
    <row r="1" spans="1:40" s="329" customFormat="1" ht="29.25" customHeight="1">
      <c r="A1" s="162" t="s">
        <v>154</v>
      </c>
      <c r="B1" s="163">
        <f>K13</f>
        <v>1.0430999999999999</v>
      </c>
      <c r="C1" s="164" t="s">
        <v>155</v>
      </c>
      <c r="D1" s="165"/>
      <c r="E1" s="165"/>
      <c r="F1" s="165"/>
      <c r="G1" s="165"/>
      <c r="H1" s="165"/>
      <c r="I1" s="165"/>
      <c r="J1" s="165"/>
      <c r="K1" s="165"/>
      <c r="L1" s="165"/>
      <c r="M1"/>
      <c r="N1"/>
      <c r="P1" s="330"/>
      <c r="Q1" s="330"/>
      <c r="R1" s="331"/>
      <c r="S1" s="331"/>
      <c r="T1" s="331"/>
      <c r="U1" s="331"/>
      <c r="V1" s="331"/>
      <c r="W1" s="330"/>
      <c r="X1" s="330"/>
      <c r="Y1" s="330"/>
      <c r="Z1" s="330"/>
      <c r="AA1" s="330"/>
      <c r="AB1" s="330"/>
      <c r="AC1" s="330"/>
      <c r="AD1" s="331"/>
      <c r="AE1" s="332"/>
      <c r="AF1" s="332"/>
      <c r="AG1" s="332"/>
      <c r="AH1" s="332"/>
      <c r="AI1" s="332"/>
      <c r="AJ1" s="332"/>
      <c r="AK1" s="332"/>
      <c r="AL1" s="332"/>
      <c r="AM1" s="332"/>
      <c r="AN1" s="332"/>
    </row>
    <row r="2" spans="1:40" s="329" customFormat="1" ht="29.25" customHeight="1">
      <c r="A2" s="533" t="s">
        <v>156</v>
      </c>
      <c r="B2" s="533"/>
      <c r="C2" s="533"/>
      <c r="D2" s="533"/>
      <c r="E2" s="533"/>
      <c r="F2" s="166">
        <v>12.5</v>
      </c>
      <c r="G2" s="533" t="s">
        <v>157</v>
      </c>
      <c r="H2" s="533"/>
      <c r="I2" s="533"/>
      <c r="J2" s="533"/>
      <c r="K2" s="533"/>
      <c r="L2" s="156">
        <v>12.5</v>
      </c>
      <c r="M2"/>
      <c r="N2"/>
      <c r="P2" s="330"/>
      <c r="Q2" s="330"/>
      <c r="R2" s="331"/>
      <c r="S2" s="331"/>
      <c r="T2" s="331"/>
      <c r="U2" s="331"/>
      <c r="V2" s="331"/>
      <c r="W2" s="330"/>
      <c r="X2" s="330"/>
      <c r="Y2" s="330"/>
      <c r="Z2" s="330"/>
      <c r="AA2" s="330"/>
      <c r="AB2" s="330"/>
      <c r="AC2" s="330"/>
      <c r="AD2" s="331"/>
      <c r="AE2" s="332"/>
      <c r="AF2" s="332"/>
      <c r="AG2" s="332"/>
      <c r="AH2" s="332"/>
      <c r="AI2" s="332"/>
      <c r="AJ2" s="332"/>
      <c r="AK2" s="332"/>
      <c r="AL2" s="332"/>
      <c r="AM2" s="332"/>
      <c r="AN2" s="332"/>
    </row>
    <row r="3" spans="1:40" s="329" customFormat="1" ht="29.25" customHeight="1">
      <c r="A3" s="70" t="s">
        <v>158</v>
      </c>
      <c r="B3" s="70" t="s">
        <v>159</v>
      </c>
      <c r="C3" s="70" t="s">
        <v>61</v>
      </c>
      <c r="D3" s="167" t="s">
        <v>160</v>
      </c>
      <c r="E3" s="337" t="s">
        <v>161</v>
      </c>
      <c r="F3" s="168"/>
      <c r="G3" s="70" t="s">
        <v>158</v>
      </c>
      <c r="H3" s="70" t="s">
        <v>159</v>
      </c>
      <c r="I3" s="70" t="s">
        <v>61</v>
      </c>
      <c r="J3" s="167" t="s">
        <v>160</v>
      </c>
      <c r="K3" s="337" t="s">
        <v>161</v>
      </c>
      <c r="L3" s="156"/>
      <c r="M3"/>
      <c r="N3"/>
      <c r="P3" s="330"/>
      <c r="Q3" s="330"/>
      <c r="R3" s="331"/>
      <c r="S3" s="331"/>
      <c r="T3" s="331"/>
      <c r="U3" s="331"/>
      <c r="V3" s="331"/>
      <c r="W3" s="330"/>
      <c r="X3" s="330"/>
      <c r="Y3" s="330"/>
      <c r="Z3" s="330"/>
      <c r="AA3" s="330"/>
      <c r="AB3" s="330"/>
      <c r="AC3" s="330"/>
      <c r="AD3" s="331"/>
      <c r="AE3" s="332"/>
      <c r="AF3" s="332"/>
      <c r="AG3" s="332"/>
      <c r="AH3" s="332"/>
      <c r="AI3" s="332"/>
      <c r="AJ3" s="332"/>
      <c r="AK3" s="332"/>
      <c r="AL3" s="332"/>
      <c r="AM3" s="332"/>
      <c r="AN3" s="332"/>
    </row>
    <row r="4" spans="1:40" s="329" customFormat="1" ht="29.25" customHeight="1">
      <c r="A4" s="70" t="s">
        <v>166</v>
      </c>
      <c r="B4" s="368" t="s">
        <v>335</v>
      </c>
      <c r="C4" s="170">
        <v>6.25E-2</v>
      </c>
      <c r="D4" s="171">
        <v>0.33</v>
      </c>
      <c r="E4" s="528">
        <f>C4*D4+C5*D5+C6*D6+C7*D7+C8*D8+C9*D9+C10*D10+C11*D11+C12*D12</f>
        <v>4.8125000000000001E-2</v>
      </c>
      <c r="F4" s="172"/>
      <c r="G4" s="70" t="s">
        <v>338</v>
      </c>
      <c r="H4" s="368" t="s">
        <v>335</v>
      </c>
      <c r="I4" s="170">
        <v>6.25E-2</v>
      </c>
      <c r="J4" s="171">
        <v>0.24</v>
      </c>
      <c r="K4" s="528">
        <f>ROUND(I4*J4+I5*J5+I6*J6+I7*J7+I8*J8+I9*J9+I10*J10+I11*J11+I12*J12,4)</f>
        <v>4.3099999999999999E-2</v>
      </c>
      <c r="L4" s="156"/>
      <c r="M4"/>
      <c r="N4"/>
      <c r="P4" s="330"/>
      <c r="Q4" s="330"/>
      <c r="R4" s="331"/>
      <c r="S4" s="331"/>
      <c r="T4" s="331"/>
      <c r="U4" s="331"/>
      <c r="V4" s="331"/>
      <c r="W4" s="330"/>
      <c r="X4" s="330"/>
      <c r="Y4" s="330"/>
      <c r="Z4" s="330"/>
      <c r="AA4" s="330"/>
      <c r="AB4" s="330"/>
      <c r="AC4" s="330"/>
      <c r="AD4" s="331"/>
      <c r="AE4" s="332"/>
      <c r="AF4" s="332"/>
      <c r="AG4" s="332"/>
      <c r="AH4" s="332"/>
      <c r="AI4" s="332"/>
      <c r="AJ4" s="332"/>
      <c r="AK4" s="332"/>
      <c r="AL4" s="332"/>
      <c r="AM4" s="332"/>
      <c r="AN4" s="332"/>
    </row>
    <row r="5" spans="1:40" s="329" customFormat="1" ht="29.25" customHeight="1">
      <c r="A5" s="70" t="s">
        <v>170</v>
      </c>
      <c r="B5" s="368" t="s">
        <v>337</v>
      </c>
      <c r="C5" s="170">
        <v>0</v>
      </c>
      <c r="D5" s="171">
        <v>0.25</v>
      </c>
      <c r="E5" s="529"/>
      <c r="F5" s="173"/>
      <c r="G5" s="70" t="s">
        <v>170</v>
      </c>
      <c r="H5" s="368" t="s">
        <v>337</v>
      </c>
      <c r="I5" s="170">
        <v>0</v>
      </c>
      <c r="J5" s="171">
        <v>0.3</v>
      </c>
      <c r="K5" s="529"/>
      <c r="L5" s="156"/>
      <c r="M5"/>
      <c r="N5"/>
      <c r="P5" s="330"/>
      <c r="Q5" s="330"/>
      <c r="R5" s="331"/>
      <c r="S5" s="331"/>
      <c r="T5" s="331"/>
      <c r="U5" s="331"/>
      <c r="V5" s="331"/>
      <c r="W5" s="330"/>
      <c r="X5" s="330"/>
      <c r="Y5" s="330"/>
      <c r="Z5" s="330"/>
      <c r="AA5" s="330"/>
      <c r="AB5" s="330"/>
      <c r="AC5" s="330"/>
      <c r="AD5" s="331"/>
      <c r="AE5" s="332"/>
      <c r="AF5" s="332"/>
      <c r="AG5" s="332"/>
      <c r="AH5" s="332"/>
      <c r="AI5" s="332"/>
      <c r="AJ5" s="332"/>
      <c r="AK5" s="332"/>
      <c r="AL5" s="332"/>
      <c r="AM5" s="332"/>
      <c r="AN5" s="332"/>
    </row>
    <row r="6" spans="1:40" s="329" customFormat="1" ht="29.25" customHeight="1">
      <c r="A6" s="70" t="s">
        <v>340</v>
      </c>
      <c r="B6" s="368" t="s">
        <v>335</v>
      </c>
      <c r="C6" s="170">
        <v>6.25E-2</v>
      </c>
      <c r="D6" s="171">
        <v>0.05</v>
      </c>
      <c r="E6" s="529"/>
      <c r="F6" s="173"/>
      <c r="G6" s="70" t="s">
        <v>340</v>
      </c>
      <c r="H6" s="368" t="s">
        <v>335</v>
      </c>
      <c r="I6" s="170">
        <v>6.25E-2</v>
      </c>
      <c r="J6" s="171">
        <v>0.08</v>
      </c>
      <c r="K6" s="529"/>
      <c r="L6" s="156"/>
      <c r="M6"/>
      <c r="N6"/>
      <c r="P6" s="330"/>
      <c r="Q6" s="330"/>
      <c r="R6" s="331"/>
      <c r="S6" s="331"/>
      <c r="T6" s="331"/>
      <c r="U6" s="331"/>
      <c r="V6" s="331"/>
      <c r="W6" s="330"/>
      <c r="X6" s="330"/>
      <c r="Y6" s="330"/>
      <c r="Z6" s="330"/>
      <c r="AA6" s="330"/>
      <c r="AB6" s="330"/>
      <c r="AC6" s="330"/>
      <c r="AD6" s="331"/>
      <c r="AE6" s="332"/>
      <c r="AF6" s="332"/>
      <c r="AG6" s="332"/>
      <c r="AH6" s="332"/>
      <c r="AI6" s="332"/>
      <c r="AJ6" s="332"/>
      <c r="AK6" s="332"/>
      <c r="AL6" s="332"/>
      <c r="AM6" s="332"/>
      <c r="AN6" s="332"/>
    </row>
    <row r="7" spans="1:40" ht="29.25" customHeight="1">
      <c r="A7" s="70" t="s">
        <v>173</v>
      </c>
      <c r="B7" s="368" t="s">
        <v>335</v>
      </c>
      <c r="C7" s="170">
        <v>6.25E-2</v>
      </c>
      <c r="D7" s="171">
        <v>0.05</v>
      </c>
      <c r="E7" s="529"/>
      <c r="F7" s="173"/>
      <c r="G7" s="70" t="s">
        <v>173</v>
      </c>
      <c r="H7" s="368" t="s">
        <v>335</v>
      </c>
      <c r="I7" s="170">
        <v>6.25E-2</v>
      </c>
      <c r="J7" s="171">
        <v>0.04</v>
      </c>
      <c r="K7" s="529"/>
      <c r="L7" s="156"/>
    </row>
    <row r="8" spans="1:40" ht="24">
      <c r="A8" s="70" t="s">
        <v>174</v>
      </c>
      <c r="B8" s="368" t="s">
        <v>337</v>
      </c>
      <c r="C8" s="170">
        <v>0.125</v>
      </c>
      <c r="D8" s="171">
        <v>0.08</v>
      </c>
      <c r="E8" s="529"/>
      <c r="F8" s="173"/>
      <c r="G8" s="70" t="s">
        <v>174</v>
      </c>
      <c r="H8" s="368" t="s">
        <v>337</v>
      </c>
      <c r="I8" s="170">
        <v>0.125</v>
      </c>
      <c r="J8" s="171">
        <v>0.05</v>
      </c>
      <c r="K8" s="529"/>
      <c r="L8" s="156"/>
    </row>
    <row r="9" spans="1:40" ht="24">
      <c r="A9" s="70" t="s">
        <v>341</v>
      </c>
      <c r="B9" s="368" t="s">
        <v>335</v>
      </c>
      <c r="C9" s="170">
        <v>6.25E-2</v>
      </c>
      <c r="D9" s="171">
        <v>0.03</v>
      </c>
      <c r="E9" s="529"/>
      <c r="F9" s="173"/>
      <c r="G9" s="70" t="s">
        <v>341</v>
      </c>
      <c r="H9" s="368" t="s">
        <v>335</v>
      </c>
      <c r="I9" s="170">
        <v>6.25E-2</v>
      </c>
      <c r="J9" s="171">
        <v>0.05</v>
      </c>
      <c r="K9" s="529"/>
      <c r="L9" s="156"/>
    </row>
    <row r="10" spans="1:40" ht="24">
      <c r="A10" s="70" t="s">
        <v>342</v>
      </c>
      <c r="B10" s="368" t="s">
        <v>335</v>
      </c>
      <c r="C10" s="170">
        <v>6.25E-2</v>
      </c>
      <c r="D10" s="171">
        <v>0.05</v>
      </c>
      <c r="E10" s="529"/>
      <c r="F10" s="173"/>
      <c r="G10" s="70" t="s">
        <v>342</v>
      </c>
      <c r="H10" s="368" t="s">
        <v>335</v>
      </c>
      <c r="I10" s="170">
        <v>6.25E-2</v>
      </c>
      <c r="J10" s="171">
        <v>0.06</v>
      </c>
      <c r="K10" s="529"/>
      <c r="L10" s="156"/>
    </row>
    <row r="11" spans="1:40" ht="24">
      <c r="A11" s="70" t="s">
        <v>343</v>
      </c>
      <c r="B11" s="368" t="s">
        <v>335</v>
      </c>
      <c r="C11" s="170">
        <v>6.25E-2</v>
      </c>
      <c r="D11" s="171">
        <v>0.1</v>
      </c>
      <c r="E11" s="529"/>
      <c r="F11" s="173"/>
      <c r="G11" s="70" t="s">
        <v>343</v>
      </c>
      <c r="H11" s="368" t="s">
        <v>335</v>
      </c>
      <c r="I11" s="170">
        <v>6.25E-2</v>
      </c>
      <c r="J11" s="171">
        <v>0.12</v>
      </c>
      <c r="K11" s="529"/>
      <c r="L11" s="156"/>
    </row>
    <row r="12" spans="1:40" ht="24">
      <c r="A12" s="70" t="s">
        <v>181</v>
      </c>
      <c r="B12" s="368" t="s">
        <v>336</v>
      </c>
      <c r="C12" s="170">
        <v>0</v>
      </c>
      <c r="D12" s="171">
        <v>0.06</v>
      </c>
      <c r="E12" s="530"/>
      <c r="F12" s="174"/>
      <c r="G12" s="70" t="s">
        <v>181</v>
      </c>
      <c r="H12" s="368" t="s">
        <v>336</v>
      </c>
      <c r="I12" s="170">
        <v>0</v>
      </c>
      <c r="J12" s="171">
        <v>0.06</v>
      </c>
      <c r="K12" s="530"/>
      <c r="L12" s="156"/>
    </row>
    <row r="13" spans="1:40">
      <c r="A13" s="156"/>
      <c r="B13" s="156"/>
      <c r="C13" s="156"/>
      <c r="D13" s="156"/>
      <c r="E13" s="175">
        <f>1+E4</f>
        <v>1.048125</v>
      </c>
      <c r="F13" s="176"/>
      <c r="G13" s="156"/>
      <c r="H13" s="156"/>
      <c r="I13" s="156"/>
      <c r="J13" s="156"/>
      <c r="K13" s="175">
        <f>1+K4</f>
        <v>1.0430999999999999</v>
      </c>
      <c r="L13" s="156"/>
    </row>
    <row r="14" spans="1:40">
      <c r="A14" s="177"/>
      <c r="B14" s="177"/>
      <c r="C14" s="177"/>
      <c r="D14" s="177"/>
      <c r="E14" s="176"/>
      <c r="F14" s="176"/>
      <c r="G14" s="177"/>
      <c r="H14" s="177"/>
      <c r="I14" s="177"/>
      <c r="J14" s="177"/>
      <c r="K14" s="176"/>
      <c r="L14" s="156"/>
    </row>
    <row r="15" spans="1:40">
      <c r="A15" s="533" t="s">
        <v>182</v>
      </c>
      <c r="B15" s="533"/>
      <c r="C15" s="533"/>
      <c r="D15" s="533"/>
      <c r="E15" s="533"/>
      <c r="F15" s="166">
        <v>15</v>
      </c>
      <c r="G15" s="533" t="s">
        <v>183</v>
      </c>
      <c r="H15" s="533"/>
      <c r="I15" s="533"/>
      <c r="J15" s="533"/>
      <c r="K15" s="533"/>
      <c r="L15" s="156">
        <v>15</v>
      </c>
    </row>
    <row r="16" spans="1:40">
      <c r="A16" s="70" t="s">
        <v>158</v>
      </c>
      <c r="B16" s="70" t="s">
        <v>159</v>
      </c>
      <c r="C16" s="70" t="s">
        <v>61</v>
      </c>
      <c r="D16" s="167" t="s">
        <v>160</v>
      </c>
      <c r="E16" s="337" t="s">
        <v>161</v>
      </c>
      <c r="F16" s="168"/>
      <c r="G16" s="70" t="s">
        <v>158</v>
      </c>
      <c r="H16" s="70" t="s">
        <v>159</v>
      </c>
      <c r="I16" s="70" t="s">
        <v>61</v>
      </c>
      <c r="J16" s="167" t="s">
        <v>160</v>
      </c>
      <c r="K16" s="337" t="s">
        <v>161</v>
      </c>
      <c r="L16" s="156"/>
    </row>
    <row r="17" spans="1:12" ht="24">
      <c r="A17" s="70" t="s">
        <v>184</v>
      </c>
      <c r="B17" s="169" t="s">
        <v>167</v>
      </c>
      <c r="C17" s="178">
        <v>0</v>
      </c>
      <c r="D17" s="171">
        <v>0.14000000000000001</v>
      </c>
      <c r="E17" s="528">
        <f>C17*D17+C18*D18+C19*D19+C20*D20+C21*D21+C22*D22+C23*D23+C24*D24+C25*D25</f>
        <v>3.8999999999999993E-2</v>
      </c>
      <c r="F17" s="172"/>
      <c r="G17" s="70" t="s">
        <v>185</v>
      </c>
      <c r="H17" s="169" t="s">
        <v>339</v>
      </c>
      <c r="I17" s="178">
        <v>-0.05</v>
      </c>
      <c r="J17" s="171">
        <v>0.26</v>
      </c>
      <c r="K17" s="531">
        <f>I17*J17+I18*J18+I19*J19+I20*J20+I21*J21+I22*J22+I23*J23+I24*J24</f>
        <v>-5.000000000000001E-2</v>
      </c>
      <c r="L17" s="156"/>
    </row>
    <row r="18" spans="1:12">
      <c r="A18" s="70" t="s">
        <v>170</v>
      </c>
      <c r="B18" s="169" t="str">
        <f>H5</f>
        <v>好</v>
      </c>
      <c r="C18" s="178">
        <v>0</v>
      </c>
      <c r="D18" s="171">
        <v>0.3</v>
      </c>
      <c r="E18" s="529"/>
      <c r="F18" s="173"/>
      <c r="G18" s="70" t="s">
        <v>170</v>
      </c>
      <c r="H18" s="169" t="s">
        <v>339</v>
      </c>
      <c r="I18" s="178">
        <v>-0.05</v>
      </c>
      <c r="J18" s="171">
        <v>0.33</v>
      </c>
      <c r="K18" s="531"/>
      <c r="L18" s="156"/>
    </row>
    <row r="19" spans="1:12" ht="24">
      <c r="A19" s="70" t="s">
        <v>340</v>
      </c>
      <c r="B19" s="169" t="s">
        <v>167</v>
      </c>
      <c r="C19" s="178">
        <v>0</v>
      </c>
      <c r="D19" s="171">
        <v>0.08</v>
      </c>
      <c r="E19" s="529"/>
      <c r="F19" s="173"/>
      <c r="G19" s="70" t="s">
        <v>340</v>
      </c>
      <c r="H19" s="169" t="s">
        <v>339</v>
      </c>
      <c r="I19" s="178">
        <v>-0.05</v>
      </c>
      <c r="J19" s="171">
        <v>0.05</v>
      </c>
      <c r="K19" s="531"/>
      <c r="L19" s="156"/>
    </row>
    <row r="20" spans="1:12">
      <c r="A20" s="70" t="s">
        <v>344</v>
      </c>
      <c r="B20" s="169" t="str">
        <f>H8</f>
        <v>好</v>
      </c>
      <c r="C20" s="178">
        <v>0</v>
      </c>
      <c r="D20" s="171">
        <v>0.04</v>
      </c>
      <c r="E20" s="529"/>
      <c r="F20" s="173"/>
      <c r="G20" s="70" t="s">
        <v>344</v>
      </c>
      <c r="H20" s="169" t="s">
        <v>339</v>
      </c>
      <c r="I20" s="178">
        <v>-0.05</v>
      </c>
      <c r="J20" s="171">
        <v>0.04</v>
      </c>
      <c r="K20" s="531"/>
      <c r="L20" s="156"/>
    </row>
    <row r="21" spans="1:12" ht="24">
      <c r="A21" s="70" t="s">
        <v>342</v>
      </c>
      <c r="B21" s="169" t="str">
        <f>H10</f>
        <v>较好</v>
      </c>
      <c r="C21" s="178">
        <v>7.4999999999999997E-2</v>
      </c>
      <c r="D21" s="171">
        <v>0.08</v>
      </c>
      <c r="E21" s="529"/>
      <c r="F21" s="173"/>
      <c r="G21" s="70" t="s">
        <v>342</v>
      </c>
      <c r="H21" s="169" t="s">
        <v>339</v>
      </c>
      <c r="I21" s="178">
        <v>-0.05</v>
      </c>
      <c r="J21" s="171">
        <v>0.06</v>
      </c>
      <c r="K21" s="531"/>
      <c r="L21" s="156"/>
    </row>
    <row r="22" spans="1:12" ht="24">
      <c r="A22" s="70" t="s">
        <v>341</v>
      </c>
      <c r="B22" s="169" t="str">
        <f>H9</f>
        <v>较好</v>
      </c>
      <c r="C22" s="178">
        <v>7.4999999999999997E-2</v>
      </c>
      <c r="D22" s="171">
        <v>0.05</v>
      </c>
      <c r="E22" s="529"/>
      <c r="F22" s="173"/>
      <c r="G22" s="70" t="s">
        <v>341</v>
      </c>
      <c r="H22" s="169" t="s">
        <v>339</v>
      </c>
      <c r="I22" s="178">
        <v>-0.05</v>
      </c>
      <c r="J22" s="171">
        <v>0.05</v>
      </c>
      <c r="K22" s="531"/>
      <c r="L22" s="156"/>
    </row>
    <row r="23" spans="1:12" ht="24">
      <c r="A23" s="70" t="s">
        <v>343</v>
      </c>
      <c r="B23" s="169" t="str">
        <f>H11</f>
        <v>较好</v>
      </c>
      <c r="C23" s="178">
        <v>0.15</v>
      </c>
      <c r="D23" s="171">
        <v>0.12</v>
      </c>
      <c r="E23" s="529"/>
      <c r="F23" s="173"/>
      <c r="G23" s="70" t="s">
        <v>343</v>
      </c>
      <c r="H23" s="169" t="s">
        <v>339</v>
      </c>
      <c r="I23" s="178">
        <v>-0.05</v>
      </c>
      <c r="J23" s="171">
        <v>0.15</v>
      </c>
      <c r="K23" s="531"/>
      <c r="L23" s="156"/>
    </row>
    <row r="24" spans="1:12" ht="24">
      <c r="A24" s="70" t="s">
        <v>181</v>
      </c>
      <c r="B24" s="169" t="str">
        <f>H12</f>
        <v>一般</v>
      </c>
      <c r="C24" s="178">
        <v>7.4999999999999997E-2</v>
      </c>
      <c r="D24" s="171">
        <v>0.15</v>
      </c>
      <c r="E24" s="529"/>
      <c r="F24" s="173"/>
      <c r="G24" s="70" t="s">
        <v>345</v>
      </c>
      <c r="H24" s="169" t="s">
        <v>339</v>
      </c>
      <c r="I24" s="178">
        <v>-0.05</v>
      </c>
      <c r="J24" s="171">
        <v>0.06</v>
      </c>
      <c r="K24" s="531"/>
      <c r="L24" s="156"/>
    </row>
    <row r="25" spans="1:12" ht="24">
      <c r="A25" s="70" t="s">
        <v>190</v>
      </c>
      <c r="B25" s="169" t="s">
        <v>167</v>
      </c>
      <c r="C25" s="178">
        <v>0</v>
      </c>
      <c r="D25" s="171">
        <v>0.04</v>
      </c>
      <c r="E25" s="530"/>
      <c r="F25" s="179"/>
      <c r="G25" s="180"/>
      <c r="H25" s="181"/>
      <c r="I25" s="182"/>
      <c r="J25" s="183"/>
      <c r="K25" s="175">
        <f>1+K17</f>
        <v>0.95</v>
      </c>
      <c r="L25" s="156"/>
    </row>
    <row r="26" spans="1:12">
      <c r="A26" s="156"/>
      <c r="B26" s="156"/>
      <c r="C26" s="156"/>
      <c r="D26" s="156"/>
      <c r="E26" s="175">
        <f>1+E17</f>
        <v>1.0389999999999999</v>
      </c>
      <c r="F26" s="176"/>
      <c r="G26" s="156"/>
      <c r="H26" s="156"/>
      <c r="I26" s="156"/>
      <c r="J26" s="156"/>
      <c r="K26" s="156"/>
      <c r="L26" s="156"/>
    </row>
  </sheetData>
  <mergeCells count="8">
    <mergeCell ref="E17:E25"/>
    <mergeCell ref="K17:K24"/>
    <mergeCell ref="A2:E2"/>
    <mergeCell ref="G2:K2"/>
    <mergeCell ref="E4:E12"/>
    <mergeCell ref="K4:K12"/>
    <mergeCell ref="A15:E15"/>
    <mergeCell ref="G15:K15"/>
  </mergeCells>
  <phoneticPr fontId="1" type="noConversion"/>
  <dataValidations count="1">
    <dataValidation type="list" allowBlank="1" showInputMessage="1" showErrorMessage="1" sqref="H4:H12 B4:B12">
      <formula1>五等判定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6" sqref="E16"/>
    </sheetView>
  </sheetViews>
  <sheetFormatPr defaultRowHeight="29.25" customHeight="1"/>
  <cols>
    <col min="1" max="2" width="11" style="376" customWidth="1"/>
    <col min="3" max="3" width="12.625" style="376" customWidth="1"/>
    <col min="4" max="6" width="13.375" style="376" customWidth="1"/>
    <col min="7" max="256" width="9" style="375"/>
    <col min="257" max="258" width="11" style="375" customWidth="1"/>
    <col min="259" max="259" width="12.625" style="375" customWidth="1"/>
    <col min="260" max="262" width="13.375" style="375" customWidth="1"/>
    <col min="263" max="512" width="9" style="375"/>
    <col min="513" max="514" width="11" style="375" customWidth="1"/>
    <col min="515" max="515" width="12.625" style="375" customWidth="1"/>
    <col min="516" max="518" width="13.375" style="375" customWidth="1"/>
    <col min="519" max="768" width="9" style="375"/>
    <col min="769" max="770" width="11" style="375" customWidth="1"/>
    <col min="771" max="771" width="12.625" style="375" customWidth="1"/>
    <col min="772" max="774" width="13.375" style="375" customWidth="1"/>
    <col min="775" max="1024" width="9" style="375"/>
    <col min="1025" max="1026" width="11" style="375" customWidth="1"/>
    <col min="1027" max="1027" width="12.625" style="375" customWidth="1"/>
    <col min="1028" max="1030" width="13.375" style="375" customWidth="1"/>
    <col min="1031" max="1280" width="9" style="375"/>
    <col min="1281" max="1282" width="11" style="375" customWidth="1"/>
    <col min="1283" max="1283" width="12.625" style="375" customWidth="1"/>
    <col min="1284" max="1286" width="13.375" style="375" customWidth="1"/>
    <col min="1287" max="1536" width="9" style="375"/>
    <col min="1537" max="1538" width="11" style="375" customWidth="1"/>
    <col min="1539" max="1539" width="12.625" style="375" customWidth="1"/>
    <col min="1540" max="1542" width="13.375" style="375" customWidth="1"/>
    <col min="1543" max="1792" width="9" style="375"/>
    <col min="1793" max="1794" width="11" style="375" customWidth="1"/>
    <col min="1795" max="1795" width="12.625" style="375" customWidth="1"/>
    <col min="1796" max="1798" width="13.375" style="375" customWidth="1"/>
    <col min="1799" max="2048" width="9" style="375"/>
    <col min="2049" max="2050" width="11" style="375" customWidth="1"/>
    <col min="2051" max="2051" width="12.625" style="375" customWidth="1"/>
    <col min="2052" max="2054" width="13.375" style="375" customWidth="1"/>
    <col min="2055" max="2304" width="9" style="375"/>
    <col min="2305" max="2306" width="11" style="375" customWidth="1"/>
    <col min="2307" max="2307" width="12.625" style="375" customWidth="1"/>
    <col min="2308" max="2310" width="13.375" style="375" customWidth="1"/>
    <col min="2311" max="2560" width="9" style="375"/>
    <col min="2561" max="2562" width="11" style="375" customWidth="1"/>
    <col min="2563" max="2563" width="12.625" style="375" customWidth="1"/>
    <col min="2564" max="2566" width="13.375" style="375" customWidth="1"/>
    <col min="2567" max="2816" width="9" style="375"/>
    <col min="2817" max="2818" width="11" style="375" customWidth="1"/>
    <col min="2819" max="2819" width="12.625" style="375" customWidth="1"/>
    <col min="2820" max="2822" width="13.375" style="375" customWidth="1"/>
    <col min="2823" max="3072" width="9" style="375"/>
    <col min="3073" max="3074" width="11" style="375" customWidth="1"/>
    <col min="3075" max="3075" width="12.625" style="375" customWidth="1"/>
    <col min="3076" max="3078" width="13.375" style="375" customWidth="1"/>
    <col min="3079" max="3328" width="9" style="375"/>
    <col min="3329" max="3330" width="11" style="375" customWidth="1"/>
    <col min="3331" max="3331" width="12.625" style="375" customWidth="1"/>
    <col min="3332" max="3334" width="13.375" style="375" customWidth="1"/>
    <col min="3335" max="3584" width="9" style="375"/>
    <col min="3585" max="3586" width="11" style="375" customWidth="1"/>
    <col min="3587" max="3587" width="12.625" style="375" customWidth="1"/>
    <col min="3588" max="3590" width="13.375" style="375" customWidth="1"/>
    <col min="3591" max="3840" width="9" style="375"/>
    <col min="3841" max="3842" width="11" style="375" customWidth="1"/>
    <col min="3843" max="3843" width="12.625" style="375" customWidth="1"/>
    <col min="3844" max="3846" width="13.375" style="375" customWidth="1"/>
    <col min="3847" max="4096" width="9" style="375"/>
    <col min="4097" max="4098" width="11" style="375" customWidth="1"/>
    <col min="4099" max="4099" width="12.625" style="375" customWidth="1"/>
    <col min="4100" max="4102" width="13.375" style="375" customWidth="1"/>
    <col min="4103" max="4352" width="9" style="375"/>
    <col min="4353" max="4354" width="11" style="375" customWidth="1"/>
    <col min="4355" max="4355" width="12.625" style="375" customWidth="1"/>
    <col min="4356" max="4358" width="13.375" style="375" customWidth="1"/>
    <col min="4359" max="4608" width="9" style="375"/>
    <col min="4609" max="4610" width="11" style="375" customWidth="1"/>
    <col min="4611" max="4611" width="12.625" style="375" customWidth="1"/>
    <col min="4612" max="4614" width="13.375" style="375" customWidth="1"/>
    <col min="4615" max="4864" width="9" style="375"/>
    <col min="4865" max="4866" width="11" style="375" customWidth="1"/>
    <col min="4867" max="4867" width="12.625" style="375" customWidth="1"/>
    <col min="4868" max="4870" width="13.375" style="375" customWidth="1"/>
    <col min="4871" max="5120" width="9" style="375"/>
    <col min="5121" max="5122" width="11" style="375" customWidth="1"/>
    <col min="5123" max="5123" width="12.625" style="375" customWidth="1"/>
    <col min="5124" max="5126" width="13.375" style="375" customWidth="1"/>
    <col min="5127" max="5376" width="9" style="375"/>
    <col min="5377" max="5378" width="11" style="375" customWidth="1"/>
    <col min="5379" max="5379" width="12.625" style="375" customWidth="1"/>
    <col min="5380" max="5382" width="13.375" style="375" customWidth="1"/>
    <col min="5383" max="5632" width="9" style="375"/>
    <col min="5633" max="5634" width="11" style="375" customWidth="1"/>
    <col min="5635" max="5635" width="12.625" style="375" customWidth="1"/>
    <col min="5636" max="5638" width="13.375" style="375" customWidth="1"/>
    <col min="5639" max="5888" width="9" style="375"/>
    <col min="5889" max="5890" width="11" style="375" customWidth="1"/>
    <col min="5891" max="5891" width="12.625" style="375" customWidth="1"/>
    <col min="5892" max="5894" width="13.375" style="375" customWidth="1"/>
    <col min="5895" max="6144" width="9" style="375"/>
    <col min="6145" max="6146" width="11" style="375" customWidth="1"/>
    <col min="6147" max="6147" width="12.625" style="375" customWidth="1"/>
    <col min="6148" max="6150" width="13.375" style="375" customWidth="1"/>
    <col min="6151" max="6400" width="9" style="375"/>
    <col min="6401" max="6402" width="11" style="375" customWidth="1"/>
    <col min="6403" max="6403" width="12.625" style="375" customWidth="1"/>
    <col min="6404" max="6406" width="13.375" style="375" customWidth="1"/>
    <col min="6407" max="6656" width="9" style="375"/>
    <col min="6657" max="6658" width="11" style="375" customWidth="1"/>
    <col min="6659" max="6659" width="12.625" style="375" customWidth="1"/>
    <col min="6660" max="6662" width="13.375" style="375" customWidth="1"/>
    <col min="6663" max="6912" width="9" style="375"/>
    <col min="6913" max="6914" width="11" style="375" customWidth="1"/>
    <col min="6915" max="6915" width="12.625" style="375" customWidth="1"/>
    <col min="6916" max="6918" width="13.375" style="375" customWidth="1"/>
    <col min="6919" max="7168" width="9" style="375"/>
    <col min="7169" max="7170" width="11" style="375" customWidth="1"/>
    <col min="7171" max="7171" width="12.625" style="375" customWidth="1"/>
    <col min="7172" max="7174" width="13.375" style="375" customWidth="1"/>
    <col min="7175" max="7424" width="9" style="375"/>
    <col min="7425" max="7426" width="11" style="375" customWidth="1"/>
    <col min="7427" max="7427" width="12.625" style="375" customWidth="1"/>
    <col min="7428" max="7430" width="13.375" style="375" customWidth="1"/>
    <col min="7431" max="7680" width="9" style="375"/>
    <col min="7681" max="7682" width="11" style="375" customWidth="1"/>
    <col min="7683" max="7683" width="12.625" style="375" customWidth="1"/>
    <col min="7684" max="7686" width="13.375" style="375" customWidth="1"/>
    <col min="7687" max="7936" width="9" style="375"/>
    <col min="7937" max="7938" width="11" style="375" customWidth="1"/>
    <col min="7939" max="7939" width="12.625" style="375" customWidth="1"/>
    <col min="7940" max="7942" width="13.375" style="375" customWidth="1"/>
    <col min="7943" max="8192" width="9" style="375"/>
    <col min="8193" max="8194" width="11" style="375" customWidth="1"/>
    <col min="8195" max="8195" width="12.625" style="375" customWidth="1"/>
    <col min="8196" max="8198" width="13.375" style="375" customWidth="1"/>
    <col min="8199" max="8448" width="9" style="375"/>
    <col min="8449" max="8450" width="11" style="375" customWidth="1"/>
    <col min="8451" max="8451" width="12.625" style="375" customWidth="1"/>
    <col min="8452" max="8454" width="13.375" style="375" customWidth="1"/>
    <col min="8455" max="8704" width="9" style="375"/>
    <col min="8705" max="8706" width="11" style="375" customWidth="1"/>
    <col min="8707" max="8707" width="12.625" style="375" customWidth="1"/>
    <col min="8708" max="8710" width="13.375" style="375" customWidth="1"/>
    <col min="8711" max="8960" width="9" style="375"/>
    <col min="8961" max="8962" width="11" style="375" customWidth="1"/>
    <col min="8963" max="8963" width="12.625" style="375" customWidth="1"/>
    <col min="8964" max="8966" width="13.375" style="375" customWidth="1"/>
    <col min="8967" max="9216" width="9" style="375"/>
    <col min="9217" max="9218" width="11" style="375" customWidth="1"/>
    <col min="9219" max="9219" width="12.625" style="375" customWidth="1"/>
    <col min="9220" max="9222" width="13.375" style="375" customWidth="1"/>
    <col min="9223" max="9472" width="9" style="375"/>
    <col min="9473" max="9474" width="11" style="375" customWidth="1"/>
    <col min="9475" max="9475" width="12.625" style="375" customWidth="1"/>
    <col min="9476" max="9478" width="13.375" style="375" customWidth="1"/>
    <col min="9479" max="9728" width="9" style="375"/>
    <col min="9729" max="9730" width="11" style="375" customWidth="1"/>
    <col min="9731" max="9731" width="12.625" style="375" customWidth="1"/>
    <col min="9732" max="9734" width="13.375" style="375" customWidth="1"/>
    <col min="9735" max="9984" width="9" style="375"/>
    <col min="9985" max="9986" width="11" style="375" customWidth="1"/>
    <col min="9987" max="9987" width="12.625" style="375" customWidth="1"/>
    <col min="9988" max="9990" width="13.375" style="375" customWidth="1"/>
    <col min="9991" max="10240" width="9" style="375"/>
    <col min="10241" max="10242" width="11" style="375" customWidth="1"/>
    <col min="10243" max="10243" width="12.625" style="375" customWidth="1"/>
    <col min="10244" max="10246" width="13.375" style="375" customWidth="1"/>
    <col min="10247" max="10496" width="9" style="375"/>
    <col min="10497" max="10498" width="11" style="375" customWidth="1"/>
    <col min="10499" max="10499" width="12.625" style="375" customWidth="1"/>
    <col min="10500" max="10502" width="13.375" style="375" customWidth="1"/>
    <col min="10503" max="10752" width="9" style="375"/>
    <col min="10753" max="10754" width="11" style="375" customWidth="1"/>
    <col min="10755" max="10755" width="12.625" style="375" customWidth="1"/>
    <col min="10756" max="10758" width="13.375" style="375" customWidth="1"/>
    <col min="10759" max="11008" width="9" style="375"/>
    <col min="11009" max="11010" width="11" style="375" customWidth="1"/>
    <col min="11011" max="11011" width="12.625" style="375" customWidth="1"/>
    <col min="11012" max="11014" width="13.375" style="375" customWidth="1"/>
    <col min="11015" max="11264" width="9" style="375"/>
    <col min="11265" max="11266" width="11" style="375" customWidth="1"/>
    <col min="11267" max="11267" width="12.625" style="375" customWidth="1"/>
    <col min="11268" max="11270" width="13.375" style="375" customWidth="1"/>
    <col min="11271" max="11520" width="9" style="375"/>
    <col min="11521" max="11522" width="11" style="375" customWidth="1"/>
    <col min="11523" max="11523" width="12.625" style="375" customWidth="1"/>
    <col min="11524" max="11526" width="13.375" style="375" customWidth="1"/>
    <col min="11527" max="11776" width="9" style="375"/>
    <col min="11777" max="11778" width="11" style="375" customWidth="1"/>
    <col min="11779" max="11779" width="12.625" style="375" customWidth="1"/>
    <col min="11780" max="11782" width="13.375" style="375" customWidth="1"/>
    <col min="11783" max="12032" width="9" style="375"/>
    <col min="12033" max="12034" width="11" style="375" customWidth="1"/>
    <col min="12035" max="12035" width="12.625" style="375" customWidth="1"/>
    <col min="12036" max="12038" width="13.375" style="375" customWidth="1"/>
    <col min="12039" max="12288" width="9" style="375"/>
    <col min="12289" max="12290" width="11" style="375" customWidth="1"/>
    <col min="12291" max="12291" width="12.625" style="375" customWidth="1"/>
    <col min="12292" max="12294" width="13.375" style="375" customWidth="1"/>
    <col min="12295" max="12544" width="9" style="375"/>
    <col min="12545" max="12546" width="11" style="375" customWidth="1"/>
    <col min="12547" max="12547" width="12.625" style="375" customWidth="1"/>
    <col min="12548" max="12550" width="13.375" style="375" customWidth="1"/>
    <col min="12551" max="12800" width="9" style="375"/>
    <col min="12801" max="12802" width="11" style="375" customWidth="1"/>
    <col min="12803" max="12803" width="12.625" style="375" customWidth="1"/>
    <col min="12804" max="12806" width="13.375" style="375" customWidth="1"/>
    <col min="12807" max="13056" width="9" style="375"/>
    <col min="13057" max="13058" width="11" style="375" customWidth="1"/>
    <col min="13059" max="13059" width="12.625" style="375" customWidth="1"/>
    <col min="13060" max="13062" width="13.375" style="375" customWidth="1"/>
    <col min="13063" max="13312" width="9" style="375"/>
    <col min="13313" max="13314" width="11" style="375" customWidth="1"/>
    <col min="13315" max="13315" width="12.625" style="375" customWidth="1"/>
    <col min="13316" max="13318" width="13.375" style="375" customWidth="1"/>
    <col min="13319" max="13568" width="9" style="375"/>
    <col min="13569" max="13570" width="11" style="375" customWidth="1"/>
    <col min="13571" max="13571" width="12.625" style="375" customWidth="1"/>
    <col min="13572" max="13574" width="13.375" style="375" customWidth="1"/>
    <col min="13575" max="13824" width="9" style="375"/>
    <col min="13825" max="13826" width="11" style="375" customWidth="1"/>
    <col min="13827" max="13827" width="12.625" style="375" customWidth="1"/>
    <col min="13828" max="13830" width="13.375" style="375" customWidth="1"/>
    <col min="13831" max="14080" width="9" style="375"/>
    <col min="14081" max="14082" width="11" style="375" customWidth="1"/>
    <col min="14083" max="14083" width="12.625" style="375" customWidth="1"/>
    <col min="14084" max="14086" width="13.375" style="375" customWidth="1"/>
    <col min="14087" max="14336" width="9" style="375"/>
    <col min="14337" max="14338" width="11" style="375" customWidth="1"/>
    <col min="14339" max="14339" width="12.625" style="375" customWidth="1"/>
    <col min="14340" max="14342" width="13.375" style="375" customWidth="1"/>
    <col min="14343" max="14592" width="9" style="375"/>
    <col min="14593" max="14594" width="11" style="375" customWidth="1"/>
    <col min="14595" max="14595" width="12.625" style="375" customWidth="1"/>
    <col min="14596" max="14598" width="13.375" style="375" customWidth="1"/>
    <col min="14599" max="14848" width="9" style="375"/>
    <col min="14849" max="14850" width="11" style="375" customWidth="1"/>
    <col min="14851" max="14851" width="12.625" style="375" customWidth="1"/>
    <col min="14852" max="14854" width="13.375" style="375" customWidth="1"/>
    <col min="14855" max="15104" width="9" style="375"/>
    <col min="15105" max="15106" width="11" style="375" customWidth="1"/>
    <col min="15107" max="15107" width="12.625" style="375" customWidth="1"/>
    <col min="15108" max="15110" width="13.375" style="375" customWidth="1"/>
    <col min="15111" max="15360" width="9" style="375"/>
    <col min="15361" max="15362" width="11" style="375" customWidth="1"/>
    <col min="15363" max="15363" width="12.625" style="375" customWidth="1"/>
    <col min="15364" max="15366" width="13.375" style="375" customWidth="1"/>
    <col min="15367" max="15616" width="9" style="375"/>
    <col min="15617" max="15618" width="11" style="375" customWidth="1"/>
    <col min="15619" max="15619" width="12.625" style="375" customWidth="1"/>
    <col min="15620" max="15622" width="13.375" style="375" customWidth="1"/>
    <col min="15623" max="15872" width="9" style="375"/>
    <col min="15873" max="15874" width="11" style="375" customWidth="1"/>
    <col min="15875" max="15875" width="12.625" style="375" customWidth="1"/>
    <col min="15876" max="15878" width="13.375" style="375" customWidth="1"/>
    <col min="15879" max="16128" width="9" style="375"/>
    <col min="16129" max="16130" width="11" style="375" customWidth="1"/>
    <col min="16131" max="16131" width="12.625" style="375" customWidth="1"/>
    <col min="16132" max="16134" width="13.375" style="375" customWidth="1"/>
    <col min="16135" max="16384" width="9" style="375"/>
  </cols>
  <sheetData>
    <row r="1" spans="1:6" ht="29.25" customHeight="1">
      <c r="A1" s="615" t="s">
        <v>374</v>
      </c>
      <c r="B1" s="615"/>
      <c r="C1" s="615"/>
      <c r="D1" s="615"/>
      <c r="E1" s="615"/>
      <c r="F1" s="615"/>
    </row>
    <row r="2" spans="1:6" s="387" customFormat="1" ht="21.75" customHeight="1">
      <c r="A2" s="660" t="s">
        <v>375</v>
      </c>
      <c r="B2" s="660" t="s">
        <v>376</v>
      </c>
      <c r="C2" s="660" t="s">
        <v>377</v>
      </c>
      <c r="D2" s="660" t="s">
        <v>378</v>
      </c>
      <c r="E2" s="660"/>
      <c r="F2" s="660"/>
    </row>
    <row r="3" spans="1:6" s="387" customFormat="1" ht="21.75" customHeight="1">
      <c r="A3" s="660"/>
      <c r="B3" s="660"/>
      <c r="C3" s="660"/>
      <c r="D3" s="388" t="s">
        <v>379</v>
      </c>
      <c r="E3" s="388" t="s">
        <v>380</v>
      </c>
      <c r="F3" s="388" t="s">
        <v>381</v>
      </c>
    </row>
    <row r="4" spans="1:6" s="387" customFormat="1" ht="29.25" customHeight="1">
      <c r="A4" s="660" t="s">
        <v>382</v>
      </c>
      <c r="B4" s="660" t="s">
        <v>383</v>
      </c>
      <c r="C4" s="388" t="s">
        <v>384</v>
      </c>
      <c r="D4" s="388">
        <v>0.8</v>
      </c>
      <c r="E4" s="388">
        <v>0.7</v>
      </c>
      <c r="F4" s="388">
        <v>0.6</v>
      </c>
    </row>
    <row r="5" spans="1:6" s="387" customFormat="1" ht="29.25" customHeight="1">
      <c r="A5" s="660"/>
      <c r="B5" s="660"/>
      <c r="C5" s="388" t="s">
        <v>385</v>
      </c>
      <c r="D5" s="388">
        <v>0.5</v>
      </c>
      <c r="E5" s="388">
        <v>0.4</v>
      </c>
      <c r="F5" s="388">
        <v>0.3</v>
      </c>
    </row>
    <row r="6" spans="1:6" s="387" customFormat="1" ht="29.25" customHeight="1">
      <c r="A6" s="660"/>
      <c r="B6" s="660"/>
      <c r="C6" s="388" t="s">
        <v>386</v>
      </c>
      <c r="D6" s="388">
        <v>0.36</v>
      </c>
      <c r="E6" s="388">
        <v>0.28000000000000003</v>
      </c>
      <c r="F6" s="388">
        <v>0.2</v>
      </c>
    </row>
    <row r="7" spans="1:6" s="387" customFormat="1" ht="29.25" customHeight="1">
      <c r="A7" s="660"/>
      <c r="B7" s="660"/>
      <c r="C7" s="388" t="s">
        <v>387</v>
      </c>
      <c r="D7" s="388">
        <v>0.3</v>
      </c>
      <c r="E7" s="388">
        <v>0.25</v>
      </c>
      <c r="F7" s="388">
        <v>0.2</v>
      </c>
    </row>
    <row r="8" spans="1:6" s="387" customFormat="1" ht="33.75" customHeight="1">
      <c r="A8" s="388" t="s">
        <v>388</v>
      </c>
      <c r="B8" s="388" t="s">
        <v>389</v>
      </c>
      <c r="C8" s="388" t="s">
        <v>390</v>
      </c>
      <c r="D8" s="388">
        <v>0.3</v>
      </c>
      <c r="E8" s="388">
        <v>0.25</v>
      </c>
      <c r="F8" s="388">
        <v>0.2</v>
      </c>
    </row>
    <row r="9" spans="1:6" s="387" customFormat="1" ht="33.75" customHeight="1">
      <c r="A9" s="388" t="s">
        <v>391</v>
      </c>
      <c r="B9" s="388" t="s">
        <v>392</v>
      </c>
      <c r="C9" s="388" t="s">
        <v>390</v>
      </c>
      <c r="D9" s="388">
        <v>0.3</v>
      </c>
      <c r="E9" s="388">
        <v>0.25</v>
      </c>
      <c r="F9" s="388">
        <v>0.2</v>
      </c>
    </row>
    <row r="10" spans="1:6" s="387" customFormat="1" ht="33.75" customHeight="1">
      <c r="A10" s="388" t="s">
        <v>393</v>
      </c>
      <c r="B10" s="388" t="s">
        <v>392</v>
      </c>
      <c r="C10" s="388" t="s">
        <v>390</v>
      </c>
      <c r="D10" s="388">
        <v>0.25</v>
      </c>
      <c r="E10" s="388">
        <v>0.2</v>
      </c>
      <c r="F10" s="388">
        <v>0.15</v>
      </c>
    </row>
  </sheetData>
  <mergeCells count="7">
    <mergeCell ref="A4:A7"/>
    <mergeCell ref="B4:B7"/>
    <mergeCell ref="A1:F1"/>
    <mergeCell ref="A2:A3"/>
    <mergeCell ref="B2:B3"/>
    <mergeCell ref="C2:C3"/>
    <mergeCell ref="D2:F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AH105"/>
  <sheetViews>
    <sheetView zoomScale="80" zoomScaleNormal="80" workbookViewId="0">
      <selection activeCell="E79" sqref="E79"/>
    </sheetView>
  </sheetViews>
  <sheetFormatPr defaultRowHeight="12.75"/>
  <cols>
    <col min="1" max="1" width="9" style="229"/>
    <col min="2" max="6" width="9" style="229" customWidth="1"/>
    <col min="7" max="7" width="9" style="253" customWidth="1"/>
    <col min="8" max="12" width="9" style="229" customWidth="1"/>
    <col min="13" max="13" width="2.25" style="229" customWidth="1"/>
    <col min="14" max="14" width="9" style="253" customWidth="1"/>
    <col min="15" max="17" width="9" style="229" customWidth="1"/>
    <col min="18" max="18" width="2.375" style="229" customWidth="1"/>
    <col min="19" max="19" width="7.125" style="253" customWidth="1"/>
    <col min="20" max="22" width="7.125" style="229" customWidth="1"/>
    <col min="23" max="23" width="24" style="229" customWidth="1"/>
    <col min="24" max="25" width="9" style="229"/>
    <col min="26" max="27" width="11.625" style="229" customWidth="1"/>
    <col min="28" max="28" width="9" style="229"/>
    <col min="29" max="29" width="2" style="229" customWidth="1"/>
    <col min="30" max="16384" width="9" style="229"/>
  </cols>
  <sheetData>
    <row r="1" spans="1:34" s="184" customFormat="1">
      <c r="B1" s="666" t="s">
        <v>191</v>
      </c>
      <c r="C1" s="666"/>
      <c r="D1" s="666"/>
      <c r="E1" s="666"/>
      <c r="F1" s="666"/>
      <c r="G1" s="662" t="s">
        <v>192</v>
      </c>
      <c r="H1" s="662"/>
      <c r="I1" s="662"/>
      <c r="J1" s="662"/>
      <c r="K1" s="662"/>
      <c r="L1" s="662"/>
      <c r="N1" s="662" t="s">
        <v>193</v>
      </c>
      <c r="O1" s="662"/>
      <c r="P1" s="662"/>
      <c r="Q1" s="662"/>
      <c r="R1" s="185"/>
      <c r="S1" s="662" t="s">
        <v>194</v>
      </c>
      <c r="T1" s="662"/>
      <c r="U1" s="662"/>
      <c r="V1" s="662"/>
      <c r="X1" s="661" t="s">
        <v>195</v>
      </c>
      <c r="Y1" s="662"/>
      <c r="Z1" s="662"/>
      <c r="AA1" s="662"/>
      <c r="AB1" s="662"/>
      <c r="AD1" s="661" t="s">
        <v>196</v>
      </c>
      <c r="AE1" s="662"/>
      <c r="AF1" s="662"/>
      <c r="AG1" s="662"/>
      <c r="AH1" s="662"/>
    </row>
    <row r="2" spans="1:34" s="186" customFormat="1" ht="14.25" thickBot="1">
      <c r="B2" s="187" t="s">
        <v>197</v>
      </c>
      <c r="C2" s="187" t="s">
        <v>198</v>
      </c>
      <c r="D2" s="188" t="s">
        <v>102</v>
      </c>
      <c r="E2" s="188" t="s">
        <v>199</v>
      </c>
      <c r="F2" s="187" t="s">
        <v>200</v>
      </c>
      <c r="G2" s="189"/>
      <c r="H2" s="190"/>
      <c r="I2" s="187" t="s">
        <v>197</v>
      </c>
      <c r="J2" s="188" t="s">
        <v>201</v>
      </c>
      <c r="K2" s="188" t="s">
        <v>199</v>
      </c>
      <c r="L2" s="187" t="s">
        <v>200</v>
      </c>
      <c r="N2" s="187" t="s">
        <v>197</v>
      </c>
      <c r="O2" s="188" t="s">
        <v>201</v>
      </c>
      <c r="P2" s="188" t="s">
        <v>199</v>
      </c>
      <c r="Q2" s="187" t="s">
        <v>200</v>
      </c>
      <c r="R2" s="191"/>
      <c r="S2" s="187" t="s">
        <v>197</v>
      </c>
      <c r="T2" s="188" t="s">
        <v>201</v>
      </c>
      <c r="U2" s="188" t="s">
        <v>199</v>
      </c>
      <c r="V2" s="187" t="s">
        <v>200</v>
      </c>
      <c r="X2" s="187" t="s">
        <v>197</v>
      </c>
      <c r="Y2" s="187" t="s">
        <v>198</v>
      </c>
      <c r="Z2" s="188" t="s">
        <v>102</v>
      </c>
      <c r="AA2" s="188" t="s">
        <v>199</v>
      </c>
      <c r="AB2" s="187" t="s">
        <v>200</v>
      </c>
      <c r="AD2" s="187" t="s">
        <v>197</v>
      </c>
      <c r="AE2" s="187" t="s">
        <v>198</v>
      </c>
      <c r="AF2" s="188" t="s">
        <v>102</v>
      </c>
      <c r="AG2" s="188" t="s">
        <v>199</v>
      </c>
      <c r="AH2" s="187" t="s">
        <v>200</v>
      </c>
    </row>
    <row r="3" spans="1:34" s="198" customFormat="1" ht="14.25">
      <c r="A3" s="192" t="s">
        <v>202</v>
      </c>
      <c r="B3" s="193"/>
      <c r="C3" s="193"/>
      <c r="D3" s="194"/>
      <c r="E3" s="194"/>
      <c r="F3" s="193"/>
      <c r="G3" s="195"/>
      <c r="H3" s="196"/>
      <c r="I3" s="197">
        <f>ROUND(AVERAGE($I7:$I22),2)</f>
        <v>2.4500000000000002</v>
      </c>
      <c r="J3" s="197">
        <f>ROUND(AVERAGE($J7:$J22),2)</f>
        <v>1.65</v>
      </c>
      <c r="K3" s="197">
        <f>ROUND(AVERAGE($K7:$K22),2)</f>
        <v>2.71</v>
      </c>
      <c r="L3" s="197">
        <f>ROUND(AVERAGE($L7:$L22),2)</f>
        <v>1.39</v>
      </c>
      <c r="N3" s="195"/>
      <c r="O3" s="199"/>
      <c r="P3" s="199"/>
      <c r="Q3" s="199"/>
      <c r="R3" s="199"/>
      <c r="S3" s="195"/>
      <c r="T3" s="199"/>
      <c r="U3" s="199"/>
      <c r="V3" s="199"/>
      <c r="W3" s="200"/>
      <c r="X3" s="201">
        <f>ROUND(SUMPRODUCT(PRODUCT(1+N3:N$21)),4)</f>
        <v>1.4517</v>
      </c>
      <c r="Y3" s="201">
        <f>ROUND(SUMPRODUCT(PRODUCT(1+O3:O$21)),4)</f>
        <v>1.2928999999999999</v>
      </c>
      <c r="Z3" s="201">
        <f t="shared" ref="Z3:Z21" si="0">Y3</f>
        <v>1.2928999999999999</v>
      </c>
      <c r="AA3" s="201">
        <f>ROUND(SUMPRODUCT(PRODUCT(1+P3:P$21)),4)</f>
        <v>1.5068999999999999</v>
      </c>
      <c r="AB3" s="201">
        <f>ROUND(SUMPRODUCT(PRODUCT(1+Q3:Q$21)),4)</f>
        <v>1.2557</v>
      </c>
      <c r="AD3" s="202">
        <f>ROUND(AVERAGE(I3:I$22)/100,4)</f>
        <v>2.2800000000000001E-2</v>
      </c>
      <c r="AE3" s="202">
        <f>ROUND(AVERAGE(J3:J$22)/100,4)</f>
        <v>1.5699999999999999E-2</v>
      </c>
      <c r="AF3" s="202">
        <f t="shared" ref="AF3:AF21" si="1">AE3</f>
        <v>1.5699999999999999E-2</v>
      </c>
      <c r="AG3" s="202">
        <f>ROUND(AVERAGE(K3:K$22)/100,4)</f>
        <v>2.5100000000000001E-2</v>
      </c>
      <c r="AH3" s="202">
        <f>ROUND(AVERAGE(L3:L$22)/100,4)</f>
        <v>1.35E-2</v>
      </c>
    </row>
    <row r="4" spans="1:34" s="203" customFormat="1" ht="14.25">
      <c r="B4" s="204"/>
      <c r="C4" s="204"/>
      <c r="D4" s="205"/>
      <c r="E4" s="205"/>
      <c r="F4" s="204"/>
      <c r="G4" s="206"/>
      <c r="H4" s="207"/>
      <c r="I4" s="208"/>
      <c r="J4" s="208"/>
      <c r="K4" s="208"/>
      <c r="L4" s="208"/>
      <c r="N4" s="206"/>
      <c r="O4" s="209"/>
      <c r="P4" s="209"/>
      <c r="Q4" s="209"/>
      <c r="R4" s="209"/>
      <c r="S4" s="206"/>
      <c r="T4" s="209"/>
      <c r="U4" s="209"/>
      <c r="V4" s="209"/>
      <c r="W4" s="210"/>
      <c r="X4" s="211"/>
      <c r="Y4" s="211"/>
      <c r="Z4" s="211"/>
      <c r="AA4" s="211"/>
      <c r="AB4" s="211"/>
      <c r="AD4" s="212"/>
      <c r="AE4" s="212"/>
      <c r="AF4" s="212"/>
      <c r="AG4" s="212"/>
      <c r="AH4" s="212"/>
    </row>
    <row r="5" spans="1:34" s="217" customFormat="1">
      <c r="A5" s="213" t="s">
        <v>203</v>
      </c>
      <c r="B5" s="214">
        <f>B6*(1+N5)</f>
        <v>446.46299999999997</v>
      </c>
      <c r="C5" s="214">
        <f t="shared" ref="C5:C6" si="2">C6*(1+O5)</f>
        <v>333.27840000000003</v>
      </c>
      <c r="D5" s="214">
        <f t="shared" ref="D5:D68" si="3">C5</f>
        <v>333.27840000000003</v>
      </c>
      <c r="E5" s="214">
        <f t="shared" ref="E5:F6" si="4">E6*(1+P5)</f>
        <v>637.28279999999995</v>
      </c>
      <c r="F5" s="214">
        <f t="shared" si="4"/>
        <v>288.68830000000003</v>
      </c>
      <c r="G5" s="206">
        <v>2018</v>
      </c>
      <c r="H5" s="215">
        <v>2</v>
      </c>
      <c r="I5" s="216">
        <v>0</v>
      </c>
      <c r="J5" s="216">
        <v>0</v>
      </c>
      <c r="K5" s="216">
        <v>0</v>
      </c>
      <c r="L5" s="216">
        <v>0</v>
      </c>
      <c r="N5" s="218">
        <f t="shared" ref="N5:Q20" si="5">I5/100</f>
        <v>0</v>
      </c>
      <c r="O5" s="218">
        <f t="shared" si="5"/>
        <v>0</v>
      </c>
      <c r="P5" s="218">
        <f t="shared" si="5"/>
        <v>0</v>
      </c>
      <c r="Q5" s="218">
        <f t="shared" si="5"/>
        <v>0</v>
      </c>
      <c r="R5" s="219"/>
      <c r="S5" s="220"/>
      <c r="T5" s="219"/>
      <c r="U5" s="219"/>
      <c r="V5" s="219"/>
      <c r="W5" s="221" t="s">
        <v>204</v>
      </c>
      <c r="X5" s="222">
        <f>ROUND(SUMPRODUCT(PRODUCT(1+N5:N$21)),4)</f>
        <v>1.4517</v>
      </c>
      <c r="Y5" s="222">
        <f>ROUND(SUMPRODUCT(PRODUCT(1+O5:O$21)),4)</f>
        <v>1.2928999999999999</v>
      </c>
      <c r="Z5" s="222">
        <f t="shared" ref="Z5:Z6" si="6">Y5</f>
        <v>1.2928999999999999</v>
      </c>
      <c r="AA5" s="222">
        <f>ROUND(SUMPRODUCT(PRODUCT(1+P5:P$21)),4)</f>
        <v>1.5068999999999999</v>
      </c>
      <c r="AB5" s="222">
        <f>ROUND(SUMPRODUCT(PRODUCT(1+Q5:Q$21)),4)</f>
        <v>1.2557</v>
      </c>
      <c r="AD5" s="223">
        <f>ROUND(AVERAGE(I5:I$22)/100,4)</f>
        <v>2.2700000000000001E-2</v>
      </c>
      <c r="AE5" s="223">
        <f>ROUND(AVERAGE(J5:J$22)/100,4)</f>
        <v>1.5699999999999999E-2</v>
      </c>
      <c r="AF5" s="223">
        <f t="shared" ref="AF5:AF6" si="7">AE5</f>
        <v>1.5699999999999999E-2</v>
      </c>
      <c r="AG5" s="223">
        <f>ROUND(AVERAGE(K5:K$22)/100,4)</f>
        <v>2.5000000000000001E-2</v>
      </c>
      <c r="AH5" s="223">
        <f>ROUND(AVERAGE(L5:L$22)/100,4)</f>
        <v>1.35E-2</v>
      </c>
    </row>
    <row r="6" spans="1:34" s="235" customFormat="1" ht="13.5" thickBot="1">
      <c r="A6" s="224" t="s">
        <v>205</v>
      </c>
      <c r="B6" s="225">
        <f>B7*(1+N6)</f>
        <v>446.46299999999997</v>
      </c>
      <c r="C6" s="225">
        <f t="shared" si="2"/>
        <v>333.27840000000003</v>
      </c>
      <c r="D6" s="225">
        <f t="shared" si="3"/>
        <v>333.27840000000003</v>
      </c>
      <c r="E6" s="225">
        <f t="shared" si="4"/>
        <v>637.28279999999995</v>
      </c>
      <c r="F6" s="225">
        <f t="shared" si="4"/>
        <v>288.68830000000003</v>
      </c>
      <c r="G6" s="226">
        <v>2018</v>
      </c>
      <c r="H6" s="227">
        <v>1</v>
      </c>
      <c r="I6" s="227">
        <v>1.7</v>
      </c>
      <c r="J6" s="227">
        <v>1.92</v>
      </c>
      <c r="K6" s="227">
        <v>1.64</v>
      </c>
      <c r="L6" s="228">
        <v>2.0099999999999998</v>
      </c>
      <c r="M6" s="229"/>
      <c r="N6" s="230">
        <f t="shared" si="5"/>
        <v>1.7000000000000001E-2</v>
      </c>
      <c r="O6" s="231">
        <f t="shared" si="5"/>
        <v>1.9199999999999998E-2</v>
      </c>
      <c r="P6" s="231">
        <f t="shared" si="5"/>
        <v>1.6399999999999998E-2</v>
      </c>
      <c r="Q6" s="231">
        <f t="shared" si="5"/>
        <v>2.0099999999999996E-2</v>
      </c>
      <c r="R6" s="232"/>
      <c r="S6" s="233">
        <f>B6/B7-1</f>
        <v>1.6999999999999904E-2</v>
      </c>
      <c r="T6" s="234">
        <f>C6/C7-1</f>
        <v>1.9200000000000106E-2</v>
      </c>
      <c r="U6" s="234">
        <f>E6/E7-1</f>
        <v>1.639999999999997E-2</v>
      </c>
      <c r="V6" s="234">
        <f>F6/F7-1</f>
        <v>2.0100000000000007E-2</v>
      </c>
      <c r="W6" s="229"/>
      <c r="X6" s="211">
        <f>ROUND(SUMPRODUCT(PRODUCT(1+N6:N$21)),4)</f>
        <v>1.4517</v>
      </c>
      <c r="Y6" s="211">
        <f>ROUND(SUMPRODUCT(PRODUCT(1+O6:O$21)),4)</f>
        <v>1.2928999999999999</v>
      </c>
      <c r="Z6" s="211">
        <f t="shared" si="6"/>
        <v>1.2928999999999999</v>
      </c>
      <c r="AA6" s="211">
        <f>ROUND(SUMPRODUCT(PRODUCT(1+P6:P$21)),4)</f>
        <v>1.5068999999999999</v>
      </c>
      <c r="AB6" s="211">
        <f>ROUND(SUMPRODUCT(PRODUCT(1+Q6:Q$21)),4)</f>
        <v>1.2557</v>
      </c>
      <c r="AC6" s="229"/>
      <c r="AD6" s="212">
        <f>ROUND(AVERAGE(I6:I$22)/100,4)</f>
        <v>2.4E-2</v>
      </c>
      <c r="AE6" s="212">
        <f>ROUND(AVERAGE(J6:J$22)/100,4)</f>
        <v>1.66E-2</v>
      </c>
      <c r="AF6" s="212">
        <f t="shared" si="7"/>
        <v>1.66E-2</v>
      </c>
      <c r="AG6" s="212">
        <f>ROUND(AVERAGE(K6:K$22)/100,4)</f>
        <v>2.6499999999999999E-2</v>
      </c>
      <c r="AH6" s="212">
        <f>ROUND(AVERAGE(L6:L$22)/100,4)</f>
        <v>1.43E-2</v>
      </c>
    </row>
    <row r="7" spans="1:34">
      <c r="A7" s="224" t="s">
        <v>206</v>
      </c>
      <c r="B7" s="236">
        <v>439</v>
      </c>
      <c r="C7" s="236">
        <v>327</v>
      </c>
      <c r="D7" s="236">
        <f t="shared" si="3"/>
        <v>327</v>
      </c>
      <c r="E7" s="236">
        <v>627</v>
      </c>
      <c r="F7" s="237">
        <v>283</v>
      </c>
      <c r="G7" s="238">
        <v>2017</v>
      </c>
      <c r="H7" s="239">
        <v>4</v>
      </c>
      <c r="I7" s="239">
        <v>1.71</v>
      </c>
      <c r="J7" s="239">
        <v>1.78</v>
      </c>
      <c r="K7" s="239">
        <v>1.71</v>
      </c>
      <c r="L7" s="240">
        <v>1.43</v>
      </c>
      <c r="N7" s="230">
        <f t="shared" si="5"/>
        <v>1.7100000000000001E-2</v>
      </c>
      <c r="O7" s="231">
        <f t="shared" si="5"/>
        <v>1.78E-2</v>
      </c>
      <c r="P7" s="231">
        <f t="shared" si="5"/>
        <v>1.7100000000000001E-2</v>
      </c>
      <c r="Q7" s="231">
        <f t="shared" si="5"/>
        <v>1.43E-2</v>
      </c>
      <c r="R7" s="232"/>
      <c r="S7" s="241"/>
      <c r="T7" s="242"/>
      <c r="U7" s="242"/>
      <c r="V7" s="242"/>
      <c r="X7" s="211">
        <f>ROUND(SUMPRODUCT(PRODUCT(1+N7:N$21)),4)</f>
        <v>1.4274</v>
      </c>
      <c r="Y7" s="211">
        <f>ROUND(SUMPRODUCT(PRODUCT(1+O7:O$21)),4)</f>
        <v>1.2685</v>
      </c>
      <c r="Z7" s="211">
        <f t="shared" si="0"/>
        <v>1.2685</v>
      </c>
      <c r="AA7" s="211">
        <f>ROUND(SUMPRODUCT(PRODUCT(1+P7:P$21)),4)</f>
        <v>1.4825999999999999</v>
      </c>
      <c r="AB7" s="211">
        <f>ROUND(SUMPRODUCT(PRODUCT(1+Q7:Q$21)),4)</f>
        <v>1.2309000000000001</v>
      </c>
      <c r="AD7" s="212">
        <f>ROUND(AVERAGE(I7:I$22)/100,4)</f>
        <v>2.4500000000000001E-2</v>
      </c>
      <c r="AE7" s="212">
        <f>ROUND(AVERAGE(J7:J$22)/100,4)</f>
        <v>1.6500000000000001E-2</v>
      </c>
      <c r="AF7" s="212">
        <f t="shared" si="1"/>
        <v>1.6500000000000001E-2</v>
      </c>
      <c r="AG7" s="212">
        <f>ROUND(AVERAGE(K7:K$22)/100,4)</f>
        <v>2.7099999999999999E-2</v>
      </c>
      <c r="AH7" s="212">
        <f>ROUND(AVERAGE(L7:L$22)/100,4)</f>
        <v>1.3899999999999999E-2</v>
      </c>
    </row>
    <row r="8" spans="1:34" s="235" customFormat="1" ht="13.5" thickBot="1">
      <c r="A8" s="224" t="s">
        <v>207</v>
      </c>
      <c r="B8" s="225">
        <f t="shared" ref="B8:C10" si="8">B9*(1+N8)</f>
        <v>431.80730811680002</v>
      </c>
      <c r="C8" s="225">
        <f t="shared" si="8"/>
        <v>320.57880516480003</v>
      </c>
      <c r="D8" s="225">
        <f t="shared" si="3"/>
        <v>320.57880516480003</v>
      </c>
      <c r="E8" s="225">
        <f t="shared" ref="E8:F10" si="9">E9*(1+P8)</f>
        <v>615.96110553196797</v>
      </c>
      <c r="F8" s="225">
        <f t="shared" si="9"/>
        <v>279.46777300108801</v>
      </c>
      <c r="G8" s="226"/>
      <c r="H8" s="227">
        <v>3</v>
      </c>
      <c r="I8" s="227">
        <v>2.98</v>
      </c>
      <c r="J8" s="227">
        <v>2.11</v>
      </c>
      <c r="K8" s="227">
        <v>3.24</v>
      </c>
      <c r="L8" s="228">
        <v>1.72</v>
      </c>
      <c r="M8" s="229"/>
      <c r="N8" s="230">
        <f t="shared" si="5"/>
        <v>2.98E-2</v>
      </c>
      <c r="O8" s="231">
        <f t="shared" si="5"/>
        <v>2.1099999999999997E-2</v>
      </c>
      <c r="P8" s="231">
        <f t="shared" si="5"/>
        <v>3.2400000000000005E-2</v>
      </c>
      <c r="Q8" s="231">
        <f t="shared" si="5"/>
        <v>1.72E-2</v>
      </c>
      <c r="R8" s="232"/>
      <c r="S8" s="233"/>
      <c r="T8" s="234"/>
      <c r="U8" s="234"/>
      <c r="V8" s="234"/>
      <c r="W8" s="229"/>
      <c r="X8" s="211">
        <f>ROUND(SUMPRODUCT(PRODUCT(1+N8:N$21)),4)</f>
        <v>1.4034</v>
      </c>
      <c r="Y8" s="211">
        <f>ROUND(SUMPRODUCT(PRODUCT(1+O8:O$21)),4)</f>
        <v>1.2463</v>
      </c>
      <c r="Z8" s="211">
        <f t="shared" si="0"/>
        <v>1.2463</v>
      </c>
      <c r="AA8" s="211">
        <f>ROUND(SUMPRODUCT(PRODUCT(1+P8:P$21)),4)</f>
        <v>1.4577</v>
      </c>
      <c r="AB8" s="211">
        <f>ROUND(SUMPRODUCT(PRODUCT(1+Q8:Q$21)),4)</f>
        <v>1.2136</v>
      </c>
      <c r="AC8" s="229"/>
      <c r="AD8" s="212">
        <f>ROUND(AVERAGE(I8:I$22)/100,4)</f>
        <v>2.4899999999999999E-2</v>
      </c>
      <c r="AE8" s="212">
        <f>ROUND(AVERAGE(J8:J$22)/100,4)</f>
        <v>1.6400000000000001E-2</v>
      </c>
      <c r="AF8" s="212">
        <f t="shared" si="1"/>
        <v>1.6400000000000001E-2</v>
      </c>
      <c r="AG8" s="212">
        <f>ROUND(AVERAGE(K8:K$22)/100,4)</f>
        <v>2.7799999999999998E-2</v>
      </c>
      <c r="AH8" s="212">
        <f>ROUND(AVERAGE(L8:L$22)/100,4)</f>
        <v>1.3899999999999999E-2</v>
      </c>
    </row>
    <row r="9" spans="1:34" s="184" customFormat="1">
      <c r="A9" s="224" t="s">
        <v>208</v>
      </c>
      <c r="B9" s="225">
        <f t="shared" si="8"/>
        <v>419.31181600000002</v>
      </c>
      <c r="C9" s="225">
        <f t="shared" si="8"/>
        <v>313.95436800000004</v>
      </c>
      <c r="D9" s="225">
        <f t="shared" si="3"/>
        <v>313.95436800000004</v>
      </c>
      <c r="E9" s="225">
        <f t="shared" si="9"/>
        <v>596.63028431999999</v>
      </c>
      <c r="F9" s="225">
        <f t="shared" si="9"/>
        <v>274.74220703999998</v>
      </c>
      <c r="G9" s="243"/>
      <c r="H9" s="244">
        <v>2</v>
      </c>
      <c r="I9" s="244">
        <v>3.4</v>
      </c>
      <c r="J9" s="244">
        <v>2</v>
      </c>
      <c r="K9" s="244">
        <v>3.82</v>
      </c>
      <c r="L9" s="245">
        <v>1.68</v>
      </c>
      <c r="N9" s="230">
        <f t="shared" si="5"/>
        <v>3.4000000000000002E-2</v>
      </c>
      <c r="O9" s="231">
        <f t="shared" si="5"/>
        <v>0.02</v>
      </c>
      <c r="P9" s="231">
        <f t="shared" si="5"/>
        <v>3.8199999999999998E-2</v>
      </c>
      <c r="Q9" s="231">
        <f t="shared" si="5"/>
        <v>1.6799999999999999E-2</v>
      </c>
      <c r="R9" s="185"/>
      <c r="S9" s="246"/>
      <c r="T9" s="185"/>
      <c r="U9" s="185"/>
      <c r="V9" s="185"/>
      <c r="X9" s="211">
        <f>ROUND(SUMPRODUCT(PRODUCT(1+N9:N$21)),4)</f>
        <v>1.3628</v>
      </c>
      <c r="Y9" s="211">
        <f>ROUND(SUMPRODUCT(PRODUCT(1+O9:O$21)),4)</f>
        <v>1.2205999999999999</v>
      </c>
      <c r="Z9" s="211">
        <f t="shared" si="0"/>
        <v>1.2205999999999999</v>
      </c>
      <c r="AA9" s="211">
        <f>ROUND(SUMPRODUCT(PRODUCT(1+P9:P$21)),4)</f>
        <v>1.4118999999999999</v>
      </c>
      <c r="AB9" s="211">
        <f>ROUND(SUMPRODUCT(PRODUCT(1+Q9:Q$21)),4)</f>
        <v>1.1930000000000001</v>
      </c>
      <c r="AD9" s="212">
        <f>ROUND(AVERAGE(I9:I$22)/100,4)</f>
        <v>2.46E-2</v>
      </c>
      <c r="AE9" s="212">
        <f>ROUND(AVERAGE(J9:J$22)/100,4)</f>
        <v>1.6E-2</v>
      </c>
      <c r="AF9" s="212">
        <f t="shared" si="1"/>
        <v>1.6E-2</v>
      </c>
      <c r="AG9" s="212">
        <f>ROUND(AVERAGE(K9:K$22)/100,4)</f>
        <v>2.75E-2</v>
      </c>
      <c r="AH9" s="212">
        <f>ROUND(AVERAGE(L9:L$22)/100,4)</f>
        <v>1.37E-2</v>
      </c>
    </row>
    <row r="10" spans="1:34" s="235" customFormat="1" ht="13.5" thickBot="1">
      <c r="A10" s="224" t="s">
        <v>209</v>
      </c>
      <c r="B10" s="225">
        <f t="shared" si="8"/>
        <v>405.524</v>
      </c>
      <c r="C10" s="225">
        <f t="shared" si="8"/>
        <v>307.79840000000002</v>
      </c>
      <c r="D10" s="225">
        <f t="shared" si="3"/>
        <v>307.79840000000002</v>
      </c>
      <c r="E10" s="225">
        <f t="shared" si="9"/>
        <v>574.67759999999998</v>
      </c>
      <c r="F10" s="225">
        <f t="shared" si="9"/>
        <v>270.20280000000002</v>
      </c>
      <c r="G10" s="226"/>
      <c r="H10" s="227">
        <v>1</v>
      </c>
      <c r="I10" s="227">
        <v>3.45</v>
      </c>
      <c r="J10" s="227">
        <v>1.92</v>
      </c>
      <c r="K10" s="227">
        <v>3.92</v>
      </c>
      <c r="L10" s="228">
        <v>1.58</v>
      </c>
      <c r="M10" s="229"/>
      <c r="N10" s="230">
        <f t="shared" si="5"/>
        <v>3.4500000000000003E-2</v>
      </c>
      <c r="O10" s="231">
        <f t="shared" si="5"/>
        <v>1.9199999999999998E-2</v>
      </c>
      <c r="P10" s="231">
        <f t="shared" si="5"/>
        <v>3.9199999999999999E-2</v>
      </c>
      <c r="Q10" s="231">
        <f t="shared" si="5"/>
        <v>1.5800000000000002E-2</v>
      </c>
      <c r="R10" s="232"/>
      <c r="S10" s="233">
        <f>B10/B11-1</f>
        <v>3.4499999999999975E-2</v>
      </c>
      <c r="T10" s="234">
        <f>C10/C11-1</f>
        <v>1.9200000000000106E-2</v>
      </c>
      <c r="U10" s="234">
        <f>E10/E11-1</f>
        <v>3.9199999999999902E-2</v>
      </c>
      <c r="V10" s="234">
        <f>F10/F11-1</f>
        <v>1.5800000000000036E-2</v>
      </c>
      <c r="W10" s="229"/>
      <c r="X10" s="211">
        <f>ROUND(SUMPRODUCT(PRODUCT(1+N10:N$21)),4)</f>
        <v>1.3180000000000001</v>
      </c>
      <c r="Y10" s="211">
        <f>ROUND(SUMPRODUCT(PRODUCT(1+O10:O$21)),4)</f>
        <v>1.1966000000000001</v>
      </c>
      <c r="Z10" s="211">
        <f t="shared" si="0"/>
        <v>1.1966000000000001</v>
      </c>
      <c r="AA10" s="211">
        <f>ROUND(SUMPRODUCT(PRODUCT(1+P10:P$21)),4)</f>
        <v>1.36</v>
      </c>
      <c r="AB10" s="211">
        <f>ROUND(SUMPRODUCT(PRODUCT(1+Q10:Q$21)),4)</f>
        <v>1.1733</v>
      </c>
      <c r="AC10" s="229"/>
      <c r="AD10" s="212">
        <f>ROUND(AVERAGE(I10:I$22)/100,4)</f>
        <v>2.3900000000000001E-2</v>
      </c>
      <c r="AE10" s="212">
        <f>ROUND(AVERAGE(J10:J$22)/100,4)</f>
        <v>1.5699999999999999E-2</v>
      </c>
      <c r="AF10" s="212">
        <f t="shared" si="1"/>
        <v>1.5699999999999999E-2</v>
      </c>
      <c r="AG10" s="212">
        <f>ROUND(AVERAGE(K10:K$22)/100,4)</f>
        <v>2.6599999999999999E-2</v>
      </c>
      <c r="AH10" s="212">
        <f>ROUND(AVERAGE(L10:L$22)/100,4)</f>
        <v>1.34E-2</v>
      </c>
    </row>
    <row r="11" spans="1:34">
      <c r="A11" s="224" t="s">
        <v>210</v>
      </c>
      <c r="B11" s="247">
        <v>392</v>
      </c>
      <c r="C11" s="247">
        <v>302</v>
      </c>
      <c r="D11" s="247">
        <f t="shared" si="3"/>
        <v>302</v>
      </c>
      <c r="E11" s="247">
        <v>553</v>
      </c>
      <c r="F11" s="248">
        <v>266</v>
      </c>
      <c r="G11" s="667">
        <v>2016</v>
      </c>
      <c r="H11" s="239">
        <v>4</v>
      </c>
      <c r="I11" s="239">
        <v>4.5599999999999996</v>
      </c>
      <c r="J11" s="239">
        <v>2.15</v>
      </c>
      <c r="K11" s="239">
        <v>5.32</v>
      </c>
      <c r="L11" s="240">
        <v>1.57</v>
      </c>
      <c r="N11" s="230">
        <f t="shared" si="5"/>
        <v>4.5599999999999995E-2</v>
      </c>
      <c r="O11" s="231">
        <f t="shared" si="5"/>
        <v>2.1499999999999998E-2</v>
      </c>
      <c r="P11" s="231">
        <f t="shared" si="5"/>
        <v>5.3200000000000004E-2</v>
      </c>
      <c r="Q11" s="231">
        <f t="shared" si="5"/>
        <v>1.5700000000000002E-2</v>
      </c>
      <c r="R11" s="232"/>
      <c r="S11" s="241"/>
      <c r="T11" s="242"/>
      <c r="U11" s="242"/>
      <c r="V11" s="242"/>
      <c r="X11" s="211">
        <f>ROUND(SUMPRODUCT(PRODUCT(1+N11:N$21)),4)</f>
        <v>1.274</v>
      </c>
      <c r="Y11" s="211">
        <f>ROUND(SUMPRODUCT(PRODUCT(1+O11:O$21)),4)</f>
        <v>1.1740999999999999</v>
      </c>
      <c r="Z11" s="211">
        <f t="shared" si="0"/>
        <v>1.1740999999999999</v>
      </c>
      <c r="AA11" s="211">
        <f>ROUND(SUMPRODUCT(PRODUCT(1+P11:P$21)),4)</f>
        <v>1.3087</v>
      </c>
      <c r="AB11" s="211">
        <f>ROUND(SUMPRODUCT(PRODUCT(1+Q11:Q$21)),4)</f>
        <v>1.1551</v>
      </c>
      <c r="AD11" s="212">
        <f>ROUND(AVERAGE(I11:I$22)/100,4)</f>
        <v>2.3E-2</v>
      </c>
      <c r="AE11" s="212">
        <f>ROUND(AVERAGE(J11:J$22)/100,4)</f>
        <v>1.55E-2</v>
      </c>
      <c r="AF11" s="212">
        <f t="shared" si="1"/>
        <v>1.55E-2</v>
      </c>
      <c r="AG11" s="212">
        <f>ROUND(AVERAGE(K11:K$22)/100,4)</f>
        <v>2.5600000000000001E-2</v>
      </c>
      <c r="AH11" s="212">
        <f>ROUND(AVERAGE(L11:L$22)/100,4)</f>
        <v>1.32E-2</v>
      </c>
    </row>
    <row r="12" spans="1:34">
      <c r="A12" s="224" t="s">
        <v>211</v>
      </c>
      <c r="B12" s="225">
        <f t="shared" ref="B12:C14" si="10">B11/(1+N11)</f>
        <v>374.90436113236416</v>
      </c>
      <c r="C12" s="225">
        <f t="shared" si="10"/>
        <v>295.64366128242779</v>
      </c>
      <c r="D12" s="225">
        <f t="shared" si="3"/>
        <v>295.64366128242779</v>
      </c>
      <c r="E12" s="225">
        <f t="shared" ref="E12:F14" si="11">E11/(1+P11)</f>
        <v>525.06646410938095</v>
      </c>
      <c r="F12" s="225">
        <f t="shared" si="11"/>
        <v>261.88835286009646</v>
      </c>
      <c r="G12" s="664"/>
      <c r="H12" s="227">
        <v>3</v>
      </c>
      <c r="I12" s="227">
        <v>4.12</v>
      </c>
      <c r="J12" s="227">
        <v>2</v>
      </c>
      <c r="K12" s="227">
        <v>4.79</v>
      </c>
      <c r="L12" s="228">
        <v>1.97</v>
      </c>
      <c r="N12" s="230">
        <f t="shared" si="5"/>
        <v>4.1200000000000001E-2</v>
      </c>
      <c r="O12" s="231">
        <f t="shared" si="5"/>
        <v>0.02</v>
      </c>
      <c r="P12" s="231">
        <f t="shared" si="5"/>
        <v>4.7899999999999998E-2</v>
      </c>
      <c r="Q12" s="231">
        <f t="shared" si="5"/>
        <v>1.9699999999999999E-2</v>
      </c>
      <c r="R12" s="232"/>
      <c r="S12" s="230"/>
      <c r="T12" s="231"/>
      <c r="U12" s="231"/>
      <c r="V12" s="231"/>
      <c r="X12" s="211">
        <f>ROUND(SUMPRODUCT(PRODUCT(1+N12:N$21)),4)</f>
        <v>1.2184999999999999</v>
      </c>
      <c r="Y12" s="211">
        <f>ROUND(SUMPRODUCT(PRODUCT(1+O12:O$21)),4)</f>
        <v>1.1494</v>
      </c>
      <c r="Z12" s="211">
        <f t="shared" si="0"/>
        <v>1.1494</v>
      </c>
      <c r="AA12" s="211">
        <f>ROUND(SUMPRODUCT(PRODUCT(1+P12:P$21)),4)</f>
        <v>1.2425999999999999</v>
      </c>
      <c r="AB12" s="211">
        <f>ROUND(SUMPRODUCT(PRODUCT(1+Q12:Q$21)),4)</f>
        <v>1.1372</v>
      </c>
      <c r="AD12" s="212">
        <f>ROUND(AVERAGE(I12:I$22)/100,4)</f>
        <v>2.0899999999999998E-2</v>
      </c>
      <c r="AE12" s="212">
        <f>ROUND(AVERAGE(J12:J$22)/100,4)</f>
        <v>1.49E-2</v>
      </c>
      <c r="AF12" s="212">
        <f t="shared" si="1"/>
        <v>1.49E-2</v>
      </c>
      <c r="AG12" s="212">
        <f>ROUND(AVERAGE(K12:K$22)/100,4)</f>
        <v>2.3099999999999999E-2</v>
      </c>
      <c r="AH12" s="212">
        <f>ROUND(AVERAGE(L12:L$22)/100,4)</f>
        <v>1.2999999999999999E-2</v>
      </c>
    </row>
    <row r="13" spans="1:34">
      <c r="A13" s="224" t="s">
        <v>212</v>
      </c>
      <c r="B13" s="225">
        <f t="shared" si="10"/>
        <v>360.06949782209392</v>
      </c>
      <c r="C13" s="225">
        <f t="shared" si="10"/>
        <v>289.84672674747821</v>
      </c>
      <c r="D13" s="225">
        <f t="shared" si="3"/>
        <v>289.84672674747821</v>
      </c>
      <c r="E13" s="225">
        <f t="shared" si="11"/>
        <v>501.06543001181495</v>
      </c>
      <c r="F13" s="225">
        <f t="shared" si="11"/>
        <v>256.82882500744967</v>
      </c>
      <c r="G13" s="664"/>
      <c r="H13" s="244">
        <v>2</v>
      </c>
      <c r="I13" s="244">
        <v>3.85</v>
      </c>
      <c r="J13" s="244">
        <v>1.95</v>
      </c>
      <c r="K13" s="244">
        <v>4.4800000000000004</v>
      </c>
      <c r="L13" s="245">
        <v>1.41</v>
      </c>
      <c r="N13" s="230">
        <f t="shared" si="5"/>
        <v>3.85E-2</v>
      </c>
      <c r="O13" s="231">
        <f t="shared" si="5"/>
        <v>1.95E-2</v>
      </c>
      <c r="P13" s="231">
        <f t="shared" si="5"/>
        <v>4.4800000000000006E-2</v>
      </c>
      <c r="Q13" s="231">
        <f t="shared" si="5"/>
        <v>1.41E-2</v>
      </c>
      <c r="R13" s="232"/>
      <c r="S13" s="230"/>
      <c r="T13" s="231"/>
      <c r="U13" s="231"/>
      <c r="V13" s="231"/>
      <c r="X13" s="211">
        <f>ROUND(SUMPRODUCT(PRODUCT(1+N13:N$21)),4)</f>
        <v>1.1702999999999999</v>
      </c>
      <c r="Y13" s="211">
        <f>ROUND(SUMPRODUCT(PRODUCT(1+O13:O$21)),4)</f>
        <v>1.1269</v>
      </c>
      <c r="Z13" s="211">
        <f t="shared" si="0"/>
        <v>1.1269</v>
      </c>
      <c r="AA13" s="211">
        <f>ROUND(SUMPRODUCT(PRODUCT(1+P13:P$21)),4)</f>
        <v>1.1858</v>
      </c>
      <c r="AB13" s="211">
        <f>ROUND(SUMPRODUCT(PRODUCT(1+Q13:Q$21)),4)</f>
        <v>1.1152</v>
      </c>
      <c r="AD13" s="212">
        <f>ROUND(AVERAGE(I13:I$22)/100,4)</f>
        <v>1.89E-2</v>
      </c>
      <c r="AE13" s="212">
        <f>ROUND(AVERAGE(J13:J$22)/100,4)</f>
        <v>1.44E-2</v>
      </c>
      <c r="AF13" s="212">
        <f t="shared" si="1"/>
        <v>1.44E-2</v>
      </c>
      <c r="AG13" s="212">
        <f>ROUND(AVERAGE(K13:K$22)/100,4)</f>
        <v>2.06E-2</v>
      </c>
      <c r="AH13" s="212">
        <f>ROUND(AVERAGE(L13:L$22)/100,4)</f>
        <v>1.23E-2</v>
      </c>
    </row>
    <row r="14" spans="1:34" ht="13.5" thickBot="1">
      <c r="A14" s="224" t="s">
        <v>213</v>
      </c>
      <c r="B14" s="225">
        <f t="shared" si="10"/>
        <v>346.720748986128</v>
      </c>
      <c r="C14" s="225">
        <f t="shared" si="10"/>
        <v>284.30282172386285</v>
      </c>
      <c r="D14" s="225">
        <f t="shared" si="3"/>
        <v>284.30282172386285</v>
      </c>
      <c r="E14" s="225">
        <f t="shared" si="11"/>
        <v>479.58023546306947</v>
      </c>
      <c r="F14" s="225">
        <f t="shared" si="11"/>
        <v>253.25788877571213</v>
      </c>
      <c r="G14" s="665"/>
      <c r="H14" s="227">
        <v>1</v>
      </c>
      <c r="I14" s="227">
        <v>4.09</v>
      </c>
      <c r="J14" s="227">
        <v>2.93</v>
      </c>
      <c r="K14" s="227">
        <v>4.54</v>
      </c>
      <c r="L14" s="228">
        <v>1.48</v>
      </c>
      <c r="N14" s="230">
        <f t="shared" si="5"/>
        <v>4.0899999999999999E-2</v>
      </c>
      <c r="O14" s="231">
        <f t="shared" si="5"/>
        <v>2.9300000000000003E-2</v>
      </c>
      <c r="P14" s="231">
        <f t="shared" si="5"/>
        <v>4.5400000000000003E-2</v>
      </c>
      <c r="Q14" s="231">
        <f t="shared" si="5"/>
        <v>1.4800000000000001E-2</v>
      </c>
      <c r="R14" s="232"/>
      <c r="S14" s="233">
        <f>B14/B15-1</f>
        <v>4.1203450408792808E-2</v>
      </c>
      <c r="T14" s="234">
        <f>C14/C15-1</f>
        <v>2.6363977342465095E-2</v>
      </c>
      <c r="U14" s="234">
        <f>E14/E15-1</f>
        <v>4.4837114298626357E-2</v>
      </c>
      <c r="V14" s="234">
        <f>F14/F15-1</f>
        <v>1.7099954922538574E-2</v>
      </c>
      <c r="X14" s="211">
        <f>ROUND(SUMPRODUCT(PRODUCT(1+N14:N$21)),4)</f>
        <v>1.1269</v>
      </c>
      <c r="Y14" s="211">
        <f>ROUND(SUMPRODUCT(PRODUCT(1+O14:O$21)),4)</f>
        <v>1.1052999999999999</v>
      </c>
      <c r="Z14" s="211">
        <f t="shared" si="0"/>
        <v>1.1052999999999999</v>
      </c>
      <c r="AA14" s="211">
        <f>ROUND(SUMPRODUCT(PRODUCT(1+P14:P$21)),4)</f>
        <v>1.1349</v>
      </c>
      <c r="AB14" s="211">
        <f>ROUND(SUMPRODUCT(PRODUCT(1+Q14:Q$21)),4)</f>
        <v>1.0996999999999999</v>
      </c>
      <c r="AD14" s="212">
        <f>ROUND(AVERAGE(I14:I$22)/100,4)</f>
        <v>1.67E-2</v>
      </c>
      <c r="AE14" s="212">
        <f>ROUND(AVERAGE(J14:J$22)/100,4)</f>
        <v>1.38E-2</v>
      </c>
      <c r="AF14" s="212">
        <f t="shared" si="1"/>
        <v>1.38E-2</v>
      </c>
      <c r="AG14" s="212">
        <f>ROUND(AVERAGE(K14:K$22)/100,4)</f>
        <v>1.7899999999999999E-2</v>
      </c>
      <c r="AH14" s="212">
        <f>ROUND(AVERAGE(L14:L$22)/100,4)</f>
        <v>1.21E-2</v>
      </c>
    </row>
    <row r="15" spans="1:34" ht="13.5" thickBot="1">
      <c r="A15" s="224" t="s">
        <v>214</v>
      </c>
      <c r="B15" s="247">
        <v>333</v>
      </c>
      <c r="C15" s="247">
        <v>277</v>
      </c>
      <c r="D15" s="247">
        <f t="shared" si="3"/>
        <v>277</v>
      </c>
      <c r="E15" s="247">
        <v>459</v>
      </c>
      <c r="F15" s="248">
        <v>249</v>
      </c>
      <c r="G15" s="663">
        <v>2015</v>
      </c>
      <c r="H15" s="249">
        <v>4</v>
      </c>
      <c r="I15" s="249">
        <v>1.63</v>
      </c>
      <c r="J15" s="249">
        <v>1.1100000000000001</v>
      </c>
      <c r="K15" s="249">
        <v>1.77</v>
      </c>
      <c r="L15" s="250">
        <v>1.89</v>
      </c>
      <c r="N15" s="251">
        <f t="shared" si="5"/>
        <v>1.6299999999999999E-2</v>
      </c>
      <c r="O15" s="252">
        <f t="shared" si="5"/>
        <v>1.11E-2</v>
      </c>
      <c r="P15" s="252">
        <f t="shared" si="5"/>
        <v>1.77E-2</v>
      </c>
      <c r="Q15" s="252">
        <f t="shared" si="5"/>
        <v>1.89E-2</v>
      </c>
      <c r="R15" s="232"/>
      <c r="X15" s="211">
        <f>ROUND(SUMPRODUCT(PRODUCT(1+N15:N$21)),4)</f>
        <v>1.0826</v>
      </c>
      <c r="Y15" s="211">
        <f>ROUND(SUMPRODUCT(PRODUCT(1+O15:O$21)),4)</f>
        <v>1.0738000000000001</v>
      </c>
      <c r="Z15" s="211">
        <f t="shared" si="0"/>
        <v>1.0738000000000001</v>
      </c>
      <c r="AA15" s="211">
        <f>ROUND(SUMPRODUCT(PRODUCT(1+P15:P$21)),4)</f>
        <v>1.0855999999999999</v>
      </c>
      <c r="AB15" s="211">
        <f>ROUND(SUMPRODUCT(PRODUCT(1+Q15:Q$21)),4)</f>
        <v>1.0837000000000001</v>
      </c>
      <c r="AD15" s="212">
        <f>ROUND(AVERAGE(I15:I$22)/100,4)</f>
        <v>1.37E-2</v>
      </c>
      <c r="AE15" s="212">
        <f>ROUND(AVERAGE(J15:J$22)/100,4)</f>
        <v>1.1900000000000001E-2</v>
      </c>
      <c r="AF15" s="212">
        <f t="shared" si="1"/>
        <v>1.1900000000000001E-2</v>
      </c>
      <c r="AG15" s="212">
        <f>ROUND(AVERAGE(K15:K$22)/100,4)</f>
        <v>1.4500000000000001E-2</v>
      </c>
      <c r="AH15" s="212">
        <f>ROUND(AVERAGE(L15:L$22)/100,4)</f>
        <v>1.18E-2</v>
      </c>
    </row>
    <row r="16" spans="1:34">
      <c r="A16" s="224" t="s">
        <v>215</v>
      </c>
      <c r="B16" s="225">
        <f t="shared" ref="B16:C18" si="12">B15/(1+N15)</f>
        <v>327.65915576109415</v>
      </c>
      <c r="C16" s="225">
        <f t="shared" si="12"/>
        <v>273.95905449510434</v>
      </c>
      <c r="D16" s="225">
        <f t="shared" si="3"/>
        <v>273.95905449510434</v>
      </c>
      <c r="E16" s="225">
        <f t="shared" ref="E16:F18" si="13">E15/(1+P15)</f>
        <v>451.01699911565294</v>
      </c>
      <c r="F16" s="225">
        <f t="shared" si="13"/>
        <v>244.38119540681129</v>
      </c>
      <c r="G16" s="664"/>
      <c r="H16" s="254">
        <v>3</v>
      </c>
      <c r="I16" s="254">
        <v>1.65</v>
      </c>
      <c r="J16" s="254">
        <v>0.92</v>
      </c>
      <c r="K16" s="254">
        <v>1.88</v>
      </c>
      <c r="L16" s="255">
        <v>1.26</v>
      </c>
      <c r="N16" s="230">
        <f t="shared" si="5"/>
        <v>1.6500000000000001E-2</v>
      </c>
      <c r="O16" s="256">
        <f t="shared" si="5"/>
        <v>9.1999999999999998E-3</v>
      </c>
      <c r="P16" s="256">
        <f t="shared" si="5"/>
        <v>1.8799999999999997E-2</v>
      </c>
      <c r="Q16" s="256">
        <f t="shared" si="5"/>
        <v>1.26E-2</v>
      </c>
      <c r="R16" s="232"/>
      <c r="S16" s="230"/>
      <c r="T16" s="231"/>
      <c r="U16" s="231"/>
      <c r="V16" s="231"/>
      <c r="X16" s="211">
        <f>ROUND(SUMPRODUCT(PRODUCT(1+N16:N$21)),4)</f>
        <v>1.0651999999999999</v>
      </c>
      <c r="Y16" s="211">
        <f>ROUND(SUMPRODUCT(PRODUCT(1+O16:O$21)),4)</f>
        <v>1.0621</v>
      </c>
      <c r="Z16" s="211">
        <f t="shared" si="0"/>
        <v>1.0621</v>
      </c>
      <c r="AA16" s="211">
        <f>ROUND(SUMPRODUCT(PRODUCT(1+P16:P$21)),4)</f>
        <v>1.0668</v>
      </c>
      <c r="AB16" s="211">
        <f>ROUND(SUMPRODUCT(PRODUCT(1+Q16:Q$21)),4)</f>
        <v>1.0636000000000001</v>
      </c>
      <c r="AD16" s="212">
        <f>ROUND(AVERAGE(I16:I$22)/100,4)</f>
        <v>1.3299999999999999E-2</v>
      </c>
      <c r="AE16" s="212">
        <f>ROUND(AVERAGE(J16:J$22)/100,4)</f>
        <v>1.2E-2</v>
      </c>
      <c r="AF16" s="212">
        <f t="shared" si="1"/>
        <v>1.2E-2</v>
      </c>
      <c r="AG16" s="212">
        <f>ROUND(AVERAGE(K16:K$22)/100,4)</f>
        <v>1.4E-2</v>
      </c>
      <c r="AH16" s="212">
        <f>ROUND(AVERAGE(L16:L$22)/100,4)</f>
        <v>1.0800000000000001E-2</v>
      </c>
    </row>
    <row r="17" spans="1:34">
      <c r="A17" s="224" t="s">
        <v>216</v>
      </c>
      <c r="B17" s="225">
        <f t="shared" si="12"/>
        <v>322.34053690220776</v>
      </c>
      <c r="C17" s="225">
        <f t="shared" si="12"/>
        <v>271.46160770422546</v>
      </c>
      <c r="D17" s="225">
        <f t="shared" si="3"/>
        <v>271.46160770422546</v>
      </c>
      <c r="E17" s="225">
        <f t="shared" si="13"/>
        <v>442.69434542172456</v>
      </c>
      <c r="F17" s="225">
        <f t="shared" si="13"/>
        <v>241.34030753190925</v>
      </c>
      <c r="G17" s="664"/>
      <c r="H17" s="244">
        <v>2</v>
      </c>
      <c r="I17" s="244">
        <v>0.77</v>
      </c>
      <c r="J17" s="244">
        <v>0.69</v>
      </c>
      <c r="K17" s="244">
        <v>0.8</v>
      </c>
      <c r="L17" s="245">
        <v>0.88</v>
      </c>
      <c r="N17" s="230">
        <f t="shared" si="5"/>
        <v>7.7000000000000002E-3</v>
      </c>
      <c r="O17" s="256">
        <f t="shared" si="5"/>
        <v>6.8999999999999999E-3</v>
      </c>
      <c r="P17" s="256">
        <f t="shared" si="5"/>
        <v>8.0000000000000002E-3</v>
      </c>
      <c r="Q17" s="256">
        <f t="shared" si="5"/>
        <v>8.8000000000000005E-3</v>
      </c>
      <c r="R17" s="232"/>
      <c r="S17" s="230"/>
      <c r="T17" s="231"/>
      <c r="U17" s="231"/>
      <c r="V17" s="231"/>
      <c r="X17" s="211">
        <f>ROUND(SUMPRODUCT(PRODUCT(1+N17:N$21)),4)</f>
        <v>1.048</v>
      </c>
      <c r="Y17" s="211">
        <f>ROUND(SUMPRODUCT(PRODUCT(1+O17:O$21)),4)</f>
        <v>1.0524</v>
      </c>
      <c r="Z17" s="211">
        <f t="shared" si="0"/>
        <v>1.0524</v>
      </c>
      <c r="AA17" s="211">
        <f>ROUND(SUMPRODUCT(PRODUCT(1+P17:P$21)),4)</f>
        <v>1.0470999999999999</v>
      </c>
      <c r="AB17" s="211">
        <f>ROUND(SUMPRODUCT(PRODUCT(1+Q17:Q$21)),4)</f>
        <v>1.0504</v>
      </c>
      <c r="AD17" s="212">
        <f>ROUND(AVERAGE(I17:I$22)/100,4)</f>
        <v>1.2800000000000001E-2</v>
      </c>
      <c r="AE17" s="212">
        <f>ROUND(AVERAGE(J17:J$22)/100,4)</f>
        <v>1.2500000000000001E-2</v>
      </c>
      <c r="AF17" s="212">
        <f t="shared" si="1"/>
        <v>1.2500000000000001E-2</v>
      </c>
      <c r="AG17" s="212">
        <f>ROUND(AVERAGE(K17:K$22)/100,4)</f>
        <v>1.32E-2</v>
      </c>
      <c r="AH17" s="212">
        <f>ROUND(AVERAGE(L17:L$22)/100,4)</f>
        <v>1.0500000000000001E-2</v>
      </c>
    </row>
    <row r="18" spans="1:34">
      <c r="A18" s="224" t="s">
        <v>217</v>
      </c>
      <c r="B18" s="225">
        <f t="shared" si="12"/>
        <v>319.87748030386797</v>
      </c>
      <c r="C18" s="225">
        <f t="shared" si="12"/>
        <v>269.60135833173649</v>
      </c>
      <c r="D18" s="225">
        <f t="shared" si="3"/>
        <v>269.60135833173649</v>
      </c>
      <c r="E18" s="225">
        <f t="shared" si="13"/>
        <v>439.18089823583784</v>
      </c>
      <c r="F18" s="225">
        <f t="shared" si="13"/>
        <v>239.23503918706311</v>
      </c>
      <c r="G18" s="665"/>
      <c r="H18" s="227">
        <v>1</v>
      </c>
      <c r="I18" s="227">
        <v>0.51</v>
      </c>
      <c r="J18" s="227">
        <v>0.54</v>
      </c>
      <c r="K18" s="227">
        <v>0.48</v>
      </c>
      <c r="L18" s="228">
        <v>0.93</v>
      </c>
      <c r="N18" s="233">
        <f t="shared" si="5"/>
        <v>5.1000000000000004E-3</v>
      </c>
      <c r="O18" s="234">
        <f t="shared" si="5"/>
        <v>5.4000000000000003E-3</v>
      </c>
      <c r="P18" s="234">
        <f t="shared" si="5"/>
        <v>4.7999999999999996E-3</v>
      </c>
      <c r="Q18" s="234">
        <f t="shared" si="5"/>
        <v>9.300000000000001E-3</v>
      </c>
      <c r="R18" s="232"/>
      <c r="S18" s="233">
        <f>B18/B19-1</f>
        <v>5.9040261127922822E-3</v>
      </c>
      <c r="T18" s="234">
        <f>C18/C19-1</f>
        <v>5.9752176557332781E-3</v>
      </c>
      <c r="U18" s="234">
        <f>E18/E19-1</f>
        <v>4.9906138119859556E-3</v>
      </c>
      <c r="V18" s="234">
        <f>F18/F19-1</f>
        <v>9.4305450930933787E-3</v>
      </c>
      <c r="X18" s="211">
        <f>ROUND(SUMPRODUCT(PRODUCT(1+N18:N$21)),4)</f>
        <v>1.0399</v>
      </c>
      <c r="Y18" s="211">
        <f>ROUND(SUMPRODUCT(PRODUCT(1+O18:O$21)),4)</f>
        <v>1.0451999999999999</v>
      </c>
      <c r="Z18" s="211">
        <f t="shared" si="0"/>
        <v>1.0451999999999999</v>
      </c>
      <c r="AA18" s="211">
        <f>ROUND(SUMPRODUCT(PRODUCT(1+P18:P$21)),4)</f>
        <v>1.0387999999999999</v>
      </c>
      <c r="AB18" s="211">
        <f>ROUND(SUMPRODUCT(PRODUCT(1+Q18:Q$21)),4)</f>
        <v>1.0411999999999999</v>
      </c>
      <c r="AD18" s="212">
        <f>ROUND(AVERAGE(I18:I$22)/100,4)</f>
        <v>1.38E-2</v>
      </c>
      <c r="AE18" s="212">
        <f>ROUND(AVERAGE(J18:J$22)/100,4)</f>
        <v>1.3599999999999999E-2</v>
      </c>
      <c r="AF18" s="212">
        <f t="shared" si="1"/>
        <v>1.3599999999999999E-2</v>
      </c>
      <c r="AG18" s="212">
        <f>ROUND(AVERAGE(K18:K$22)/100,4)</f>
        <v>1.4200000000000001E-2</v>
      </c>
      <c r="AH18" s="212">
        <f>ROUND(AVERAGE(L18:L$22)/100,4)</f>
        <v>1.0800000000000001E-2</v>
      </c>
    </row>
    <row r="19" spans="1:34" ht="13.5" thickBot="1">
      <c r="A19" s="224" t="s">
        <v>218</v>
      </c>
      <c r="B19" s="257">
        <v>318</v>
      </c>
      <c r="C19" s="257">
        <v>268</v>
      </c>
      <c r="D19" s="257">
        <f t="shared" si="3"/>
        <v>268</v>
      </c>
      <c r="E19" s="257">
        <v>437</v>
      </c>
      <c r="F19" s="258">
        <v>237</v>
      </c>
      <c r="G19" s="663">
        <v>2014</v>
      </c>
      <c r="H19" s="249">
        <v>4</v>
      </c>
      <c r="I19" s="249">
        <v>0.21</v>
      </c>
      <c r="J19" s="249">
        <v>0.41</v>
      </c>
      <c r="K19" s="249">
        <v>0.12</v>
      </c>
      <c r="L19" s="250">
        <v>0.89</v>
      </c>
      <c r="N19" s="230">
        <f t="shared" si="5"/>
        <v>2.0999999999999999E-3</v>
      </c>
      <c r="O19" s="231">
        <f t="shared" si="5"/>
        <v>4.0999999999999995E-3</v>
      </c>
      <c r="P19" s="231">
        <f t="shared" si="5"/>
        <v>1.1999999999999999E-3</v>
      </c>
      <c r="Q19" s="231">
        <f t="shared" si="5"/>
        <v>8.8999999999999999E-3</v>
      </c>
      <c r="R19" s="232"/>
      <c r="S19" s="241"/>
      <c r="T19" s="242"/>
      <c r="U19" s="242"/>
      <c r="V19" s="242"/>
      <c r="X19" s="211">
        <f>ROUND(SUMPRODUCT(PRODUCT(1+N19:N$21)),4)</f>
        <v>1.0347</v>
      </c>
      <c r="Y19" s="211">
        <f>ROUND(SUMPRODUCT(PRODUCT(1+O19:O$21)),4)</f>
        <v>1.0395000000000001</v>
      </c>
      <c r="Z19" s="211">
        <f t="shared" si="0"/>
        <v>1.0395000000000001</v>
      </c>
      <c r="AA19" s="211">
        <f>ROUND(SUMPRODUCT(PRODUCT(1+P19:P$21)),4)</f>
        <v>1.0338000000000001</v>
      </c>
      <c r="AB19" s="211">
        <f>ROUND(SUMPRODUCT(PRODUCT(1+Q19:Q$21)),4)</f>
        <v>1.0316000000000001</v>
      </c>
      <c r="AD19" s="212">
        <f>ROUND(AVERAGE(I19:I$22)/100,4)</f>
        <v>1.6E-2</v>
      </c>
      <c r="AE19" s="212">
        <f>ROUND(AVERAGE(J19:J$22)/100,4)</f>
        <v>1.5599999999999999E-2</v>
      </c>
      <c r="AF19" s="212">
        <f t="shared" si="1"/>
        <v>1.5599999999999999E-2</v>
      </c>
      <c r="AG19" s="212">
        <f>ROUND(AVERAGE(K19:K$22)/100,4)</f>
        <v>1.66E-2</v>
      </c>
      <c r="AH19" s="212">
        <f>ROUND(AVERAGE(L19:L$22)/100,4)</f>
        <v>1.12E-2</v>
      </c>
    </row>
    <row r="20" spans="1:34">
      <c r="A20" s="224" t="s">
        <v>219</v>
      </c>
      <c r="B20" s="225">
        <f t="shared" ref="B20:C22" si="14">B19/(1+N19)</f>
        <v>317.33359944117353</v>
      </c>
      <c r="C20" s="225">
        <f t="shared" si="14"/>
        <v>266.90568668459315</v>
      </c>
      <c r="D20" s="225">
        <f t="shared" si="3"/>
        <v>266.90568668459315</v>
      </c>
      <c r="E20" s="225">
        <f t="shared" ref="E20:F22" si="15">E19/(1+P19)</f>
        <v>436.47622852576905</v>
      </c>
      <c r="F20" s="225">
        <f t="shared" si="15"/>
        <v>234.90930716622066</v>
      </c>
      <c r="G20" s="664"/>
      <c r="H20" s="259">
        <v>3</v>
      </c>
      <c r="I20" s="259">
        <v>0.83</v>
      </c>
      <c r="J20" s="259">
        <v>1.47</v>
      </c>
      <c r="K20" s="259">
        <v>0.65</v>
      </c>
      <c r="L20" s="260">
        <v>0.72</v>
      </c>
      <c r="N20" s="230">
        <f t="shared" si="5"/>
        <v>8.3000000000000001E-3</v>
      </c>
      <c r="O20" s="231">
        <f t="shared" si="5"/>
        <v>1.47E-2</v>
      </c>
      <c r="P20" s="231">
        <f t="shared" si="5"/>
        <v>6.5000000000000006E-3</v>
      </c>
      <c r="Q20" s="231">
        <f t="shared" si="5"/>
        <v>7.1999999999999998E-3</v>
      </c>
      <c r="R20" s="232"/>
      <c r="S20" s="230"/>
      <c r="T20" s="231"/>
      <c r="U20" s="231"/>
      <c r="V20" s="231"/>
      <c r="X20" s="211">
        <f>ROUND(SUMPRODUCT(PRODUCT(1+N20:N$21)),4)</f>
        <v>1.0325</v>
      </c>
      <c r="Y20" s="211">
        <f>ROUND(SUMPRODUCT(PRODUCT(1+O20:O$21)),4)</f>
        <v>1.0353000000000001</v>
      </c>
      <c r="Z20" s="211">
        <f t="shared" si="0"/>
        <v>1.0353000000000001</v>
      </c>
      <c r="AA20" s="211">
        <f>ROUND(SUMPRODUCT(PRODUCT(1+P20:P$21)),4)</f>
        <v>1.0326</v>
      </c>
      <c r="AB20" s="211">
        <f>ROUND(SUMPRODUCT(PRODUCT(1+Q20:Q$21)),4)</f>
        <v>1.0225</v>
      </c>
      <c r="AD20" s="212">
        <f>ROUND(AVERAGE(I20:I$22)/100,4)</f>
        <v>2.07E-2</v>
      </c>
      <c r="AE20" s="212">
        <f>ROUND(AVERAGE(J20:J$22)/100,4)</f>
        <v>1.95E-2</v>
      </c>
      <c r="AF20" s="212">
        <f t="shared" si="1"/>
        <v>1.95E-2</v>
      </c>
      <c r="AG20" s="212">
        <f>ROUND(AVERAGE(K20:K$22)/100,4)</f>
        <v>2.1700000000000001E-2</v>
      </c>
      <c r="AH20" s="212">
        <f>ROUND(AVERAGE(L20:L$22)/100,4)</f>
        <v>1.2E-2</v>
      </c>
    </row>
    <row r="21" spans="1:34" ht="13.5" thickBot="1">
      <c r="A21" s="224" t="s">
        <v>220</v>
      </c>
      <c r="B21" s="225">
        <f t="shared" si="14"/>
        <v>314.72141172386546</v>
      </c>
      <c r="C21" s="225">
        <f t="shared" si="14"/>
        <v>263.03901319069001</v>
      </c>
      <c r="D21" s="225">
        <f t="shared" si="3"/>
        <v>263.03901319069001</v>
      </c>
      <c r="E21" s="225">
        <f t="shared" si="15"/>
        <v>433.65745506782821</v>
      </c>
      <c r="F21" s="225">
        <f t="shared" si="15"/>
        <v>233.23005080045735</v>
      </c>
      <c r="G21" s="664"/>
      <c r="H21" s="249">
        <v>2</v>
      </c>
      <c r="I21" s="249">
        <v>2.4</v>
      </c>
      <c r="J21" s="249">
        <v>2.0299999999999998</v>
      </c>
      <c r="K21" s="249">
        <v>2.59</v>
      </c>
      <c r="L21" s="250">
        <v>1.52</v>
      </c>
      <c r="N21" s="230">
        <f t="shared" ref="N21:Q46" si="16">I21/100</f>
        <v>2.4E-2</v>
      </c>
      <c r="O21" s="231">
        <f t="shared" si="16"/>
        <v>2.0299999999999999E-2</v>
      </c>
      <c r="P21" s="231">
        <f t="shared" si="16"/>
        <v>2.5899999999999999E-2</v>
      </c>
      <c r="Q21" s="231">
        <f t="shared" si="16"/>
        <v>1.52E-2</v>
      </c>
      <c r="R21" s="232"/>
      <c r="S21" s="230"/>
      <c r="T21" s="231"/>
      <c r="U21" s="231"/>
      <c r="V21" s="231"/>
      <c r="X21" s="211">
        <f>1+N21</f>
        <v>1.024</v>
      </c>
      <c r="Y21" s="211">
        <f>1+O21</f>
        <v>1.0203</v>
      </c>
      <c r="Z21" s="211">
        <f t="shared" si="0"/>
        <v>1.0203</v>
      </c>
      <c r="AA21" s="211">
        <f>1+P21</f>
        <v>1.0259</v>
      </c>
      <c r="AB21" s="211">
        <f>1+Q21</f>
        <v>1.0152000000000001</v>
      </c>
      <c r="AD21" s="212">
        <f>ROUND(AVERAGE(I21:I$22)/100,4)</f>
        <v>2.69E-2</v>
      </c>
      <c r="AE21" s="212">
        <f>ROUND(AVERAGE(J21:J$22)/100,4)</f>
        <v>2.1899999999999999E-2</v>
      </c>
      <c r="AF21" s="212">
        <f t="shared" si="1"/>
        <v>2.1899999999999999E-2</v>
      </c>
      <c r="AG21" s="212">
        <f>ROUND(AVERAGE(K21:K$22)/100,4)</f>
        <v>2.9399999999999999E-2</v>
      </c>
      <c r="AH21" s="212">
        <f>ROUND(AVERAGE(L21:L$22)/100,4)</f>
        <v>1.44E-2</v>
      </c>
    </row>
    <row r="22" spans="1:34" s="265" customFormat="1" ht="13.5" thickBot="1">
      <c r="A22" s="261" t="s">
        <v>221</v>
      </c>
      <c r="B22" s="262">
        <f t="shared" si="14"/>
        <v>307.34512863658733</v>
      </c>
      <c r="C22" s="262">
        <f t="shared" si="14"/>
        <v>257.80556031626975</v>
      </c>
      <c r="D22" s="262">
        <f t="shared" si="3"/>
        <v>257.80556031626975</v>
      </c>
      <c r="E22" s="262">
        <f t="shared" si="15"/>
        <v>422.70928459677179</v>
      </c>
      <c r="F22" s="262">
        <f t="shared" si="15"/>
        <v>229.73803270336617</v>
      </c>
      <c r="G22" s="665"/>
      <c r="H22" s="263">
        <v>1</v>
      </c>
      <c r="I22" s="263">
        <v>2.97</v>
      </c>
      <c r="J22" s="263">
        <v>2.34</v>
      </c>
      <c r="K22" s="263">
        <v>3.28</v>
      </c>
      <c r="L22" s="264">
        <v>1.36</v>
      </c>
      <c r="N22" s="266">
        <f t="shared" si="16"/>
        <v>2.9700000000000001E-2</v>
      </c>
      <c r="O22" s="267">
        <f t="shared" si="16"/>
        <v>2.3399999999999997E-2</v>
      </c>
      <c r="P22" s="267">
        <f t="shared" si="16"/>
        <v>3.2799999999999996E-2</v>
      </c>
      <c r="Q22" s="267">
        <f t="shared" si="16"/>
        <v>1.3600000000000001E-2</v>
      </c>
      <c r="R22" s="268"/>
      <c r="S22" s="269">
        <f>B22/B23-1</f>
        <v>2.7910129219355539E-2</v>
      </c>
      <c r="T22" s="270">
        <f>C22/C23-1</f>
        <v>2.3037937762975247E-2</v>
      </c>
      <c r="U22" s="270">
        <f>E22/E23-1</f>
        <v>3.3519033243940788E-2</v>
      </c>
      <c r="V22" s="270">
        <f>F22/F23-1</f>
        <v>1.2061818076502862E-2</v>
      </c>
      <c r="W22" s="271" t="s">
        <v>222</v>
      </c>
      <c r="X22" s="272">
        <v>1</v>
      </c>
      <c r="Y22" s="272">
        <v>1</v>
      </c>
      <c r="Z22" s="272">
        <v>1</v>
      </c>
      <c r="AA22" s="272">
        <v>1</v>
      </c>
      <c r="AB22" s="272">
        <v>1</v>
      </c>
      <c r="AD22" s="273">
        <f>I22/100</f>
        <v>2.9700000000000001E-2</v>
      </c>
      <c r="AE22" s="273">
        <f>J22/100</f>
        <v>2.3399999999999997E-2</v>
      </c>
      <c r="AF22" s="273">
        <f>AE22</f>
        <v>2.3399999999999997E-2</v>
      </c>
      <c r="AG22" s="273">
        <f>K22/100</f>
        <v>3.2799999999999996E-2</v>
      </c>
      <c r="AH22" s="273">
        <f>L22/100</f>
        <v>1.3600000000000001E-2</v>
      </c>
    </row>
    <row r="23" spans="1:34" ht="13.5" thickBot="1">
      <c r="A23" s="224" t="s">
        <v>223</v>
      </c>
      <c r="B23" s="247">
        <v>299</v>
      </c>
      <c r="C23" s="247">
        <v>252</v>
      </c>
      <c r="D23" s="247">
        <f t="shared" si="3"/>
        <v>252</v>
      </c>
      <c r="E23" s="247">
        <v>409</v>
      </c>
      <c r="F23" s="248">
        <v>227</v>
      </c>
      <c r="G23" s="668">
        <v>2013</v>
      </c>
      <c r="H23" s="274">
        <v>4</v>
      </c>
      <c r="I23" s="274">
        <v>1.83</v>
      </c>
      <c r="J23" s="274">
        <v>1.68</v>
      </c>
      <c r="K23" s="274">
        <v>1.97</v>
      </c>
      <c r="L23" s="275">
        <v>0.87</v>
      </c>
      <c r="N23" s="251">
        <f t="shared" si="16"/>
        <v>1.83E-2</v>
      </c>
      <c r="O23" s="252">
        <f t="shared" si="16"/>
        <v>1.6799999999999999E-2</v>
      </c>
      <c r="P23" s="252">
        <f t="shared" si="16"/>
        <v>1.9699999999999999E-2</v>
      </c>
      <c r="Q23" s="252">
        <f t="shared" si="16"/>
        <v>8.6999999999999994E-3</v>
      </c>
      <c r="R23" s="232"/>
      <c r="S23" s="241"/>
      <c r="T23" s="242"/>
      <c r="U23" s="242"/>
      <c r="V23" s="242"/>
      <c r="X23" s="242"/>
      <c r="Y23" s="242"/>
      <c r="Z23" s="242"/>
    </row>
    <row r="24" spans="1:34">
      <c r="A24" s="224" t="s">
        <v>224</v>
      </c>
      <c r="B24" s="225">
        <f t="shared" ref="B24:C26" si="17">B23/(1+N23)</f>
        <v>293.62663262299913</v>
      </c>
      <c r="C24" s="225">
        <f t="shared" si="17"/>
        <v>247.83634933123525</v>
      </c>
      <c r="D24" s="225">
        <f t="shared" si="3"/>
        <v>247.83634933123525</v>
      </c>
      <c r="E24" s="225">
        <f t="shared" ref="E24:F26" si="18">E23/(1+P23)</f>
        <v>401.09836226341076</v>
      </c>
      <c r="F24" s="225">
        <f t="shared" si="18"/>
        <v>225.04213343908003</v>
      </c>
      <c r="G24" s="669"/>
      <c r="H24" s="254">
        <v>3</v>
      </c>
      <c r="I24" s="254">
        <v>1.86</v>
      </c>
      <c r="J24" s="254">
        <v>1.72</v>
      </c>
      <c r="K24" s="254">
        <v>1.98</v>
      </c>
      <c r="L24" s="255">
        <v>0.88</v>
      </c>
      <c r="N24" s="230">
        <f t="shared" si="16"/>
        <v>1.8600000000000002E-2</v>
      </c>
      <c r="O24" s="256">
        <f t="shared" si="16"/>
        <v>1.72E-2</v>
      </c>
      <c r="P24" s="256">
        <f t="shared" si="16"/>
        <v>1.9799999999999998E-2</v>
      </c>
      <c r="Q24" s="256">
        <f t="shared" si="16"/>
        <v>8.8000000000000005E-3</v>
      </c>
      <c r="R24" s="232"/>
      <c r="S24" s="230"/>
      <c r="T24" s="231"/>
      <c r="U24" s="231"/>
      <c r="V24" s="231"/>
    </row>
    <row r="25" spans="1:34">
      <c r="A25" s="224" t="s">
        <v>225</v>
      </c>
      <c r="B25" s="225">
        <f t="shared" si="17"/>
        <v>288.2649053828776</v>
      </c>
      <c r="C25" s="225">
        <f t="shared" si="17"/>
        <v>243.64564425013293</v>
      </c>
      <c r="D25" s="225">
        <f t="shared" si="3"/>
        <v>243.64564425013293</v>
      </c>
      <c r="E25" s="225">
        <f t="shared" si="18"/>
        <v>393.31080825986544</v>
      </c>
      <c r="F25" s="225">
        <f t="shared" si="18"/>
        <v>223.07903790551154</v>
      </c>
      <c r="G25" s="669"/>
      <c r="H25" s="244">
        <v>2</v>
      </c>
      <c r="I25" s="244">
        <v>2.04</v>
      </c>
      <c r="J25" s="244">
        <v>2.33</v>
      </c>
      <c r="K25" s="244">
        <v>2.0699999999999998</v>
      </c>
      <c r="L25" s="245">
        <v>0.69</v>
      </c>
      <c r="N25" s="230">
        <f t="shared" si="16"/>
        <v>2.0400000000000001E-2</v>
      </c>
      <c r="O25" s="256">
        <f t="shared" si="16"/>
        <v>2.3300000000000001E-2</v>
      </c>
      <c r="P25" s="256">
        <f t="shared" si="16"/>
        <v>2.07E-2</v>
      </c>
      <c r="Q25" s="256">
        <f t="shared" si="16"/>
        <v>6.8999999999999999E-3</v>
      </c>
      <c r="R25" s="232"/>
      <c r="S25" s="230"/>
      <c r="T25" s="231"/>
      <c r="U25" s="231"/>
      <c r="V25" s="231"/>
      <c r="X25" s="276"/>
      <c r="Y25" s="277"/>
    </row>
    <row r="26" spans="1:34">
      <c r="A26" s="224" t="s">
        <v>226</v>
      </c>
      <c r="B26" s="225">
        <f t="shared" si="17"/>
        <v>282.50186729015837</v>
      </c>
      <c r="C26" s="225">
        <f t="shared" si="17"/>
        <v>238.09796174155468</v>
      </c>
      <c r="D26" s="225">
        <f t="shared" si="3"/>
        <v>238.09796174155468</v>
      </c>
      <c r="E26" s="225">
        <f t="shared" si="18"/>
        <v>385.33438646014054</v>
      </c>
      <c r="F26" s="225">
        <f t="shared" si="18"/>
        <v>221.55034055567739</v>
      </c>
      <c r="G26" s="670"/>
      <c r="H26" s="227">
        <v>1</v>
      </c>
      <c r="I26" s="227">
        <v>1.67</v>
      </c>
      <c r="J26" s="227">
        <v>1.31</v>
      </c>
      <c r="K26" s="227">
        <v>1.85</v>
      </c>
      <c r="L26" s="228">
        <v>0.96</v>
      </c>
      <c r="N26" s="233">
        <f t="shared" si="16"/>
        <v>1.67E-2</v>
      </c>
      <c r="O26" s="234">
        <f t="shared" si="16"/>
        <v>1.3100000000000001E-2</v>
      </c>
      <c r="P26" s="234">
        <f t="shared" si="16"/>
        <v>1.8500000000000003E-2</v>
      </c>
      <c r="Q26" s="234">
        <f t="shared" si="16"/>
        <v>9.5999999999999992E-3</v>
      </c>
      <c r="R26" s="232"/>
      <c r="S26" s="233">
        <f>B26/B27-1</f>
        <v>1.6193767230785472E-2</v>
      </c>
      <c r="T26" s="234">
        <f>C26/C27-1</f>
        <v>1.7512657015190891E-2</v>
      </c>
      <c r="U26" s="234">
        <f>E26/E27-1</f>
        <v>1.6713420739157048E-2</v>
      </c>
      <c r="V26" s="234">
        <f>F26/F27-1</f>
        <v>7.0470025258062563E-3</v>
      </c>
      <c r="X26" s="278"/>
      <c r="Y26" s="212"/>
      <c r="Z26" s="212"/>
    </row>
    <row r="27" spans="1:34" ht="13.5" thickBot="1">
      <c r="A27" s="224" t="s">
        <v>227</v>
      </c>
      <c r="B27" s="279">
        <v>278</v>
      </c>
      <c r="C27" s="279">
        <v>234</v>
      </c>
      <c r="D27" s="279">
        <f t="shared" si="3"/>
        <v>234</v>
      </c>
      <c r="E27" s="279">
        <v>379</v>
      </c>
      <c r="F27" s="280">
        <v>220</v>
      </c>
      <c r="G27" s="663">
        <v>2012</v>
      </c>
      <c r="H27" s="249">
        <v>4</v>
      </c>
      <c r="I27" s="249">
        <v>0.91</v>
      </c>
      <c r="J27" s="249">
        <v>0.68</v>
      </c>
      <c r="K27" s="249">
        <v>0.98</v>
      </c>
      <c r="L27" s="250">
        <v>0.9</v>
      </c>
      <c r="N27" s="230">
        <f t="shared" si="16"/>
        <v>9.1000000000000004E-3</v>
      </c>
      <c r="O27" s="231">
        <f t="shared" si="16"/>
        <v>6.8000000000000005E-3</v>
      </c>
      <c r="P27" s="231">
        <f t="shared" si="16"/>
        <v>9.7999999999999997E-3</v>
      </c>
      <c r="Q27" s="231">
        <f t="shared" si="16"/>
        <v>9.0000000000000011E-3</v>
      </c>
      <c r="R27" s="232"/>
      <c r="S27" s="241"/>
      <c r="T27" s="242"/>
      <c r="U27" s="242"/>
      <c r="V27" s="242"/>
      <c r="X27" s="242"/>
      <c r="Y27" s="242"/>
      <c r="Z27" s="242"/>
    </row>
    <row r="28" spans="1:34">
      <c r="A28" s="224" t="s">
        <v>228</v>
      </c>
      <c r="B28" s="225">
        <f>B27/(1+N27)</f>
        <v>275.49301357645425</v>
      </c>
      <c r="C28" s="225">
        <f>C27/(1+O27)</f>
        <v>232.41954707985698</v>
      </c>
      <c r="D28" s="225">
        <f t="shared" si="3"/>
        <v>232.41954707985698</v>
      </c>
      <c r="E28" s="225">
        <f t="shared" ref="E28:F30" si="19">E27/(1+P27)</f>
        <v>375.32184591008121</v>
      </c>
      <c r="F28" s="225">
        <f t="shared" si="19"/>
        <v>218.03766105054513</v>
      </c>
      <c r="G28" s="664"/>
      <c r="H28" s="254">
        <v>3</v>
      </c>
      <c r="I28" s="254">
        <v>0.09</v>
      </c>
      <c r="J28" s="254">
        <v>0.28999999999999998</v>
      </c>
      <c r="K28" s="254">
        <v>-0.01</v>
      </c>
      <c r="L28" s="255">
        <v>0.57999999999999996</v>
      </c>
      <c r="N28" s="230">
        <f t="shared" si="16"/>
        <v>8.9999999999999998E-4</v>
      </c>
      <c r="O28" s="231">
        <f t="shared" si="16"/>
        <v>2.8999999999999998E-3</v>
      </c>
      <c r="P28" s="231">
        <f t="shared" si="16"/>
        <v>-1E-4</v>
      </c>
      <c r="Q28" s="231">
        <f t="shared" si="16"/>
        <v>5.7999999999999996E-3</v>
      </c>
      <c r="R28" s="232"/>
      <c r="S28" s="230"/>
      <c r="T28" s="231"/>
      <c r="U28" s="231"/>
      <c r="V28" s="231"/>
    </row>
    <row r="29" spans="1:34">
      <c r="A29" s="224" t="s">
        <v>229</v>
      </c>
      <c r="B29" s="225">
        <f>B28/(1+N28)</f>
        <v>275.24529281292263</v>
      </c>
      <c r="C29" s="225">
        <f>C28/(1+O28)</f>
        <v>231.74747938962707</v>
      </c>
      <c r="D29" s="225">
        <f t="shared" si="3"/>
        <v>231.74747938962707</v>
      </c>
      <c r="E29" s="225">
        <f t="shared" si="19"/>
        <v>375.35938184826603</v>
      </c>
      <c r="F29" s="225">
        <f t="shared" si="19"/>
        <v>216.78033510692495</v>
      </c>
      <c r="G29" s="664"/>
      <c r="H29" s="244">
        <v>2</v>
      </c>
      <c r="I29" s="244">
        <v>0.02</v>
      </c>
      <c r="J29" s="244">
        <v>0.12</v>
      </c>
      <c r="K29" s="244">
        <v>-0.08</v>
      </c>
      <c r="L29" s="245">
        <v>1.24</v>
      </c>
      <c r="N29" s="230">
        <f t="shared" si="16"/>
        <v>2.0000000000000001E-4</v>
      </c>
      <c r="O29" s="231">
        <f t="shared" si="16"/>
        <v>1.1999999999999999E-3</v>
      </c>
      <c r="P29" s="231">
        <f t="shared" si="16"/>
        <v>-8.0000000000000004E-4</v>
      </c>
      <c r="Q29" s="231">
        <f t="shared" si="16"/>
        <v>1.24E-2</v>
      </c>
      <c r="R29" s="232"/>
      <c r="S29" s="230"/>
      <c r="T29" s="231"/>
      <c r="U29" s="231"/>
      <c r="V29" s="231"/>
    </row>
    <row r="30" spans="1:34" ht="13.5" thickBot="1">
      <c r="A30" s="224" t="s">
        <v>230</v>
      </c>
      <c r="B30" s="225">
        <f>B29/(1+N29)</f>
        <v>275.19025476197027</v>
      </c>
      <c r="C30" s="281">
        <v>232</v>
      </c>
      <c r="D30" s="281">
        <f t="shared" si="3"/>
        <v>232</v>
      </c>
      <c r="E30" s="225">
        <f t="shared" si="19"/>
        <v>375.65990977608692</v>
      </c>
      <c r="F30" s="225">
        <f t="shared" si="19"/>
        <v>214.12518283971252</v>
      </c>
      <c r="G30" s="665"/>
      <c r="H30" s="227">
        <v>1</v>
      </c>
      <c r="I30" s="227">
        <v>0.02</v>
      </c>
      <c r="J30" s="227">
        <v>0.13</v>
      </c>
      <c r="K30" s="227">
        <v>-0.04</v>
      </c>
      <c r="L30" s="228">
        <v>0.46</v>
      </c>
      <c r="N30" s="230">
        <f t="shared" si="16"/>
        <v>2.0000000000000001E-4</v>
      </c>
      <c r="O30" s="231">
        <f t="shared" si="16"/>
        <v>1.2999999999999999E-3</v>
      </c>
      <c r="P30" s="231">
        <f t="shared" si="16"/>
        <v>-4.0000000000000002E-4</v>
      </c>
      <c r="Q30" s="231">
        <f t="shared" si="16"/>
        <v>4.5999999999999999E-3</v>
      </c>
      <c r="R30" s="232"/>
      <c r="S30" s="233">
        <f>B30/B31-1</f>
        <v>6.9183549807361189E-4</v>
      </c>
      <c r="T30" s="234">
        <f>C30/C31-1</f>
        <v>0</v>
      </c>
      <c r="U30" s="234">
        <f>E30/E31-1</f>
        <v>-9.0449527636460303E-4</v>
      </c>
      <c r="V30" s="234">
        <f>F30/F31-1</f>
        <v>5.2825485432512753E-3</v>
      </c>
      <c r="X30" s="212"/>
      <c r="Y30" s="212"/>
      <c r="Z30" s="212"/>
    </row>
    <row r="31" spans="1:34" ht="13.5" thickBot="1">
      <c r="A31" s="224" t="s">
        <v>231</v>
      </c>
      <c r="B31" s="247">
        <v>275</v>
      </c>
      <c r="C31" s="247">
        <v>232</v>
      </c>
      <c r="D31" s="247">
        <f t="shared" si="3"/>
        <v>232</v>
      </c>
      <c r="E31" s="247">
        <v>376</v>
      </c>
      <c r="F31" s="248">
        <v>213</v>
      </c>
      <c r="G31" s="663">
        <v>2011</v>
      </c>
      <c r="H31" s="249">
        <v>4</v>
      </c>
      <c r="I31" s="249">
        <v>-0.2</v>
      </c>
      <c r="J31" s="249">
        <v>0.04</v>
      </c>
      <c r="K31" s="249">
        <v>-0.34</v>
      </c>
      <c r="L31" s="250">
        <v>0.46</v>
      </c>
      <c r="N31" s="251">
        <f t="shared" si="16"/>
        <v>-2E-3</v>
      </c>
      <c r="O31" s="252">
        <f t="shared" si="16"/>
        <v>4.0000000000000002E-4</v>
      </c>
      <c r="P31" s="252">
        <f t="shared" si="16"/>
        <v>-3.4000000000000002E-3</v>
      </c>
      <c r="Q31" s="252">
        <f t="shared" si="16"/>
        <v>4.5999999999999999E-3</v>
      </c>
      <c r="R31" s="232"/>
      <c r="S31" s="241"/>
      <c r="T31" s="242"/>
      <c r="U31" s="242"/>
      <c r="V31" s="242"/>
      <c r="X31" s="242"/>
      <c r="Y31" s="242"/>
      <c r="Z31" s="242"/>
    </row>
    <row r="32" spans="1:34">
      <c r="A32" s="224" t="s">
        <v>232</v>
      </c>
      <c r="B32" s="225">
        <f t="shared" ref="B32:C34" si="20">B31/(1+N31)</f>
        <v>275.55110220440883</v>
      </c>
      <c r="C32" s="225">
        <f t="shared" si="20"/>
        <v>231.90723710515795</v>
      </c>
      <c r="D32" s="225">
        <f t="shared" si="3"/>
        <v>231.90723710515795</v>
      </c>
      <c r="E32" s="225">
        <f t="shared" ref="E32:F34" si="21">E31/(1+P31)</f>
        <v>377.28276138872161</v>
      </c>
      <c r="F32" s="225">
        <f t="shared" si="21"/>
        <v>212.02468644236512</v>
      </c>
      <c r="G32" s="664">
        <v>2011</v>
      </c>
      <c r="H32" s="254">
        <v>3</v>
      </c>
      <c r="I32" s="254">
        <v>0.13</v>
      </c>
      <c r="J32" s="254">
        <v>0.75</v>
      </c>
      <c r="K32" s="254">
        <v>-0.08</v>
      </c>
      <c r="L32" s="255">
        <v>0.53</v>
      </c>
      <c r="N32" s="230">
        <f t="shared" si="16"/>
        <v>1.2999999999999999E-3</v>
      </c>
      <c r="O32" s="256">
        <f t="shared" si="16"/>
        <v>7.4999999999999997E-3</v>
      </c>
      <c r="P32" s="256">
        <f t="shared" si="16"/>
        <v>-8.0000000000000004E-4</v>
      </c>
      <c r="Q32" s="256">
        <f t="shared" si="16"/>
        <v>5.3E-3</v>
      </c>
      <c r="R32" s="232"/>
      <c r="S32" s="230"/>
      <c r="T32" s="231"/>
      <c r="U32" s="231"/>
      <c r="V32" s="231"/>
    </row>
    <row r="33" spans="1:26">
      <c r="A33" s="224" t="s">
        <v>233</v>
      </c>
      <c r="B33" s="225">
        <f t="shared" si="20"/>
        <v>275.19335084830601</v>
      </c>
      <c r="C33" s="225">
        <f t="shared" si="20"/>
        <v>230.18088050139744</v>
      </c>
      <c r="D33" s="225">
        <f t="shared" si="3"/>
        <v>230.18088050139744</v>
      </c>
      <c r="E33" s="225">
        <f t="shared" si="21"/>
        <v>377.58482925212331</v>
      </c>
      <c r="F33" s="225">
        <f t="shared" si="21"/>
        <v>210.90687997847917</v>
      </c>
      <c r="G33" s="664">
        <v>2011</v>
      </c>
      <c r="H33" s="244">
        <v>2</v>
      </c>
      <c r="I33" s="244">
        <v>-0.4</v>
      </c>
      <c r="J33" s="244">
        <v>0.17</v>
      </c>
      <c r="K33" s="244">
        <v>-0.57999999999999996</v>
      </c>
      <c r="L33" s="245">
        <v>-0.2</v>
      </c>
      <c r="N33" s="230">
        <f t="shared" si="16"/>
        <v>-4.0000000000000001E-3</v>
      </c>
      <c r="O33" s="256">
        <f t="shared" si="16"/>
        <v>1.7000000000000001E-3</v>
      </c>
      <c r="P33" s="256">
        <f t="shared" si="16"/>
        <v>-5.7999999999999996E-3</v>
      </c>
      <c r="Q33" s="256">
        <f t="shared" si="16"/>
        <v>-2E-3</v>
      </c>
      <c r="R33" s="232"/>
      <c r="S33" s="230"/>
      <c r="T33" s="231"/>
      <c r="U33" s="231"/>
      <c r="V33" s="231"/>
    </row>
    <row r="34" spans="1:26" ht="13.5" thickBot="1">
      <c r="A34" s="224" t="s">
        <v>234</v>
      </c>
      <c r="B34" s="225">
        <f t="shared" si="20"/>
        <v>276.29854502841971</v>
      </c>
      <c r="C34" s="225">
        <f t="shared" si="20"/>
        <v>229.79023709833027</v>
      </c>
      <c r="D34" s="225">
        <f t="shared" si="3"/>
        <v>229.79023709833027</v>
      </c>
      <c r="E34" s="225">
        <f t="shared" si="21"/>
        <v>379.78759731655936</v>
      </c>
      <c r="F34" s="225">
        <f t="shared" si="21"/>
        <v>211.32953905659235</v>
      </c>
      <c r="G34" s="665">
        <v>2011</v>
      </c>
      <c r="H34" s="227">
        <v>1</v>
      </c>
      <c r="I34" s="227">
        <v>2.65</v>
      </c>
      <c r="J34" s="227">
        <v>3.76</v>
      </c>
      <c r="K34" s="227">
        <v>1.89</v>
      </c>
      <c r="L34" s="228">
        <v>7.95</v>
      </c>
      <c r="N34" s="233">
        <f t="shared" si="16"/>
        <v>2.6499999999999999E-2</v>
      </c>
      <c r="O34" s="234">
        <f t="shared" si="16"/>
        <v>3.7599999999999995E-2</v>
      </c>
      <c r="P34" s="234">
        <f t="shared" si="16"/>
        <v>1.89E-2</v>
      </c>
      <c r="Q34" s="234">
        <f t="shared" si="16"/>
        <v>7.9500000000000001E-2</v>
      </c>
      <c r="R34" s="232"/>
      <c r="S34" s="233">
        <f>B34/B35-1</f>
        <v>2.713213765211786E-2</v>
      </c>
      <c r="T34" s="234">
        <f>C34/C35-1</f>
        <v>3.9774828499231862E-2</v>
      </c>
      <c r="U34" s="234">
        <f>E34/E35-1</f>
        <v>1.8197311840641772E-2</v>
      </c>
      <c r="V34" s="234">
        <f>F34/F35-1</f>
        <v>7.8211933962205826E-2</v>
      </c>
      <c r="X34" s="212"/>
      <c r="Y34" s="212"/>
      <c r="Z34" s="212"/>
    </row>
    <row r="35" spans="1:26" ht="13.5" thickBot="1">
      <c r="A35" s="224" t="s">
        <v>235</v>
      </c>
      <c r="B35" s="247">
        <v>269</v>
      </c>
      <c r="C35" s="247">
        <v>221</v>
      </c>
      <c r="D35" s="247">
        <f t="shared" si="3"/>
        <v>221</v>
      </c>
      <c r="E35" s="247">
        <v>373</v>
      </c>
      <c r="F35" s="248">
        <v>196</v>
      </c>
      <c r="G35" s="663">
        <v>2010</v>
      </c>
      <c r="H35" s="249">
        <v>4</v>
      </c>
      <c r="I35" s="249">
        <v>5.72</v>
      </c>
      <c r="J35" s="249">
        <v>6.57</v>
      </c>
      <c r="K35" s="249">
        <v>5.72</v>
      </c>
      <c r="L35" s="250">
        <v>2.72</v>
      </c>
      <c r="N35" s="230">
        <f t="shared" si="16"/>
        <v>5.7200000000000001E-2</v>
      </c>
      <c r="O35" s="231">
        <f t="shared" si="16"/>
        <v>6.5700000000000008E-2</v>
      </c>
      <c r="P35" s="231">
        <f t="shared" si="16"/>
        <v>5.7200000000000001E-2</v>
      </c>
      <c r="Q35" s="231">
        <f t="shared" si="16"/>
        <v>2.7200000000000002E-2</v>
      </c>
      <c r="R35" s="232"/>
      <c r="S35" s="241"/>
      <c r="T35" s="242"/>
      <c r="U35" s="242"/>
      <c r="V35" s="242"/>
      <c r="X35" s="242"/>
      <c r="Y35" s="242"/>
      <c r="Z35" s="242"/>
    </row>
    <row r="36" spans="1:26">
      <c r="A36" s="224" t="s">
        <v>236</v>
      </c>
      <c r="B36" s="225">
        <f t="shared" ref="B36:C38" si="22">B35/(1+N35)</f>
        <v>254.44570563753314</v>
      </c>
      <c r="C36" s="225">
        <f t="shared" si="22"/>
        <v>207.37543398705074</v>
      </c>
      <c r="D36" s="225">
        <f t="shared" si="3"/>
        <v>207.37543398705074</v>
      </c>
      <c r="E36" s="225">
        <f t="shared" ref="E36:F38" si="23">E35/(1+P35)</f>
        <v>352.81876655315932</v>
      </c>
      <c r="F36" s="225">
        <f t="shared" si="23"/>
        <v>190.809968847352</v>
      </c>
      <c r="G36" s="664">
        <v>2010</v>
      </c>
      <c r="H36" s="254">
        <v>3</v>
      </c>
      <c r="I36" s="254">
        <v>4.7300000000000004</v>
      </c>
      <c r="J36" s="254">
        <v>3.9</v>
      </c>
      <c r="K36" s="254">
        <v>5.03</v>
      </c>
      <c r="L36" s="255">
        <v>4.21</v>
      </c>
      <c r="N36" s="230">
        <f t="shared" si="16"/>
        <v>4.7300000000000002E-2</v>
      </c>
      <c r="O36" s="231">
        <f t="shared" si="16"/>
        <v>3.9E-2</v>
      </c>
      <c r="P36" s="231">
        <f t="shared" si="16"/>
        <v>5.0300000000000004E-2</v>
      </c>
      <c r="Q36" s="231">
        <f t="shared" si="16"/>
        <v>4.2099999999999999E-2</v>
      </c>
      <c r="R36" s="232"/>
      <c r="S36" s="230"/>
      <c r="T36" s="231"/>
      <c r="U36" s="231"/>
      <c r="V36" s="231"/>
    </row>
    <row r="37" spans="1:26">
      <c r="A37" s="224" t="s">
        <v>237</v>
      </c>
      <c r="B37" s="225">
        <f t="shared" si="22"/>
        <v>242.95398227588385</v>
      </c>
      <c r="C37" s="225">
        <f t="shared" si="22"/>
        <v>199.59137053614126</v>
      </c>
      <c r="D37" s="225">
        <f t="shared" si="3"/>
        <v>199.59137053614126</v>
      </c>
      <c r="E37" s="225">
        <f t="shared" si="23"/>
        <v>335.92189522342125</v>
      </c>
      <c r="F37" s="225">
        <f t="shared" si="23"/>
        <v>183.10139991109489</v>
      </c>
      <c r="G37" s="664">
        <v>2010</v>
      </c>
      <c r="H37" s="244">
        <v>2</v>
      </c>
      <c r="I37" s="244">
        <v>4.6900000000000004</v>
      </c>
      <c r="J37" s="244">
        <v>3.55</v>
      </c>
      <c r="K37" s="244">
        <v>5.07</v>
      </c>
      <c r="L37" s="245">
        <v>4.2300000000000004</v>
      </c>
      <c r="N37" s="230">
        <f t="shared" si="16"/>
        <v>4.6900000000000004E-2</v>
      </c>
      <c r="O37" s="231">
        <f t="shared" si="16"/>
        <v>3.5499999999999997E-2</v>
      </c>
      <c r="P37" s="231">
        <f t="shared" si="16"/>
        <v>5.0700000000000002E-2</v>
      </c>
      <c r="Q37" s="231">
        <f t="shared" si="16"/>
        <v>4.2300000000000004E-2</v>
      </c>
      <c r="R37" s="232"/>
      <c r="S37" s="230"/>
      <c r="T37" s="231"/>
      <c r="U37" s="231"/>
      <c r="V37" s="231"/>
    </row>
    <row r="38" spans="1:26" ht="13.5" thickBot="1">
      <c r="A38" s="224" t="s">
        <v>238</v>
      </c>
      <c r="B38" s="225">
        <f t="shared" si="22"/>
        <v>232.06990378821649</v>
      </c>
      <c r="C38" s="225">
        <f t="shared" si="22"/>
        <v>192.74878854286936</v>
      </c>
      <c r="D38" s="225">
        <f t="shared" si="3"/>
        <v>192.74878854286936</v>
      </c>
      <c r="E38" s="225">
        <f t="shared" si="23"/>
        <v>319.71247284992984</v>
      </c>
      <c r="F38" s="225">
        <f t="shared" si="23"/>
        <v>175.67053622862409</v>
      </c>
      <c r="G38" s="665">
        <v>2010</v>
      </c>
      <c r="H38" s="227">
        <v>1</v>
      </c>
      <c r="I38" s="227">
        <v>5.4</v>
      </c>
      <c r="J38" s="227">
        <v>3.2</v>
      </c>
      <c r="K38" s="227">
        <v>6.16</v>
      </c>
      <c r="L38" s="228">
        <v>4.51</v>
      </c>
      <c r="N38" s="230">
        <f t="shared" si="16"/>
        <v>5.4000000000000006E-2</v>
      </c>
      <c r="O38" s="231">
        <f t="shared" si="16"/>
        <v>3.2000000000000001E-2</v>
      </c>
      <c r="P38" s="231">
        <f t="shared" si="16"/>
        <v>6.1600000000000002E-2</v>
      </c>
      <c r="Q38" s="231">
        <f t="shared" si="16"/>
        <v>4.5100000000000001E-2</v>
      </c>
      <c r="R38" s="232"/>
      <c r="S38" s="233">
        <f>B38/B39-1</f>
        <v>5.4863199037347599E-2</v>
      </c>
      <c r="T38" s="234">
        <f>C38/C39-1</f>
        <v>3.0742184721226584E-2</v>
      </c>
      <c r="U38" s="234">
        <f>E38/E39-1</f>
        <v>6.2167683886810154E-2</v>
      </c>
      <c r="V38" s="234">
        <f>F38/F39-1</f>
        <v>4.5657953741810031E-2</v>
      </c>
      <c r="X38" s="212"/>
      <c r="Y38" s="212"/>
      <c r="Z38" s="212"/>
    </row>
    <row r="39" spans="1:26" ht="13.5" thickBot="1">
      <c r="A39" s="224" t="s">
        <v>239</v>
      </c>
      <c r="B39" s="247">
        <v>220</v>
      </c>
      <c r="C39" s="247">
        <v>187</v>
      </c>
      <c r="D39" s="247">
        <f t="shared" si="3"/>
        <v>187</v>
      </c>
      <c r="E39" s="247">
        <v>301</v>
      </c>
      <c r="F39" s="248">
        <v>168</v>
      </c>
      <c r="G39" s="663">
        <v>2009</v>
      </c>
      <c r="H39" s="249">
        <v>4</v>
      </c>
      <c r="I39" s="249">
        <v>2.2999999999999998</v>
      </c>
      <c r="J39" s="249">
        <v>1.04</v>
      </c>
      <c r="K39" s="249">
        <v>2.84</v>
      </c>
      <c r="L39" s="250">
        <v>0.67</v>
      </c>
      <c r="N39" s="251">
        <f t="shared" si="16"/>
        <v>2.3E-2</v>
      </c>
      <c r="O39" s="252">
        <f t="shared" si="16"/>
        <v>1.04E-2</v>
      </c>
      <c r="P39" s="252">
        <f t="shared" si="16"/>
        <v>2.8399999999999998E-2</v>
      </c>
      <c r="Q39" s="252">
        <f t="shared" si="16"/>
        <v>6.7000000000000002E-3</v>
      </c>
      <c r="R39" s="232"/>
      <c r="S39" s="241"/>
      <c r="T39" s="242"/>
      <c r="U39" s="242"/>
      <c r="V39" s="242"/>
      <c r="X39" s="242"/>
      <c r="Y39" s="242"/>
      <c r="Z39" s="242"/>
    </row>
    <row r="40" spans="1:26">
      <c r="A40" s="224" t="s">
        <v>240</v>
      </c>
      <c r="B40" s="225">
        <f t="shared" ref="B40:C42" si="24">B39/(1+N39)</f>
        <v>215.05376344086022</v>
      </c>
      <c r="C40" s="225">
        <f t="shared" si="24"/>
        <v>185.0752177355503</v>
      </c>
      <c r="D40" s="225">
        <f t="shared" si="3"/>
        <v>185.0752177355503</v>
      </c>
      <c r="E40" s="225">
        <f t="shared" ref="E40:F42" si="25">E39/(1+P39)</f>
        <v>292.68767016725008</v>
      </c>
      <c r="F40" s="225">
        <f t="shared" si="25"/>
        <v>166.88189132810174</v>
      </c>
      <c r="G40" s="664">
        <v>2009</v>
      </c>
      <c r="H40" s="254">
        <v>3</v>
      </c>
      <c r="I40" s="254">
        <v>2.1</v>
      </c>
      <c r="J40" s="254">
        <v>1.86</v>
      </c>
      <c r="K40" s="254">
        <v>2.29</v>
      </c>
      <c r="L40" s="255">
        <v>0.85</v>
      </c>
      <c r="N40" s="230">
        <f t="shared" si="16"/>
        <v>2.1000000000000001E-2</v>
      </c>
      <c r="O40" s="256">
        <f t="shared" si="16"/>
        <v>1.8600000000000002E-2</v>
      </c>
      <c r="P40" s="256">
        <f t="shared" si="16"/>
        <v>2.29E-2</v>
      </c>
      <c r="Q40" s="256">
        <f t="shared" si="16"/>
        <v>8.5000000000000006E-3</v>
      </c>
      <c r="R40" s="232"/>
      <c r="S40" s="230"/>
      <c r="T40" s="231"/>
      <c r="U40" s="231"/>
      <c r="V40" s="231"/>
    </row>
    <row r="41" spans="1:26">
      <c r="A41" s="224" t="s">
        <v>241</v>
      </c>
      <c r="B41" s="225">
        <f t="shared" si="24"/>
        <v>210.630522469011</v>
      </c>
      <c r="C41" s="225">
        <f t="shared" si="24"/>
        <v>181.69567812247232</v>
      </c>
      <c r="D41" s="225">
        <f t="shared" si="3"/>
        <v>181.69567812247232</v>
      </c>
      <c r="E41" s="225">
        <f t="shared" si="25"/>
        <v>286.13517466736738</v>
      </c>
      <c r="F41" s="225">
        <f t="shared" si="25"/>
        <v>165.47535084591149</v>
      </c>
      <c r="G41" s="664">
        <v>2009</v>
      </c>
      <c r="H41" s="244">
        <v>2</v>
      </c>
      <c r="I41" s="244">
        <v>0.86</v>
      </c>
      <c r="J41" s="244">
        <v>-1.1299999999999999</v>
      </c>
      <c r="K41" s="244">
        <v>1.79</v>
      </c>
      <c r="L41" s="245">
        <v>-2.0699999999999998</v>
      </c>
      <c r="N41" s="230">
        <f t="shared" si="16"/>
        <v>8.6E-3</v>
      </c>
      <c r="O41" s="256">
        <f t="shared" si="16"/>
        <v>-1.1299999999999999E-2</v>
      </c>
      <c r="P41" s="256">
        <f t="shared" si="16"/>
        <v>1.7899999999999999E-2</v>
      </c>
      <c r="Q41" s="256">
        <f t="shared" si="16"/>
        <v>-2.07E-2</v>
      </c>
      <c r="R41" s="232"/>
      <c r="S41" s="230"/>
      <c r="T41" s="231"/>
      <c r="U41" s="231"/>
      <c r="V41" s="231"/>
    </row>
    <row r="42" spans="1:26">
      <c r="A42" s="224" t="s">
        <v>242</v>
      </c>
      <c r="B42" s="225">
        <f t="shared" si="24"/>
        <v>208.83454537875372</v>
      </c>
      <c r="C42" s="225">
        <f t="shared" si="24"/>
        <v>183.77230517090351</v>
      </c>
      <c r="D42" s="225">
        <f t="shared" si="3"/>
        <v>183.77230517090351</v>
      </c>
      <c r="E42" s="225">
        <f t="shared" si="25"/>
        <v>281.10342338870947</v>
      </c>
      <c r="F42" s="225">
        <f t="shared" si="25"/>
        <v>168.97309388942256</v>
      </c>
      <c r="G42" s="665">
        <v>2009</v>
      </c>
      <c r="H42" s="227">
        <v>1</v>
      </c>
      <c r="I42" s="227">
        <v>-2.64</v>
      </c>
      <c r="J42" s="227">
        <v>-2.5299999999999998</v>
      </c>
      <c r="K42" s="227">
        <v>-3.02</v>
      </c>
      <c r="L42" s="228">
        <v>1.52</v>
      </c>
      <c r="N42" s="233">
        <f t="shared" si="16"/>
        <v>-2.64E-2</v>
      </c>
      <c r="O42" s="234">
        <f t="shared" si="16"/>
        <v>-2.53E-2</v>
      </c>
      <c r="P42" s="234">
        <f t="shared" si="16"/>
        <v>-3.0200000000000001E-2</v>
      </c>
      <c r="Q42" s="234">
        <f t="shared" si="16"/>
        <v>1.52E-2</v>
      </c>
      <c r="R42" s="232"/>
      <c r="S42" s="233">
        <f>B42/B43-1</f>
        <v>-2.4137638417038754E-2</v>
      </c>
      <c r="T42" s="234">
        <f>C42/C43-1</f>
        <v>-2.248773845264096E-2</v>
      </c>
      <c r="U42" s="234">
        <f>E42/E43-1</f>
        <v>-2.7323794502735366E-2</v>
      </c>
      <c r="V42" s="234">
        <f>F42/F43-1</f>
        <v>1.7910204153148035E-2</v>
      </c>
      <c r="X42" s="212"/>
      <c r="Y42" s="212"/>
      <c r="Z42" s="212"/>
    </row>
    <row r="43" spans="1:26" ht="13.5" thickBot="1">
      <c r="A43" s="224" t="s">
        <v>243</v>
      </c>
      <c r="B43" s="279">
        <v>214</v>
      </c>
      <c r="C43" s="279">
        <v>188</v>
      </c>
      <c r="D43" s="279">
        <f t="shared" si="3"/>
        <v>188</v>
      </c>
      <c r="E43" s="279">
        <v>289</v>
      </c>
      <c r="F43" s="280">
        <v>166</v>
      </c>
      <c r="G43" s="663">
        <v>2008</v>
      </c>
      <c r="H43" s="249">
        <v>4</v>
      </c>
      <c r="I43" s="249">
        <v>1.73</v>
      </c>
      <c r="J43" s="249">
        <v>0.03</v>
      </c>
      <c r="K43" s="249">
        <v>2.59</v>
      </c>
      <c r="L43" s="250">
        <v>-1.66</v>
      </c>
      <c r="N43" s="230">
        <f t="shared" si="16"/>
        <v>1.7299999999999999E-2</v>
      </c>
      <c r="O43" s="231">
        <f t="shared" si="16"/>
        <v>2.9999999999999997E-4</v>
      </c>
      <c r="P43" s="231">
        <f t="shared" si="16"/>
        <v>2.5899999999999999E-2</v>
      </c>
      <c r="Q43" s="231">
        <f t="shared" si="16"/>
        <v>-1.66E-2</v>
      </c>
      <c r="R43" s="232"/>
      <c r="S43" s="241"/>
      <c r="T43" s="242"/>
      <c r="U43" s="242"/>
      <c r="V43" s="242"/>
      <c r="X43" s="242"/>
      <c r="Y43" s="242"/>
      <c r="Z43" s="242"/>
    </row>
    <row r="44" spans="1:26">
      <c r="A44" s="224" t="s">
        <v>244</v>
      </c>
      <c r="B44" s="225">
        <f t="shared" ref="B44:C46" si="26">B43/(1+N43)</f>
        <v>210.36075887152265</v>
      </c>
      <c r="C44" s="225">
        <f t="shared" si="26"/>
        <v>187.94361691492554</v>
      </c>
      <c r="D44" s="225">
        <f t="shared" si="3"/>
        <v>187.94361691492554</v>
      </c>
      <c r="E44" s="225">
        <f t="shared" ref="E44:F46" si="27">E43/(1+P43)</f>
        <v>281.70386977288234</v>
      </c>
      <c r="F44" s="225">
        <f t="shared" si="27"/>
        <v>168.80211511083994</v>
      </c>
      <c r="G44" s="664">
        <v>2008</v>
      </c>
      <c r="H44" s="254">
        <v>3</v>
      </c>
      <c r="I44" s="254">
        <v>1.96</v>
      </c>
      <c r="J44" s="254">
        <v>2.36</v>
      </c>
      <c r="K44" s="254">
        <v>1.82</v>
      </c>
      <c r="L44" s="255">
        <v>2.2200000000000002</v>
      </c>
      <c r="N44" s="230">
        <f t="shared" si="16"/>
        <v>1.9599999999999999E-2</v>
      </c>
      <c r="O44" s="231">
        <f t="shared" si="16"/>
        <v>2.3599999999999999E-2</v>
      </c>
      <c r="P44" s="231">
        <f t="shared" si="16"/>
        <v>1.8200000000000001E-2</v>
      </c>
      <c r="Q44" s="231">
        <f t="shared" si="16"/>
        <v>2.2200000000000001E-2</v>
      </c>
      <c r="R44" s="232"/>
      <c r="S44" s="230"/>
      <c r="T44" s="231"/>
      <c r="U44" s="231"/>
      <c r="V44" s="231"/>
    </row>
    <row r="45" spans="1:26">
      <c r="A45" s="224" t="s">
        <v>245</v>
      </c>
      <c r="B45" s="225">
        <f t="shared" si="26"/>
        <v>206.31694671589116</v>
      </c>
      <c r="C45" s="225">
        <f t="shared" si="26"/>
        <v>183.61041121036101</v>
      </c>
      <c r="D45" s="225">
        <f t="shared" si="3"/>
        <v>183.61041121036101</v>
      </c>
      <c r="E45" s="225">
        <f t="shared" si="27"/>
        <v>276.66850301795557</v>
      </c>
      <c r="F45" s="225">
        <f t="shared" si="27"/>
        <v>165.1360938278614</v>
      </c>
      <c r="G45" s="664">
        <v>2008</v>
      </c>
      <c r="H45" s="244">
        <v>2</v>
      </c>
      <c r="I45" s="244">
        <v>4.93</v>
      </c>
      <c r="J45" s="244">
        <v>7.38</v>
      </c>
      <c r="K45" s="244">
        <v>3.98</v>
      </c>
      <c r="L45" s="245">
        <v>6.86</v>
      </c>
      <c r="N45" s="230">
        <f t="shared" si="16"/>
        <v>4.9299999999999997E-2</v>
      </c>
      <c r="O45" s="231">
        <f t="shared" si="16"/>
        <v>7.3800000000000004E-2</v>
      </c>
      <c r="P45" s="231">
        <f t="shared" si="16"/>
        <v>3.9800000000000002E-2</v>
      </c>
      <c r="Q45" s="231">
        <f t="shared" si="16"/>
        <v>6.8600000000000008E-2</v>
      </c>
      <c r="R45" s="232"/>
      <c r="S45" s="230"/>
      <c r="T45" s="231"/>
      <c r="U45" s="231"/>
      <c r="V45" s="231"/>
    </row>
    <row r="46" spans="1:26" s="285" customFormat="1" ht="13.5" thickBot="1">
      <c r="A46" s="224" t="s">
        <v>246</v>
      </c>
      <c r="B46" s="282">
        <f t="shared" si="26"/>
        <v>196.62341248059772</v>
      </c>
      <c r="C46" s="282">
        <f t="shared" si="26"/>
        <v>170.99125648199012</v>
      </c>
      <c r="D46" s="282">
        <f t="shared" si="3"/>
        <v>170.99125648199012</v>
      </c>
      <c r="E46" s="282">
        <f t="shared" si="27"/>
        <v>266.07857570490052</v>
      </c>
      <c r="F46" s="282">
        <f t="shared" si="27"/>
        <v>154.53499328828505</v>
      </c>
      <c r="G46" s="665">
        <v>2008</v>
      </c>
      <c r="H46" s="283">
        <v>1</v>
      </c>
      <c r="I46" s="283">
        <v>4.1399999999999997</v>
      </c>
      <c r="J46" s="283">
        <v>3.45</v>
      </c>
      <c r="K46" s="283">
        <v>4.95</v>
      </c>
      <c r="L46" s="284">
        <v>4.82</v>
      </c>
      <c r="N46" s="286">
        <f t="shared" si="16"/>
        <v>4.1399999999999999E-2</v>
      </c>
      <c r="O46" s="287">
        <f t="shared" si="16"/>
        <v>3.4500000000000003E-2</v>
      </c>
      <c r="P46" s="287">
        <f t="shared" si="16"/>
        <v>4.9500000000000002E-2</v>
      </c>
      <c r="Q46" s="287">
        <f t="shared" si="16"/>
        <v>4.82E-2</v>
      </c>
      <c r="R46" s="288"/>
      <c r="S46" s="286">
        <f>B46/B47-1</f>
        <v>4.5869215322328349E-2</v>
      </c>
      <c r="T46" s="287">
        <f>C46/C47-1</f>
        <v>3.6310645345394743E-2</v>
      </c>
      <c r="U46" s="287">
        <f>E46/E47-1</f>
        <v>4.7553447657088688E-2</v>
      </c>
      <c r="V46" s="287">
        <f>F46/F47-1</f>
        <v>4.4155360055980086E-2</v>
      </c>
      <c r="X46" s="289"/>
      <c r="Y46" s="289"/>
      <c r="Z46" s="289"/>
    </row>
    <row r="47" spans="1:26" ht="13.5" thickBot="1">
      <c r="A47" s="224" t="s">
        <v>247</v>
      </c>
      <c r="B47" s="247">
        <v>188</v>
      </c>
      <c r="C47" s="247">
        <v>165</v>
      </c>
      <c r="D47" s="247">
        <f t="shared" si="3"/>
        <v>165</v>
      </c>
      <c r="E47" s="247">
        <v>254</v>
      </c>
      <c r="F47" s="248">
        <v>148</v>
      </c>
      <c r="G47" s="663">
        <v>2007</v>
      </c>
      <c r="H47" s="290">
        <v>4</v>
      </c>
      <c r="I47" s="290">
        <v>5.51</v>
      </c>
      <c r="J47" s="290">
        <v>4.8899999999999997</v>
      </c>
      <c r="K47" s="290">
        <v>6.43</v>
      </c>
      <c r="L47" s="291">
        <v>5.36</v>
      </c>
      <c r="N47" s="292">
        <f t="shared" ref="N47:O50" si="28">B47/B48-1</f>
        <v>4.1339718365245526E-2</v>
      </c>
      <c r="O47" s="293">
        <f t="shared" si="28"/>
        <v>4.0324492593776018E-2</v>
      </c>
      <c r="P47" s="293">
        <f t="shared" ref="P47:Q50" si="29">E47/E48-1</f>
        <v>6.1625555347990968E-2</v>
      </c>
      <c r="Q47" s="293">
        <f t="shared" si="29"/>
        <v>4.6757569250590603E-2</v>
      </c>
      <c r="R47" s="232"/>
      <c r="S47" s="241"/>
      <c r="T47" s="242"/>
      <c r="U47" s="242"/>
      <c r="V47" s="242"/>
      <c r="X47" s="242"/>
      <c r="Y47" s="242"/>
      <c r="Z47" s="242"/>
    </row>
    <row r="48" spans="1:26">
      <c r="A48" s="224" t="s">
        <v>248</v>
      </c>
      <c r="B48" s="225">
        <f t="shared" ref="B48:C50" si="30">B49+(B$47-B$51)*I48/SUM(I$47:I$50)</f>
        <v>180.5366651097618</v>
      </c>
      <c r="C48" s="225">
        <f t="shared" si="30"/>
        <v>158.60435967302453</v>
      </c>
      <c r="D48" s="225">
        <f t="shared" si="3"/>
        <v>158.60435967302453</v>
      </c>
      <c r="E48" s="225">
        <f t="shared" ref="E48:F50" si="31">E49+(E$47-E$51)*K48/SUM(K$47:K$50)</f>
        <v>239.25573260785075</v>
      </c>
      <c r="F48" s="225">
        <f t="shared" si="31"/>
        <v>141.38899430740037</v>
      </c>
      <c r="G48" s="664">
        <v>2007</v>
      </c>
      <c r="H48" s="254">
        <v>3</v>
      </c>
      <c r="I48" s="254">
        <v>8.65</v>
      </c>
      <c r="J48" s="254">
        <v>8.06</v>
      </c>
      <c r="K48" s="254">
        <v>9.94</v>
      </c>
      <c r="L48" s="255">
        <v>5.8</v>
      </c>
      <c r="N48" s="292">
        <f t="shared" si="28"/>
        <v>6.940217571740015E-2</v>
      </c>
      <c r="O48" s="293">
        <f t="shared" si="28"/>
        <v>7.1197482471153428E-2</v>
      </c>
      <c r="P48" s="293">
        <f t="shared" si="29"/>
        <v>0.10529679922579582</v>
      </c>
      <c r="Q48" s="293">
        <f t="shared" si="29"/>
        <v>5.3292245059512133E-2</v>
      </c>
      <c r="R48" s="232"/>
      <c r="S48" s="230"/>
      <c r="T48" s="231"/>
      <c r="U48" s="231"/>
      <c r="V48" s="231"/>
      <c r="X48" s="294"/>
      <c r="Y48" s="294"/>
      <c r="Z48" s="294"/>
    </row>
    <row r="49" spans="1:26">
      <c r="A49" s="224" t="s">
        <v>249</v>
      </c>
      <c r="B49" s="225">
        <f t="shared" si="30"/>
        <v>168.82017748715555</v>
      </c>
      <c r="C49" s="225">
        <f t="shared" si="30"/>
        <v>148.06267029972753</v>
      </c>
      <c r="D49" s="225">
        <f t="shared" si="3"/>
        <v>148.06267029972753</v>
      </c>
      <c r="E49" s="225">
        <f t="shared" si="31"/>
        <v>216.46288379323747</v>
      </c>
      <c r="F49" s="225">
        <f t="shared" si="31"/>
        <v>134.23529411764704</v>
      </c>
      <c r="G49" s="664">
        <v>2007</v>
      </c>
      <c r="H49" s="244">
        <v>2</v>
      </c>
      <c r="I49" s="244">
        <v>3.67</v>
      </c>
      <c r="J49" s="244">
        <v>2.3199999999999998</v>
      </c>
      <c r="K49" s="244">
        <v>5.0199999999999996</v>
      </c>
      <c r="L49" s="245">
        <v>6.71</v>
      </c>
      <c r="N49" s="292">
        <f t="shared" si="28"/>
        <v>3.0339138143848032E-2</v>
      </c>
      <c r="O49" s="293">
        <f t="shared" si="28"/>
        <v>2.0922341588790472E-2</v>
      </c>
      <c r="P49" s="293">
        <f t="shared" si="29"/>
        <v>5.6164796592717003E-2</v>
      </c>
      <c r="Q49" s="293">
        <f t="shared" si="29"/>
        <v>6.5704536723887319E-2</v>
      </c>
      <c r="R49" s="232"/>
      <c r="S49" s="230"/>
      <c r="T49" s="231"/>
      <c r="U49" s="231"/>
      <c r="V49" s="231"/>
      <c r="X49" s="294"/>
      <c r="Y49" s="294"/>
      <c r="Z49" s="294"/>
    </row>
    <row r="50" spans="1:26">
      <c r="A50" s="224" t="s">
        <v>250</v>
      </c>
      <c r="B50" s="225">
        <f t="shared" si="30"/>
        <v>163.84913591779542</v>
      </c>
      <c r="C50" s="225">
        <f t="shared" si="30"/>
        <v>145.0283378746594</v>
      </c>
      <c r="D50" s="225">
        <f t="shared" si="3"/>
        <v>145.0283378746594</v>
      </c>
      <c r="E50" s="225">
        <f t="shared" si="31"/>
        <v>204.95180722891567</v>
      </c>
      <c r="F50" s="225">
        <f t="shared" si="31"/>
        <v>125.95920303605313</v>
      </c>
      <c r="G50" s="665">
        <v>2007</v>
      </c>
      <c r="H50" s="227">
        <v>1</v>
      </c>
      <c r="I50" s="227">
        <v>3.58</v>
      </c>
      <c r="J50" s="227">
        <v>3.08</v>
      </c>
      <c r="K50" s="227">
        <v>4.34</v>
      </c>
      <c r="L50" s="228">
        <v>3.21</v>
      </c>
      <c r="N50" s="295">
        <f t="shared" si="28"/>
        <v>3.0497710174814063E-2</v>
      </c>
      <c r="O50" s="296">
        <f t="shared" si="28"/>
        <v>2.8569772160704998E-2</v>
      </c>
      <c r="P50" s="296">
        <f t="shared" si="29"/>
        <v>5.1034908866234296E-2</v>
      </c>
      <c r="Q50" s="296">
        <f t="shared" si="29"/>
        <v>3.245248390207478E-2</v>
      </c>
      <c r="R50" s="232"/>
      <c r="S50" s="233">
        <f>B50/B51-1</f>
        <v>3.0497710174814063E-2</v>
      </c>
      <c r="T50" s="234">
        <f>C50/C51-1</f>
        <v>2.8569772160704998E-2</v>
      </c>
      <c r="U50" s="234">
        <f>E50/E51-1</f>
        <v>5.1034908866234296E-2</v>
      </c>
      <c r="V50" s="234">
        <f>F50/F51-1</f>
        <v>3.245248390207478E-2</v>
      </c>
      <c r="X50" s="294"/>
      <c r="Y50" s="294"/>
      <c r="Z50" s="294"/>
    </row>
    <row r="51" spans="1:26" ht="13.5" thickBot="1">
      <c r="A51" s="224" t="s">
        <v>251</v>
      </c>
      <c r="B51" s="257">
        <v>159</v>
      </c>
      <c r="C51" s="257">
        <v>141</v>
      </c>
      <c r="D51" s="257">
        <f t="shared" si="3"/>
        <v>141</v>
      </c>
      <c r="E51" s="257">
        <v>195</v>
      </c>
      <c r="F51" s="258">
        <v>122</v>
      </c>
      <c r="G51" s="663">
        <v>2006</v>
      </c>
      <c r="H51" s="249">
        <v>4</v>
      </c>
      <c r="I51" s="249">
        <v>3.79</v>
      </c>
      <c r="J51" s="249">
        <v>2.21</v>
      </c>
      <c r="K51" s="249">
        <v>5.65</v>
      </c>
      <c r="L51" s="250">
        <v>5.41</v>
      </c>
      <c r="N51" s="292">
        <f t="shared" ref="N51:O54" si="32">I51/SUM(I$51:I$54)*(B$51/B$55-1)</f>
        <v>7.245466462748526E-2</v>
      </c>
      <c r="O51" s="293">
        <f t="shared" si="32"/>
        <v>2.3237230038062766E-2</v>
      </c>
      <c r="P51" s="293">
        <f t="shared" ref="P51:Q54" si="33">K51/SUM(K$51:K$54)*(E$51/E$55-1)</f>
        <v>0.16146893866323722</v>
      </c>
      <c r="Q51" s="293">
        <f t="shared" si="33"/>
        <v>5.0755230321793784E-2</v>
      </c>
      <c r="R51" s="232"/>
      <c r="S51" s="241"/>
      <c r="T51" s="242"/>
      <c r="U51" s="242"/>
      <c r="V51" s="242"/>
      <c r="X51" s="294"/>
      <c r="Y51" s="294"/>
      <c r="Z51" s="294"/>
    </row>
    <row r="52" spans="1:26">
      <c r="A52" s="224" t="s">
        <v>252</v>
      </c>
      <c r="B52" s="225">
        <f t="shared" ref="B52:C54" si="34">B53+(B$51-B$55)*I52/SUM(I$51:I$54)</f>
        <v>149.00125628140702</v>
      </c>
      <c r="C52" s="225">
        <f t="shared" si="34"/>
        <v>137.95592286501378</v>
      </c>
      <c r="D52" s="225">
        <f t="shared" si="3"/>
        <v>137.95592286501378</v>
      </c>
      <c r="E52" s="225">
        <f t="shared" ref="E52:F54" si="35">E53+(E$51-E$55)*K52/SUM(K$51:K$54)</f>
        <v>169.97231450719823</v>
      </c>
      <c r="F52" s="225">
        <f t="shared" si="35"/>
        <v>116.21390374331551</v>
      </c>
      <c r="G52" s="664">
        <v>2006</v>
      </c>
      <c r="H52" s="254">
        <v>3</v>
      </c>
      <c r="I52" s="254">
        <v>0.92</v>
      </c>
      <c r="J52" s="254">
        <v>1.08</v>
      </c>
      <c r="K52" s="254">
        <v>0.73</v>
      </c>
      <c r="L52" s="255">
        <v>1.08</v>
      </c>
      <c r="N52" s="292">
        <f t="shared" si="32"/>
        <v>1.7587939698492462E-2</v>
      </c>
      <c r="O52" s="293">
        <f t="shared" si="32"/>
        <v>1.1355750425840628E-2</v>
      </c>
      <c r="P52" s="293">
        <f t="shared" si="33"/>
        <v>2.0862358446754544E-2</v>
      </c>
      <c r="Q52" s="293">
        <f t="shared" si="33"/>
        <v>1.0132282578103011E-2</v>
      </c>
      <c r="R52" s="232"/>
      <c r="S52" s="230"/>
      <c r="T52" s="231"/>
      <c r="U52" s="231"/>
      <c r="V52" s="231"/>
      <c r="X52" s="294"/>
      <c r="Y52" s="294"/>
      <c r="Z52" s="294"/>
    </row>
    <row r="53" spans="1:26">
      <c r="A53" s="224" t="s">
        <v>253</v>
      </c>
      <c r="B53" s="225">
        <f t="shared" si="34"/>
        <v>146.57412060301507</v>
      </c>
      <c r="C53" s="225">
        <f t="shared" si="34"/>
        <v>136.46831955922866</v>
      </c>
      <c r="D53" s="225">
        <f t="shared" si="3"/>
        <v>136.46831955922866</v>
      </c>
      <c r="E53" s="225">
        <f t="shared" si="35"/>
        <v>166.73864894795128</v>
      </c>
      <c r="F53" s="225">
        <f t="shared" si="35"/>
        <v>115.05882352941177</v>
      </c>
      <c r="G53" s="664">
        <v>2006</v>
      </c>
      <c r="H53" s="244">
        <v>2</v>
      </c>
      <c r="I53" s="244">
        <v>0.96</v>
      </c>
      <c r="J53" s="244">
        <v>0.25</v>
      </c>
      <c r="K53" s="244">
        <v>1.9</v>
      </c>
      <c r="L53" s="245">
        <v>0.95</v>
      </c>
      <c r="N53" s="292">
        <f t="shared" si="32"/>
        <v>1.8352632728861701E-2</v>
      </c>
      <c r="O53" s="293">
        <f t="shared" si="32"/>
        <v>2.6286459319075526E-3</v>
      </c>
      <c r="P53" s="293">
        <f t="shared" si="33"/>
        <v>5.4299289107991269E-2</v>
      </c>
      <c r="Q53" s="293">
        <f t="shared" si="33"/>
        <v>8.9126559714794995E-3</v>
      </c>
      <c r="R53" s="232"/>
      <c r="S53" s="230"/>
      <c r="T53" s="231"/>
      <c r="U53" s="231"/>
      <c r="V53" s="231"/>
      <c r="X53" s="294"/>
      <c r="Y53" s="294"/>
      <c r="Z53" s="294"/>
    </row>
    <row r="54" spans="1:26">
      <c r="A54" s="224" t="s">
        <v>254</v>
      </c>
      <c r="B54" s="225">
        <f t="shared" si="34"/>
        <v>144.04145728643215</v>
      </c>
      <c r="C54" s="225">
        <f t="shared" si="34"/>
        <v>136.12396694214877</v>
      </c>
      <c r="D54" s="225">
        <f t="shared" si="3"/>
        <v>136.12396694214877</v>
      </c>
      <c r="E54" s="225">
        <f t="shared" si="35"/>
        <v>158.32225913621264</v>
      </c>
      <c r="F54" s="225">
        <f t="shared" si="35"/>
        <v>114.04278074866311</v>
      </c>
      <c r="G54" s="665">
        <v>2006</v>
      </c>
      <c r="H54" s="227">
        <v>1</v>
      </c>
      <c r="I54" s="227">
        <v>2.29</v>
      </c>
      <c r="J54" s="227">
        <v>3.72</v>
      </c>
      <c r="K54" s="227">
        <v>0.75</v>
      </c>
      <c r="L54" s="228">
        <v>0.04</v>
      </c>
      <c r="N54" s="295">
        <f t="shared" si="32"/>
        <v>4.3778675988638847E-2</v>
      </c>
      <c r="O54" s="296">
        <f t="shared" si="32"/>
        <v>3.9114251466784385E-2</v>
      </c>
      <c r="P54" s="296">
        <f t="shared" si="33"/>
        <v>2.1433929911049188E-2</v>
      </c>
      <c r="Q54" s="296">
        <f t="shared" si="33"/>
        <v>3.7526972511492629E-4</v>
      </c>
      <c r="R54" s="232"/>
      <c r="S54" s="233">
        <f>B54/B55-1</f>
        <v>4.3778675988638716E-2</v>
      </c>
      <c r="T54" s="234">
        <f>C54/C55-1</f>
        <v>3.91142514667846E-2</v>
      </c>
      <c r="U54" s="234">
        <f>E54/E55-1</f>
        <v>2.143392991104931E-2</v>
      </c>
      <c r="V54" s="234">
        <f>F54/F55-1</f>
        <v>3.7526972511492396E-4</v>
      </c>
      <c r="X54" s="294"/>
      <c r="Y54" s="294"/>
      <c r="Z54" s="294"/>
    </row>
    <row r="55" spans="1:26" ht="13.5" thickBot="1">
      <c r="A55" s="224" t="s">
        <v>255</v>
      </c>
      <c r="B55" s="257">
        <v>138</v>
      </c>
      <c r="C55" s="257">
        <v>131</v>
      </c>
      <c r="D55" s="257">
        <f t="shared" si="3"/>
        <v>131</v>
      </c>
      <c r="E55" s="257">
        <v>155</v>
      </c>
      <c r="F55" s="258">
        <v>114</v>
      </c>
      <c r="G55" s="663">
        <v>2005</v>
      </c>
      <c r="H55" s="249">
        <v>4</v>
      </c>
      <c r="I55" s="249">
        <v>3.29</v>
      </c>
      <c r="J55" s="249">
        <v>1.44</v>
      </c>
      <c r="K55" s="249">
        <v>0.66</v>
      </c>
      <c r="L55" s="250">
        <v>7.78</v>
      </c>
      <c r="N55" s="292">
        <f t="shared" ref="N55:O58" si="36">I55/SUM(I$55:I$58)*(B$55/B$59-1)</f>
        <v>9.9404603216919935E-2</v>
      </c>
      <c r="O55" s="293">
        <f t="shared" si="36"/>
        <v>4.7636550760861554E-2</v>
      </c>
      <c r="P55" s="293">
        <f t="shared" ref="P55:Q58" si="37">K55/SUM(K$55:K$58)*(E$55/E$59-1)</f>
        <v>8.3756345177664976E-2</v>
      </c>
      <c r="Q55" s="293">
        <f t="shared" si="37"/>
        <v>5.2148766661559584E-2</v>
      </c>
      <c r="R55" s="232"/>
      <c r="S55" s="241"/>
      <c r="T55" s="242"/>
      <c r="U55" s="242"/>
      <c r="V55" s="242"/>
      <c r="X55" s="294"/>
      <c r="Y55" s="294"/>
      <c r="Z55" s="294"/>
    </row>
    <row r="56" spans="1:26">
      <c r="A56" s="224" t="s">
        <v>256</v>
      </c>
      <c r="B56" s="225">
        <f t="shared" ref="B56:C58" si="38">B57+(B$55-B$59)*I56/SUM(I$55:I$58)</f>
        <v>125.9720430107527</v>
      </c>
      <c r="C56" s="225">
        <f t="shared" si="38"/>
        <v>125.1883408071749</v>
      </c>
      <c r="D56" s="225">
        <f t="shared" si="3"/>
        <v>125.1883408071749</v>
      </c>
      <c r="E56" s="225">
        <f t="shared" ref="E56:F58" si="39">E57+(E$55-E$59)*K56/SUM(K$55:K$58)</f>
        <v>144.61421319796952</v>
      </c>
      <c r="F56" s="225">
        <f t="shared" si="39"/>
        <v>108.42008196721311</v>
      </c>
      <c r="G56" s="664">
        <v>2005</v>
      </c>
      <c r="H56" s="254">
        <v>3</v>
      </c>
      <c r="I56" s="254">
        <v>0.46</v>
      </c>
      <c r="J56" s="254">
        <v>0.32</v>
      </c>
      <c r="K56" s="254">
        <v>0.42</v>
      </c>
      <c r="L56" s="255">
        <v>0.64</v>
      </c>
      <c r="N56" s="292">
        <f t="shared" si="36"/>
        <v>1.3898515951301874E-2</v>
      </c>
      <c r="O56" s="293">
        <f t="shared" si="36"/>
        <v>1.0585900169080346E-2</v>
      </c>
      <c r="P56" s="293">
        <f t="shared" si="37"/>
        <v>5.3299492385786795E-2</v>
      </c>
      <c r="Q56" s="293">
        <f t="shared" si="37"/>
        <v>4.2898728359123568E-3</v>
      </c>
      <c r="R56" s="232"/>
      <c r="S56" s="230"/>
      <c r="T56" s="231"/>
      <c r="U56" s="231"/>
      <c r="V56" s="231"/>
      <c r="X56" s="294"/>
      <c r="Y56" s="294"/>
      <c r="Z56" s="294"/>
    </row>
    <row r="57" spans="1:26">
      <c r="A57" s="224" t="s">
        <v>257</v>
      </c>
      <c r="B57" s="225">
        <f t="shared" si="38"/>
        <v>124.29032258064517</v>
      </c>
      <c r="C57" s="225">
        <f t="shared" si="38"/>
        <v>123.8968609865471</v>
      </c>
      <c r="D57" s="225">
        <f t="shared" si="3"/>
        <v>123.8968609865471</v>
      </c>
      <c r="E57" s="225">
        <f t="shared" si="39"/>
        <v>138.00507614213197</v>
      </c>
      <c r="F57" s="225">
        <f t="shared" si="39"/>
        <v>107.96106557377048</v>
      </c>
      <c r="G57" s="664">
        <v>2005</v>
      </c>
      <c r="H57" s="244">
        <v>2</v>
      </c>
      <c r="I57" s="244">
        <v>0.47</v>
      </c>
      <c r="J57" s="244">
        <v>0.1</v>
      </c>
      <c r="K57" s="244">
        <v>0.52</v>
      </c>
      <c r="L57" s="245">
        <v>0.79</v>
      </c>
      <c r="N57" s="292">
        <f t="shared" si="36"/>
        <v>1.420065760241713E-2</v>
      </c>
      <c r="O57" s="293">
        <f t="shared" si="36"/>
        <v>3.3080938028376083E-3</v>
      </c>
      <c r="P57" s="293">
        <f t="shared" si="37"/>
        <v>6.598984771573603E-2</v>
      </c>
      <c r="Q57" s="293">
        <f t="shared" si="37"/>
        <v>5.2953117818293153E-3</v>
      </c>
      <c r="R57" s="232"/>
      <c r="S57" s="230"/>
      <c r="T57" s="231"/>
      <c r="U57" s="231"/>
      <c r="V57" s="231"/>
      <c r="X57" s="294"/>
      <c r="Y57" s="294"/>
      <c r="Z57" s="294"/>
    </row>
    <row r="58" spans="1:26">
      <c r="A58" s="224" t="s">
        <v>258</v>
      </c>
      <c r="B58" s="225">
        <f t="shared" si="38"/>
        <v>122.57204301075269</v>
      </c>
      <c r="C58" s="225">
        <f t="shared" si="38"/>
        <v>123.4932735426009</v>
      </c>
      <c r="D58" s="225">
        <f t="shared" si="3"/>
        <v>123.4932735426009</v>
      </c>
      <c r="E58" s="225">
        <f t="shared" si="39"/>
        <v>129.82233502538071</v>
      </c>
      <c r="F58" s="225">
        <f t="shared" si="39"/>
        <v>107.39446721311475</v>
      </c>
      <c r="G58" s="665">
        <v>2005</v>
      </c>
      <c r="H58" s="227">
        <v>1</v>
      </c>
      <c r="I58" s="227">
        <v>0.43</v>
      </c>
      <c r="J58" s="227">
        <v>0.37</v>
      </c>
      <c r="K58" s="227">
        <v>0.37</v>
      </c>
      <c r="L58" s="228">
        <v>0.55000000000000004</v>
      </c>
      <c r="N58" s="295">
        <f t="shared" si="36"/>
        <v>1.2992090997956099E-2</v>
      </c>
      <c r="O58" s="296">
        <f t="shared" si="36"/>
        <v>1.2239947070499151E-2</v>
      </c>
      <c r="P58" s="296">
        <f t="shared" si="37"/>
        <v>4.6954314720812178E-2</v>
      </c>
      <c r="Q58" s="296">
        <f t="shared" si="37"/>
        <v>3.6866094683621815E-3</v>
      </c>
      <c r="R58" s="232"/>
      <c r="S58" s="233">
        <f>B58/B59-1</f>
        <v>1.2992090997956174E-2</v>
      </c>
      <c r="T58" s="234">
        <f>C58/C59-1</f>
        <v>1.2239947070499246E-2</v>
      </c>
      <c r="U58" s="234">
        <f>E58/E59-1</f>
        <v>4.695431472081224E-2</v>
      </c>
      <c r="V58" s="234">
        <f>F58/F59-1</f>
        <v>3.6866094683620787E-3</v>
      </c>
      <c r="X58" s="294"/>
      <c r="Y58" s="294"/>
      <c r="Z58" s="294"/>
    </row>
    <row r="59" spans="1:26" ht="13.5" thickBot="1">
      <c r="A59" s="224" t="s">
        <v>259</v>
      </c>
      <c r="B59" s="279">
        <v>121</v>
      </c>
      <c r="C59" s="279">
        <v>122</v>
      </c>
      <c r="D59" s="279">
        <f t="shared" si="3"/>
        <v>122</v>
      </c>
      <c r="E59" s="279">
        <v>124</v>
      </c>
      <c r="F59" s="280">
        <v>107</v>
      </c>
      <c r="G59" s="663">
        <v>2004</v>
      </c>
      <c r="H59" s="249">
        <v>4</v>
      </c>
      <c r="I59" s="249">
        <v>0.33</v>
      </c>
      <c r="J59" s="249">
        <v>0.5</v>
      </c>
      <c r="K59" s="249">
        <v>0.5</v>
      </c>
      <c r="L59" s="250">
        <v>0</v>
      </c>
      <c r="N59" s="292">
        <f t="shared" ref="N59:O62" si="40">I59/SUM(I$59:I$62)*(B$59/B$63-1)</f>
        <v>1.3391770148526898E-2</v>
      </c>
      <c r="O59" s="293">
        <f t="shared" si="40"/>
        <v>1.063264221158958E-2</v>
      </c>
      <c r="P59" s="293">
        <f t="shared" ref="P59:Q62" si="41">K59/SUM(K$59:K$62)*(E$59/E$63-1)</f>
        <v>2.2244466688911134E-2</v>
      </c>
      <c r="Q59" s="293">
        <f t="shared" si="41"/>
        <v>0</v>
      </c>
      <c r="R59" s="232"/>
      <c r="S59" s="241"/>
      <c r="T59" s="242"/>
      <c r="U59" s="242"/>
      <c r="V59" s="242"/>
      <c r="X59" s="294"/>
      <c r="Y59" s="294"/>
      <c r="Z59" s="294"/>
    </row>
    <row r="60" spans="1:26">
      <c r="A60" s="224" t="s">
        <v>260</v>
      </c>
      <c r="B60" s="225">
        <f t="shared" ref="B60:C62" si="42">B61+(B$59-B$63)*I60/SUM(I$59:I$62)</f>
        <v>119.51351351351352</v>
      </c>
      <c r="C60" s="225">
        <f t="shared" si="42"/>
        <v>120.7878787878788</v>
      </c>
      <c r="D60" s="225">
        <f t="shared" si="3"/>
        <v>120.7878787878788</v>
      </c>
      <c r="E60" s="225">
        <f t="shared" ref="E60:F62" si="43">E61+(E$59-E$63)*K60/SUM(K$59:K$62)</f>
        <v>121.5975975975976</v>
      </c>
      <c r="F60" s="225">
        <f t="shared" si="43"/>
        <v>107</v>
      </c>
      <c r="G60" s="664">
        <v>2004</v>
      </c>
      <c r="H60" s="254">
        <v>3</v>
      </c>
      <c r="I60" s="254">
        <v>0.56000000000000005</v>
      </c>
      <c r="J60" s="254">
        <v>0.8</v>
      </c>
      <c r="K60" s="254">
        <v>0.83</v>
      </c>
      <c r="L60" s="255">
        <v>0.06</v>
      </c>
      <c r="N60" s="292">
        <f t="shared" si="40"/>
        <v>2.2725428130833527E-2</v>
      </c>
      <c r="O60" s="293">
        <f t="shared" si="40"/>
        <v>1.7012227538543329E-2</v>
      </c>
      <c r="P60" s="293">
        <f t="shared" si="41"/>
        <v>3.6925814703592477E-2</v>
      </c>
      <c r="Q60" s="293">
        <f t="shared" si="41"/>
        <v>2.8846153846153744E-2</v>
      </c>
      <c r="R60" s="232"/>
      <c r="S60" s="230"/>
      <c r="T60" s="231"/>
      <c r="U60" s="231"/>
      <c r="V60" s="231"/>
      <c r="X60" s="294"/>
      <c r="Y60" s="294"/>
      <c r="Z60" s="294"/>
    </row>
    <row r="61" spans="1:26">
      <c r="A61" s="224" t="s">
        <v>261</v>
      </c>
      <c r="B61" s="225">
        <f t="shared" si="42"/>
        <v>116.99099099099099</v>
      </c>
      <c r="C61" s="225">
        <f t="shared" si="42"/>
        <v>118.84848484848486</v>
      </c>
      <c r="D61" s="225">
        <f t="shared" si="3"/>
        <v>118.84848484848486</v>
      </c>
      <c r="E61" s="225">
        <f t="shared" si="43"/>
        <v>117.60960960960961</v>
      </c>
      <c r="F61" s="225">
        <f t="shared" si="43"/>
        <v>104</v>
      </c>
      <c r="G61" s="664">
        <v>2004</v>
      </c>
      <c r="H61" s="244">
        <v>2</v>
      </c>
      <c r="I61" s="244">
        <v>1</v>
      </c>
      <c r="J61" s="244">
        <v>1.5</v>
      </c>
      <c r="K61" s="244">
        <v>1.5</v>
      </c>
      <c r="L61" s="245">
        <v>0</v>
      </c>
      <c r="N61" s="292">
        <f t="shared" si="40"/>
        <v>4.0581121662202721E-2</v>
      </c>
      <c r="O61" s="293">
        <f t="shared" si="40"/>
        <v>3.1897926634768738E-2</v>
      </c>
      <c r="P61" s="293">
        <f t="shared" si="41"/>
        <v>6.6733400066733395E-2</v>
      </c>
      <c r="Q61" s="293">
        <f t="shared" si="41"/>
        <v>0</v>
      </c>
      <c r="R61" s="232"/>
      <c r="S61" s="230"/>
      <c r="T61" s="231"/>
      <c r="U61" s="231"/>
      <c r="V61" s="231"/>
      <c r="X61" s="294"/>
      <c r="Y61" s="294"/>
      <c r="Z61" s="294"/>
    </row>
    <row r="62" spans="1:26" s="285" customFormat="1" ht="13.5" thickBot="1">
      <c r="A62" s="224" t="s">
        <v>262</v>
      </c>
      <c r="B62" s="282">
        <f t="shared" si="42"/>
        <v>112.48648648648648</v>
      </c>
      <c r="C62" s="282">
        <f t="shared" si="42"/>
        <v>115.21212121212122</v>
      </c>
      <c r="D62" s="282">
        <f t="shared" si="3"/>
        <v>115.21212121212122</v>
      </c>
      <c r="E62" s="282">
        <f t="shared" si="43"/>
        <v>110.4024024024024</v>
      </c>
      <c r="F62" s="282">
        <f t="shared" si="43"/>
        <v>104</v>
      </c>
      <c r="G62" s="665">
        <v>2004</v>
      </c>
      <c r="H62" s="283">
        <v>1</v>
      </c>
      <c r="I62" s="283">
        <v>0.33</v>
      </c>
      <c r="J62" s="283">
        <v>0.5</v>
      </c>
      <c r="K62" s="283">
        <v>0.5</v>
      </c>
      <c r="L62" s="284">
        <v>0</v>
      </c>
      <c r="N62" s="297">
        <f t="shared" si="40"/>
        <v>1.3391770148526898E-2</v>
      </c>
      <c r="O62" s="298">
        <f t="shared" si="40"/>
        <v>1.063264221158958E-2</v>
      </c>
      <c r="P62" s="298">
        <f t="shared" si="41"/>
        <v>2.2244466688911134E-2</v>
      </c>
      <c r="Q62" s="298">
        <f t="shared" si="41"/>
        <v>0</v>
      </c>
      <c r="R62" s="288"/>
      <c r="S62" s="286">
        <f>B62/B63-1</f>
        <v>1.3391770148526883E-2</v>
      </c>
      <c r="T62" s="287">
        <f>C62/C63-1</f>
        <v>1.063264221158966E-2</v>
      </c>
      <c r="U62" s="287">
        <f>E62/E63-1</f>
        <v>2.2244466688911224E-2</v>
      </c>
      <c r="V62" s="287">
        <f>F62/F63-1</f>
        <v>0</v>
      </c>
      <c r="X62" s="299"/>
      <c r="Y62" s="299"/>
      <c r="Z62" s="299"/>
    </row>
    <row r="63" spans="1:26" ht="13.5" thickBot="1">
      <c r="A63" s="224" t="s">
        <v>263</v>
      </c>
      <c r="B63" s="300">
        <v>111</v>
      </c>
      <c r="C63" s="300">
        <v>114</v>
      </c>
      <c r="D63" s="300">
        <f t="shared" si="3"/>
        <v>114</v>
      </c>
      <c r="E63" s="300">
        <v>108</v>
      </c>
      <c r="F63" s="301">
        <v>104</v>
      </c>
      <c r="G63" s="663">
        <v>2003</v>
      </c>
      <c r="H63" s="290">
        <v>4</v>
      </c>
      <c r="I63" s="302"/>
      <c r="J63" s="302"/>
      <c r="K63" s="302"/>
      <c r="L63" s="302"/>
      <c r="N63" s="303"/>
      <c r="O63" s="302"/>
      <c r="P63" s="302"/>
      <c r="Q63" s="302"/>
      <c r="S63" s="303"/>
      <c r="T63" s="302"/>
      <c r="U63" s="302"/>
      <c r="V63" s="302"/>
      <c r="X63" s="294"/>
      <c r="Y63" s="294"/>
      <c r="Z63" s="294"/>
    </row>
    <row r="64" spans="1:26">
      <c r="A64" s="224" t="s">
        <v>264</v>
      </c>
      <c r="B64" s="304">
        <f t="shared" ref="B64:C66" si="44">B65+(B$63-B$67)/4</f>
        <v>109.75</v>
      </c>
      <c r="C64" s="304">
        <f t="shared" si="44"/>
        <v>112.25</v>
      </c>
      <c r="D64" s="304">
        <f t="shared" si="3"/>
        <v>112.25</v>
      </c>
      <c r="E64" s="304">
        <f t="shared" ref="E64:F66" si="45">E65+(E$63-E$67)/4</f>
        <v>107.25</v>
      </c>
      <c r="F64" s="304">
        <f t="shared" si="45"/>
        <v>103.5</v>
      </c>
      <c r="G64" s="664">
        <v>2003</v>
      </c>
      <c r="H64" s="254">
        <v>3</v>
      </c>
      <c r="I64" s="302"/>
      <c r="J64" s="302"/>
      <c r="K64" s="302"/>
      <c r="L64" s="302"/>
      <c r="X64" s="294"/>
      <c r="Y64" s="294"/>
      <c r="Z64" s="294"/>
    </row>
    <row r="65" spans="1:26">
      <c r="A65" s="224" t="s">
        <v>265</v>
      </c>
      <c r="B65" s="304">
        <f t="shared" si="44"/>
        <v>108.5</v>
      </c>
      <c r="C65" s="304">
        <f t="shared" si="44"/>
        <v>110.5</v>
      </c>
      <c r="D65" s="304">
        <f t="shared" si="3"/>
        <v>110.5</v>
      </c>
      <c r="E65" s="304">
        <f t="shared" si="45"/>
        <v>106.5</v>
      </c>
      <c r="F65" s="304">
        <f t="shared" si="45"/>
        <v>103</v>
      </c>
      <c r="G65" s="664">
        <v>2003</v>
      </c>
      <c r="H65" s="244">
        <v>2</v>
      </c>
      <c r="I65" s="302"/>
      <c r="J65" s="302"/>
      <c r="K65" s="302"/>
      <c r="L65" s="302"/>
      <c r="X65" s="294"/>
      <c r="Y65" s="294"/>
      <c r="Z65" s="294"/>
    </row>
    <row r="66" spans="1:26" ht="13.5" thickBot="1">
      <c r="A66" s="224" t="s">
        <v>266</v>
      </c>
      <c r="B66" s="304">
        <f t="shared" si="44"/>
        <v>107.25</v>
      </c>
      <c r="C66" s="304">
        <f t="shared" si="44"/>
        <v>108.75</v>
      </c>
      <c r="D66" s="304">
        <f t="shared" si="3"/>
        <v>108.75</v>
      </c>
      <c r="E66" s="304">
        <f t="shared" si="45"/>
        <v>105.75</v>
      </c>
      <c r="F66" s="304">
        <f t="shared" si="45"/>
        <v>102.5</v>
      </c>
      <c r="G66" s="665">
        <v>2003</v>
      </c>
      <c r="H66" s="305">
        <v>1</v>
      </c>
      <c r="I66" s="302"/>
      <c r="J66" s="302"/>
      <c r="K66" s="302"/>
      <c r="L66" s="302"/>
      <c r="S66" s="230"/>
      <c r="T66" s="231"/>
      <c r="U66" s="231"/>
      <c r="X66" s="294"/>
      <c r="Y66" s="294"/>
      <c r="Z66" s="294"/>
    </row>
    <row r="67" spans="1:26" ht="13.5" thickBot="1">
      <c r="A67" s="224" t="s">
        <v>267</v>
      </c>
      <c r="B67" s="306">
        <v>106</v>
      </c>
      <c r="C67" s="306">
        <v>107</v>
      </c>
      <c r="D67" s="306">
        <f t="shared" si="3"/>
        <v>107</v>
      </c>
      <c r="E67" s="306">
        <v>105</v>
      </c>
      <c r="F67" s="307">
        <v>102</v>
      </c>
      <c r="G67" s="663">
        <v>2002</v>
      </c>
      <c r="H67" s="249">
        <v>4</v>
      </c>
      <c r="I67" s="302"/>
      <c r="J67" s="302"/>
      <c r="K67" s="302"/>
      <c r="L67" s="302"/>
      <c r="N67" s="303"/>
      <c r="O67" s="302"/>
      <c r="P67" s="302"/>
      <c r="Q67" s="302"/>
      <c r="S67" s="303"/>
      <c r="T67" s="302"/>
      <c r="U67" s="302"/>
      <c r="V67" s="302"/>
      <c r="X67" s="294"/>
      <c r="Y67" s="294"/>
      <c r="Z67" s="294"/>
    </row>
    <row r="68" spans="1:26">
      <c r="A68" s="224" t="s">
        <v>268</v>
      </c>
      <c r="B68" s="304">
        <f t="shared" ref="B68:C70" si="46">B69+(B$67-B$71)/4</f>
        <v>105</v>
      </c>
      <c r="C68" s="304">
        <f t="shared" si="46"/>
        <v>106</v>
      </c>
      <c r="D68" s="304">
        <f t="shared" si="3"/>
        <v>106</v>
      </c>
      <c r="E68" s="304">
        <f t="shared" ref="E68:F70" si="47">E69+(E$67-E$71)/4</f>
        <v>104.5</v>
      </c>
      <c r="F68" s="304">
        <f t="shared" si="47"/>
        <v>101.5</v>
      </c>
      <c r="G68" s="664">
        <v>2002</v>
      </c>
      <c r="H68" s="254">
        <v>3</v>
      </c>
      <c r="I68" s="302"/>
      <c r="J68" s="302"/>
      <c r="K68" s="302"/>
      <c r="L68" s="302"/>
      <c r="X68" s="294"/>
      <c r="Y68" s="294"/>
      <c r="Z68" s="294"/>
    </row>
    <row r="69" spans="1:26">
      <c r="A69" s="224" t="s">
        <v>269</v>
      </c>
      <c r="B69" s="304">
        <f t="shared" si="46"/>
        <v>104</v>
      </c>
      <c r="C69" s="304">
        <f t="shared" si="46"/>
        <v>105</v>
      </c>
      <c r="D69" s="304">
        <f t="shared" ref="D69:D71" si="48">C69</f>
        <v>105</v>
      </c>
      <c r="E69" s="304">
        <f t="shared" si="47"/>
        <v>104</v>
      </c>
      <c r="F69" s="304">
        <f t="shared" si="47"/>
        <v>101</v>
      </c>
      <c r="G69" s="664">
        <v>2002</v>
      </c>
      <c r="H69" s="244">
        <v>2</v>
      </c>
      <c r="I69" s="302"/>
      <c r="J69" s="302"/>
      <c r="K69" s="302"/>
      <c r="L69" s="302"/>
      <c r="X69" s="294"/>
      <c r="Y69" s="294"/>
      <c r="Z69" s="294"/>
    </row>
    <row r="70" spans="1:26" s="265" customFormat="1" ht="13.5" thickBot="1">
      <c r="A70" s="261" t="s">
        <v>270</v>
      </c>
      <c r="B70" s="308">
        <f t="shared" si="46"/>
        <v>103</v>
      </c>
      <c r="C70" s="308">
        <f t="shared" si="46"/>
        <v>104</v>
      </c>
      <c r="D70" s="308">
        <f t="shared" si="48"/>
        <v>104</v>
      </c>
      <c r="E70" s="308">
        <f t="shared" si="47"/>
        <v>103.5</v>
      </c>
      <c r="F70" s="308">
        <f t="shared" si="47"/>
        <v>100.5</v>
      </c>
      <c r="G70" s="665">
        <v>2002</v>
      </c>
      <c r="H70" s="309">
        <v>1</v>
      </c>
      <c r="I70" s="310"/>
      <c r="J70" s="310"/>
      <c r="K70" s="310"/>
      <c r="L70" s="310"/>
      <c r="N70" s="311"/>
      <c r="S70" s="311"/>
      <c r="X70" s="312"/>
      <c r="Y70" s="312"/>
      <c r="Z70" s="312"/>
    </row>
    <row r="71" spans="1:26" ht="13.5" thickBot="1">
      <c r="B71" s="313">
        <v>102</v>
      </c>
      <c r="C71" s="314">
        <v>103</v>
      </c>
      <c r="D71" s="314">
        <f t="shared" si="48"/>
        <v>103</v>
      </c>
      <c r="E71" s="314">
        <v>103</v>
      </c>
      <c r="F71" s="315">
        <v>100</v>
      </c>
      <c r="I71" s="302"/>
      <c r="J71" s="302"/>
      <c r="K71" s="302"/>
      <c r="L71" s="302"/>
      <c r="N71" s="303"/>
      <c r="O71" s="302"/>
      <c r="P71" s="302"/>
      <c r="Q71" s="302"/>
      <c r="S71" s="303"/>
      <c r="T71" s="302"/>
      <c r="U71" s="302"/>
      <c r="V71" s="302"/>
      <c r="X71" s="242"/>
      <c r="Y71" s="242"/>
      <c r="Z71" s="242"/>
    </row>
    <row r="73" spans="1:26" s="317" customFormat="1">
      <c r="A73" s="316" t="s">
        <v>271</v>
      </c>
      <c r="G73" s="318"/>
      <c r="N73" s="318"/>
      <c r="S73" s="318"/>
    </row>
    <row r="74" spans="1:26" s="317" customFormat="1">
      <c r="A74" s="317" t="s">
        <v>272</v>
      </c>
      <c r="G74" s="318"/>
      <c r="N74" s="318"/>
      <c r="S74" s="318"/>
    </row>
    <row r="75" spans="1:26" s="317" customFormat="1">
      <c r="A75" s="317" t="s">
        <v>273</v>
      </c>
      <c r="G75" s="318"/>
      <c r="I75" s="319"/>
      <c r="J75" s="319"/>
      <c r="K75" s="319"/>
      <c r="L75" s="319"/>
      <c r="N75" s="320"/>
      <c r="O75" s="319"/>
      <c r="P75" s="319"/>
      <c r="Q75" s="319"/>
      <c r="S75" s="320"/>
      <c r="T75" s="319"/>
      <c r="U75" s="319"/>
      <c r="V75" s="319"/>
    </row>
    <row r="76" spans="1:26" s="317" customFormat="1">
      <c r="A76" s="317" t="s">
        <v>274</v>
      </c>
      <c r="G76" s="318"/>
      <c r="N76" s="318"/>
      <c r="S76" s="318"/>
    </row>
    <row r="83" spans="7:22" ht="13.5" thickBot="1"/>
    <row r="84" spans="7:22">
      <c r="G84" s="229"/>
      <c r="S84" s="321" t="s">
        <v>275</v>
      </c>
      <c r="T84" s="322" t="s">
        <v>276</v>
      </c>
      <c r="U84" s="322" t="s">
        <v>277</v>
      </c>
      <c r="V84" s="322" t="s">
        <v>278</v>
      </c>
    </row>
    <row r="85" spans="7:22">
      <c r="G85" s="229"/>
      <c r="N85" s="241"/>
      <c r="O85" s="242"/>
      <c r="P85" s="242"/>
      <c r="Q85" s="242"/>
      <c r="S85" s="323">
        <v>2006</v>
      </c>
      <c r="T85" s="324">
        <v>15.1</v>
      </c>
      <c r="U85" s="324">
        <v>7.43</v>
      </c>
      <c r="V85" s="324">
        <v>26.26</v>
      </c>
    </row>
    <row r="86" spans="7:22">
      <c r="G86" s="229"/>
      <c r="N86" s="241"/>
      <c r="O86" s="242"/>
      <c r="P86" s="242"/>
      <c r="Q86" s="242"/>
      <c r="S86" s="325">
        <v>2005</v>
      </c>
      <c r="T86" s="326">
        <v>13.9</v>
      </c>
      <c r="U86" s="326">
        <v>7.49</v>
      </c>
      <c r="V86" s="326">
        <v>24.92</v>
      </c>
    </row>
    <row r="87" spans="7:22">
      <c r="G87" s="229"/>
      <c r="N87" s="241"/>
      <c r="O87" s="242"/>
      <c r="P87" s="242"/>
      <c r="Q87" s="242"/>
      <c r="S87" s="323">
        <v>2004</v>
      </c>
      <c r="T87" s="324">
        <v>9.48</v>
      </c>
      <c r="U87" s="324">
        <v>7.2</v>
      </c>
      <c r="V87" s="324">
        <v>14.68</v>
      </c>
    </row>
    <row r="88" spans="7:22">
      <c r="G88" s="229"/>
      <c r="N88" s="241"/>
      <c r="O88" s="242"/>
      <c r="P88" s="242"/>
      <c r="Q88" s="242"/>
      <c r="S88" s="325">
        <v>2003</v>
      </c>
      <c r="T88" s="326">
        <v>4.5</v>
      </c>
      <c r="U88" s="326">
        <v>6.12</v>
      </c>
      <c r="V88" s="326">
        <v>2.34</v>
      </c>
    </row>
    <row r="89" spans="7:22" ht="13.5" thickBot="1">
      <c r="G89" s="229"/>
      <c r="N89" s="241"/>
      <c r="O89" s="242"/>
      <c r="P89" s="242"/>
      <c r="Q89" s="242"/>
      <c r="S89" s="327">
        <v>2002</v>
      </c>
      <c r="T89" s="328">
        <v>3.59</v>
      </c>
      <c r="U89" s="328">
        <v>4.54</v>
      </c>
      <c r="V89" s="328">
        <v>2.5499999999999998</v>
      </c>
    </row>
    <row r="90" spans="7:22">
      <c r="G90" s="229"/>
      <c r="N90" s="241"/>
      <c r="O90" s="242"/>
      <c r="P90" s="242"/>
      <c r="Q90" s="242"/>
    </row>
    <row r="91" spans="7:22">
      <c r="G91" s="229"/>
      <c r="N91" s="241"/>
      <c r="O91" s="242"/>
      <c r="P91" s="242"/>
      <c r="Q91" s="242"/>
    </row>
    <row r="92" spans="7:22">
      <c r="G92" s="229"/>
      <c r="N92" s="241"/>
      <c r="O92" s="242"/>
      <c r="P92" s="242"/>
      <c r="Q92" s="242"/>
    </row>
    <row r="93" spans="7:22">
      <c r="G93" s="229"/>
      <c r="N93" s="241"/>
      <c r="O93" s="242"/>
      <c r="P93" s="242"/>
      <c r="Q93" s="242"/>
    </row>
    <row r="94" spans="7:22">
      <c r="G94" s="229"/>
      <c r="N94" s="241"/>
      <c r="O94" s="242"/>
      <c r="P94" s="242"/>
      <c r="Q94" s="242"/>
    </row>
    <row r="95" spans="7:22">
      <c r="G95" s="229"/>
      <c r="N95" s="241"/>
      <c r="O95" s="242"/>
      <c r="P95" s="242"/>
      <c r="Q95" s="242"/>
    </row>
    <row r="96" spans="7:22">
      <c r="G96" s="229"/>
      <c r="N96" s="241"/>
      <c r="O96" s="242"/>
      <c r="P96" s="242"/>
      <c r="Q96" s="242"/>
    </row>
    <row r="97" spans="7:19">
      <c r="G97" s="229"/>
      <c r="N97" s="241"/>
      <c r="O97" s="242"/>
      <c r="P97" s="242"/>
      <c r="Q97" s="242"/>
    </row>
    <row r="98" spans="7:19">
      <c r="G98" s="229"/>
      <c r="N98" s="241"/>
      <c r="O98" s="242"/>
      <c r="P98" s="242"/>
      <c r="Q98" s="242"/>
    </row>
    <row r="99" spans="7:19">
      <c r="G99" s="229"/>
      <c r="N99" s="241"/>
      <c r="O99" s="242"/>
      <c r="P99" s="242"/>
      <c r="Q99" s="242"/>
    </row>
    <row r="100" spans="7:19">
      <c r="G100" s="229"/>
      <c r="N100" s="241"/>
      <c r="O100" s="242"/>
      <c r="P100" s="242"/>
      <c r="Q100" s="242"/>
      <c r="S100" s="229"/>
    </row>
    <row r="101" spans="7:19">
      <c r="G101" s="229"/>
      <c r="N101" s="241"/>
      <c r="O101" s="242"/>
      <c r="P101" s="242"/>
      <c r="Q101" s="242"/>
      <c r="S101" s="229"/>
    </row>
    <row r="102" spans="7:19">
      <c r="G102" s="229"/>
      <c r="N102" s="241"/>
      <c r="O102" s="242"/>
      <c r="P102" s="242"/>
      <c r="Q102" s="242"/>
      <c r="S102" s="229"/>
    </row>
    <row r="103" spans="7:19">
      <c r="G103" s="229"/>
      <c r="N103" s="241"/>
      <c r="O103" s="242"/>
      <c r="P103" s="242"/>
      <c r="Q103" s="242"/>
      <c r="S103" s="229"/>
    </row>
    <row r="104" spans="7:19">
      <c r="G104" s="229"/>
      <c r="N104" s="241"/>
      <c r="O104" s="242"/>
      <c r="P104" s="242"/>
      <c r="Q104" s="242"/>
      <c r="S104" s="229"/>
    </row>
    <row r="105" spans="7:19">
      <c r="G105" s="229"/>
      <c r="N105" s="241"/>
      <c r="O105" s="242"/>
      <c r="P105" s="242"/>
      <c r="Q105" s="242"/>
      <c r="S105" s="229"/>
    </row>
  </sheetData>
  <sheetProtection sheet="1" objects="1" scenarios="1"/>
  <mergeCells count="21">
    <mergeCell ref="G59:G62"/>
    <mergeCell ref="G63:G66"/>
    <mergeCell ref="G67:G70"/>
    <mergeCell ref="G35:G38"/>
    <mergeCell ref="G39:G42"/>
    <mergeCell ref="G43:G46"/>
    <mergeCell ref="G47:G50"/>
    <mergeCell ref="G51:G54"/>
    <mergeCell ref="G55:G58"/>
    <mergeCell ref="X1:AB1"/>
    <mergeCell ref="AD1:AH1"/>
    <mergeCell ref="G31:G34"/>
    <mergeCell ref="B1:F1"/>
    <mergeCell ref="G1:L1"/>
    <mergeCell ref="N1:Q1"/>
    <mergeCell ref="S1:V1"/>
    <mergeCell ref="G11:G14"/>
    <mergeCell ref="G15:G18"/>
    <mergeCell ref="G19:G22"/>
    <mergeCell ref="G23:G26"/>
    <mergeCell ref="G27:G30"/>
  </mergeCells>
  <phoneticPr fontId="1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157"/>
  <sheetViews>
    <sheetView topLeftCell="A10" workbookViewId="0">
      <selection activeCell="L38" sqref="L38"/>
    </sheetView>
  </sheetViews>
  <sheetFormatPr defaultRowHeight="13.5"/>
  <sheetData>
    <row r="1" s="15" customFormat="1"/>
    <row r="31" s="15" customFormat="1"/>
    <row r="61" s="15" customFormat="1"/>
    <row r="91" s="15" customFormat="1"/>
    <row r="123" s="15" customFormat="1"/>
    <row r="157" s="15" customFormat="1"/>
  </sheetData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K54:K167"/>
  <sheetViews>
    <sheetView topLeftCell="A46" workbookViewId="0">
      <selection activeCell="N35" sqref="N35"/>
    </sheetView>
  </sheetViews>
  <sheetFormatPr defaultRowHeight="13.5"/>
  <sheetData>
    <row r="54" spans="11:11" s="336" customFormat="1"/>
    <row r="57" spans="11:11">
      <c r="K57" t="s">
        <v>632</v>
      </c>
    </row>
    <row r="111" s="336" customFormat="1"/>
    <row r="167" s="336" customFormat="1"/>
  </sheetData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39"/>
  <sheetViews>
    <sheetView topLeftCell="A4" workbookViewId="0">
      <selection activeCell="H40" sqref="H40"/>
    </sheetView>
  </sheetViews>
  <sheetFormatPr defaultRowHeight="13.5"/>
  <sheetData>
    <row r="1" spans="1:23">
      <c r="A1" s="184"/>
      <c r="B1" s="666" t="s">
        <v>191</v>
      </c>
      <c r="C1" s="666"/>
      <c r="D1" s="666"/>
      <c r="E1" s="666"/>
      <c r="F1" s="666"/>
      <c r="G1" s="662" t="s">
        <v>192</v>
      </c>
      <c r="H1" s="662"/>
      <c r="I1" s="662"/>
      <c r="J1" s="662"/>
      <c r="K1" s="662"/>
      <c r="L1" s="662"/>
      <c r="M1" s="184"/>
      <c r="N1" s="662" t="s">
        <v>193</v>
      </c>
      <c r="O1" s="662"/>
      <c r="P1" s="662"/>
      <c r="Q1" s="662"/>
      <c r="R1" s="338"/>
      <c r="S1" s="662" t="s">
        <v>194</v>
      </c>
      <c r="T1" s="662"/>
      <c r="U1" s="662"/>
      <c r="V1" s="662"/>
      <c r="W1" s="184"/>
    </row>
    <row r="2" spans="1:23" ht="14.25" thickBot="1">
      <c r="A2" s="186"/>
      <c r="B2" s="187" t="s">
        <v>315</v>
      </c>
      <c r="C2" s="187" t="s">
        <v>316</v>
      </c>
      <c r="D2" s="188" t="s">
        <v>102</v>
      </c>
      <c r="E2" s="188" t="s">
        <v>317</v>
      </c>
      <c r="F2" s="187" t="s">
        <v>318</v>
      </c>
      <c r="G2" s="189"/>
      <c r="H2" s="190"/>
      <c r="I2" s="187" t="s">
        <v>315</v>
      </c>
      <c r="J2" s="188" t="s">
        <v>319</v>
      </c>
      <c r="K2" s="188" t="s">
        <v>317</v>
      </c>
      <c r="L2" s="187" t="s">
        <v>318</v>
      </c>
      <c r="M2" s="186"/>
      <c r="N2" s="187" t="s">
        <v>315</v>
      </c>
      <c r="O2" s="188" t="s">
        <v>319</v>
      </c>
      <c r="P2" s="188" t="s">
        <v>317</v>
      </c>
      <c r="Q2" s="187" t="s">
        <v>318</v>
      </c>
      <c r="R2" s="191"/>
      <c r="S2" s="187" t="s">
        <v>315</v>
      </c>
      <c r="T2" s="188" t="s">
        <v>319</v>
      </c>
      <c r="U2" s="188" t="s">
        <v>317</v>
      </c>
      <c r="V2" s="187" t="s">
        <v>318</v>
      </c>
      <c r="W2" s="186"/>
    </row>
    <row r="3" spans="1:23" ht="14.25">
      <c r="A3" s="192" t="s">
        <v>320</v>
      </c>
      <c r="B3" s="193"/>
      <c r="C3" s="193"/>
      <c r="D3" s="194"/>
      <c r="E3" s="194"/>
      <c r="F3" s="193"/>
      <c r="G3" s="195"/>
      <c r="H3" s="196"/>
      <c r="I3" s="197">
        <f>ROUND(AVERAGE($I7:$I22),2)</f>
        <v>2.4500000000000002</v>
      </c>
      <c r="J3" s="197">
        <f>ROUND(AVERAGE($J7:$J22),2)</f>
        <v>1.65</v>
      </c>
      <c r="K3" s="197">
        <f>ROUND(AVERAGE($K7:$K22),2)</f>
        <v>2.71</v>
      </c>
      <c r="L3" s="197">
        <f>ROUND(AVERAGE($L7:$L22),2)</f>
        <v>1.39</v>
      </c>
      <c r="M3" s="198"/>
      <c r="N3" s="195"/>
      <c r="O3" s="199"/>
      <c r="P3" s="199"/>
      <c r="Q3" s="199"/>
      <c r="R3" s="199"/>
      <c r="S3" s="195"/>
      <c r="T3" s="199"/>
      <c r="U3" s="199"/>
      <c r="V3" s="199"/>
      <c r="W3" s="200"/>
    </row>
    <row r="4" spans="1:23" ht="14.25">
      <c r="A4" s="203"/>
      <c r="B4" s="204"/>
      <c r="C4" s="204"/>
      <c r="D4" s="205"/>
      <c r="E4" s="205"/>
      <c r="F4" s="204"/>
      <c r="G4" s="206"/>
      <c r="H4" s="207"/>
      <c r="I4" s="208"/>
      <c r="J4" s="208"/>
      <c r="K4" s="208"/>
      <c r="L4" s="208"/>
      <c r="M4" s="203"/>
      <c r="N4" s="206"/>
      <c r="O4" s="209"/>
      <c r="P4" s="209"/>
      <c r="Q4" s="209"/>
      <c r="R4" s="209"/>
      <c r="S4" s="206"/>
      <c r="T4" s="209"/>
      <c r="U4" s="209"/>
      <c r="V4" s="209"/>
      <c r="W4" s="210"/>
    </row>
    <row r="5" spans="1:23">
      <c r="A5" s="213" t="s">
        <v>203</v>
      </c>
      <c r="B5" s="214">
        <f>B6*(1+N5)</f>
        <v>446.46299999999997</v>
      </c>
      <c r="C5" s="214">
        <f t="shared" ref="C5:C6" si="0">C6*(1+O5)</f>
        <v>333.27840000000003</v>
      </c>
      <c r="D5" s="214">
        <f t="shared" ref="D5:D22" si="1">C5</f>
        <v>333.27840000000003</v>
      </c>
      <c r="E5" s="214">
        <f t="shared" ref="E5:F6" si="2">E6*(1+P5)</f>
        <v>637.28279999999995</v>
      </c>
      <c r="F5" s="214">
        <f t="shared" si="2"/>
        <v>288.68830000000003</v>
      </c>
      <c r="G5" s="206">
        <v>2018</v>
      </c>
      <c r="H5" s="215">
        <v>2</v>
      </c>
      <c r="I5" s="216">
        <v>0</v>
      </c>
      <c r="J5" s="216">
        <v>0</v>
      </c>
      <c r="K5" s="216">
        <v>0</v>
      </c>
      <c r="L5" s="216">
        <v>0</v>
      </c>
      <c r="M5" s="217"/>
      <c r="N5" s="218">
        <f t="shared" ref="N5:Q20" si="3">I5/100</f>
        <v>0</v>
      </c>
      <c r="O5" s="218">
        <f t="shared" si="3"/>
        <v>0</v>
      </c>
      <c r="P5" s="218">
        <f t="shared" si="3"/>
        <v>0</v>
      </c>
      <c r="Q5" s="218">
        <f t="shared" si="3"/>
        <v>0</v>
      </c>
      <c r="R5" s="219"/>
      <c r="S5" s="220"/>
      <c r="T5" s="219"/>
      <c r="U5" s="219"/>
      <c r="V5" s="219"/>
      <c r="W5" s="221" t="s">
        <v>321</v>
      </c>
    </row>
    <row r="6" spans="1:23" ht="14.25" thickBot="1">
      <c r="A6" s="224" t="s">
        <v>322</v>
      </c>
      <c r="B6" s="225">
        <f>B7*(1+N6)</f>
        <v>446.46299999999997</v>
      </c>
      <c r="C6" s="225">
        <f t="shared" si="0"/>
        <v>333.27840000000003</v>
      </c>
      <c r="D6" s="225">
        <f t="shared" si="1"/>
        <v>333.27840000000003</v>
      </c>
      <c r="E6" s="225">
        <f t="shared" si="2"/>
        <v>637.28279999999995</v>
      </c>
      <c r="F6" s="225">
        <f t="shared" si="2"/>
        <v>288.68830000000003</v>
      </c>
      <c r="G6" s="226">
        <v>2018</v>
      </c>
      <c r="H6" s="227">
        <v>1</v>
      </c>
      <c r="I6" s="227">
        <v>1.7</v>
      </c>
      <c r="J6" s="227">
        <v>1.92</v>
      </c>
      <c r="K6" s="227">
        <v>1.64</v>
      </c>
      <c r="L6" s="228">
        <v>2.0099999999999998</v>
      </c>
      <c r="M6" s="229"/>
      <c r="N6" s="230">
        <f t="shared" si="3"/>
        <v>1.7000000000000001E-2</v>
      </c>
      <c r="O6" s="231">
        <f t="shared" si="3"/>
        <v>1.9199999999999998E-2</v>
      </c>
      <c r="P6" s="231">
        <f t="shared" si="3"/>
        <v>1.6399999999999998E-2</v>
      </c>
      <c r="Q6" s="231">
        <f t="shared" si="3"/>
        <v>2.0099999999999996E-2</v>
      </c>
      <c r="R6" s="232"/>
      <c r="S6" s="233">
        <f>B6/B7-1</f>
        <v>1.6999999999999904E-2</v>
      </c>
      <c r="T6" s="234">
        <f>C6/C7-1</f>
        <v>1.9200000000000106E-2</v>
      </c>
      <c r="U6" s="234">
        <f>E6/E7-1</f>
        <v>1.639999999999997E-2</v>
      </c>
      <c r="V6" s="234">
        <f>F6/F7-1</f>
        <v>2.0100000000000007E-2</v>
      </c>
      <c r="W6" s="229"/>
    </row>
    <row r="7" spans="1:23">
      <c r="A7" s="224" t="s">
        <v>323</v>
      </c>
      <c r="B7" s="236">
        <v>439</v>
      </c>
      <c r="C7" s="236">
        <v>327</v>
      </c>
      <c r="D7" s="236">
        <f t="shared" si="1"/>
        <v>327</v>
      </c>
      <c r="E7" s="236">
        <v>627</v>
      </c>
      <c r="F7" s="237">
        <v>283</v>
      </c>
      <c r="G7" s="339">
        <v>2017</v>
      </c>
      <c r="H7" s="239">
        <v>4</v>
      </c>
      <c r="I7" s="239">
        <v>1.71</v>
      </c>
      <c r="J7" s="239">
        <v>1.78</v>
      </c>
      <c r="K7" s="239">
        <v>1.71</v>
      </c>
      <c r="L7" s="240">
        <v>1.43</v>
      </c>
      <c r="M7" s="229"/>
      <c r="N7" s="230">
        <f t="shared" si="3"/>
        <v>1.7100000000000001E-2</v>
      </c>
      <c r="O7" s="231">
        <f t="shared" si="3"/>
        <v>1.78E-2</v>
      </c>
      <c r="P7" s="231">
        <f t="shared" si="3"/>
        <v>1.7100000000000001E-2</v>
      </c>
      <c r="Q7" s="231">
        <f t="shared" si="3"/>
        <v>1.43E-2</v>
      </c>
      <c r="R7" s="232"/>
      <c r="S7" s="241"/>
      <c r="T7" s="242"/>
      <c r="U7" s="242"/>
      <c r="V7" s="242"/>
      <c r="W7" s="229"/>
    </row>
    <row r="8" spans="1:23" ht="14.25" thickBot="1">
      <c r="A8" s="224" t="s">
        <v>207</v>
      </c>
      <c r="B8" s="225">
        <f t="shared" ref="B8:C10" si="4">B9*(1+N8)</f>
        <v>431.80730811680002</v>
      </c>
      <c r="C8" s="225">
        <f t="shared" si="4"/>
        <v>320.57880516480003</v>
      </c>
      <c r="D8" s="225">
        <f t="shared" si="1"/>
        <v>320.57880516480003</v>
      </c>
      <c r="E8" s="225">
        <f t="shared" ref="E8:F10" si="5">E9*(1+P8)</f>
        <v>615.96110553196797</v>
      </c>
      <c r="F8" s="225">
        <f t="shared" si="5"/>
        <v>279.46777300108801</v>
      </c>
      <c r="G8" s="226"/>
      <c r="H8" s="227">
        <v>3</v>
      </c>
      <c r="I8" s="227">
        <v>2.98</v>
      </c>
      <c r="J8" s="227">
        <v>2.11</v>
      </c>
      <c r="K8" s="227">
        <v>3.24</v>
      </c>
      <c r="L8" s="228">
        <v>1.72</v>
      </c>
      <c r="M8" s="229"/>
      <c r="N8" s="230">
        <f t="shared" si="3"/>
        <v>2.98E-2</v>
      </c>
      <c r="O8" s="231">
        <f t="shared" si="3"/>
        <v>2.1099999999999997E-2</v>
      </c>
      <c r="P8" s="231">
        <f t="shared" si="3"/>
        <v>3.2400000000000005E-2</v>
      </c>
      <c r="Q8" s="231">
        <f t="shared" si="3"/>
        <v>1.72E-2</v>
      </c>
      <c r="R8" s="232"/>
      <c r="S8" s="233"/>
      <c r="T8" s="234"/>
      <c r="U8" s="234"/>
      <c r="V8" s="234"/>
      <c r="W8" s="229"/>
    </row>
    <row r="9" spans="1:23">
      <c r="A9" s="224" t="s">
        <v>208</v>
      </c>
      <c r="B9" s="225">
        <f t="shared" si="4"/>
        <v>419.31181600000002</v>
      </c>
      <c r="C9" s="225">
        <f t="shared" si="4"/>
        <v>313.95436800000004</v>
      </c>
      <c r="D9" s="225">
        <f t="shared" si="1"/>
        <v>313.95436800000004</v>
      </c>
      <c r="E9" s="225">
        <f t="shared" si="5"/>
        <v>596.63028431999999</v>
      </c>
      <c r="F9" s="225">
        <f t="shared" si="5"/>
        <v>274.74220703999998</v>
      </c>
      <c r="G9" s="243"/>
      <c r="H9" s="244">
        <v>2</v>
      </c>
      <c r="I9" s="244">
        <v>3.4</v>
      </c>
      <c r="J9" s="244">
        <v>2</v>
      </c>
      <c r="K9" s="244">
        <v>3.82</v>
      </c>
      <c r="L9" s="245">
        <v>1.68</v>
      </c>
      <c r="M9" s="184"/>
      <c r="N9" s="230">
        <f t="shared" si="3"/>
        <v>3.4000000000000002E-2</v>
      </c>
      <c r="O9" s="231">
        <f t="shared" si="3"/>
        <v>0.02</v>
      </c>
      <c r="P9" s="231">
        <f t="shared" si="3"/>
        <v>3.8199999999999998E-2</v>
      </c>
      <c r="Q9" s="231">
        <f t="shared" si="3"/>
        <v>1.6799999999999999E-2</v>
      </c>
      <c r="R9" s="338"/>
      <c r="S9" s="246"/>
      <c r="T9" s="338"/>
      <c r="U9" s="338"/>
      <c r="V9" s="338"/>
      <c r="W9" s="184"/>
    </row>
    <row r="10" spans="1:23" ht="14.25" thickBot="1">
      <c r="A10" s="224" t="s">
        <v>209</v>
      </c>
      <c r="B10" s="225">
        <f t="shared" si="4"/>
        <v>405.524</v>
      </c>
      <c r="C10" s="225">
        <f t="shared" si="4"/>
        <v>307.79840000000002</v>
      </c>
      <c r="D10" s="225">
        <f t="shared" si="1"/>
        <v>307.79840000000002</v>
      </c>
      <c r="E10" s="225">
        <f t="shared" si="5"/>
        <v>574.67759999999998</v>
      </c>
      <c r="F10" s="225">
        <f t="shared" si="5"/>
        <v>270.20280000000002</v>
      </c>
      <c r="G10" s="226"/>
      <c r="H10" s="227">
        <v>1</v>
      </c>
      <c r="I10" s="227">
        <v>3.45</v>
      </c>
      <c r="J10" s="227">
        <v>1.92</v>
      </c>
      <c r="K10" s="227">
        <v>3.92</v>
      </c>
      <c r="L10" s="228">
        <v>1.58</v>
      </c>
      <c r="M10" s="229"/>
      <c r="N10" s="230">
        <f t="shared" si="3"/>
        <v>3.4500000000000003E-2</v>
      </c>
      <c r="O10" s="231">
        <f t="shared" si="3"/>
        <v>1.9199999999999998E-2</v>
      </c>
      <c r="P10" s="231">
        <f t="shared" si="3"/>
        <v>3.9199999999999999E-2</v>
      </c>
      <c r="Q10" s="231">
        <f t="shared" si="3"/>
        <v>1.5800000000000002E-2</v>
      </c>
      <c r="R10" s="232"/>
      <c r="S10" s="233">
        <f>B10/B11-1</f>
        <v>3.4499999999999975E-2</v>
      </c>
      <c r="T10" s="234">
        <f>C10/C11-1</f>
        <v>1.9200000000000106E-2</v>
      </c>
      <c r="U10" s="234">
        <f>E10/E11-1</f>
        <v>3.9199999999999902E-2</v>
      </c>
      <c r="V10" s="234">
        <f>F10/F11-1</f>
        <v>1.5800000000000036E-2</v>
      </c>
      <c r="W10" s="229"/>
    </row>
    <row r="11" spans="1:23">
      <c r="A11" s="224" t="s">
        <v>210</v>
      </c>
      <c r="B11" s="247">
        <v>392</v>
      </c>
      <c r="C11" s="247">
        <v>302</v>
      </c>
      <c r="D11" s="247">
        <f t="shared" si="1"/>
        <v>302</v>
      </c>
      <c r="E11" s="247">
        <v>553</v>
      </c>
      <c r="F11" s="248">
        <v>266</v>
      </c>
      <c r="G11" s="667">
        <v>2016</v>
      </c>
      <c r="H11" s="239">
        <v>4</v>
      </c>
      <c r="I11" s="239">
        <v>4.5599999999999996</v>
      </c>
      <c r="J11" s="239">
        <v>2.15</v>
      </c>
      <c r="K11" s="239">
        <v>5.32</v>
      </c>
      <c r="L11" s="240">
        <v>1.57</v>
      </c>
      <c r="M11" s="229"/>
      <c r="N11" s="230">
        <f t="shared" si="3"/>
        <v>4.5599999999999995E-2</v>
      </c>
      <c r="O11" s="231">
        <f t="shared" si="3"/>
        <v>2.1499999999999998E-2</v>
      </c>
      <c r="P11" s="231">
        <f t="shared" si="3"/>
        <v>5.3200000000000004E-2</v>
      </c>
      <c r="Q11" s="231">
        <f t="shared" si="3"/>
        <v>1.5700000000000002E-2</v>
      </c>
      <c r="R11" s="232"/>
      <c r="S11" s="241"/>
      <c r="T11" s="242"/>
      <c r="U11" s="242"/>
      <c r="V11" s="242"/>
      <c r="W11" s="229"/>
    </row>
    <row r="12" spans="1:23">
      <c r="A12" s="224" t="s">
        <v>211</v>
      </c>
      <c r="B12" s="225">
        <f t="shared" ref="B12:C14" si="6">B11/(1+N11)</f>
        <v>374.90436113236416</v>
      </c>
      <c r="C12" s="225">
        <f t="shared" si="6"/>
        <v>295.64366128242779</v>
      </c>
      <c r="D12" s="225">
        <f t="shared" si="1"/>
        <v>295.64366128242779</v>
      </c>
      <c r="E12" s="225">
        <f t="shared" ref="E12:F14" si="7">E11/(1+P11)</f>
        <v>525.06646410938095</v>
      </c>
      <c r="F12" s="225">
        <f t="shared" si="7"/>
        <v>261.88835286009646</v>
      </c>
      <c r="G12" s="664"/>
      <c r="H12" s="227">
        <v>3</v>
      </c>
      <c r="I12" s="227">
        <v>4.12</v>
      </c>
      <c r="J12" s="227">
        <v>2</v>
      </c>
      <c r="K12" s="227">
        <v>4.79</v>
      </c>
      <c r="L12" s="228">
        <v>1.97</v>
      </c>
      <c r="M12" s="229"/>
      <c r="N12" s="230">
        <f t="shared" si="3"/>
        <v>4.1200000000000001E-2</v>
      </c>
      <c r="O12" s="231">
        <f t="shared" si="3"/>
        <v>0.02</v>
      </c>
      <c r="P12" s="231">
        <f t="shared" si="3"/>
        <v>4.7899999999999998E-2</v>
      </c>
      <c r="Q12" s="231">
        <f t="shared" si="3"/>
        <v>1.9699999999999999E-2</v>
      </c>
      <c r="R12" s="232"/>
      <c r="S12" s="230"/>
      <c r="T12" s="231"/>
      <c r="U12" s="231"/>
      <c r="V12" s="231"/>
      <c r="W12" s="229"/>
    </row>
    <row r="13" spans="1:23">
      <c r="A13" s="224" t="s">
        <v>212</v>
      </c>
      <c r="B13" s="225">
        <f t="shared" si="6"/>
        <v>360.06949782209392</v>
      </c>
      <c r="C13" s="225">
        <f t="shared" si="6"/>
        <v>289.84672674747821</v>
      </c>
      <c r="D13" s="225">
        <f t="shared" si="1"/>
        <v>289.84672674747821</v>
      </c>
      <c r="E13" s="225">
        <f t="shared" si="7"/>
        <v>501.06543001181495</v>
      </c>
      <c r="F13" s="225">
        <f t="shared" si="7"/>
        <v>256.82882500744967</v>
      </c>
      <c r="G13" s="664"/>
      <c r="H13" s="244">
        <v>2</v>
      </c>
      <c r="I13" s="244">
        <v>3.85</v>
      </c>
      <c r="J13" s="244">
        <v>1.95</v>
      </c>
      <c r="K13" s="244">
        <v>4.4800000000000004</v>
      </c>
      <c r="L13" s="245">
        <v>1.41</v>
      </c>
      <c r="M13" s="229"/>
      <c r="N13" s="230">
        <f t="shared" si="3"/>
        <v>3.85E-2</v>
      </c>
      <c r="O13" s="231">
        <f t="shared" si="3"/>
        <v>1.95E-2</v>
      </c>
      <c r="P13" s="231">
        <f t="shared" si="3"/>
        <v>4.4800000000000006E-2</v>
      </c>
      <c r="Q13" s="231">
        <f t="shared" si="3"/>
        <v>1.41E-2</v>
      </c>
      <c r="R13" s="232"/>
      <c r="S13" s="230"/>
      <c r="T13" s="231"/>
      <c r="U13" s="231"/>
      <c r="V13" s="231"/>
      <c r="W13" s="229"/>
    </row>
    <row r="14" spans="1:23" ht="14.25" thickBot="1">
      <c r="A14" s="224" t="s">
        <v>213</v>
      </c>
      <c r="B14" s="225">
        <f t="shared" si="6"/>
        <v>346.720748986128</v>
      </c>
      <c r="C14" s="225">
        <f t="shared" si="6"/>
        <v>284.30282172386285</v>
      </c>
      <c r="D14" s="225">
        <f t="shared" si="1"/>
        <v>284.30282172386285</v>
      </c>
      <c r="E14" s="225">
        <f t="shared" si="7"/>
        <v>479.58023546306947</v>
      </c>
      <c r="F14" s="225">
        <f t="shared" si="7"/>
        <v>253.25788877571213</v>
      </c>
      <c r="G14" s="665"/>
      <c r="H14" s="227">
        <v>1</v>
      </c>
      <c r="I14" s="227">
        <v>4.09</v>
      </c>
      <c r="J14" s="227">
        <v>2.93</v>
      </c>
      <c r="K14" s="227">
        <v>4.54</v>
      </c>
      <c r="L14" s="228">
        <v>1.48</v>
      </c>
      <c r="M14" s="229"/>
      <c r="N14" s="230">
        <f t="shared" si="3"/>
        <v>4.0899999999999999E-2</v>
      </c>
      <c r="O14" s="231">
        <f t="shared" si="3"/>
        <v>2.9300000000000003E-2</v>
      </c>
      <c r="P14" s="231">
        <f t="shared" si="3"/>
        <v>4.5400000000000003E-2</v>
      </c>
      <c r="Q14" s="231">
        <f t="shared" si="3"/>
        <v>1.4800000000000001E-2</v>
      </c>
      <c r="R14" s="232"/>
      <c r="S14" s="233">
        <f>B14/B15-1</f>
        <v>4.1203450408792808E-2</v>
      </c>
      <c r="T14" s="234">
        <f>C14/C15-1</f>
        <v>2.6363977342465095E-2</v>
      </c>
      <c r="U14" s="234">
        <f>E14/E15-1</f>
        <v>4.4837114298626357E-2</v>
      </c>
      <c r="V14" s="234">
        <f>F14/F15-1</f>
        <v>1.7099954922538574E-2</v>
      </c>
      <c r="W14" s="229"/>
    </row>
    <row r="15" spans="1:23" ht="14.25" thickBot="1">
      <c r="A15" s="224" t="s">
        <v>214</v>
      </c>
      <c r="B15" s="247">
        <v>333</v>
      </c>
      <c r="C15" s="247">
        <v>277</v>
      </c>
      <c r="D15" s="247">
        <f t="shared" si="1"/>
        <v>277</v>
      </c>
      <c r="E15" s="247">
        <v>459</v>
      </c>
      <c r="F15" s="248">
        <v>249</v>
      </c>
      <c r="G15" s="663">
        <v>2015</v>
      </c>
      <c r="H15" s="249">
        <v>4</v>
      </c>
      <c r="I15" s="249">
        <v>1.63</v>
      </c>
      <c r="J15" s="249">
        <v>1.1100000000000001</v>
      </c>
      <c r="K15" s="249">
        <v>1.77</v>
      </c>
      <c r="L15" s="250">
        <v>1.89</v>
      </c>
      <c r="M15" s="229"/>
      <c r="N15" s="251">
        <f t="shared" si="3"/>
        <v>1.6299999999999999E-2</v>
      </c>
      <c r="O15" s="252">
        <f t="shared" si="3"/>
        <v>1.11E-2</v>
      </c>
      <c r="P15" s="252">
        <f t="shared" si="3"/>
        <v>1.77E-2</v>
      </c>
      <c r="Q15" s="252">
        <f t="shared" si="3"/>
        <v>1.89E-2</v>
      </c>
      <c r="R15" s="232"/>
      <c r="S15" s="253"/>
      <c r="T15" s="229"/>
      <c r="U15" s="229"/>
      <c r="V15" s="229"/>
      <c r="W15" s="229"/>
    </row>
    <row r="16" spans="1:23">
      <c r="A16" s="224" t="s">
        <v>215</v>
      </c>
      <c r="B16" s="225">
        <f t="shared" ref="B16:C18" si="8">B15/(1+N15)</f>
        <v>327.65915576109415</v>
      </c>
      <c r="C16" s="225">
        <f t="shared" si="8"/>
        <v>273.95905449510434</v>
      </c>
      <c r="D16" s="225">
        <f t="shared" si="1"/>
        <v>273.95905449510434</v>
      </c>
      <c r="E16" s="225">
        <f t="shared" ref="E16:F18" si="9">E15/(1+P15)</f>
        <v>451.01699911565294</v>
      </c>
      <c r="F16" s="225">
        <f t="shared" si="9"/>
        <v>244.38119540681129</v>
      </c>
      <c r="G16" s="664"/>
      <c r="H16" s="254">
        <v>3</v>
      </c>
      <c r="I16" s="254">
        <v>1.65</v>
      </c>
      <c r="J16" s="254">
        <v>0.92</v>
      </c>
      <c r="K16" s="254">
        <v>1.88</v>
      </c>
      <c r="L16" s="255">
        <v>1.26</v>
      </c>
      <c r="M16" s="229"/>
      <c r="N16" s="230">
        <f t="shared" si="3"/>
        <v>1.6500000000000001E-2</v>
      </c>
      <c r="O16" s="256">
        <f t="shared" si="3"/>
        <v>9.1999999999999998E-3</v>
      </c>
      <c r="P16" s="256">
        <f t="shared" si="3"/>
        <v>1.8799999999999997E-2</v>
      </c>
      <c r="Q16" s="256">
        <f t="shared" si="3"/>
        <v>1.26E-2</v>
      </c>
      <c r="R16" s="232"/>
      <c r="S16" s="230"/>
      <c r="T16" s="231"/>
      <c r="U16" s="231"/>
      <c r="V16" s="231"/>
      <c r="W16" s="229"/>
    </row>
    <row r="17" spans="1:23">
      <c r="A17" s="224" t="s">
        <v>216</v>
      </c>
      <c r="B17" s="225">
        <f t="shared" si="8"/>
        <v>322.34053690220776</v>
      </c>
      <c r="C17" s="225">
        <f t="shared" si="8"/>
        <v>271.46160770422546</v>
      </c>
      <c r="D17" s="225">
        <f t="shared" si="1"/>
        <v>271.46160770422546</v>
      </c>
      <c r="E17" s="225">
        <f t="shared" si="9"/>
        <v>442.69434542172456</v>
      </c>
      <c r="F17" s="225">
        <f t="shared" si="9"/>
        <v>241.34030753190925</v>
      </c>
      <c r="G17" s="664"/>
      <c r="H17" s="244">
        <v>2</v>
      </c>
      <c r="I17" s="244">
        <v>0.77</v>
      </c>
      <c r="J17" s="244">
        <v>0.69</v>
      </c>
      <c r="K17" s="244">
        <v>0.8</v>
      </c>
      <c r="L17" s="245">
        <v>0.88</v>
      </c>
      <c r="M17" s="229"/>
      <c r="N17" s="230">
        <f t="shared" si="3"/>
        <v>7.7000000000000002E-3</v>
      </c>
      <c r="O17" s="256">
        <f t="shared" si="3"/>
        <v>6.8999999999999999E-3</v>
      </c>
      <c r="P17" s="256">
        <f t="shared" si="3"/>
        <v>8.0000000000000002E-3</v>
      </c>
      <c r="Q17" s="256">
        <f t="shared" si="3"/>
        <v>8.8000000000000005E-3</v>
      </c>
      <c r="R17" s="232"/>
      <c r="S17" s="230"/>
      <c r="T17" s="231"/>
      <c r="U17" s="231"/>
      <c r="V17" s="231"/>
      <c r="W17" s="229"/>
    </row>
    <row r="18" spans="1:23">
      <c r="A18" s="224" t="s">
        <v>217</v>
      </c>
      <c r="B18" s="225">
        <f t="shared" si="8"/>
        <v>319.87748030386797</v>
      </c>
      <c r="C18" s="225">
        <f t="shared" si="8"/>
        <v>269.60135833173649</v>
      </c>
      <c r="D18" s="225">
        <f t="shared" si="1"/>
        <v>269.60135833173649</v>
      </c>
      <c r="E18" s="225">
        <f t="shared" si="9"/>
        <v>439.18089823583784</v>
      </c>
      <c r="F18" s="225">
        <f t="shared" si="9"/>
        <v>239.23503918706311</v>
      </c>
      <c r="G18" s="665"/>
      <c r="H18" s="227">
        <v>1</v>
      </c>
      <c r="I18" s="227">
        <v>0.51</v>
      </c>
      <c r="J18" s="227">
        <v>0.54</v>
      </c>
      <c r="K18" s="227">
        <v>0.48</v>
      </c>
      <c r="L18" s="228">
        <v>0.93</v>
      </c>
      <c r="M18" s="229"/>
      <c r="N18" s="233">
        <f t="shared" si="3"/>
        <v>5.1000000000000004E-3</v>
      </c>
      <c r="O18" s="234">
        <f t="shared" si="3"/>
        <v>5.4000000000000003E-3</v>
      </c>
      <c r="P18" s="234">
        <f t="shared" si="3"/>
        <v>4.7999999999999996E-3</v>
      </c>
      <c r="Q18" s="234">
        <f t="shared" si="3"/>
        <v>9.300000000000001E-3</v>
      </c>
      <c r="R18" s="232"/>
      <c r="S18" s="233">
        <f>B18/B19-1</f>
        <v>5.9040261127922822E-3</v>
      </c>
      <c r="T18" s="234">
        <f>C18/C19-1</f>
        <v>5.9752176557332781E-3</v>
      </c>
      <c r="U18" s="234">
        <f>E18/E19-1</f>
        <v>4.9906138119859556E-3</v>
      </c>
      <c r="V18" s="234">
        <f>F18/F19-1</f>
        <v>9.4305450930933787E-3</v>
      </c>
      <c r="W18" s="229"/>
    </row>
    <row r="19" spans="1:23" ht="14.25" thickBot="1">
      <c r="A19" s="224" t="s">
        <v>218</v>
      </c>
      <c r="B19" s="257">
        <v>318</v>
      </c>
      <c r="C19" s="257">
        <v>268</v>
      </c>
      <c r="D19" s="257">
        <f t="shared" si="1"/>
        <v>268</v>
      </c>
      <c r="E19" s="257">
        <v>437</v>
      </c>
      <c r="F19" s="258">
        <v>237</v>
      </c>
      <c r="G19" s="663">
        <v>2014</v>
      </c>
      <c r="H19" s="249">
        <v>4</v>
      </c>
      <c r="I19" s="249">
        <v>0.21</v>
      </c>
      <c r="J19" s="249">
        <v>0.41</v>
      </c>
      <c r="K19" s="249">
        <v>0.12</v>
      </c>
      <c r="L19" s="250">
        <v>0.89</v>
      </c>
      <c r="M19" s="229"/>
      <c r="N19" s="230">
        <f t="shared" si="3"/>
        <v>2.0999999999999999E-3</v>
      </c>
      <c r="O19" s="231">
        <f t="shared" si="3"/>
        <v>4.0999999999999995E-3</v>
      </c>
      <c r="P19" s="231">
        <f t="shared" si="3"/>
        <v>1.1999999999999999E-3</v>
      </c>
      <c r="Q19" s="231">
        <f t="shared" si="3"/>
        <v>8.8999999999999999E-3</v>
      </c>
      <c r="R19" s="232"/>
      <c r="S19" s="241"/>
      <c r="T19" s="242"/>
      <c r="U19" s="242"/>
      <c r="V19" s="242"/>
      <c r="W19" s="229"/>
    </row>
    <row r="20" spans="1:23">
      <c r="A20" s="224" t="s">
        <v>219</v>
      </c>
      <c r="B20" s="225">
        <f t="shared" ref="B20:C22" si="10">B19/(1+N19)</f>
        <v>317.33359944117353</v>
      </c>
      <c r="C20" s="225">
        <f t="shared" si="10"/>
        <v>266.90568668459315</v>
      </c>
      <c r="D20" s="225">
        <f t="shared" si="1"/>
        <v>266.90568668459315</v>
      </c>
      <c r="E20" s="225">
        <f t="shared" ref="E20:F22" si="11">E19/(1+P19)</f>
        <v>436.47622852576905</v>
      </c>
      <c r="F20" s="225">
        <f t="shared" si="11"/>
        <v>234.90930716622066</v>
      </c>
      <c r="G20" s="664"/>
      <c r="H20" s="259">
        <v>3</v>
      </c>
      <c r="I20" s="259">
        <v>0.83</v>
      </c>
      <c r="J20" s="259">
        <v>1.47</v>
      </c>
      <c r="K20" s="259">
        <v>0.65</v>
      </c>
      <c r="L20" s="260">
        <v>0.72</v>
      </c>
      <c r="M20" s="229"/>
      <c r="N20" s="230">
        <f t="shared" si="3"/>
        <v>8.3000000000000001E-3</v>
      </c>
      <c r="O20" s="231">
        <f t="shared" si="3"/>
        <v>1.47E-2</v>
      </c>
      <c r="P20" s="231">
        <f t="shared" si="3"/>
        <v>6.5000000000000006E-3</v>
      </c>
      <c r="Q20" s="231">
        <f t="shared" si="3"/>
        <v>7.1999999999999998E-3</v>
      </c>
      <c r="R20" s="232"/>
      <c r="S20" s="230"/>
      <c r="T20" s="231"/>
      <c r="U20" s="231"/>
      <c r="V20" s="231"/>
      <c r="W20" s="229"/>
    </row>
    <row r="21" spans="1:23" ht="14.25" thickBot="1">
      <c r="A21" s="224" t="s">
        <v>220</v>
      </c>
      <c r="B21" s="225">
        <f t="shared" si="10"/>
        <v>314.72141172386546</v>
      </c>
      <c r="C21" s="225">
        <f t="shared" si="10"/>
        <v>263.03901319069001</v>
      </c>
      <c r="D21" s="225">
        <f t="shared" si="1"/>
        <v>263.03901319069001</v>
      </c>
      <c r="E21" s="225">
        <f t="shared" si="11"/>
        <v>433.65745506782821</v>
      </c>
      <c r="F21" s="225">
        <f t="shared" si="11"/>
        <v>233.23005080045735</v>
      </c>
      <c r="G21" s="664"/>
      <c r="H21" s="249">
        <v>2</v>
      </c>
      <c r="I21" s="249">
        <v>2.4</v>
      </c>
      <c r="J21" s="249">
        <v>2.0299999999999998</v>
      </c>
      <c r="K21" s="249">
        <v>2.59</v>
      </c>
      <c r="L21" s="250">
        <v>1.52</v>
      </c>
      <c r="M21" s="229"/>
      <c r="N21" s="230">
        <f t="shared" ref="N21:Q22" si="12">I21/100</f>
        <v>2.4E-2</v>
      </c>
      <c r="O21" s="231">
        <f t="shared" si="12"/>
        <v>2.0299999999999999E-2</v>
      </c>
      <c r="P21" s="231">
        <f t="shared" si="12"/>
        <v>2.5899999999999999E-2</v>
      </c>
      <c r="Q21" s="231">
        <f t="shared" si="12"/>
        <v>1.52E-2</v>
      </c>
      <c r="R21" s="232"/>
      <c r="S21" s="230"/>
      <c r="T21" s="231"/>
      <c r="U21" s="231"/>
      <c r="V21" s="231"/>
      <c r="W21" s="229"/>
    </row>
    <row r="22" spans="1:23">
      <c r="A22" s="261" t="s">
        <v>221</v>
      </c>
      <c r="B22" s="262">
        <f t="shared" si="10"/>
        <v>307.34512863658733</v>
      </c>
      <c r="C22" s="262">
        <f t="shared" si="10"/>
        <v>257.80556031626975</v>
      </c>
      <c r="D22" s="262">
        <f t="shared" si="1"/>
        <v>257.80556031626975</v>
      </c>
      <c r="E22" s="262">
        <f t="shared" si="11"/>
        <v>422.70928459677179</v>
      </c>
      <c r="F22" s="262">
        <f t="shared" si="11"/>
        <v>229.73803270336617</v>
      </c>
      <c r="G22" s="665"/>
      <c r="H22" s="263">
        <v>1</v>
      </c>
      <c r="I22" s="263">
        <v>2.97</v>
      </c>
      <c r="J22" s="263">
        <v>2.34</v>
      </c>
      <c r="K22" s="263">
        <v>3.28</v>
      </c>
      <c r="L22" s="264">
        <v>1.36</v>
      </c>
      <c r="M22" s="265"/>
      <c r="N22" s="266">
        <f t="shared" si="12"/>
        <v>2.9700000000000001E-2</v>
      </c>
      <c r="O22" s="267">
        <f t="shared" si="12"/>
        <v>2.3399999999999997E-2</v>
      </c>
      <c r="P22" s="267">
        <f t="shared" si="12"/>
        <v>3.2799999999999996E-2</v>
      </c>
      <c r="Q22" s="267">
        <f t="shared" si="12"/>
        <v>1.3600000000000001E-2</v>
      </c>
      <c r="R22" s="268"/>
      <c r="S22" s="269" t="e">
        <f>B22/B23-1</f>
        <v>#DIV/0!</v>
      </c>
      <c r="T22" s="270" t="e">
        <f>C22/C23-1</f>
        <v>#DIV/0!</v>
      </c>
      <c r="U22" s="270" t="e">
        <f>E22/E23-1</f>
        <v>#DIV/0!</v>
      </c>
      <c r="V22" s="270" t="e">
        <f>F22/F23-1</f>
        <v>#DIV/0!</v>
      </c>
      <c r="W22" s="271" t="s">
        <v>222</v>
      </c>
    </row>
    <row r="23" spans="1:23" ht="14.25" thickBot="1"/>
    <row r="24" spans="1:23" ht="14.25" thickBot="1">
      <c r="I24" s="362" t="s">
        <v>328</v>
      </c>
      <c r="J24" s="363" t="s">
        <v>329</v>
      </c>
      <c r="K24" s="363" t="s">
        <v>324</v>
      </c>
      <c r="L24" s="363" t="s">
        <v>325</v>
      </c>
      <c r="M24" s="363" t="s">
        <v>326</v>
      </c>
      <c r="N24" s="363" t="s">
        <v>327</v>
      </c>
    </row>
    <row r="25" spans="1:23" ht="14.25" thickBot="1">
      <c r="I25" s="364">
        <v>2014</v>
      </c>
      <c r="J25" s="365" t="s">
        <v>330</v>
      </c>
      <c r="K25" s="366">
        <v>6.5299999999999997E-2</v>
      </c>
      <c r="L25" s="366">
        <v>6.3799999999999996E-2</v>
      </c>
      <c r="M25" s="366">
        <v>6.7699999999999996E-2</v>
      </c>
      <c r="N25" s="366">
        <v>4.5400000000000003E-2</v>
      </c>
      <c r="O25" s="359">
        <v>2016</v>
      </c>
      <c r="P25" s="351">
        <v>4</v>
      </c>
      <c r="Q25" s="351">
        <v>4.5599999999999996</v>
      </c>
      <c r="R25" s="351">
        <v>2.15</v>
      </c>
      <c r="S25" s="351">
        <v>5.32</v>
      </c>
      <c r="T25" s="352">
        <v>1.57</v>
      </c>
    </row>
    <row r="26" spans="1:23" ht="14.25" thickBot="1">
      <c r="I26" s="364">
        <v>2015</v>
      </c>
      <c r="J26" s="365" t="s">
        <v>330</v>
      </c>
      <c r="K26" s="366">
        <v>4.6399999999999997E-2</v>
      </c>
      <c r="L26" s="366">
        <v>3.2899999999999999E-2</v>
      </c>
      <c r="M26" s="366">
        <v>5.0099999999999999E-2</v>
      </c>
      <c r="N26" s="366">
        <v>5.0500000000000003E-2</v>
      </c>
      <c r="O26" s="353">
        <v>2016</v>
      </c>
      <c r="P26" s="354">
        <v>3</v>
      </c>
      <c r="Q26" s="354">
        <v>4.12</v>
      </c>
      <c r="R26" s="354">
        <v>2</v>
      </c>
      <c r="S26" s="354">
        <v>4.79</v>
      </c>
      <c r="T26" s="355">
        <v>1.97</v>
      </c>
    </row>
    <row r="27" spans="1:23" ht="14.25" thickBot="1">
      <c r="I27" s="364">
        <v>2016</v>
      </c>
      <c r="J27" s="365" t="s">
        <v>330</v>
      </c>
      <c r="K27" s="366">
        <v>0.17680000000000001</v>
      </c>
      <c r="L27" s="366">
        <v>9.3299999999999994E-2</v>
      </c>
      <c r="M27" s="366">
        <v>0.20549999999999999</v>
      </c>
      <c r="N27" s="366">
        <v>6.5799999999999997E-2</v>
      </c>
      <c r="O27" s="356">
        <v>2016</v>
      </c>
      <c r="P27" s="357">
        <v>2</v>
      </c>
      <c r="Q27" s="357">
        <v>3.85</v>
      </c>
      <c r="R27" s="357">
        <v>1.95</v>
      </c>
      <c r="S27" s="357">
        <v>4.4800000000000004</v>
      </c>
      <c r="T27" s="358">
        <v>1.41</v>
      </c>
    </row>
    <row r="28" spans="1:23" ht="14.25" thickBot="1">
      <c r="A28" s="346"/>
      <c r="B28" s="346"/>
      <c r="I28" s="364">
        <v>2017</v>
      </c>
      <c r="J28" s="367" t="s">
        <v>331</v>
      </c>
      <c r="K28" s="366">
        <v>3.4500000000000003E-2</v>
      </c>
      <c r="L28" s="366">
        <v>1.9199999999999998E-2</v>
      </c>
      <c r="M28" s="366">
        <v>3.9199999999999999E-2</v>
      </c>
      <c r="N28" s="366">
        <v>1.5800000000000002E-2</v>
      </c>
      <c r="O28" s="359">
        <v>2016</v>
      </c>
      <c r="P28" s="360">
        <v>1</v>
      </c>
      <c r="Q28" s="360">
        <v>4.09</v>
      </c>
      <c r="R28" s="360">
        <v>2.93</v>
      </c>
      <c r="S28" s="360">
        <v>4.54</v>
      </c>
      <c r="T28" s="361">
        <v>1.48</v>
      </c>
    </row>
    <row r="29" spans="1:23" ht="14.25" thickBot="1">
      <c r="A29" s="346"/>
      <c r="B29" s="346"/>
      <c r="C29" s="347" t="s">
        <v>324</v>
      </c>
      <c r="D29" s="348" t="s">
        <v>325</v>
      </c>
      <c r="E29" s="348" t="s">
        <v>326</v>
      </c>
      <c r="F29" s="349" t="s">
        <v>327</v>
      </c>
      <c r="I29" s="364">
        <v>2017</v>
      </c>
      <c r="J29" s="367" t="s">
        <v>332</v>
      </c>
      <c r="K29" s="366">
        <v>3.4000000000000002E-2</v>
      </c>
      <c r="L29" s="366">
        <v>0.02</v>
      </c>
      <c r="M29" s="366">
        <v>3.8199999999999998E-2</v>
      </c>
      <c r="N29" s="366">
        <v>1.6799999999999999E-2</v>
      </c>
    </row>
    <row r="30" spans="1:23" ht="14.25" thickBot="1">
      <c r="A30" s="350"/>
      <c r="B30" s="351"/>
      <c r="C30" s="351"/>
      <c r="D30" s="351"/>
      <c r="E30" s="351"/>
      <c r="F30" s="352"/>
      <c r="I30" s="364">
        <v>2017</v>
      </c>
      <c r="J30" s="367" t="s">
        <v>333</v>
      </c>
      <c r="K30" s="366">
        <v>2.98E-2</v>
      </c>
      <c r="L30" s="366">
        <v>2.1100000000000001E-2</v>
      </c>
      <c r="M30" s="366">
        <v>3.2399999999999998E-2</v>
      </c>
      <c r="N30" s="366">
        <v>1.72E-2</v>
      </c>
    </row>
    <row r="31" spans="1:23" ht="14.25" thickBot="1">
      <c r="A31" s="353"/>
      <c r="B31" s="354"/>
      <c r="C31" s="354"/>
      <c r="D31" s="354"/>
      <c r="E31" s="354"/>
      <c r="F31" s="355"/>
    </row>
    <row r="32" spans="1:23" ht="14.25" thickBot="1">
      <c r="A32" s="357">
        <v>2018</v>
      </c>
      <c r="B32" s="357">
        <v>1</v>
      </c>
      <c r="C32" s="357">
        <v>1.7</v>
      </c>
      <c r="D32" s="357">
        <v>1.92</v>
      </c>
      <c r="E32" s="357">
        <v>1.64</v>
      </c>
      <c r="F32" s="357">
        <v>2.0099999999999998</v>
      </c>
    </row>
    <row r="33" spans="1:9" ht="14.25" thickBot="1">
      <c r="A33" s="357">
        <v>2017</v>
      </c>
      <c r="B33" s="357">
        <v>4</v>
      </c>
      <c r="C33" s="357">
        <v>1.71</v>
      </c>
      <c r="D33" s="357">
        <v>1.78</v>
      </c>
      <c r="E33" s="357">
        <v>1.71</v>
      </c>
      <c r="F33" s="357">
        <v>1.43</v>
      </c>
    </row>
    <row r="34" spans="1:9" ht="14.25" thickBot="1">
      <c r="A34" s="357">
        <v>2017</v>
      </c>
      <c r="B34" s="357">
        <v>3</v>
      </c>
      <c r="C34" s="357">
        <v>2.98</v>
      </c>
      <c r="D34" s="357">
        <v>2.11</v>
      </c>
      <c r="E34" s="357">
        <v>3.24</v>
      </c>
      <c r="F34" s="357">
        <v>1.72</v>
      </c>
      <c r="H34" t="s">
        <v>350</v>
      </c>
      <c r="I34" t="s">
        <v>351</v>
      </c>
    </row>
    <row r="35" spans="1:9" ht="14.25" thickBot="1">
      <c r="A35" s="357">
        <v>2017</v>
      </c>
      <c r="B35" s="357">
        <v>2</v>
      </c>
      <c r="C35" s="357">
        <v>3.4</v>
      </c>
      <c r="D35" s="357">
        <v>2</v>
      </c>
      <c r="E35" s="357">
        <v>3.82</v>
      </c>
      <c r="F35" s="357">
        <v>1.68</v>
      </c>
      <c r="H35" t="s">
        <v>346</v>
      </c>
    </row>
    <row r="36" spans="1:9" ht="14.25" thickBot="1">
      <c r="A36" s="357">
        <v>2017</v>
      </c>
      <c r="B36" s="357">
        <v>1</v>
      </c>
      <c r="C36" s="357">
        <v>3.45</v>
      </c>
      <c r="D36" s="357">
        <v>1.92</v>
      </c>
      <c r="E36" s="357">
        <v>3.92</v>
      </c>
      <c r="F36" s="357">
        <v>1.58</v>
      </c>
      <c r="H36" s="374">
        <v>1.2928999999999999</v>
      </c>
    </row>
    <row r="37" spans="1:9" ht="14.25" thickBot="1">
      <c r="A37" s="357">
        <v>2016</v>
      </c>
      <c r="B37" s="357"/>
      <c r="C37" s="357">
        <v>17.68</v>
      </c>
      <c r="D37" s="357">
        <v>9.33</v>
      </c>
      <c r="E37" s="357">
        <v>20.55</v>
      </c>
      <c r="F37" s="357">
        <v>6.58</v>
      </c>
    </row>
    <row r="38" spans="1:9">
      <c r="A38" s="356">
        <v>2015</v>
      </c>
      <c r="B38" s="373"/>
      <c r="C38" s="357">
        <v>4.6399999999999997</v>
      </c>
      <c r="D38" s="357">
        <v>3.29</v>
      </c>
      <c r="E38" s="357">
        <v>5.01</v>
      </c>
      <c r="F38" s="358">
        <v>5.05</v>
      </c>
    </row>
    <row r="39" spans="1:9" ht="14.25" thickBot="1">
      <c r="A39" s="359">
        <v>2014</v>
      </c>
      <c r="B39" s="373"/>
      <c r="C39" s="360">
        <v>6.53</v>
      </c>
      <c r="D39" s="360">
        <v>6.38</v>
      </c>
      <c r="E39" s="360">
        <v>6.77</v>
      </c>
      <c r="F39" s="361">
        <v>4.54</v>
      </c>
    </row>
  </sheetData>
  <mergeCells count="7">
    <mergeCell ref="S1:V1"/>
    <mergeCell ref="G11:G14"/>
    <mergeCell ref="G15:G18"/>
    <mergeCell ref="G19:G22"/>
    <mergeCell ref="B1:F1"/>
    <mergeCell ref="G1:L1"/>
    <mergeCell ref="N1:Q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"/>
  <sheetViews>
    <sheetView tabSelected="1" topLeftCell="A10" workbookViewId="0">
      <selection activeCell="M19" sqref="M19"/>
    </sheetView>
  </sheetViews>
  <sheetFormatPr defaultRowHeight="13.5"/>
  <cols>
    <col min="1" max="1" width="11.75" customWidth="1"/>
    <col min="3" max="3" width="15.125" customWidth="1"/>
    <col min="4" max="4" width="10.125" bestFit="1" customWidth="1"/>
    <col min="5" max="5" width="12.125" customWidth="1"/>
    <col min="6" max="6" width="11.5" style="1" customWidth="1"/>
    <col min="7" max="7" width="12.25" customWidth="1"/>
    <col min="8" max="8" width="14" customWidth="1"/>
    <col min="9" max="9" width="13.625" customWidth="1"/>
    <col min="10" max="10" width="11.5" customWidth="1"/>
    <col min="11" max="11" width="11.625" bestFit="1" customWidth="1"/>
    <col min="12" max="12" width="12.625" customWidth="1"/>
    <col min="13" max="13" width="13.125" customWidth="1"/>
    <col min="14" max="14" width="10.375" customWidth="1"/>
    <col min="15" max="15" width="12" customWidth="1"/>
    <col min="16" max="16" width="12.75" customWidth="1"/>
    <col min="17" max="17" width="11.75" customWidth="1"/>
  </cols>
  <sheetData>
    <row r="1" spans="1:15" ht="14.25" thickBot="1">
      <c r="A1" s="2" t="s">
        <v>629</v>
      </c>
      <c r="B1" s="2"/>
      <c r="D1" t="s">
        <v>27</v>
      </c>
      <c r="G1" s="1"/>
      <c r="H1" s="369" t="s">
        <v>28</v>
      </c>
      <c r="I1" s="10"/>
      <c r="J1" s="10"/>
      <c r="K1" s="10"/>
      <c r="L1" s="187" t="s">
        <v>197</v>
      </c>
      <c r="M1" s="188" t="s">
        <v>201</v>
      </c>
      <c r="N1" s="188" t="s">
        <v>199</v>
      </c>
      <c r="O1" s="187" t="s">
        <v>200</v>
      </c>
    </row>
    <row r="2" spans="1:15">
      <c r="A2" s="2" t="s">
        <v>0</v>
      </c>
      <c r="B2" s="2"/>
      <c r="D2" s="2" t="s">
        <v>0</v>
      </c>
      <c r="E2" s="2"/>
      <c r="F2" s="10"/>
      <c r="G2" s="10"/>
      <c r="H2" s="369"/>
      <c r="I2" s="10"/>
      <c r="J2" s="10"/>
      <c r="K2" s="224" t="s">
        <v>637</v>
      </c>
      <c r="L2" s="230">
        <v>1.7100000000000001E-2</v>
      </c>
      <c r="M2" s="231">
        <v>1.78E-2</v>
      </c>
      <c r="N2" s="231">
        <v>1.7100000000000001E-2</v>
      </c>
      <c r="O2" s="231">
        <v>1.43E-2</v>
      </c>
    </row>
    <row r="3" spans="1:15">
      <c r="A3" s="8" t="s">
        <v>2</v>
      </c>
      <c r="B3" s="389">
        <v>41113</v>
      </c>
      <c r="C3" s="20"/>
      <c r="D3" s="8" t="s">
        <v>25</v>
      </c>
      <c r="E3" s="8">
        <v>0</v>
      </c>
      <c r="F3" s="21"/>
      <c r="G3" s="21"/>
      <c r="H3" s="22">
        <f>B3-E3</f>
        <v>41113</v>
      </c>
      <c r="I3" s="21"/>
      <c r="J3" s="21"/>
      <c r="K3" s="224" t="s">
        <v>638</v>
      </c>
      <c r="L3" s="230">
        <v>2.98E-2</v>
      </c>
      <c r="M3" s="231">
        <v>2.1099999999999997E-2</v>
      </c>
      <c r="N3" s="231">
        <v>3.2400000000000005E-2</v>
      </c>
      <c r="O3" s="231">
        <v>1.72E-2</v>
      </c>
    </row>
    <row r="4" spans="1:15">
      <c r="A4" s="6" t="s">
        <v>3</v>
      </c>
      <c r="B4" s="6">
        <v>4269</v>
      </c>
      <c r="C4" s="11"/>
      <c r="D4" s="6" t="s">
        <v>1</v>
      </c>
      <c r="E4" s="6">
        <v>45382</v>
      </c>
      <c r="F4" s="12"/>
      <c r="G4" s="12"/>
      <c r="H4" s="13">
        <f>B4-E4</f>
        <v>-41113</v>
      </c>
      <c r="I4" s="12"/>
      <c r="J4" s="12"/>
      <c r="K4" s="224" t="s">
        <v>639</v>
      </c>
      <c r="L4" s="230">
        <v>3.4000000000000002E-2</v>
      </c>
      <c r="M4" s="231">
        <v>0.02</v>
      </c>
      <c r="N4" s="231">
        <v>3.8199999999999998E-2</v>
      </c>
      <c r="O4" s="231">
        <v>1.6799999999999999E-2</v>
      </c>
    </row>
    <row r="5" spans="1:15" ht="13.5" customHeight="1">
      <c r="A5" s="2" t="s">
        <v>19</v>
      </c>
      <c r="B5" s="2">
        <f>B2+B3+B4</f>
        <v>45382</v>
      </c>
      <c r="D5" s="2" t="s">
        <v>19</v>
      </c>
      <c r="E5" s="2"/>
      <c r="F5" s="10"/>
      <c r="G5" s="10"/>
      <c r="H5" s="369"/>
      <c r="I5" s="10"/>
      <c r="J5" s="10"/>
      <c r="K5" s="224" t="s">
        <v>640</v>
      </c>
      <c r="L5" s="230">
        <v>3.4500000000000003E-2</v>
      </c>
      <c r="M5" s="231">
        <v>1.9199999999999998E-2</v>
      </c>
      <c r="N5" s="231">
        <v>3.9199999999999999E-2</v>
      </c>
      <c r="O5" s="231">
        <v>1.5800000000000002E-2</v>
      </c>
    </row>
    <row r="6" spans="1:15">
      <c r="C6" s="1" t="s">
        <v>21</v>
      </c>
      <c r="F6" s="1" t="s">
        <v>22</v>
      </c>
      <c r="G6" s="1"/>
      <c r="H6" s="369"/>
      <c r="I6" s="10"/>
      <c r="J6" s="10"/>
      <c r="K6" s="10"/>
      <c r="L6" s="10">
        <f>ROUND((1+L5)*(1+L4)*(1+L3)*(1+L2),2)</f>
        <v>1.1200000000000001</v>
      </c>
      <c r="M6" s="10">
        <f t="shared" ref="M6:O6" si="0">ROUND((1+M5)*(1+M4)*(1+M3)*(1+M2),2)</f>
        <v>1.08</v>
      </c>
      <c r="N6" s="10">
        <f t="shared" si="0"/>
        <v>1.1299999999999999</v>
      </c>
      <c r="O6" s="10">
        <f t="shared" si="0"/>
        <v>1.07</v>
      </c>
    </row>
    <row r="7" spans="1:15">
      <c r="A7" s="2" t="s">
        <v>12</v>
      </c>
      <c r="B7" s="2"/>
      <c r="D7" s="2" t="s">
        <v>12</v>
      </c>
      <c r="E7" s="2"/>
      <c r="G7" s="1"/>
      <c r="H7" s="369"/>
      <c r="I7" s="10"/>
      <c r="J7" s="10"/>
      <c r="K7" s="10"/>
      <c r="L7" s="10"/>
    </row>
    <row r="8" spans="1:15">
      <c r="A8" s="7" t="s">
        <v>24</v>
      </c>
      <c r="B8" s="7">
        <v>2303</v>
      </c>
      <c r="C8" s="18"/>
      <c r="D8" s="7" t="s">
        <v>23</v>
      </c>
      <c r="E8" s="7">
        <v>0</v>
      </c>
      <c r="F8" s="23"/>
      <c r="G8" s="23"/>
      <c r="H8" s="19">
        <f>B8</f>
        <v>2303</v>
      </c>
      <c r="I8" s="451"/>
      <c r="J8" s="451"/>
      <c r="K8" s="451"/>
      <c r="L8" s="451"/>
    </row>
    <row r="9" spans="1:15">
      <c r="A9" s="14" t="s">
        <v>14</v>
      </c>
      <c r="B9" s="14">
        <v>14466</v>
      </c>
      <c r="C9" s="15"/>
      <c r="D9" s="14" t="s">
        <v>13</v>
      </c>
      <c r="E9" s="14">
        <v>12075</v>
      </c>
      <c r="F9" s="16"/>
      <c r="G9" s="16"/>
      <c r="H9" s="17">
        <f>B9-E9</f>
        <v>2391</v>
      </c>
      <c r="I9" s="16"/>
      <c r="J9" s="16"/>
      <c r="K9" s="16"/>
      <c r="L9" s="16"/>
    </row>
    <row r="10" spans="1:15">
      <c r="A10" s="4" t="s">
        <v>644</v>
      </c>
      <c r="B10" s="2">
        <v>16769</v>
      </c>
      <c r="D10" s="2" t="s">
        <v>20</v>
      </c>
      <c r="E10" s="2"/>
      <c r="F10" s="10"/>
      <c r="G10" s="10"/>
      <c r="H10" s="369"/>
      <c r="I10" s="10"/>
      <c r="J10" s="10"/>
      <c r="K10" s="10"/>
      <c r="L10" s="10"/>
    </row>
    <row r="12" spans="1:15">
      <c r="A12" t="s">
        <v>576</v>
      </c>
    </row>
    <row r="13" spans="1:15">
      <c r="I13" s="525">
        <f>[8]结果表!$D$21</f>
        <v>13765</v>
      </c>
    </row>
    <row r="14" spans="1:15" ht="20.25">
      <c r="A14" s="578" t="s">
        <v>577</v>
      </c>
      <c r="B14" s="578"/>
      <c r="C14" s="578"/>
      <c r="D14" s="578"/>
      <c r="E14" s="578"/>
      <c r="F14" s="369"/>
      <c r="G14" s="369"/>
    </row>
    <row r="15" spans="1:15" ht="35.25" customHeight="1">
      <c r="A15" s="438" t="s">
        <v>578</v>
      </c>
      <c r="B15" s="439" t="s">
        <v>579</v>
      </c>
      <c r="C15" s="439" t="s">
        <v>623</v>
      </c>
      <c r="D15" s="439" t="s">
        <v>580</v>
      </c>
      <c r="E15" s="439" t="s">
        <v>624</v>
      </c>
      <c r="F15" s="472" t="s">
        <v>641</v>
      </c>
      <c r="G15" s="472" t="s">
        <v>642</v>
      </c>
      <c r="H15" s="439" t="s">
        <v>703</v>
      </c>
      <c r="I15" s="472"/>
      <c r="J15" s="472" t="s">
        <v>641</v>
      </c>
    </row>
    <row r="16" spans="1:15" ht="30.75" customHeight="1">
      <c r="A16" s="715" t="s">
        <v>587</v>
      </c>
      <c r="B16" s="481" t="s">
        <v>582</v>
      </c>
      <c r="C16" s="485">
        <f>[8]结果表!$D$20</f>
        <v>26619</v>
      </c>
      <c r="D16" s="486">
        <v>0.6</v>
      </c>
      <c r="E16" s="719">
        <f>ROUND(C16*D16+C17*D17,0)</f>
        <v>21636</v>
      </c>
      <c r="F16" s="679">
        <f>ROUND(E16*0.25,0)</f>
        <v>5409</v>
      </c>
      <c r="G16" s="679">
        <f>ROUND(F16*H3/10000,2)</f>
        <v>22238.02</v>
      </c>
      <c r="H16" s="526">
        <f>[8]结果表!$D$21</f>
        <v>13765</v>
      </c>
      <c r="I16" s="724">
        <f>ROUND(H17*D17+H16*D16,0)</f>
        <v>11188</v>
      </c>
      <c r="J16" s="8">
        <f>ROUND(C16*0.25,0)</f>
        <v>6655</v>
      </c>
    </row>
    <row r="17" spans="1:17" ht="24.75" customHeight="1">
      <c r="A17" s="715"/>
      <c r="B17" s="481" t="s">
        <v>583</v>
      </c>
      <c r="C17" s="485">
        <f>[8]结果表!$C$20</f>
        <v>14162</v>
      </c>
      <c r="D17" s="486">
        <f>1-D16</f>
        <v>0.4</v>
      </c>
      <c r="E17" s="720"/>
      <c r="F17" s="680"/>
      <c r="G17" s="680"/>
      <c r="H17" s="526">
        <f>[8]结果表!$C$21</f>
        <v>7323</v>
      </c>
      <c r="I17" s="724"/>
      <c r="J17" s="8">
        <f t="shared" ref="J17:J23" si="1">ROUND(C17*0.25,0)</f>
        <v>3541</v>
      </c>
    </row>
    <row r="18" spans="1:17" ht="30" customHeight="1">
      <c r="A18" s="721" t="s">
        <v>588</v>
      </c>
      <c r="B18" s="489" t="s">
        <v>582</v>
      </c>
      <c r="C18" s="490">
        <f>[9]结果表!$D$20</f>
        <v>26451</v>
      </c>
      <c r="D18" s="491">
        <f t="shared" ref="D18:D23" si="2">D16</f>
        <v>0.6</v>
      </c>
      <c r="E18" s="722">
        <f t="shared" ref="E18:E22" si="3">ROUND(C18*D18+C19*D19,0)</f>
        <v>21497</v>
      </c>
      <c r="F18" s="681">
        <f>ROUND(E18*0.25,0)</f>
        <v>5374</v>
      </c>
      <c r="G18" s="681">
        <f>ROUND(F18*H3/10000,2)</f>
        <v>22094.13</v>
      </c>
      <c r="H18" s="527">
        <f>[9]结果表!$D$21</f>
        <v>13678</v>
      </c>
      <c r="I18" s="724">
        <f>ROUND(H19*D19+H18*D18,0)</f>
        <v>11116</v>
      </c>
      <c r="J18" s="7">
        <f t="shared" si="1"/>
        <v>6613</v>
      </c>
    </row>
    <row r="19" spans="1:17" ht="26.25" customHeight="1">
      <c r="A19" s="721"/>
      <c r="B19" s="489" t="s">
        <v>583</v>
      </c>
      <c r="C19" s="490">
        <f>[9]结果表!$C$20</f>
        <v>14066</v>
      </c>
      <c r="D19" s="491">
        <f t="shared" si="2"/>
        <v>0.4</v>
      </c>
      <c r="E19" s="723"/>
      <c r="F19" s="682"/>
      <c r="G19" s="682"/>
      <c r="H19" s="527">
        <f>[9]结果表!$C$21</f>
        <v>7274</v>
      </c>
      <c r="I19" s="724"/>
      <c r="J19" s="7">
        <f t="shared" si="1"/>
        <v>3517</v>
      </c>
    </row>
    <row r="20" spans="1:17" ht="29.25" customHeight="1">
      <c r="A20" s="545" t="s">
        <v>589</v>
      </c>
      <c r="B20" s="480" t="s">
        <v>582</v>
      </c>
      <c r="C20" s="487">
        <f>ROUND([8]结果表!$D$20*0.7*N34,0)</f>
        <v>16572</v>
      </c>
      <c r="D20" s="488">
        <f t="shared" si="2"/>
        <v>0.6</v>
      </c>
      <c r="E20" s="689">
        <f t="shared" si="3"/>
        <v>13388</v>
      </c>
      <c r="F20" s="671">
        <f>ROUND(E20*0.25,0)</f>
        <v>3347</v>
      </c>
      <c r="G20" s="671">
        <f>ROUND(F20*H8/10000,2)</f>
        <v>770.81</v>
      </c>
      <c r="H20" s="724"/>
      <c r="I20" s="724"/>
      <c r="J20" s="14">
        <f t="shared" si="1"/>
        <v>4143</v>
      </c>
    </row>
    <row r="21" spans="1:17" ht="29.25" customHeight="1">
      <c r="A21" s="545"/>
      <c r="B21" s="480" t="s">
        <v>583</v>
      </c>
      <c r="C21" s="492">
        <f>J35</f>
        <v>8612</v>
      </c>
      <c r="D21" s="488">
        <f t="shared" si="2"/>
        <v>0.4</v>
      </c>
      <c r="E21" s="690"/>
      <c r="F21" s="672"/>
      <c r="G21" s="672"/>
      <c r="H21" s="724"/>
      <c r="I21" s="724"/>
      <c r="J21" s="14">
        <f t="shared" si="1"/>
        <v>2153</v>
      </c>
    </row>
    <row r="22" spans="1:17" ht="22.5" customHeight="1">
      <c r="A22" s="534" t="s">
        <v>590</v>
      </c>
      <c r="B22" s="479" t="s">
        <v>582</v>
      </c>
      <c r="C22" s="493">
        <f>ROUND([9]结果表!$D$20*0.2*N38,0)</f>
        <v>4945</v>
      </c>
      <c r="D22" s="494">
        <f t="shared" si="2"/>
        <v>0.6</v>
      </c>
      <c r="E22" s="687">
        <f t="shared" si="3"/>
        <v>3998</v>
      </c>
      <c r="F22" s="683">
        <f>ROUND(E22*0.25,0)</f>
        <v>1000</v>
      </c>
      <c r="G22" s="683">
        <f>ROUND(F22*H9/10000,2)</f>
        <v>239.1</v>
      </c>
      <c r="H22" s="724"/>
      <c r="I22" s="724">
        <f t="shared" ref="I22" si="4">ROUND(H22*C7/10000,2)</f>
        <v>0</v>
      </c>
      <c r="J22" s="6">
        <f t="shared" si="1"/>
        <v>1236</v>
      </c>
    </row>
    <row r="23" spans="1:17" ht="26.25" customHeight="1">
      <c r="A23" s="534"/>
      <c r="B23" s="479" t="s">
        <v>583</v>
      </c>
      <c r="C23" s="493">
        <f>J38</f>
        <v>2578</v>
      </c>
      <c r="D23" s="494">
        <f t="shared" si="2"/>
        <v>0.4</v>
      </c>
      <c r="E23" s="688"/>
      <c r="F23" s="684"/>
      <c r="G23" s="684"/>
      <c r="H23" s="724"/>
      <c r="I23" s="724"/>
      <c r="J23" s="6">
        <f t="shared" si="1"/>
        <v>645</v>
      </c>
    </row>
    <row r="24" spans="1:17" ht="37.5" hidden="1" customHeight="1">
      <c r="A24" s="715" t="s">
        <v>584</v>
      </c>
      <c r="B24" s="440" t="s">
        <v>582</v>
      </c>
      <c r="C24" s="441">
        <f>ROUND(C18*'[3]基准地价-地下办公36.64'!B38,0)</f>
        <v>0</v>
      </c>
      <c r="D24" s="442">
        <v>0.6</v>
      </c>
      <c r="E24" s="535">
        <f>ROUND(C24*D24+C25*D25,0)</f>
        <v>0</v>
      </c>
      <c r="K24" s="673" t="s">
        <v>569</v>
      </c>
      <c r="L24" s="674"/>
      <c r="M24" s="675"/>
      <c r="N24" s="458">
        <v>57882</v>
      </c>
      <c r="O24" s="459" t="s">
        <v>292</v>
      </c>
      <c r="P24" s="460" t="s">
        <v>615</v>
      </c>
      <c r="Q24" s="465" t="s">
        <v>292</v>
      </c>
    </row>
    <row r="25" spans="1:17" hidden="1">
      <c r="A25" s="715"/>
      <c r="B25" s="440" t="s">
        <v>583</v>
      </c>
      <c r="C25" s="441">
        <f>'[3]基准地价-地下办公36.64'!B65</f>
        <v>0</v>
      </c>
      <c r="D25" s="442">
        <f>1-D24</f>
        <v>0.4</v>
      </c>
      <c r="E25" s="536"/>
    </row>
    <row r="26" spans="1:17" hidden="1">
      <c r="A26" s="716" t="s">
        <v>585</v>
      </c>
      <c r="B26" s="440" t="s">
        <v>582</v>
      </c>
      <c r="C26" s="441">
        <f>ROUND(C22*'[3]基准地价-地下商业26.64'!B38,0)</f>
        <v>0</v>
      </c>
      <c r="D26" s="442">
        <v>0.6</v>
      </c>
      <c r="E26" s="535">
        <f t="shared" ref="E26" si="5">ROUND(C26*D26+C27*D27,0)</f>
        <v>0</v>
      </c>
    </row>
    <row r="27" spans="1:17" hidden="1">
      <c r="A27" s="716"/>
      <c r="B27" s="440" t="s">
        <v>583</v>
      </c>
      <c r="C27" s="441">
        <f>'[3]基准地价-地下商业26.64'!B65</f>
        <v>0</v>
      </c>
      <c r="D27" s="442">
        <f t="shared" ref="D27:D29" si="6">1-D26</f>
        <v>0.4</v>
      </c>
      <c r="E27" s="536"/>
    </row>
    <row r="28" spans="1:17" hidden="1">
      <c r="A28" s="697" t="s">
        <v>586</v>
      </c>
      <c r="B28" s="440" t="s">
        <v>582</v>
      </c>
      <c r="C28" s="441">
        <f>'[3]剩余法-地下仓储'!C44</f>
        <v>0</v>
      </c>
      <c r="D28" s="442">
        <v>0.6</v>
      </c>
      <c r="E28" s="698">
        <f t="shared" ref="E28" si="7">ROUND(C28*D28+C29*D29,0)</f>
        <v>0</v>
      </c>
    </row>
    <row r="29" spans="1:17" hidden="1">
      <c r="A29" s="697"/>
      <c r="B29" s="440" t="s">
        <v>583</v>
      </c>
      <c r="C29" s="441">
        <f>'[3]基准地价-地下仓储'!B65</f>
        <v>0</v>
      </c>
      <c r="D29" s="442">
        <f t="shared" si="6"/>
        <v>0.4</v>
      </c>
      <c r="E29" s="699"/>
    </row>
    <row r="32" spans="1:17" ht="14.25" thickBot="1">
      <c r="A32" t="s">
        <v>622</v>
      </c>
      <c r="H32">
        <f>E16*0.7</f>
        <v>15145.199999999999</v>
      </c>
      <c r="N32" t="s">
        <v>649</v>
      </c>
    </row>
    <row r="33" spans="1:16" ht="57" customHeight="1">
      <c r="A33" s="691" t="s">
        <v>550</v>
      </c>
      <c r="B33" s="691" t="s">
        <v>551</v>
      </c>
      <c r="C33" s="466" t="s">
        <v>616</v>
      </c>
      <c r="D33" s="466" t="s">
        <v>618</v>
      </c>
      <c r="E33" s="466" t="s">
        <v>558</v>
      </c>
      <c r="F33" s="466" t="s">
        <v>555</v>
      </c>
      <c r="G33" s="469"/>
      <c r="H33" s="2"/>
      <c r="I33" s="504" t="s">
        <v>646</v>
      </c>
      <c r="J33" s="439" t="s">
        <v>623</v>
      </c>
      <c r="K33" s="439" t="s">
        <v>624</v>
      </c>
      <c r="L33" s="439" t="s">
        <v>676</v>
      </c>
      <c r="M33" s="2"/>
    </row>
    <row r="34" spans="1:16" ht="17.25">
      <c r="A34" s="692"/>
      <c r="B34" s="692"/>
      <c r="C34" s="467" t="s">
        <v>562</v>
      </c>
      <c r="D34" s="467" t="s">
        <v>619</v>
      </c>
      <c r="E34" s="467" t="s">
        <v>559</v>
      </c>
      <c r="F34" s="467" t="s">
        <v>620</v>
      </c>
      <c r="G34" s="469"/>
      <c r="H34" s="717" t="s">
        <v>646</v>
      </c>
      <c r="I34" s="14" t="s">
        <v>647</v>
      </c>
      <c r="J34" s="14">
        <f>ROUND(C16*N34*0.7,0)</f>
        <v>16572</v>
      </c>
      <c r="K34" s="671">
        <f>ROUND(J34*D20+J35*D21,0)</f>
        <v>13388</v>
      </c>
      <c r="L34" s="671">
        <f>ROUND(K34*H8/10000,2)</f>
        <v>3083.26</v>
      </c>
      <c r="M34" s="14"/>
      <c r="N34">
        <f>[6]基准地价!$C$20</f>
        <v>0.88939999999999997</v>
      </c>
    </row>
    <row r="35" spans="1:16" ht="32.25" thickBot="1">
      <c r="A35" s="693"/>
      <c r="B35" s="693"/>
      <c r="C35" s="461" t="s">
        <v>617</v>
      </c>
      <c r="D35" s="461" t="s">
        <v>620</v>
      </c>
      <c r="E35" s="462"/>
      <c r="F35" s="435"/>
      <c r="G35" s="470"/>
      <c r="H35" s="717"/>
      <c r="I35" s="14" t="s">
        <v>645</v>
      </c>
      <c r="J35" s="14">
        <f>M44</f>
        <v>8612</v>
      </c>
      <c r="K35" s="672"/>
      <c r="L35" s="672"/>
      <c r="M35" s="14"/>
    </row>
    <row r="36" spans="1:16" ht="29.25" thickBot="1">
      <c r="A36" s="694" t="s">
        <v>560</v>
      </c>
      <c r="B36" s="468" t="s">
        <v>609</v>
      </c>
      <c r="C36" s="477" t="s">
        <v>630</v>
      </c>
      <c r="D36" s="464">
        <f>E16</f>
        <v>21636</v>
      </c>
      <c r="E36" s="464" t="s">
        <v>292</v>
      </c>
      <c r="F36" s="464" t="s">
        <v>292</v>
      </c>
      <c r="G36" s="471"/>
      <c r="H36" s="2"/>
      <c r="I36" s="504" t="s">
        <v>648</v>
      </c>
      <c r="J36" s="439" t="s">
        <v>623</v>
      </c>
      <c r="K36" s="439" t="s">
        <v>624</v>
      </c>
      <c r="L36" s="2"/>
      <c r="M36" s="2"/>
    </row>
    <row r="37" spans="1:16" ht="15.75" thickBot="1">
      <c r="A37" s="695"/>
      <c r="B37" s="468" t="s">
        <v>613</v>
      </c>
      <c r="C37" s="477" t="s">
        <v>631</v>
      </c>
      <c r="D37" s="464">
        <f>E18</f>
        <v>21497</v>
      </c>
      <c r="E37" s="464" t="s">
        <v>292</v>
      </c>
      <c r="F37" s="464" t="s">
        <v>292</v>
      </c>
      <c r="G37" s="471"/>
      <c r="H37" s="718" t="s">
        <v>648</v>
      </c>
      <c r="I37" s="501" t="s">
        <v>647</v>
      </c>
      <c r="J37" s="6">
        <f>ROUND(C18*N38*0.2,0)</f>
        <v>4945</v>
      </c>
      <c r="K37" s="683">
        <f>ROUND(J37*D22+J38*D23,0)</f>
        <v>3998</v>
      </c>
      <c r="L37" s="729">
        <f>ROUND(K37*H9/10000,2)</f>
        <v>955.92</v>
      </c>
      <c r="M37" s="11"/>
    </row>
    <row r="38" spans="1:16" ht="43.5" thickBot="1">
      <c r="A38" s="696"/>
      <c r="B38" s="468" t="s">
        <v>621</v>
      </c>
      <c r="C38" s="464">
        <v>41113</v>
      </c>
      <c r="D38" s="464">
        <f>D37-D36</f>
        <v>-139</v>
      </c>
      <c r="E38" s="464">
        <f>ROUND(D38*C38/10000,2)</f>
        <v>-571.47</v>
      </c>
      <c r="F38" s="476">
        <f>I18-I16</f>
        <v>-72</v>
      </c>
      <c r="G38" s="471"/>
      <c r="H38" s="718"/>
      <c r="I38" s="501" t="s">
        <v>645</v>
      </c>
      <c r="J38" s="6">
        <f>M41</f>
        <v>2578</v>
      </c>
      <c r="K38" s="684"/>
      <c r="L38" s="730"/>
      <c r="M38" s="11"/>
      <c r="N38">
        <f>[7]基准地价!$C$20</f>
        <v>0.93479999999999996</v>
      </c>
    </row>
    <row r="39" spans="1:16" ht="15.75" thickBot="1">
      <c r="A39" s="694" t="s">
        <v>567</v>
      </c>
      <c r="B39" s="468" t="s">
        <v>572</v>
      </c>
      <c r="C39" s="464">
        <v>2303</v>
      </c>
      <c r="D39" s="464">
        <f>E20</f>
        <v>13388</v>
      </c>
      <c r="E39" s="464">
        <f>ROUND(D39*C39/10000,2)</f>
        <v>3083.26</v>
      </c>
      <c r="F39" s="464" t="s">
        <v>292</v>
      </c>
      <c r="G39" s="471"/>
    </row>
    <row r="40" spans="1:16" ht="15.75" thickBot="1">
      <c r="A40" s="696"/>
      <c r="B40" s="468" t="s">
        <v>568</v>
      </c>
      <c r="C40" s="477">
        <v>2391</v>
      </c>
      <c r="D40" s="464">
        <f>E22</f>
        <v>3998</v>
      </c>
      <c r="E40" s="464">
        <f>ROUND(D40*C40/10000,2)</f>
        <v>955.92</v>
      </c>
      <c r="F40" s="464" t="s">
        <v>292</v>
      </c>
      <c r="G40" s="471"/>
      <c r="I40" s="500" t="s">
        <v>650</v>
      </c>
    </row>
    <row r="41" spans="1:16" ht="15.75" thickBot="1">
      <c r="A41" s="685" t="s">
        <v>569</v>
      </c>
      <c r="B41" s="686"/>
      <c r="C41" s="477">
        <f>C39+C40</f>
        <v>4694</v>
      </c>
      <c r="D41" s="464" t="s">
        <v>292</v>
      </c>
      <c r="E41" s="464">
        <f>E38+E39+E40</f>
        <v>3467.71</v>
      </c>
      <c r="F41" s="464" t="s">
        <v>292</v>
      </c>
      <c r="G41" s="471"/>
      <c r="J41">
        <f>ROUND(M41,0)</f>
        <v>2578</v>
      </c>
      <c r="M41">
        <f>ROUND([10]基准地价!$C$5*[10]基准地价!$C$19*[10]基准地价!$C$20*[10]基准地价!$C$24*[10]基准地价!$F$39,0)</f>
        <v>2578</v>
      </c>
    </row>
    <row r="43" spans="1:16" ht="15.75" thickBot="1">
      <c r="A43" s="473" t="s">
        <v>625</v>
      </c>
      <c r="I43" s="500" t="s">
        <v>651</v>
      </c>
    </row>
    <row r="44" spans="1:16" ht="29.25" thickBot="1">
      <c r="A44" s="708" t="s">
        <v>550</v>
      </c>
      <c r="B44" s="711" t="s">
        <v>551</v>
      </c>
      <c r="C44" s="712"/>
      <c r="D44" s="452" t="s">
        <v>552</v>
      </c>
      <c r="E44" s="453" t="s">
        <v>553</v>
      </c>
      <c r="F44" s="496" t="s">
        <v>678</v>
      </c>
      <c r="G44" s="453" t="s">
        <v>555</v>
      </c>
      <c r="J44">
        <f>ROUND(M44,0)</f>
        <v>8612</v>
      </c>
      <c r="M44">
        <f>ROUND([11]基准地价!$C$5*[11]基准地价!$C$19*[11]基准地价!$C$20*[11]基准地价!$C$24*[11]基准地价!$F$33,0)</f>
        <v>8612</v>
      </c>
    </row>
    <row r="45" spans="1:16" ht="14.25">
      <c r="A45" s="709"/>
      <c r="B45" s="713"/>
      <c r="C45" s="714"/>
      <c r="D45" s="700" t="s">
        <v>610</v>
      </c>
      <c r="E45" s="700" t="s">
        <v>611</v>
      </c>
      <c r="F45" s="454" t="s">
        <v>558</v>
      </c>
      <c r="G45" s="700" t="s">
        <v>611</v>
      </c>
      <c r="K45">
        <v>9740</v>
      </c>
      <c r="L45">
        <v>1.3230999999999999</v>
      </c>
      <c r="M45">
        <v>0.88939999999999997</v>
      </c>
      <c r="N45">
        <v>1.0528</v>
      </c>
      <c r="O45">
        <v>0.7</v>
      </c>
      <c r="P45">
        <f>K45*L45*M45*N45*O45</f>
        <v>8446.808877974654</v>
      </c>
    </row>
    <row r="46" spans="1:16" ht="15" thickBot="1">
      <c r="A46" s="710"/>
      <c r="B46" s="673"/>
      <c r="C46" s="675"/>
      <c r="D46" s="701"/>
      <c r="E46" s="701"/>
      <c r="F46" s="455" t="s">
        <v>559</v>
      </c>
      <c r="G46" s="701"/>
    </row>
    <row r="47" spans="1:16" ht="19.5" thickBot="1">
      <c r="A47" s="694" t="s">
        <v>560</v>
      </c>
      <c r="B47" s="456" t="s">
        <v>612</v>
      </c>
      <c r="C47" s="702" t="s">
        <v>613</v>
      </c>
      <c r="D47" s="704">
        <v>41113</v>
      </c>
      <c r="E47" s="704">
        <f>D38</f>
        <v>-139</v>
      </c>
      <c r="F47" s="704">
        <f>E38</f>
        <v>-571.47</v>
      </c>
      <c r="G47" s="706">
        <f>I18-I16</f>
        <v>-72</v>
      </c>
      <c r="I47" s="512" t="s">
        <v>677</v>
      </c>
    </row>
    <row r="48" spans="1:16" ht="43.5" thickBot="1">
      <c r="A48" s="696"/>
      <c r="B48" s="457" t="s">
        <v>551</v>
      </c>
      <c r="C48" s="703"/>
      <c r="D48" s="705"/>
      <c r="E48" s="705"/>
      <c r="F48" s="705"/>
      <c r="G48" s="707"/>
      <c r="I48" s="514" t="s">
        <v>550</v>
      </c>
      <c r="J48" s="514" t="s">
        <v>551</v>
      </c>
      <c r="K48" s="466" t="s">
        <v>552</v>
      </c>
      <c r="L48" s="521" t="s">
        <v>658</v>
      </c>
      <c r="M48" s="700" t="s">
        <v>566</v>
      </c>
    </row>
    <row r="49" spans="1:13" ht="18" thickBot="1">
      <c r="A49" s="676" t="s">
        <v>563</v>
      </c>
      <c r="B49" s="677"/>
      <c r="C49" s="678"/>
      <c r="D49" s="458">
        <v>41113</v>
      </c>
      <c r="E49" s="464" t="s">
        <v>292</v>
      </c>
      <c r="F49" s="474">
        <f>F47</f>
        <v>-571.47</v>
      </c>
      <c r="G49" s="464" t="s">
        <v>292</v>
      </c>
      <c r="H49" t="s">
        <v>628</v>
      </c>
      <c r="I49" s="515"/>
      <c r="J49" s="515"/>
      <c r="K49" s="522" t="s">
        <v>610</v>
      </c>
      <c r="L49" s="522" t="s">
        <v>611</v>
      </c>
      <c r="M49" s="701"/>
    </row>
    <row r="50" spans="1:13" ht="29.25" thickBot="1">
      <c r="A50" s="708" t="s">
        <v>550</v>
      </c>
      <c r="B50" s="711" t="s">
        <v>551</v>
      </c>
      <c r="C50" s="712"/>
      <c r="D50" s="461" t="s">
        <v>552</v>
      </c>
      <c r="E50" s="455" t="s">
        <v>564</v>
      </c>
      <c r="F50" s="455" t="s">
        <v>554</v>
      </c>
      <c r="G50" s="455" t="s">
        <v>565</v>
      </c>
      <c r="I50" s="516" t="s">
        <v>560</v>
      </c>
      <c r="J50" s="516" t="s">
        <v>609</v>
      </c>
      <c r="K50" s="508">
        <v>41113</v>
      </c>
      <c r="L50" s="519">
        <f>F16</f>
        <v>5409</v>
      </c>
      <c r="M50" s="725">
        <f>G16</f>
        <v>22238.02</v>
      </c>
    </row>
    <row r="51" spans="1:13" ht="43.5" thickBot="1">
      <c r="A51" s="710"/>
      <c r="B51" s="673"/>
      <c r="C51" s="675"/>
      <c r="D51" s="455" t="s">
        <v>610</v>
      </c>
      <c r="E51" s="455" t="s">
        <v>611</v>
      </c>
      <c r="F51" s="455" t="s">
        <v>566</v>
      </c>
      <c r="G51" s="455" t="s">
        <v>611</v>
      </c>
      <c r="I51" s="517"/>
      <c r="J51" s="518"/>
      <c r="K51" s="468" t="s">
        <v>657</v>
      </c>
      <c r="L51" s="520"/>
      <c r="M51" s="726"/>
    </row>
    <row r="52" spans="1:13" ht="15.75" thickBot="1">
      <c r="A52" s="694" t="s">
        <v>567</v>
      </c>
      <c r="B52" s="456" t="s">
        <v>561</v>
      </c>
      <c r="C52" s="463" t="s">
        <v>572</v>
      </c>
      <c r="D52" s="464">
        <v>2303</v>
      </c>
      <c r="E52" s="464">
        <f>F20</f>
        <v>3347</v>
      </c>
      <c r="F52" s="464">
        <f>ROUND(E52*D52/10000,2)</f>
        <v>770.81</v>
      </c>
      <c r="G52" s="465" t="s">
        <v>292</v>
      </c>
      <c r="H52" t="s">
        <v>626</v>
      </c>
      <c r="I52" s="517"/>
      <c r="J52" s="516" t="s">
        <v>613</v>
      </c>
      <c r="K52" s="508">
        <v>41113</v>
      </c>
      <c r="L52" s="519">
        <f>F18</f>
        <v>5374</v>
      </c>
      <c r="M52" s="725">
        <f>G18</f>
        <v>22094.13</v>
      </c>
    </row>
    <row r="53" spans="1:13" ht="18" thickBot="1">
      <c r="A53" s="696"/>
      <c r="B53" s="457" t="s">
        <v>551</v>
      </c>
      <c r="C53" s="463" t="s">
        <v>568</v>
      </c>
      <c r="D53" s="464">
        <v>2391</v>
      </c>
      <c r="E53" s="464">
        <f>F22</f>
        <v>1000</v>
      </c>
      <c r="F53" s="474">
        <f>ROUND(E53*D53/10000,2)</f>
        <v>239.1</v>
      </c>
      <c r="G53" s="465"/>
      <c r="I53" s="517"/>
      <c r="J53" s="518"/>
      <c r="K53" s="468" t="s">
        <v>614</v>
      </c>
      <c r="L53" s="520"/>
      <c r="M53" s="726"/>
    </row>
    <row r="54" spans="1:13" ht="43.5" thickBot="1">
      <c r="A54" s="676" t="s">
        <v>563</v>
      </c>
      <c r="B54" s="677"/>
      <c r="C54" s="678"/>
      <c r="D54" s="478">
        <f>D52+D53</f>
        <v>4694</v>
      </c>
      <c r="E54" s="458" t="s">
        <v>292</v>
      </c>
      <c r="F54" s="458">
        <f>F52+F53</f>
        <v>1009.91</v>
      </c>
      <c r="G54" s="465" t="s">
        <v>292</v>
      </c>
      <c r="H54" s="475" t="s">
        <v>627</v>
      </c>
      <c r="I54" s="518"/>
      <c r="J54" s="468" t="s">
        <v>621</v>
      </c>
      <c r="K54" s="464">
        <v>0</v>
      </c>
      <c r="L54" s="468">
        <f>L52-L50</f>
        <v>-35</v>
      </c>
      <c r="M54" s="468">
        <f>M52-M50</f>
        <v>-143.88999999999942</v>
      </c>
    </row>
    <row r="55" spans="1:13" ht="16.5" thickBot="1">
      <c r="A55" s="676" t="s">
        <v>569</v>
      </c>
      <c r="B55" s="677"/>
      <c r="C55" s="678"/>
      <c r="D55" s="478">
        <f>D49+D54</f>
        <v>45807</v>
      </c>
      <c r="E55" s="459" t="s">
        <v>292</v>
      </c>
      <c r="F55" s="460">
        <f>F49+F54</f>
        <v>438.43999999999994</v>
      </c>
      <c r="G55" s="465" t="s">
        <v>292</v>
      </c>
      <c r="H55" t="s">
        <v>614</v>
      </c>
      <c r="I55" s="516" t="s">
        <v>567</v>
      </c>
      <c r="J55" s="516" t="s">
        <v>572</v>
      </c>
      <c r="K55" s="508">
        <v>2303</v>
      </c>
      <c r="L55" s="519">
        <f>F20</f>
        <v>3347</v>
      </c>
      <c r="M55" s="725">
        <f>G20</f>
        <v>770.81</v>
      </c>
    </row>
    <row r="56" spans="1:13" ht="15.75" thickBot="1">
      <c r="I56" s="517"/>
      <c r="J56" s="518"/>
      <c r="K56" s="468" t="s">
        <v>614</v>
      </c>
      <c r="L56" s="520"/>
      <c r="M56" s="726"/>
    </row>
    <row r="57" spans="1:13" ht="15" customHeight="1">
      <c r="I57" s="517"/>
      <c r="J57" s="516" t="s">
        <v>568</v>
      </c>
      <c r="K57" s="508">
        <v>2391</v>
      </c>
      <c r="L57" s="519">
        <f>F22</f>
        <v>1000</v>
      </c>
      <c r="M57" s="725">
        <f>G22</f>
        <v>239.1</v>
      </c>
    </row>
    <row r="58" spans="1:13" ht="15.75" thickBot="1">
      <c r="I58" s="518"/>
      <c r="J58" s="518"/>
      <c r="K58" s="468" t="s">
        <v>614</v>
      </c>
      <c r="L58" s="520"/>
      <c r="M58" s="726"/>
    </row>
    <row r="59" spans="1:13" ht="15" customHeight="1" thickBot="1">
      <c r="I59" s="685" t="s">
        <v>569</v>
      </c>
      <c r="J59" s="686"/>
      <c r="K59" s="464">
        <v>4694</v>
      </c>
      <c r="L59" s="464">
        <f>L57+L55+L54</f>
        <v>4312</v>
      </c>
      <c r="M59" s="460">
        <f>M54+M55+M57</f>
        <v>866.02000000000055</v>
      </c>
    </row>
    <row r="60" spans="1:13">
      <c r="H60" s="511"/>
    </row>
    <row r="61" spans="1:13" ht="18.75" hidden="1">
      <c r="H61" s="512" t="s">
        <v>677</v>
      </c>
    </row>
    <row r="62" spans="1:13" ht="42.75" hidden="1">
      <c r="A62" s="691" t="s">
        <v>550</v>
      </c>
      <c r="B62" s="691" t="s">
        <v>551</v>
      </c>
      <c r="C62" s="466" t="s">
        <v>616</v>
      </c>
      <c r="D62" s="466" t="s">
        <v>618</v>
      </c>
      <c r="E62" s="466" t="s">
        <v>558</v>
      </c>
      <c r="F62" s="466" t="s">
        <v>555</v>
      </c>
      <c r="H62" s="691" t="s">
        <v>550</v>
      </c>
      <c r="I62" s="691" t="s">
        <v>551</v>
      </c>
      <c r="J62" s="466" t="s">
        <v>552</v>
      </c>
      <c r="K62" s="497" t="s">
        <v>658</v>
      </c>
      <c r="L62" s="700" t="s">
        <v>566</v>
      </c>
    </row>
    <row r="63" spans="1:13" ht="18" hidden="1" thickBot="1">
      <c r="A63" s="692"/>
      <c r="B63" s="692"/>
      <c r="C63" s="467" t="s">
        <v>562</v>
      </c>
      <c r="D63" s="467" t="s">
        <v>619</v>
      </c>
      <c r="E63" s="467" t="s">
        <v>559</v>
      </c>
      <c r="F63" s="467" t="s">
        <v>620</v>
      </c>
      <c r="H63" s="693"/>
      <c r="I63" s="693"/>
      <c r="J63" s="499" t="s">
        <v>610</v>
      </c>
      <c r="K63" s="499" t="s">
        <v>611</v>
      </c>
      <c r="L63" s="701"/>
    </row>
    <row r="64" spans="1:13" ht="32.25" hidden="1" thickBot="1">
      <c r="A64" s="693"/>
      <c r="B64" s="693"/>
      <c r="C64" s="461" t="s">
        <v>617</v>
      </c>
      <c r="D64" s="461" t="s">
        <v>620</v>
      </c>
      <c r="E64" s="462"/>
      <c r="F64" s="462"/>
      <c r="H64" s="694" t="s">
        <v>560</v>
      </c>
      <c r="I64" s="694" t="s">
        <v>609</v>
      </c>
      <c r="J64" s="508">
        <v>41113</v>
      </c>
      <c r="K64" s="725">
        <v>3240</v>
      </c>
      <c r="L64" s="725">
        <v>3184.23</v>
      </c>
    </row>
    <row r="65" spans="1:12" ht="15.75" hidden="1" thickBot="1">
      <c r="A65" s="694" t="s">
        <v>560</v>
      </c>
      <c r="B65" s="694" t="s">
        <v>609</v>
      </c>
      <c r="C65" s="508">
        <v>41113</v>
      </c>
      <c r="D65" s="704">
        <f>D36</f>
        <v>21636</v>
      </c>
      <c r="E65" s="704" t="s">
        <v>292</v>
      </c>
      <c r="F65" s="704" t="s">
        <v>292</v>
      </c>
      <c r="H65" s="695"/>
      <c r="I65" s="696"/>
      <c r="J65" s="468" t="s">
        <v>657</v>
      </c>
      <c r="K65" s="726"/>
      <c r="L65" s="726"/>
    </row>
    <row r="66" spans="1:12" ht="15.75" hidden="1" thickBot="1">
      <c r="A66" s="695"/>
      <c r="B66" s="696"/>
      <c r="C66" s="468" t="s">
        <v>657</v>
      </c>
      <c r="D66" s="705"/>
      <c r="E66" s="705"/>
      <c r="F66" s="705"/>
      <c r="H66" s="695"/>
      <c r="I66" s="694" t="s">
        <v>613</v>
      </c>
      <c r="J66" s="508">
        <v>41113</v>
      </c>
      <c r="K66" s="725"/>
      <c r="L66" s="725"/>
    </row>
    <row r="67" spans="1:12" ht="15.75" hidden="1" thickBot="1">
      <c r="A67" s="695"/>
      <c r="B67" s="694" t="s">
        <v>613</v>
      </c>
      <c r="C67" s="508">
        <v>41113</v>
      </c>
      <c r="D67" s="704">
        <f>D37</f>
        <v>21497</v>
      </c>
      <c r="E67" s="704" t="s">
        <v>292</v>
      </c>
      <c r="F67" s="704" t="s">
        <v>292</v>
      </c>
      <c r="H67" s="695"/>
      <c r="I67" s="696"/>
      <c r="J67" s="468" t="s">
        <v>614</v>
      </c>
      <c r="K67" s="726"/>
      <c r="L67" s="726"/>
    </row>
    <row r="68" spans="1:12" ht="29.25" hidden="1" thickBot="1">
      <c r="A68" s="695"/>
      <c r="B68" s="696"/>
      <c r="C68" s="468" t="s">
        <v>614</v>
      </c>
      <c r="D68" s="705"/>
      <c r="E68" s="705"/>
      <c r="F68" s="705"/>
      <c r="H68" s="696"/>
      <c r="I68" s="468" t="s">
        <v>621</v>
      </c>
      <c r="J68" s="464">
        <v>0</v>
      </c>
      <c r="K68" s="468" t="s">
        <v>657</v>
      </c>
      <c r="L68" s="468" t="s">
        <v>657</v>
      </c>
    </row>
    <row r="69" spans="1:12" ht="43.5" hidden="1" thickBot="1">
      <c r="A69" s="696"/>
      <c r="B69" s="468" t="s">
        <v>621</v>
      </c>
      <c r="C69" s="464">
        <v>0</v>
      </c>
      <c r="D69" s="464">
        <f>E47</f>
        <v>-139</v>
      </c>
      <c r="E69" s="464">
        <f>E38</f>
        <v>-571.47</v>
      </c>
      <c r="F69" s="464"/>
      <c r="H69" s="694" t="s">
        <v>567</v>
      </c>
      <c r="I69" s="694" t="s">
        <v>572</v>
      </c>
      <c r="J69" s="508">
        <v>2303</v>
      </c>
      <c r="K69" s="725" t="s">
        <v>659</v>
      </c>
      <c r="L69" s="725" t="s">
        <v>660</v>
      </c>
    </row>
    <row r="70" spans="1:12" ht="15.75" hidden="1" thickBot="1">
      <c r="A70" s="694" t="s">
        <v>567</v>
      </c>
      <c r="B70" s="694" t="s">
        <v>572</v>
      </c>
      <c r="C70" s="508">
        <v>2303</v>
      </c>
      <c r="D70" s="704">
        <f>D39</f>
        <v>13388</v>
      </c>
      <c r="E70" s="704">
        <f>E39</f>
        <v>3083.26</v>
      </c>
      <c r="F70" s="704" t="s">
        <v>292</v>
      </c>
      <c r="H70" s="695"/>
      <c r="I70" s="696"/>
      <c r="J70" s="468" t="s">
        <v>614</v>
      </c>
      <c r="K70" s="726"/>
      <c r="L70" s="726"/>
    </row>
    <row r="71" spans="1:12" ht="15.75" hidden="1" customHeight="1" thickBot="1">
      <c r="A71" s="695"/>
      <c r="B71" s="696"/>
      <c r="C71" s="468" t="s">
        <v>614</v>
      </c>
      <c r="D71" s="705"/>
      <c r="E71" s="705"/>
      <c r="F71" s="705"/>
      <c r="H71" s="695"/>
      <c r="I71" s="694" t="s">
        <v>568</v>
      </c>
      <c r="J71" s="508">
        <v>2391</v>
      </c>
      <c r="K71" s="725" t="s">
        <v>659</v>
      </c>
      <c r="L71" s="725" t="s">
        <v>661</v>
      </c>
    </row>
    <row r="72" spans="1:12" ht="15.75" hidden="1" thickBot="1">
      <c r="A72" s="695"/>
      <c r="B72" s="694" t="s">
        <v>568</v>
      </c>
      <c r="C72" s="508">
        <v>2391</v>
      </c>
      <c r="D72" s="704">
        <f>D40</f>
        <v>3998</v>
      </c>
      <c r="E72" s="704">
        <f>F53</f>
        <v>239.1</v>
      </c>
      <c r="F72" s="704" t="s">
        <v>292</v>
      </c>
      <c r="H72" s="696"/>
      <c r="I72" s="696"/>
      <c r="J72" s="468" t="s">
        <v>614</v>
      </c>
      <c r="K72" s="726"/>
      <c r="L72" s="726"/>
    </row>
    <row r="73" spans="1:12" ht="30.75" hidden="1" thickBot="1">
      <c r="A73" s="696"/>
      <c r="B73" s="696"/>
      <c r="C73" s="468" t="s">
        <v>614</v>
      </c>
      <c r="D73" s="705"/>
      <c r="E73" s="705"/>
      <c r="F73" s="705"/>
      <c r="H73" s="685" t="s">
        <v>569</v>
      </c>
      <c r="I73" s="686"/>
      <c r="J73" s="464">
        <v>4694</v>
      </c>
      <c r="K73" s="464">
        <v>4694</v>
      </c>
      <c r="L73" s="460" t="s">
        <v>662</v>
      </c>
    </row>
    <row r="74" spans="1:12" ht="15.75" hidden="1" thickBot="1">
      <c r="A74" s="685" t="s">
        <v>569</v>
      </c>
      <c r="B74" s="686"/>
      <c r="C74" s="464">
        <v>4694</v>
      </c>
      <c r="D74" s="464" t="s">
        <v>292</v>
      </c>
      <c r="E74" s="464">
        <f>E69+E70+E72</f>
        <v>2750.89</v>
      </c>
      <c r="F74" s="464" t="s">
        <v>292</v>
      </c>
    </row>
    <row r="75" spans="1:12" ht="15" hidden="1">
      <c r="A75" s="510"/>
      <c r="B75" s="510"/>
      <c r="C75" s="471"/>
      <c r="D75" s="471"/>
      <c r="E75" s="471"/>
      <c r="F75" s="471"/>
    </row>
    <row r="76" spans="1:12" ht="15.75" hidden="1" thickBot="1">
      <c r="A76" s="513" t="s">
        <v>554</v>
      </c>
      <c r="B76" s="510"/>
      <c r="C76" s="471"/>
      <c r="D76" s="471"/>
      <c r="E76" s="471"/>
      <c r="F76" s="471"/>
    </row>
    <row r="77" spans="1:12" ht="29.25" hidden="1" thickBot="1">
      <c r="A77" s="708" t="s">
        <v>550</v>
      </c>
      <c r="B77" s="711" t="s">
        <v>551</v>
      </c>
      <c r="C77" s="712"/>
      <c r="D77" s="452" t="s">
        <v>552</v>
      </c>
      <c r="E77" s="496" t="s">
        <v>553</v>
      </c>
      <c r="F77" s="496" t="s">
        <v>554</v>
      </c>
      <c r="G77" s="496" t="s">
        <v>555</v>
      </c>
    </row>
    <row r="78" spans="1:12" ht="14.25" hidden="1">
      <c r="A78" s="709"/>
      <c r="B78" s="713"/>
      <c r="C78" s="714"/>
      <c r="D78" s="700" t="s">
        <v>610</v>
      </c>
      <c r="E78" s="700" t="s">
        <v>611</v>
      </c>
      <c r="F78" s="498" t="s">
        <v>558</v>
      </c>
      <c r="G78" s="700" t="s">
        <v>611</v>
      </c>
    </row>
    <row r="79" spans="1:12" ht="15" hidden="1" thickBot="1">
      <c r="A79" s="710"/>
      <c r="B79" s="673"/>
      <c r="C79" s="675"/>
      <c r="D79" s="701"/>
      <c r="E79" s="701"/>
      <c r="F79" s="499" t="s">
        <v>559</v>
      </c>
      <c r="G79" s="701"/>
    </row>
    <row r="80" spans="1:12" ht="14.25" hidden="1">
      <c r="A80" s="694" t="s">
        <v>560</v>
      </c>
      <c r="B80" s="456" t="s">
        <v>612</v>
      </c>
      <c r="C80" s="702" t="s">
        <v>613</v>
      </c>
      <c r="D80" s="704">
        <v>41113</v>
      </c>
      <c r="E80" s="725">
        <f>E47</f>
        <v>-139</v>
      </c>
      <c r="F80" s="725">
        <f>ROUND(D80*E80/10000,2)</f>
        <v>-571.47</v>
      </c>
      <c r="G80" s="725">
        <v>10820</v>
      </c>
    </row>
    <row r="81" spans="1:7" ht="15" hidden="1" thickBot="1">
      <c r="A81" s="696"/>
      <c r="B81" s="457" t="s">
        <v>551</v>
      </c>
      <c r="C81" s="703"/>
      <c r="D81" s="705"/>
      <c r="E81" s="726"/>
      <c r="F81" s="726"/>
      <c r="G81" s="726"/>
    </row>
    <row r="82" spans="1:7" ht="16.5" hidden="1" thickBot="1">
      <c r="A82" s="676" t="s">
        <v>563</v>
      </c>
      <c r="B82" s="677"/>
      <c r="C82" s="678"/>
      <c r="D82" s="458">
        <v>41113</v>
      </c>
      <c r="E82" s="459" t="s">
        <v>292</v>
      </c>
      <c r="F82" s="460">
        <f>F80</f>
        <v>-571.47</v>
      </c>
      <c r="G82" s="459" t="s">
        <v>292</v>
      </c>
    </row>
    <row r="83" spans="1:7" ht="29.25" hidden="1" thickBot="1">
      <c r="A83" s="708" t="s">
        <v>550</v>
      </c>
      <c r="B83" s="711" t="s">
        <v>551</v>
      </c>
      <c r="C83" s="712"/>
      <c r="D83" s="461" t="s">
        <v>552</v>
      </c>
      <c r="E83" s="499" t="s">
        <v>564</v>
      </c>
      <c r="F83" s="499" t="s">
        <v>554</v>
      </c>
      <c r="G83" s="499" t="s">
        <v>565</v>
      </c>
    </row>
    <row r="84" spans="1:7" ht="43.5" hidden="1" thickBot="1">
      <c r="A84" s="710"/>
      <c r="B84" s="673"/>
      <c r="C84" s="675"/>
      <c r="D84" s="499" t="s">
        <v>610</v>
      </c>
      <c r="E84" s="499" t="s">
        <v>611</v>
      </c>
      <c r="F84" s="499" t="s">
        <v>566</v>
      </c>
      <c r="G84" s="499" t="s">
        <v>611</v>
      </c>
    </row>
    <row r="85" spans="1:7" ht="14.25" hidden="1">
      <c r="A85" s="694" t="s">
        <v>567</v>
      </c>
      <c r="B85" s="456" t="s">
        <v>561</v>
      </c>
      <c r="C85" s="702" t="s">
        <v>572</v>
      </c>
      <c r="D85" s="704">
        <v>2303</v>
      </c>
      <c r="E85" s="725">
        <f>F20</f>
        <v>3347</v>
      </c>
      <c r="F85" s="725" t="s">
        <v>660</v>
      </c>
      <c r="G85" s="727" t="s">
        <v>292</v>
      </c>
    </row>
    <row r="86" spans="1:7" ht="15" hidden="1" thickBot="1">
      <c r="A86" s="695"/>
      <c r="B86" s="457" t="s">
        <v>551</v>
      </c>
      <c r="C86" s="703"/>
      <c r="D86" s="705"/>
      <c r="E86" s="726"/>
      <c r="F86" s="726"/>
      <c r="G86" s="728"/>
    </row>
    <row r="87" spans="1:7" ht="15.75" hidden="1" thickBot="1">
      <c r="A87" s="696"/>
      <c r="B87" s="457" t="s">
        <v>663</v>
      </c>
      <c r="C87" s="463" t="s">
        <v>568</v>
      </c>
      <c r="D87" s="464">
        <v>2391</v>
      </c>
      <c r="E87" s="459"/>
      <c r="F87" s="509" t="s">
        <v>614</v>
      </c>
      <c r="G87" s="465"/>
    </row>
    <row r="88" spans="1:7" ht="30.75" hidden="1" thickBot="1">
      <c r="A88" s="676" t="s">
        <v>563</v>
      </c>
      <c r="B88" s="677"/>
      <c r="C88" s="678"/>
      <c r="D88" s="458">
        <v>16769</v>
      </c>
      <c r="E88" s="460" t="s">
        <v>292</v>
      </c>
      <c r="F88" s="460" t="s">
        <v>664</v>
      </c>
      <c r="G88" s="465" t="s">
        <v>292</v>
      </c>
    </row>
    <row r="89" spans="1:7" ht="30.75" hidden="1" thickBot="1">
      <c r="A89" s="676" t="s">
        <v>569</v>
      </c>
      <c r="B89" s="677"/>
      <c r="C89" s="678"/>
      <c r="D89" s="458">
        <v>57882</v>
      </c>
      <c r="E89" s="459" t="s">
        <v>292</v>
      </c>
      <c r="F89" s="460" t="s">
        <v>615</v>
      </c>
      <c r="G89" s="465" t="s">
        <v>292</v>
      </c>
    </row>
    <row r="90" spans="1:7" hidden="1"/>
    <row r="91" spans="1:7" hidden="1"/>
    <row r="92" spans="1:7" hidden="1"/>
    <row r="93" spans="1:7" hidden="1"/>
    <row r="94" spans="1:7" hidden="1"/>
    <row r="95" spans="1:7" hidden="1"/>
    <row r="96" spans="1:7" hidden="1"/>
    <row r="97" spans="1:7" hidden="1">
      <c r="A97" s="2" t="s">
        <v>675</v>
      </c>
      <c r="B97" s="2" t="s">
        <v>674</v>
      </c>
      <c r="C97" s="2" t="s">
        <v>673</v>
      </c>
      <c r="D97" s="2" t="s">
        <v>669</v>
      </c>
      <c r="E97" s="2" t="s">
        <v>670</v>
      </c>
      <c r="F97" s="495" t="s">
        <v>671</v>
      </c>
      <c r="G97" s="4" t="s">
        <v>672</v>
      </c>
    </row>
    <row r="98" spans="1:7" hidden="1">
      <c r="A98" s="562" t="s">
        <v>665</v>
      </c>
      <c r="B98" s="562" t="s">
        <v>666</v>
      </c>
      <c r="C98" s="2" t="s">
        <v>667</v>
      </c>
      <c r="D98" s="2"/>
      <c r="E98" s="2"/>
      <c r="F98" s="495"/>
      <c r="G98" s="4"/>
    </row>
    <row r="99" spans="1:7" hidden="1">
      <c r="A99" s="564"/>
      <c r="B99" s="564"/>
      <c r="C99" s="2" t="s">
        <v>668</v>
      </c>
      <c r="D99" s="2"/>
      <c r="E99" s="2"/>
      <c r="F99" s="495"/>
      <c r="G99" s="2"/>
    </row>
    <row r="100" spans="1:7" hidden="1">
      <c r="A100" s="2"/>
      <c r="B100" s="2"/>
      <c r="C100" s="2"/>
      <c r="D100" s="2"/>
      <c r="E100" s="2"/>
      <c r="F100" s="495"/>
      <c r="G100" s="2"/>
    </row>
    <row r="101" spans="1:7" hidden="1">
      <c r="A101" s="2"/>
      <c r="B101" s="2"/>
      <c r="C101" s="2"/>
      <c r="D101" s="2"/>
      <c r="E101" s="2"/>
      <c r="F101" s="495"/>
      <c r="G101" s="2"/>
    </row>
    <row r="102" spans="1:7" hidden="1">
      <c r="A102" s="2"/>
      <c r="B102" s="2"/>
      <c r="C102" s="2"/>
      <c r="D102" s="2"/>
      <c r="E102" s="2"/>
      <c r="F102" s="495"/>
      <c r="G102" s="2"/>
    </row>
    <row r="103" spans="1:7" ht="14.25" hidden="1" customHeight="1">
      <c r="A103" s="2"/>
      <c r="B103" s="2"/>
      <c r="C103" s="2"/>
      <c r="D103" s="2"/>
      <c r="E103" s="2"/>
      <c r="F103" s="495"/>
      <c r="G103" s="2"/>
    </row>
    <row r="104" spans="1:7" hidden="1">
      <c r="A104" s="2"/>
      <c r="B104" s="2"/>
      <c r="C104" s="2"/>
      <c r="D104" s="2"/>
      <c r="E104" s="2"/>
      <c r="F104" s="495"/>
      <c r="G104" s="2"/>
    </row>
    <row r="105" spans="1:7" hidden="1">
      <c r="A105" s="2"/>
      <c r="B105" s="2"/>
      <c r="C105" s="2"/>
      <c r="D105" s="2"/>
      <c r="E105" s="2"/>
      <c r="F105" s="495"/>
      <c r="G105" s="2"/>
    </row>
    <row r="106" spans="1:7" hidden="1">
      <c r="A106" s="2"/>
      <c r="B106" s="2"/>
      <c r="C106" s="2"/>
      <c r="D106" s="2"/>
      <c r="E106" s="2"/>
      <c r="F106" s="495"/>
      <c r="G106" s="2"/>
    </row>
    <row r="107" spans="1:7" hidden="1">
      <c r="A107" s="2"/>
      <c r="B107" s="2"/>
      <c r="C107" s="2"/>
      <c r="D107" s="2"/>
      <c r="E107" s="2"/>
      <c r="F107" s="495"/>
      <c r="G107" s="2"/>
    </row>
    <row r="108" spans="1:7" hidden="1">
      <c r="A108" s="2"/>
      <c r="B108" s="2"/>
      <c r="C108" s="2"/>
      <c r="D108" s="2"/>
      <c r="E108" s="2"/>
      <c r="F108" s="495"/>
      <c r="G108" s="2"/>
    </row>
    <row r="109" spans="1:7" hidden="1">
      <c r="A109" s="2"/>
      <c r="B109" s="2"/>
      <c r="C109" s="2"/>
      <c r="D109" s="2"/>
      <c r="E109" s="2"/>
      <c r="F109" s="495"/>
      <c r="G109" s="2"/>
    </row>
    <row r="110" spans="1:7" hidden="1">
      <c r="A110" s="2"/>
      <c r="B110" s="2"/>
      <c r="C110" s="2"/>
      <c r="D110" s="2"/>
      <c r="E110" s="2"/>
      <c r="F110" s="495"/>
      <c r="G110" s="2"/>
    </row>
    <row r="111" spans="1:7" hidden="1">
      <c r="A111" s="2"/>
      <c r="B111" s="2"/>
      <c r="C111" s="2"/>
      <c r="D111" s="2"/>
      <c r="E111" s="2"/>
      <c r="F111" s="495"/>
      <c r="G111" s="2"/>
    </row>
  </sheetData>
  <mergeCells count="127">
    <mergeCell ref="M48:M49"/>
    <mergeCell ref="M50:M51"/>
    <mergeCell ref="M52:M53"/>
    <mergeCell ref="A98:A99"/>
    <mergeCell ref="B98:B99"/>
    <mergeCell ref="L34:L35"/>
    <mergeCell ref="L37:L38"/>
    <mergeCell ref="A88:C88"/>
    <mergeCell ref="A89:C89"/>
    <mergeCell ref="H62:H63"/>
    <mergeCell ref="I62:I63"/>
    <mergeCell ref="L62:L63"/>
    <mergeCell ref="H64:H68"/>
    <mergeCell ref="I64:I65"/>
    <mergeCell ref="K64:K65"/>
    <mergeCell ref="L64:L65"/>
    <mergeCell ref="I66:I67"/>
    <mergeCell ref="K66:K67"/>
    <mergeCell ref="L66:L67"/>
    <mergeCell ref="H69:H72"/>
    <mergeCell ref="I69:I70"/>
    <mergeCell ref="A77:A79"/>
    <mergeCell ref="B77:C79"/>
    <mergeCell ref="D78:D79"/>
    <mergeCell ref="E78:E79"/>
    <mergeCell ref="G78:G79"/>
    <mergeCell ref="I71:I72"/>
    <mergeCell ref="K71:K72"/>
    <mergeCell ref="M55:M56"/>
    <mergeCell ref="M57:M58"/>
    <mergeCell ref="I59:J59"/>
    <mergeCell ref="G80:G81"/>
    <mergeCell ref="A82:C82"/>
    <mergeCell ref="L71:L72"/>
    <mergeCell ref="H73:I73"/>
    <mergeCell ref="A74:B74"/>
    <mergeCell ref="A70:A73"/>
    <mergeCell ref="B70:B71"/>
    <mergeCell ref="D70:D71"/>
    <mergeCell ref="E70:E71"/>
    <mergeCell ref="F70:F71"/>
    <mergeCell ref="B72:B73"/>
    <mergeCell ref="D72:D73"/>
    <mergeCell ref="E72:E73"/>
    <mergeCell ref="F72:F73"/>
    <mergeCell ref="K69:K70"/>
    <mergeCell ref="L69:L70"/>
    <mergeCell ref="E65:E66"/>
    <mergeCell ref="A83:A84"/>
    <mergeCell ref="B83:C84"/>
    <mergeCell ref="A85:A87"/>
    <mergeCell ref="C85:C86"/>
    <mergeCell ref="D85:D86"/>
    <mergeCell ref="E85:E86"/>
    <mergeCell ref="F85:F86"/>
    <mergeCell ref="G85:G86"/>
    <mergeCell ref="A80:A81"/>
    <mergeCell ref="C80:C81"/>
    <mergeCell ref="D80:D81"/>
    <mergeCell ref="E80:E81"/>
    <mergeCell ref="F80:F81"/>
    <mergeCell ref="F65:F66"/>
    <mergeCell ref="B67:B68"/>
    <mergeCell ref="D67:D68"/>
    <mergeCell ref="E67:E68"/>
    <mergeCell ref="F67:F68"/>
    <mergeCell ref="A62:A64"/>
    <mergeCell ref="B62:B64"/>
    <mergeCell ref="A65:A69"/>
    <mergeCell ref="B65:B66"/>
    <mergeCell ref="D65:D66"/>
    <mergeCell ref="H37:H38"/>
    <mergeCell ref="A14:E14"/>
    <mergeCell ref="A16:A17"/>
    <mergeCell ref="E16:E17"/>
    <mergeCell ref="A18:A19"/>
    <mergeCell ref="E18:E19"/>
    <mergeCell ref="I16:I17"/>
    <mergeCell ref="I18:I19"/>
    <mergeCell ref="H20:H21"/>
    <mergeCell ref="I20:I21"/>
    <mergeCell ref="H22:H23"/>
    <mergeCell ref="I22:I23"/>
    <mergeCell ref="F16:F17"/>
    <mergeCell ref="F18:F19"/>
    <mergeCell ref="F20:F21"/>
    <mergeCell ref="F22:F23"/>
    <mergeCell ref="A55:C55"/>
    <mergeCell ref="G45:G46"/>
    <mergeCell ref="A47:A48"/>
    <mergeCell ref="C47:C48"/>
    <mergeCell ref="D47:D48"/>
    <mergeCell ref="E47:E48"/>
    <mergeCell ref="F47:F48"/>
    <mergeCell ref="G47:G48"/>
    <mergeCell ref="A44:A46"/>
    <mergeCell ref="B44:C46"/>
    <mergeCell ref="D45:D46"/>
    <mergeCell ref="E45:E46"/>
    <mergeCell ref="A49:C49"/>
    <mergeCell ref="A50:A51"/>
    <mergeCell ref="B50:C51"/>
    <mergeCell ref="A52:A53"/>
    <mergeCell ref="K34:K35"/>
    <mergeCell ref="K24:M24"/>
    <mergeCell ref="A54:C54"/>
    <mergeCell ref="G16:G17"/>
    <mergeCell ref="G20:G21"/>
    <mergeCell ref="G18:G19"/>
    <mergeCell ref="G22:G23"/>
    <mergeCell ref="A41:B41"/>
    <mergeCell ref="A22:A23"/>
    <mergeCell ref="E22:E23"/>
    <mergeCell ref="A20:A21"/>
    <mergeCell ref="E20:E21"/>
    <mergeCell ref="A33:A35"/>
    <mergeCell ref="B33:B35"/>
    <mergeCell ref="A36:A38"/>
    <mergeCell ref="A39:A40"/>
    <mergeCell ref="A28:A29"/>
    <mergeCell ref="E28:E29"/>
    <mergeCell ref="K37:K38"/>
    <mergeCell ref="A24:A25"/>
    <mergeCell ref="E24:E25"/>
    <mergeCell ref="A26:A27"/>
    <mergeCell ref="E26:E27"/>
    <mergeCell ref="H34:H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P5:Q23"/>
  <sheetViews>
    <sheetView workbookViewId="0">
      <selection activeCell="P26" sqref="P26"/>
    </sheetView>
  </sheetViews>
  <sheetFormatPr defaultRowHeight="13.5"/>
  <cols>
    <col min="1" max="16384" width="9" style="482"/>
  </cols>
  <sheetData>
    <row r="5" spans="16:17">
      <c r="P5" s="482" t="s">
        <v>634</v>
      </c>
    </row>
    <row r="6" spans="16:17">
      <c r="P6" s="484">
        <v>39188</v>
      </c>
    </row>
    <row r="7" spans="16:17">
      <c r="P7" s="484">
        <v>34726</v>
      </c>
    </row>
    <row r="8" spans="16:17">
      <c r="P8" s="484"/>
    </row>
    <row r="9" spans="16:17">
      <c r="P9" s="484"/>
    </row>
    <row r="10" spans="16:17">
      <c r="P10" s="484"/>
    </row>
    <row r="11" spans="16:17">
      <c r="P11" s="484"/>
    </row>
    <row r="12" spans="16:17">
      <c r="P12" s="484"/>
    </row>
    <row r="13" spans="16:17">
      <c r="P13" s="484"/>
      <c r="Q13" s="482">
        <v>28130</v>
      </c>
    </row>
    <row r="14" spans="16:17">
      <c r="P14" s="484">
        <v>40061</v>
      </c>
    </row>
    <row r="15" spans="16:17">
      <c r="P15" s="484"/>
    </row>
    <row r="16" spans="16:17">
      <c r="P16" s="484"/>
    </row>
    <row r="17" spans="16:16">
      <c r="P17" s="484"/>
    </row>
    <row r="18" spans="16:16">
      <c r="P18" s="484"/>
    </row>
    <row r="19" spans="16:16">
      <c r="P19" s="484"/>
    </row>
    <row r="20" spans="16:16">
      <c r="P20" s="484">
        <v>37827</v>
      </c>
    </row>
    <row r="23" spans="16:16">
      <c r="P23" s="483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"/>
  <sheetViews>
    <sheetView topLeftCell="E13" workbookViewId="0">
      <selection activeCell="N2" sqref="N2:T14"/>
    </sheetView>
  </sheetViews>
  <sheetFormatPr defaultRowHeight="13.5"/>
  <cols>
    <col min="5" max="5" width="10.375" customWidth="1"/>
    <col min="6" max="6" width="10.375" style="1" customWidth="1"/>
    <col min="7" max="7" width="10.375" customWidth="1"/>
    <col min="9" max="9" width="9" style="1"/>
    <col min="10" max="10" width="9.25" customWidth="1"/>
    <col min="11" max="11" width="10.625" customWidth="1"/>
  </cols>
  <sheetData>
    <row r="1" spans="1:20" ht="14.25" thickBot="1">
      <c r="A1" s="2" t="s">
        <v>26</v>
      </c>
      <c r="B1" s="2"/>
      <c r="D1" t="s">
        <v>27</v>
      </c>
      <c r="G1" s="3" t="s">
        <v>28</v>
      </c>
      <c r="K1" s="1" t="s">
        <v>16</v>
      </c>
    </row>
    <row r="2" spans="1:20" ht="26.25" thickBot="1">
      <c r="A2" s="2" t="s">
        <v>0</v>
      </c>
      <c r="B2" s="2"/>
      <c r="D2" s="2" t="s">
        <v>0</v>
      </c>
      <c r="E2" s="2"/>
      <c r="F2" s="10"/>
      <c r="G2" s="3"/>
      <c r="I2" s="558" t="s">
        <v>9</v>
      </c>
      <c r="J2" s="559"/>
      <c r="K2" s="560"/>
      <c r="N2" s="565" t="s">
        <v>550</v>
      </c>
      <c r="O2" s="567" t="s">
        <v>551</v>
      </c>
      <c r="P2" s="568"/>
      <c r="Q2" s="430" t="s">
        <v>552</v>
      </c>
      <c r="R2" s="431" t="s">
        <v>553</v>
      </c>
      <c r="S2" s="431" t="s">
        <v>554</v>
      </c>
      <c r="T2" s="431" t="s">
        <v>555</v>
      </c>
    </row>
    <row r="3" spans="1:20">
      <c r="A3" s="8" t="s">
        <v>2</v>
      </c>
      <c r="B3" s="389">
        <f>K3+K7+K11+68</f>
        <v>41113</v>
      </c>
      <c r="C3" s="20"/>
      <c r="D3" s="8" t="s">
        <v>25</v>
      </c>
      <c r="E3" s="8">
        <v>0</v>
      </c>
      <c r="F3" s="21"/>
      <c r="G3" s="22">
        <f>B3-E3</f>
        <v>41113</v>
      </c>
      <c r="I3" s="562" t="s">
        <v>0</v>
      </c>
      <c r="J3" s="2" t="s">
        <v>2</v>
      </c>
      <c r="K3" s="2">
        <v>11291</v>
      </c>
      <c r="N3" s="566"/>
      <c r="O3" s="569"/>
      <c r="P3" s="570"/>
      <c r="Q3" s="576" t="s">
        <v>556</v>
      </c>
      <c r="R3" s="576" t="s">
        <v>557</v>
      </c>
      <c r="S3" s="432" t="s">
        <v>558</v>
      </c>
      <c r="T3" s="576" t="s">
        <v>557</v>
      </c>
    </row>
    <row r="4" spans="1:20" ht="14.25" thickBot="1">
      <c r="A4" s="6" t="s">
        <v>3</v>
      </c>
      <c r="B4" s="6">
        <f>K4+K8+K12</f>
        <v>4269</v>
      </c>
      <c r="C4" s="11"/>
      <c r="D4" s="6" t="s">
        <v>1</v>
      </c>
      <c r="E4" s="6">
        <v>45382</v>
      </c>
      <c r="F4" s="12"/>
      <c r="G4" s="13">
        <f>B4-E4</f>
        <v>-41113</v>
      </c>
      <c r="H4">
        <f>G3+G4</f>
        <v>0</v>
      </c>
      <c r="I4" s="563"/>
      <c r="J4" s="2" t="s">
        <v>1</v>
      </c>
      <c r="K4" s="2">
        <v>1045</v>
      </c>
      <c r="N4" s="582"/>
      <c r="O4" s="548"/>
      <c r="P4" s="550"/>
      <c r="Q4" s="577"/>
      <c r="R4" s="577"/>
      <c r="S4" s="433" t="s">
        <v>559</v>
      </c>
      <c r="T4" s="577"/>
    </row>
    <row r="5" spans="1:20">
      <c r="A5" s="2" t="s">
        <v>19</v>
      </c>
      <c r="B5" s="2">
        <v>45314</v>
      </c>
      <c r="D5" s="2" t="s">
        <v>19</v>
      </c>
      <c r="E5" s="2"/>
      <c r="F5" s="10"/>
      <c r="G5" s="3"/>
      <c r="I5" s="564"/>
      <c r="J5" s="2" t="s">
        <v>7</v>
      </c>
      <c r="K5" s="2">
        <v>12336</v>
      </c>
      <c r="N5" s="546" t="s">
        <v>560</v>
      </c>
      <c r="O5" s="554" t="s">
        <v>570</v>
      </c>
      <c r="P5" s="574" t="s">
        <v>571</v>
      </c>
      <c r="Q5" s="546">
        <f>G3</f>
        <v>41113</v>
      </c>
      <c r="R5" s="546" t="s">
        <v>575</v>
      </c>
      <c r="S5" s="546"/>
      <c r="T5" s="546"/>
    </row>
    <row r="6" spans="1:20" ht="14.25" thickBot="1">
      <c r="C6" s="1" t="s">
        <v>21</v>
      </c>
      <c r="F6" s="1" t="s">
        <v>22</v>
      </c>
      <c r="G6" s="3"/>
      <c r="I6" s="558" t="s">
        <v>8</v>
      </c>
      <c r="J6" s="559"/>
      <c r="K6" s="560"/>
      <c r="N6" s="547"/>
      <c r="O6" s="555"/>
      <c r="P6" s="575"/>
      <c r="Q6" s="547"/>
      <c r="R6" s="547"/>
      <c r="S6" s="547"/>
      <c r="T6" s="547"/>
    </row>
    <row r="7" spans="1:20" ht="14.25" thickBot="1">
      <c r="A7" s="2" t="s">
        <v>12</v>
      </c>
      <c r="B7" s="2"/>
      <c r="D7" s="2" t="s">
        <v>12</v>
      </c>
      <c r="E7" s="2"/>
      <c r="G7" s="3"/>
      <c r="I7" s="562" t="s">
        <v>0</v>
      </c>
      <c r="J7" s="2" t="s">
        <v>4</v>
      </c>
      <c r="K7" s="2">
        <v>12804</v>
      </c>
      <c r="N7" s="551" t="s">
        <v>563</v>
      </c>
      <c r="O7" s="552"/>
      <c r="P7" s="553"/>
      <c r="Q7" s="436">
        <v>41113</v>
      </c>
      <c r="R7" s="434" t="s">
        <v>292</v>
      </c>
      <c r="S7" s="436">
        <v>12734.97</v>
      </c>
      <c r="T7" s="434" t="s">
        <v>292</v>
      </c>
    </row>
    <row r="8" spans="1:20" ht="39" thickBot="1">
      <c r="A8" s="7" t="s">
        <v>24</v>
      </c>
      <c r="B8" s="7">
        <f>K20</f>
        <v>2303</v>
      </c>
      <c r="C8" s="18"/>
      <c r="D8" s="7" t="s">
        <v>23</v>
      </c>
      <c r="E8" s="7">
        <v>0</v>
      </c>
      <c r="F8" s="23"/>
      <c r="G8" s="19">
        <f>B8</f>
        <v>2303</v>
      </c>
      <c r="H8">
        <f>B8</f>
        <v>2303</v>
      </c>
      <c r="I8" s="563"/>
      <c r="J8" s="2" t="s">
        <v>1</v>
      </c>
      <c r="K8" s="2">
        <v>1696</v>
      </c>
      <c r="N8" s="565" t="s">
        <v>550</v>
      </c>
      <c r="O8" s="567" t="s">
        <v>551</v>
      </c>
      <c r="P8" s="568"/>
      <c r="Q8" s="436" t="s">
        <v>552</v>
      </c>
      <c r="R8" s="433" t="s">
        <v>564</v>
      </c>
      <c r="S8" s="433" t="s">
        <v>554</v>
      </c>
      <c r="T8" s="433" t="s">
        <v>565</v>
      </c>
    </row>
    <row r="9" spans="1:20" ht="51.75" thickBot="1">
      <c r="A9" s="14" t="s">
        <v>14</v>
      </c>
      <c r="B9" s="14">
        <f>K18</f>
        <v>14466</v>
      </c>
      <c r="C9" s="15"/>
      <c r="D9" s="14" t="s">
        <v>13</v>
      </c>
      <c r="E9" s="14">
        <v>12075</v>
      </c>
      <c r="F9" s="16"/>
      <c r="G9" s="17">
        <f>B9-E9</f>
        <v>2391</v>
      </c>
      <c r="H9">
        <f>B9-E9</f>
        <v>2391</v>
      </c>
      <c r="I9" s="564"/>
      <c r="J9" s="2" t="s">
        <v>7</v>
      </c>
      <c r="K9" s="2">
        <v>14500</v>
      </c>
      <c r="N9" s="566"/>
      <c r="O9" s="569"/>
      <c r="P9" s="570"/>
      <c r="Q9" s="433" t="s">
        <v>556</v>
      </c>
      <c r="R9" s="433" t="s">
        <v>557</v>
      </c>
      <c r="S9" s="433" t="s">
        <v>566</v>
      </c>
      <c r="T9" s="433" t="s">
        <v>557</v>
      </c>
    </row>
    <row r="10" spans="1:20">
      <c r="A10" s="4" t="s">
        <v>19</v>
      </c>
      <c r="B10" s="2">
        <v>16769</v>
      </c>
      <c r="D10" s="2" t="s">
        <v>20</v>
      </c>
      <c r="E10" s="2"/>
      <c r="F10" s="10"/>
      <c r="G10" s="3"/>
      <c r="I10" s="558" t="s">
        <v>5</v>
      </c>
      <c r="J10" s="559"/>
      <c r="K10" s="560"/>
      <c r="N10" s="556" t="s">
        <v>567</v>
      </c>
      <c r="O10" s="557" t="s">
        <v>561</v>
      </c>
      <c r="P10" s="571" t="s">
        <v>573</v>
      </c>
      <c r="Q10" s="572">
        <f>G8</f>
        <v>2303</v>
      </c>
      <c r="R10" s="546"/>
      <c r="S10" s="546"/>
      <c r="T10" s="554" t="s">
        <v>292</v>
      </c>
    </row>
    <row r="11" spans="1:20" ht="14.25" thickBot="1">
      <c r="F11" s="10"/>
      <c r="G11" s="9"/>
      <c r="I11" s="561" t="s">
        <v>0</v>
      </c>
      <c r="J11" s="2" t="s">
        <v>2</v>
      </c>
      <c r="K11" s="2">
        <v>16950</v>
      </c>
      <c r="N11" s="556"/>
      <c r="O11" s="557"/>
      <c r="P11" s="571"/>
      <c r="Q11" s="573"/>
      <c r="R11" s="547"/>
      <c r="S11" s="547"/>
      <c r="T11" s="555"/>
    </row>
    <row r="12" spans="1:20" ht="14.25" thickBot="1">
      <c r="F12" s="10"/>
      <c r="G12" s="9"/>
      <c r="I12" s="561"/>
      <c r="J12" s="2" t="s">
        <v>1</v>
      </c>
      <c r="K12" s="2">
        <v>1528</v>
      </c>
      <c r="N12" s="556"/>
      <c r="O12" s="557"/>
      <c r="P12" s="437" t="s">
        <v>574</v>
      </c>
      <c r="Q12" s="365">
        <f>G9</f>
        <v>2391</v>
      </c>
      <c r="R12" s="365"/>
      <c r="S12" s="365"/>
      <c r="T12" s="434"/>
    </row>
    <row r="13" spans="1:20" ht="14.25" thickBot="1">
      <c r="I13" s="561"/>
      <c r="J13" s="2" t="s">
        <v>6</v>
      </c>
      <c r="K13" s="2">
        <v>28</v>
      </c>
      <c r="N13" s="548" t="s">
        <v>563</v>
      </c>
      <c r="O13" s="549"/>
      <c r="P13" s="550"/>
      <c r="Q13" s="436">
        <v>4694</v>
      </c>
      <c r="R13" s="433" t="s">
        <v>292</v>
      </c>
      <c r="S13" s="436"/>
      <c r="T13" s="434" t="s">
        <v>292</v>
      </c>
    </row>
    <row r="14" spans="1:20" ht="14.25" thickBot="1">
      <c r="I14" s="561"/>
      <c r="J14" s="2" t="s">
        <v>7</v>
      </c>
      <c r="K14" s="2">
        <v>18506</v>
      </c>
      <c r="N14" s="551" t="s">
        <v>569</v>
      </c>
      <c r="O14" s="552"/>
      <c r="P14" s="553"/>
      <c r="Q14" s="436">
        <f>Q7+Q12</f>
        <v>43504</v>
      </c>
      <c r="R14" s="434" t="s">
        <v>292</v>
      </c>
      <c r="S14" s="436"/>
      <c r="T14" s="434" t="s">
        <v>292</v>
      </c>
    </row>
    <row r="15" spans="1:20">
      <c r="I15" s="558" t="s">
        <v>17</v>
      </c>
      <c r="J15" s="559"/>
      <c r="K15" s="560"/>
    </row>
    <row r="16" spans="1:20" ht="27">
      <c r="I16" s="3" t="s">
        <v>10</v>
      </c>
      <c r="J16" s="5" t="s">
        <v>11</v>
      </c>
      <c r="K16" s="4">
        <v>40</v>
      </c>
    </row>
    <row r="17" spans="1:16">
      <c r="I17" s="558" t="s">
        <v>12</v>
      </c>
      <c r="J17" s="559"/>
      <c r="K17" s="560"/>
    </row>
    <row r="18" spans="1:16">
      <c r="F18" s="10"/>
      <c r="G18" s="9"/>
      <c r="I18" s="561" t="s">
        <v>12</v>
      </c>
      <c r="J18" s="4" t="s">
        <v>14</v>
      </c>
      <c r="K18" s="4">
        <v>14466</v>
      </c>
    </row>
    <row r="19" spans="1:16">
      <c r="F19" s="10"/>
      <c r="G19" s="10"/>
      <c r="I19" s="561"/>
      <c r="J19" s="4" t="s">
        <v>15</v>
      </c>
      <c r="K19" s="4">
        <v>1700</v>
      </c>
    </row>
    <row r="20" spans="1:16">
      <c r="F20" s="10"/>
      <c r="G20" s="10"/>
      <c r="I20" s="561"/>
      <c r="J20" s="4" t="s">
        <v>1</v>
      </c>
      <c r="K20" s="4">
        <v>2303</v>
      </c>
    </row>
    <row r="21" spans="1:16">
      <c r="I21" s="561"/>
      <c r="J21" s="4" t="s">
        <v>6</v>
      </c>
      <c r="K21" s="4">
        <v>2887</v>
      </c>
    </row>
    <row r="22" spans="1:16" ht="12" customHeight="1">
      <c r="I22" s="561"/>
      <c r="J22" s="4" t="s">
        <v>18</v>
      </c>
      <c r="K22" s="4">
        <v>4952</v>
      </c>
    </row>
    <row r="23" spans="1:16">
      <c r="G23" s="1"/>
      <c r="I23" s="561"/>
      <c r="J23" s="4" t="s">
        <v>7</v>
      </c>
      <c r="K23" s="4">
        <v>26308</v>
      </c>
    </row>
    <row r="24" spans="1:16">
      <c r="F24" s="10"/>
      <c r="G24" s="10"/>
    </row>
    <row r="25" spans="1:16" ht="40.5">
      <c r="A25" s="578" t="s">
        <v>577</v>
      </c>
      <c r="B25" s="578"/>
      <c r="C25" s="578"/>
      <c r="D25" s="578"/>
      <c r="E25" s="578"/>
      <c r="F25"/>
      <c r="G25" s="579" t="s">
        <v>592</v>
      </c>
      <c r="H25" s="579"/>
      <c r="I25" s="579"/>
      <c r="J25" s="443" t="s">
        <v>593</v>
      </c>
      <c r="K25" s="443" t="s">
        <v>594</v>
      </c>
      <c r="L25" s="443" t="s">
        <v>595</v>
      </c>
      <c r="M25" s="443" t="s">
        <v>596</v>
      </c>
      <c r="N25" s="443" t="s">
        <v>597</v>
      </c>
      <c r="O25" s="443" t="s">
        <v>598</v>
      </c>
      <c r="P25" s="444" t="s">
        <v>599</v>
      </c>
    </row>
    <row r="26" spans="1:16" ht="28.5">
      <c r="A26" s="438" t="s">
        <v>578</v>
      </c>
      <c r="B26" s="439" t="s">
        <v>579</v>
      </c>
      <c r="C26" s="439" t="s">
        <v>591</v>
      </c>
      <c r="D26" s="439" t="s">
        <v>580</v>
      </c>
      <c r="E26" s="439" t="s">
        <v>581</v>
      </c>
      <c r="F26"/>
      <c r="G26" s="543" t="s">
        <v>606</v>
      </c>
      <c r="H26" s="580" t="s">
        <v>607</v>
      </c>
      <c r="I26" s="580" t="s">
        <v>608</v>
      </c>
      <c r="J26" s="540">
        <f>I20</f>
        <v>0</v>
      </c>
      <c r="K26" s="540"/>
      <c r="L26" s="369" t="s">
        <v>600</v>
      </c>
      <c r="M26" s="369">
        <f>ROUND(J26*K26,0)</f>
        <v>0</v>
      </c>
      <c r="N26" s="369">
        <f>ROUND(E27*0.25,0)</f>
        <v>5098</v>
      </c>
      <c r="O26" s="369">
        <f>ROUND(J26*N26,0)</f>
        <v>0</v>
      </c>
      <c r="P26" s="447">
        <f>ROUND(J26*[3]面积表!$D$19,2)</f>
        <v>0</v>
      </c>
    </row>
    <row r="27" spans="1:16">
      <c r="A27" s="542" t="s">
        <v>587</v>
      </c>
      <c r="B27" s="440" t="s">
        <v>582</v>
      </c>
      <c r="C27" s="441">
        <f>'[4]剩余法-待开发'!$B$3</f>
        <v>26619</v>
      </c>
      <c r="D27" s="442">
        <f>[4]结果表!$C$18</f>
        <v>0.5</v>
      </c>
      <c r="E27" s="535">
        <f>ROUND(C27*D27+C28*D28,0)</f>
        <v>20391</v>
      </c>
      <c r="F27"/>
      <c r="G27" s="543"/>
      <c r="H27" s="581"/>
      <c r="I27" s="581"/>
      <c r="J27" s="541"/>
      <c r="K27" s="541"/>
      <c r="L27" s="369" t="s">
        <v>600</v>
      </c>
      <c r="M27" s="369">
        <f t="shared" ref="M27:M30" si="0">ROUND(J27*K27,0)</f>
        <v>0</v>
      </c>
      <c r="N27" s="369">
        <f>ROUND(E27*0.25,0)</f>
        <v>5098</v>
      </c>
      <c r="O27" s="369">
        <f t="shared" ref="O27:O30" si="1">ROUND(J27*N27,0)</f>
        <v>0</v>
      </c>
      <c r="P27" s="447">
        <f>ROUND(J27*[3]面积表!$D$19,2)</f>
        <v>0</v>
      </c>
    </row>
    <row r="28" spans="1:16" ht="27">
      <c r="A28" s="542"/>
      <c r="B28" s="440" t="s">
        <v>583</v>
      </c>
      <c r="C28" s="441">
        <f>[4]基准地价!$B$3</f>
        <v>14162</v>
      </c>
      <c r="D28" s="442">
        <f>[4]结果表!$D$18</f>
        <v>0.5</v>
      </c>
      <c r="E28" s="536"/>
      <c r="F28"/>
      <c r="G28" s="543" t="s">
        <v>601</v>
      </c>
      <c r="H28" s="445"/>
      <c r="I28" s="445" t="s">
        <v>602</v>
      </c>
      <c r="J28" s="446">
        <f>[3]面积表!H28</f>
        <v>0</v>
      </c>
      <c r="K28" s="446">
        <f>E35</f>
        <v>0</v>
      </c>
      <c r="L28" s="369" t="s">
        <v>600</v>
      </c>
      <c r="M28" s="369">
        <f t="shared" si="0"/>
        <v>0</v>
      </c>
      <c r="N28" s="369">
        <f>ROUND(E35*G35,0)</f>
        <v>0</v>
      </c>
      <c r="O28" s="369">
        <f t="shared" si="1"/>
        <v>0</v>
      </c>
      <c r="P28" s="447">
        <f>ROUND(J28*[3]面积表!$D$19,2)</f>
        <v>0</v>
      </c>
    </row>
    <row r="29" spans="1:16" ht="24" customHeight="1">
      <c r="A29" s="544" t="s">
        <v>588</v>
      </c>
      <c r="B29" s="440" t="s">
        <v>582</v>
      </c>
      <c r="C29" s="441">
        <f>'[5]剩余法-待开发'!$B$3</f>
        <v>26451</v>
      </c>
      <c r="D29" s="442">
        <f>[5]结果表!$C$18</f>
        <v>0.5</v>
      </c>
      <c r="E29" s="535">
        <f t="shared" ref="E29" si="2">ROUND(C29*D29+C30*D30,0)</f>
        <v>20259</v>
      </c>
      <c r="F29"/>
      <c r="G29" s="543"/>
      <c r="H29" s="445"/>
      <c r="I29" s="448">
        <v>0</v>
      </c>
      <c r="J29" s="449">
        <v>0</v>
      </c>
      <c r="K29" s="449">
        <v>0</v>
      </c>
      <c r="L29" s="450" t="s">
        <v>600</v>
      </c>
      <c r="M29" s="450">
        <f t="shared" si="0"/>
        <v>0</v>
      </c>
      <c r="N29" s="450">
        <v>0</v>
      </c>
      <c r="O29" s="450">
        <f t="shared" si="1"/>
        <v>0</v>
      </c>
      <c r="P29" s="447">
        <f>ROUND(J29*[3]面积表!$D$19,2)</f>
        <v>0</v>
      </c>
    </row>
    <row r="30" spans="1:16" ht="27">
      <c r="A30" s="544"/>
      <c r="B30" s="440" t="s">
        <v>583</v>
      </c>
      <c r="C30" s="441">
        <f>[5]基准地价!$B$3</f>
        <v>14066</v>
      </c>
      <c r="D30" s="442">
        <f>[5]结果表!$D$18</f>
        <v>0.5</v>
      </c>
      <c r="E30" s="536"/>
      <c r="F30"/>
      <c r="G30" s="543"/>
      <c r="H30" s="445"/>
      <c r="I30" s="445" t="s">
        <v>603</v>
      </c>
      <c r="J30" s="446">
        <f>[3]面积表!H29</f>
        <v>0</v>
      </c>
      <c r="K30" s="446">
        <f>E35</f>
        <v>0</v>
      </c>
      <c r="L30" s="369" t="s">
        <v>600</v>
      </c>
      <c r="M30" s="369">
        <f t="shared" si="0"/>
        <v>0</v>
      </c>
      <c r="N30" s="369">
        <f>ROUND(E35*G35,0)</f>
        <v>0</v>
      </c>
      <c r="O30" s="369">
        <f t="shared" si="1"/>
        <v>0</v>
      </c>
      <c r="P30" s="447">
        <f>ROUND(J30*[3]面积表!$D$19,2)</f>
        <v>0</v>
      </c>
    </row>
    <row r="31" spans="1:16">
      <c r="A31" s="545" t="s">
        <v>589</v>
      </c>
      <c r="B31" s="440" t="s">
        <v>582</v>
      </c>
      <c r="C31" s="441">
        <f>'[6]剩余法-待开发'!$B$3</f>
        <v>2696</v>
      </c>
      <c r="D31" s="442">
        <f>[6]结果表!$C$18</f>
        <v>0.5</v>
      </c>
      <c r="E31" s="535">
        <f t="shared" ref="E31" si="3">ROUND(C31*D31+C32*D32,0)</f>
        <v>7647</v>
      </c>
      <c r="F31"/>
      <c r="G31" s="543"/>
      <c r="H31" s="445"/>
      <c r="I31" s="448">
        <v>0</v>
      </c>
      <c r="J31" s="450">
        <v>0</v>
      </c>
      <c r="K31" s="450" t="s">
        <v>600</v>
      </c>
      <c r="L31" s="450">
        <v>0</v>
      </c>
      <c r="M31" s="450" t="s">
        <v>600</v>
      </c>
      <c r="N31" s="450" t="s">
        <v>600</v>
      </c>
      <c r="O31" s="450">
        <f>ROUND(J31*L31,0)</f>
        <v>0</v>
      </c>
      <c r="P31" s="447"/>
    </row>
    <row r="32" spans="1:16" ht="40.5">
      <c r="A32" s="545"/>
      <c r="B32" s="440" t="s">
        <v>583</v>
      </c>
      <c r="C32" s="441">
        <f>[6]基准地价!$B$3</f>
        <v>12597</v>
      </c>
      <c r="D32" s="442">
        <f>[6]结果表!$D$18</f>
        <v>0.5</v>
      </c>
      <c r="E32" s="536"/>
      <c r="F32"/>
      <c r="G32" s="543"/>
      <c r="H32" s="445"/>
      <c r="I32" s="448" t="s">
        <v>604</v>
      </c>
      <c r="J32" s="450">
        <f>[3]面积表!H29-J30</f>
        <v>0</v>
      </c>
      <c r="K32" s="450" t="s">
        <v>600</v>
      </c>
      <c r="L32" s="450">
        <f>E29-E39</f>
        <v>20259</v>
      </c>
      <c r="M32" s="450" t="s">
        <v>600</v>
      </c>
      <c r="N32" s="450" t="s">
        <v>600</v>
      </c>
      <c r="O32" s="450">
        <f>ROUND(J32*L32,0)</f>
        <v>0</v>
      </c>
      <c r="P32" s="447"/>
    </row>
    <row r="33" spans="1:16">
      <c r="A33" s="534" t="s">
        <v>590</v>
      </c>
      <c r="B33" s="440" t="s">
        <v>582</v>
      </c>
      <c r="C33" s="441">
        <f>'[7]剩余法-待开发'!$B$3</f>
        <v>2246</v>
      </c>
      <c r="D33" s="442">
        <f>[7]结果表!$C$18</f>
        <v>0.5</v>
      </c>
      <c r="E33" s="535">
        <f t="shared" ref="E33" si="4">ROUND(C33*D33+C34*D34,0)</f>
        <v>2412</v>
      </c>
      <c r="F33"/>
      <c r="G33" s="537" t="s">
        <v>605</v>
      </c>
      <c r="H33" s="538"/>
      <c r="I33" s="539"/>
      <c r="J33" s="443">
        <f>SUM(J26:J32)</f>
        <v>0</v>
      </c>
      <c r="K33" s="443"/>
      <c r="L33" s="443"/>
      <c r="M33" s="443">
        <f>SUM(M26:M32)</f>
        <v>0</v>
      </c>
      <c r="N33" s="443"/>
      <c r="O33" s="443">
        <f>SUM(O26:O32)</f>
        <v>0</v>
      </c>
      <c r="P33" s="447">
        <f>SUM(P26:P32)</f>
        <v>0</v>
      </c>
    </row>
    <row r="34" spans="1:16">
      <c r="A34" s="534"/>
      <c r="B34" s="440" t="s">
        <v>583</v>
      </c>
      <c r="C34" s="441">
        <f>[7]基准地价!$B$3</f>
        <v>2578</v>
      </c>
      <c r="D34" s="442">
        <f>[7]结果表!$D$18</f>
        <v>0.5</v>
      </c>
      <c r="E34" s="536"/>
      <c r="F34"/>
      <c r="I34"/>
    </row>
    <row r="36" spans="1:16" ht="27.75" customHeight="1"/>
  </sheetData>
  <mergeCells count="50">
    <mergeCell ref="T3:T4"/>
    <mergeCell ref="A25:E25"/>
    <mergeCell ref="G25:I25"/>
    <mergeCell ref="G26:G27"/>
    <mergeCell ref="H26:H27"/>
    <mergeCell ref="I26:I27"/>
    <mergeCell ref="J26:J27"/>
    <mergeCell ref="I18:I23"/>
    <mergeCell ref="N2:N4"/>
    <mergeCell ref="O2:P4"/>
    <mergeCell ref="Q3:Q4"/>
    <mergeCell ref="R3:R4"/>
    <mergeCell ref="I2:K2"/>
    <mergeCell ref="I6:K6"/>
    <mergeCell ref="I10:K10"/>
    <mergeCell ref="I15:K15"/>
    <mergeCell ref="I17:K17"/>
    <mergeCell ref="I11:I14"/>
    <mergeCell ref="I7:I9"/>
    <mergeCell ref="I3:I5"/>
    <mergeCell ref="T5:T6"/>
    <mergeCell ref="N7:P7"/>
    <mergeCell ref="N8:N9"/>
    <mergeCell ref="O8:P9"/>
    <mergeCell ref="P10:P11"/>
    <mergeCell ref="Q10:Q11"/>
    <mergeCell ref="R10:R11"/>
    <mergeCell ref="S10:S11"/>
    <mergeCell ref="T10:T11"/>
    <mergeCell ref="N5:N6"/>
    <mergeCell ref="P5:P6"/>
    <mergeCell ref="Q5:Q6"/>
    <mergeCell ref="R5:R6"/>
    <mergeCell ref="S5:S6"/>
    <mergeCell ref="N13:P13"/>
    <mergeCell ref="N14:P14"/>
    <mergeCell ref="O5:O6"/>
    <mergeCell ref="N10:N12"/>
    <mergeCell ref="O10:O12"/>
    <mergeCell ref="A33:A34"/>
    <mergeCell ref="E33:E34"/>
    <mergeCell ref="G33:I33"/>
    <mergeCell ref="K26:K27"/>
    <mergeCell ref="A27:A28"/>
    <mergeCell ref="E27:E28"/>
    <mergeCell ref="G28:G32"/>
    <mergeCell ref="A29:A30"/>
    <mergeCell ref="E29:E30"/>
    <mergeCell ref="E31:E32"/>
    <mergeCell ref="A31:A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61"/>
  <sheetViews>
    <sheetView topLeftCell="A16" workbookViewId="0">
      <selection activeCell="L92" sqref="L92"/>
    </sheetView>
  </sheetViews>
  <sheetFormatPr defaultRowHeight="13.5"/>
  <sheetData>
    <row r="1" spans="1:1">
      <c r="A1" s="11" t="s">
        <v>633</v>
      </c>
    </row>
    <row r="61" spans="1:1">
      <c r="A61" s="11" t="s">
        <v>635</v>
      </c>
    </row>
  </sheetData>
  <phoneticPr fontId="1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27" sqref="F27"/>
    </sheetView>
  </sheetViews>
  <sheetFormatPr defaultRowHeight="13.5"/>
  <cols>
    <col min="1" max="1" width="9" style="1"/>
    <col min="2" max="2" width="10.875" customWidth="1"/>
  </cols>
  <sheetData>
    <row r="1" spans="1:6" s="502" customFormat="1" ht="15">
      <c r="A1" s="502" t="s">
        <v>328</v>
      </c>
      <c r="B1" s="502" t="s">
        <v>656</v>
      </c>
      <c r="C1" s="502" t="s">
        <v>652</v>
      </c>
      <c r="D1" s="502" t="s">
        <v>653</v>
      </c>
      <c r="E1" s="502" t="s">
        <v>654</v>
      </c>
      <c r="F1" s="502" t="s">
        <v>655</v>
      </c>
    </row>
    <row r="2" spans="1:6">
      <c r="A2" s="502">
        <v>2018</v>
      </c>
      <c r="B2" s="502">
        <v>1</v>
      </c>
      <c r="C2" s="502">
        <v>1.7</v>
      </c>
      <c r="D2" s="502">
        <v>1.92</v>
      </c>
      <c r="E2" s="502">
        <v>1.64</v>
      </c>
      <c r="F2" s="502">
        <v>2.0099999999999998</v>
      </c>
    </row>
    <row r="3" spans="1:6">
      <c r="A3" s="502">
        <v>2017</v>
      </c>
      <c r="B3" s="502">
        <v>4</v>
      </c>
      <c r="C3" s="502">
        <v>1.71</v>
      </c>
      <c r="D3" s="502">
        <v>1.78</v>
      </c>
      <c r="E3" s="502">
        <v>1.71</v>
      </c>
      <c r="F3" s="502">
        <v>1.43</v>
      </c>
    </row>
    <row r="4" spans="1:6">
      <c r="A4" s="502"/>
      <c r="B4" s="502">
        <v>3</v>
      </c>
      <c r="C4" s="502">
        <v>2.98</v>
      </c>
      <c r="D4" s="502">
        <v>2.11</v>
      </c>
      <c r="E4" s="502">
        <v>3.24</v>
      </c>
      <c r="F4" s="502">
        <v>1.72</v>
      </c>
    </row>
    <row r="5" spans="1:6">
      <c r="A5" s="502"/>
      <c r="B5" s="502">
        <v>2</v>
      </c>
      <c r="C5" s="502">
        <v>3.4</v>
      </c>
      <c r="D5" s="502">
        <v>2</v>
      </c>
      <c r="E5" s="502">
        <v>3.82</v>
      </c>
      <c r="F5" s="502">
        <v>1.68</v>
      </c>
    </row>
    <row r="6" spans="1:6">
      <c r="A6" s="502"/>
      <c r="B6" s="502">
        <v>1</v>
      </c>
      <c r="C6" s="502">
        <v>3.45</v>
      </c>
      <c r="D6" s="502">
        <v>1.92</v>
      </c>
      <c r="E6" s="502">
        <v>3.92</v>
      </c>
      <c r="F6" s="502">
        <v>1.58</v>
      </c>
    </row>
    <row r="7" spans="1:6">
      <c r="A7" s="731">
        <v>2016</v>
      </c>
      <c r="B7" s="502">
        <v>4</v>
      </c>
      <c r="C7" s="502">
        <v>4.5599999999999996</v>
      </c>
      <c r="D7" s="502">
        <v>2.15</v>
      </c>
      <c r="E7" s="502">
        <v>5.32</v>
      </c>
      <c r="F7" s="502">
        <v>1.57</v>
      </c>
    </row>
    <row r="8" spans="1:6">
      <c r="A8" s="731"/>
      <c r="B8" s="502">
        <v>3</v>
      </c>
      <c r="C8" s="502">
        <v>4.12</v>
      </c>
      <c r="D8" s="502">
        <v>2</v>
      </c>
      <c r="E8" s="502">
        <v>4.79</v>
      </c>
      <c r="F8" s="502">
        <v>1.97</v>
      </c>
    </row>
    <row r="9" spans="1:6">
      <c r="A9" s="731"/>
      <c r="B9" s="502">
        <v>2</v>
      </c>
      <c r="C9" s="502">
        <v>3.85</v>
      </c>
      <c r="D9" s="502">
        <v>1.95</v>
      </c>
      <c r="E9" s="502">
        <v>4.4800000000000004</v>
      </c>
      <c r="F9" s="502">
        <v>1.41</v>
      </c>
    </row>
    <row r="10" spans="1:6">
      <c r="A10" s="731"/>
      <c r="B10" s="502">
        <v>1</v>
      </c>
      <c r="C10" s="502">
        <v>4.09</v>
      </c>
      <c r="D10" s="502">
        <v>2.93</v>
      </c>
      <c r="E10" s="502">
        <v>4.54</v>
      </c>
      <c r="F10" s="502">
        <v>1.48</v>
      </c>
    </row>
    <row r="11" spans="1:6">
      <c r="A11" s="731">
        <v>2015</v>
      </c>
      <c r="B11" s="502">
        <v>4</v>
      </c>
      <c r="C11" s="502">
        <v>1.63</v>
      </c>
      <c r="D11" s="502">
        <v>1.1100000000000001</v>
      </c>
      <c r="E11" s="502">
        <v>1.77</v>
      </c>
      <c r="F11" s="502">
        <v>1.89</v>
      </c>
    </row>
    <row r="12" spans="1:6">
      <c r="A12" s="731"/>
      <c r="B12" s="502">
        <v>3</v>
      </c>
      <c r="C12" s="502">
        <v>1.65</v>
      </c>
      <c r="D12" s="502">
        <v>0.92</v>
      </c>
      <c r="E12" s="502">
        <v>1.88</v>
      </c>
      <c r="F12" s="502">
        <v>1.26</v>
      </c>
    </row>
    <row r="13" spans="1:6">
      <c r="A13" s="731"/>
      <c r="B13" s="502">
        <v>2</v>
      </c>
      <c r="C13" s="502">
        <v>0.77</v>
      </c>
      <c r="D13" s="502">
        <v>0.69</v>
      </c>
      <c r="E13" s="502">
        <v>0.8</v>
      </c>
      <c r="F13" s="502">
        <v>0.88</v>
      </c>
    </row>
    <row r="14" spans="1:6">
      <c r="A14" s="731"/>
      <c r="B14" s="502">
        <v>1</v>
      </c>
      <c r="C14" s="502">
        <v>0.51</v>
      </c>
      <c r="D14" s="502">
        <v>0.54</v>
      </c>
      <c r="E14" s="502">
        <v>0.48</v>
      </c>
      <c r="F14" s="502">
        <v>0.93</v>
      </c>
    </row>
    <row r="15" spans="1:6">
      <c r="A15" s="731">
        <v>2014</v>
      </c>
      <c r="B15" s="502">
        <v>4</v>
      </c>
      <c r="C15" s="502">
        <v>0.21</v>
      </c>
      <c r="D15" s="502">
        <v>0.41</v>
      </c>
      <c r="E15" s="502">
        <v>0.12</v>
      </c>
      <c r="F15" s="502">
        <v>0.89</v>
      </c>
    </row>
    <row r="16" spans="1:6">
      <c r="A16" s="731"/>
      <c r="B16" s="503">
        <v>3</v>
      </c>
      <c r="C16" s="503">
        <v>0.83</v>
      </c>
      <c r="D16" s="503">
        <v>1.47</v>
      </c>
      <c r="E16" s="503">
        <v>0.65</v>
      </c>
      <c r="F16" s="503">
        <v>0.72</v>
      </c>
    </row>
    <row r="17" spans="1:6">
      <c r="A17" s="731"/>
      <c r="B17" s="502">
        <v>2</v>
      </c>
      <c r="C17" s="502">
        <v>2.4</v>
      </c>
      <c r="D17" s="502">
        <v>2.0299999999999998</v>
      </c>
      <c r="E17" s="502">
        <v>2.59</v>
      </c>
      <c r="F17" s="502">
        <v>1.52</v>
      </c>
    </row>
    <row r="18" spans="1:6">
      <c r="A18" s="731"/>
      <c r="B18" s="503">
        <v>1</v>
      </c>
      <c r="C18" s="503">
        <v>2.97</v>
      </c>
      <c r="D18" s="503">
        <v>2.34</v>
      </c>
      <c r="E18" s="503">
        <v>3.28</v>
      </c>
      <c r="F18" s="503">
        <v>1.36</v>
      </c>
    </row>
  </sheetData>
  <mergeCells count="3">
    <mergeCell ref="A7:A10"/>
    <mergeCell ref="A11:A14"/>
    <mergeCell ref="A15:A18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N3" sqref="N3"/>
    </sheetView>
  </sheetViews>
  <sheetFormatPr defaultRowHeight="13.5"/>
  <sheetData>
    <row r="1" spans="1:6" ht="19.5" thickBot="1">
      <c r="A1" s="512" t="s">
        <v>687</v>
      </c>
    </row>
    <row r="2" spans="1:6" ht="28.5">
      <c r="A2" s="691" t="s">
        <v>550</v>
      </c>
      <c r="B2" s="691" t="s">
        <v>551</v>
      </c>
      <c r="C2" s="466" t="s">
        <v>616</v>
      </c>
      <c r="D2" s="466" t="s">
        <v>618</v>
      </c>
      <c r="E2" s="466" t="s">
        <v>558</v>
      </c>
      <c r="F2" s="466" t="s">
        <v>555</v>
      </c>
    </row>
    <row r="3" spans="1:6" ht="31.5">
      <c r="A3" s="692"/>
      <c r="B3" s="692"/>
      <c r="C3" s="467" t="s">
        <v>562</v>
      </c>
      <c r="D3" s="467" t="s">
        <v>619</v>
      </c>
      <c r="E3" s="467" t="s">
        <v>559</v>
      </c>
      <c r="F3" s="467" t="s">
        <v>620</v>
      </c>
    </row>
    <row r="4" spans="1:6" ht="32.25" thickBot="1">
      <c r="A4" s="693"/>
      <c r="B4" s="693"/>
      <c r="C4" s="461" t="s">
        <v>617</v>
      </c>
      <c r="D4" s="461" t="s">
        <v>620</v>
      </c>
      <c r="E4" s="462"/>
      <c r="F4" s="462"/>
    </row>
    <row r="5" spans="1:6" ht="15">
      <c r="A5" s="694" t="s">
        <v>560</v>
      </c>
      <c r="B5" s="694" t="s">
        <v>609</v>
      </c>
      <c r="C5" s="508">
        <v>41113</v>
      </c>
      <c r="D5" s="704">
        <v>21636</v>
      </c>
      <c r="E5" s="704" t="s">
        <v>292</v>
      </c>
      <c r="F5" s="704" t="s">
        <v>292</v>
      </c>
    </row>
    <row r="6" spans="1:6" ht="15" thickBot="1">
      <c r="A6" s="695"/>
      <c r="B6" s="696"/>
      <c r="C6" s="468" t="s">
        <v>657</v>
      </c>
      <c r="D6" s="705"/>
      <c r="E6" s="705"/>
      <c r="F6" s="705"/>
    </row>
    <row r="7" spans="1:6" ht="15">
      <c r="A7" s="695"/>
      <c r="B7" s="694" t="s">
        <v>613</v>
      </c>
      <c r="C7" s="508">
        <v>41113</v>
      </c>
      <c r="D7" s="704">
        <v>21497</v>
      </c>
      <c r="E7" s="704" t="s">
        <v>292</v>
      </c>
      <c r="F7" s="704" t="s">
        <v>292</v>
      </c>
    </row>
    <row r="8" spans="1:6" ht="15" thickBot="1">
      <c r="A8" s="695"/>
      <c r="B8" s="696"/>
      <c r="C8" s="468" t="s">
        <v>614</v>
      </c>
      <c r="D8" s="705"/>
      <c r="E8" s="705"/>
      <c r="F8" s="705"/>
    </row>
    <row r="9" spans="1:6" ht="43.5" thickBot="1">
      <c r="A9" s="696"/>
      <c r="B9" s="468" t="s">
        <v>621</v>
      </c>
      <c r="C9" s="464">
        <v>41113</v>
      </c>
      <c r="D9" s="464" t="s">
        <v>679</v>
      </c>
      <c r="E9" s="464" t="s">
        <v>680</v>
      </c>
      <c r="F9" s="464" t="s">
        <v>681</v>
      </c>
    </row>
    <row r="10" spans="1:6" ht="15">
      <c r="A10" s="694" t="s">
        <v>567</v>
      </c>
      <c r="B10" s="694" t="s">
        <v>572</v>
      </c>
      <c r="C10" s="508">
        <v>2303</v>
      </c>
      <c r="D10" s="704" t="s">
        <v>682</v>
      </c>
      <c r="E10" s="704" t="s">
        <v>683</v>
      </c>
      <c r="F10" s="704" t="s">
        <v>292</v>
      </c>
    </row>
    <row r="11" spans="1:6" ht="15" thickBot="1">
      <c r="A11" s="695"/>
      <c r="B11" s="696"/>
      <c r="C11" s="468" t="s">
        <v>614</v>
      </c>
      <c r="D11" s="705"/>
      <c r="E11" s="705"/>
      <c r="F11" s="705"/>
    </row>
    <row r="12" spans="1:6" ht="15">
      <c r="A12" s="695"/>
      <c r="B12" s="694" t="s">
        <v>568</v>
      </c>
      <c r="C12" s="508">
        <v>2391</v>
      </c>
      <c r="D12" s="704" t="s">
        <v>684</v>
      </c>
      <c r="E12" s="704" t="s">
        <v>685</v>
      </c>
      <c r="F12" s="704" t="s">
        <v>292</v>
      </c>
    </row>
    <row r="13" spans="1:6" ht="15" thickBot="1">
      <c r="A13" s="696"/>
      <c r="B13" s="696"/>
      <c r="C13" s="468" t="s">
        <v>614</v>
      </c>
      <c r="D13" s="705"/>
      <c r="E13" s="705"/>
      <c r="F13" s="705"/>
    </row>
    <row r="14" spans="1:6" ht="30" thickBot="1">
      <c r="A14" s="685" t="s">
        <v>569</v>
      </c>
      <c r="B14" s="686"/>
      <c r="C14" s="464">
        <v>4694</v>
      </c>
      <c r="D14" s="464" t="s">
        <v>292</v>
      </c>
      <c r="E14" s="464" t="s">
        <v>686</v>
      </c>
      <c r="F14" s="464" t="s">
        <v>292</v>
      </c>
    </row>
    <row r="16" spans="1:6" ht="20.25" customHeight="1" thickBot="1">
      <c r="A16" s="740" t="s">
        <v>688</v>
      </c>
      <c r="B16" s="740"/>
      <c r="C16" s="740"/>
      <c r="D16" s="740"/>
    </row>
    <row r="17" spans="1:6" ht="57">
      <c r="A17" s="691" t="s">
        <v>550</v>
      </c>
      <c r="B17" s="691" t="s">
        <v>551</v>
      </c>
      <c r="C17" s="466" t="s">
        <v>552</v>
      </c>
      <c r="D17" s="466" t="s">
        <v>658</v>
      </c>
      <c r="E17" s="691" t="s">
        <v>566</v>
      </c>
      <c r="F17" s="523"/>
    </row>
    <row r="18" spans="1:6" ht="32.25" thickBot="1">
      <c r="A18" s="739"/>
      <c r="B18" s="739"/>
      <c r="C18" s="461" t="s">
        <v>689</v>
      </c>
      <c r="D18" s="461" t="s">
        <v>690</v>
      </c>
      <c r="E18" s="739"/>
      <c r="F18" s="523"/>
    </row>
    <row r="19" spans="1:6" ht="15" customHeight="1">
      <c r="A19" s="735" t="s">
        <v>560</v>
      </c>
      <c r="B19" s="735" t="s">
        <v>609</v>
      </c>
      <c r="C19" s="508">
        <v>41113</v>
      </c>
      <c r="D19" s="704">
        <v>5409</v>
      </c>
      <c r="E19" s="738">
        <v>22238.02</v>
      </c>
      <c r="F19" s="523"/>
    </row>
    <row r="20" spans="1:6" ht="15" thickBot="1">
      <c r="A20" s="695"/>
      <c r="B20" s="736"/>
      <c r="C20" s="468" t="s">
        <v>657</v>
      </c>
      <c r="D20" s="737"/>
      <c r="E20" s="737"/>
      <c r="F20" s="523"/>
    </row>
    <row r="21" spans="1:6" ht="15" customHeight="1">
      <c r="A21" s="695"/>
      <c r="B21" s="735" t="s">
        <v>613</v>
      </c>
      <c r="C21" s="508">
        <v>41113</v>
      </c>
      <c r="D21" s="738">
        <v>5374</v>
      </c>
      <c r="E21" s="738">
        <v>22094.13</v>
      </c>
      <c r="F21" s="523"/>
    </row>
    <row r="22" spans="1:6" ht="15" thickBot="1">
      <c r="A22" s="695"/>
      <c r="B22" s="736"/>
      <c r="C22" s="468" t="s">
        <v>614</v>
      </c>
      <c r="D22" s="737"/>
      <c r="E22" s="737"/>
      <c r="F22" s="523"/>
    </row>
    <row r="23" spans="1:6" ht="27.75" customHeight="1">
      <c r="A23" s="695"/>
      <c r="B23" s="735" t="s">
        <v>621</v>
      </c>
      <c r="C23" s="704">
        <v>0</v>
      </c>
      <c r="D23" s="508">
        <v>35</v>
      </c>
      <c r="E23" s="738" t="s">
        <v>691</v>
      </c>
      <c r="F23" s="734"/>
    </row>
    <row r="24" spans="1:6" ht="15" thickBot="1">
      <c r="A24" s="736"/>
      <c r="B24" s="696"/>
      <c r="C24" s="705"/>
      <c r="D24" s="468" t="s">
        <v>657</v>
      </c>
      <c r="E24" s="705"/>
      <c r="F24" s="734"/>
    </row>
    <row r="25" spans="1:6" ht="15">
      <c r="A25" s="735" t="s">
        <v>567</v>
      </c>
      <c r="B25" s="694" t="s">
        <v>572</v>
      </c>
      <c r="C25" s="508">
        <v>2303</v>
      </c>
      <c r="D25" s="704" t="s">
        <v>692</v>
      </c>
      <c r="E25" s="704" t="s">
        <v>693</v>
      </c>
      <c r="F25" s="523"/>
    </row>
    <row r="26" spans="1:6" ht="15" thickBot="1">
      <c r="A26" s="695"/>
      <c r="B26" s="736"/>
      <c r="C26" s="524" t="s">
        <v>614</v>
      </c>
      <c r="D26" s="737"/>
      <c r="E26" s="737"/>
      <c r="F26" s="523"/>
    </row>
    <row r="27" spans="1:6" ht="15">
      <c r="A27" s="695"/>
      <c r="B27" s="735" t="s">
        <v>568</v>
      </c>
      <c r="C27" s="508">
        <v>2391</v>
      </c>
      <c r="D27" s="738" t="s">
        <v>694</v>
      </c>
      <c r="E27" s="738" t="s">
        <v>695</v>
      </c>
      <c r="F27" s="523"/>
    </row>
    <row r="28" spans="1:6" ht="15" thickBot="1">
      <c r="A28" s="736"/>
      <c r="B28" s="736"/>
      <c r="C28" s="524" t="s">
        <v>614</v>
      </c>
      <c r="D28" s="737"/>
      <c r="E28" s="737"/>
      <c r="F28" s="523"/>
    </row>
    <row r="29" spans="1:6" ht="45" thickBot="1">
      <c r="A29" s="732" t="s">
        <v>569</v>
      </c>
      <c r="B29" s="733"/>
      <c r="C29" s="464">
        <v>4694</v>
      </c>
      <c r="D29" s="464">
        <v>4312</v>
      </c>
      <c r="E29" s="458" t="s">
        <v>696</v>
      </c>
      <c r="F29" s="523"/>
    </row>
    <row r="32" spans="1:6" ht="15.75" thickBot="1">
      <c r="A32" s="473" t="s">
        <v>625</v>
      </c>
    </row>
    <row r="33" spans="1:7" ht="29.25" thickBot="1">
      <c r="A33" s="708" t="s">
        <v>550</v>
      </c>
      <c r="B33" s="711" t="s">
        <v>551</v>
      </c>
      <c r="C33" s="712"/>
      <c r="D33" s="452" t="s">
        <v>552</v>
      </c>
      <c r="E33" s="506" t="s">
        <v>553</v>
      </c>
      <c r="F33" s="506" t="s">
        <v>554</v>
      </c>
      <c r="G33" s="506" t="s">
        <v>555</v>
      </c>
    </row>
    <row r="34" spans="1:7" ht="28.5">
      <c r="A34" s="709"/>
      <c r="B34" s="713"/>
      <c r="C34" s="714"/>
      <c r="D34" s="700" t="s">
        <v>610</v>
      </c>
      <c r="E34" s="700" t="s">
        <v>611</v>
      </c>
      <c r="F34" s="507" t="s">
        <v>558</v>
      </c>
      <c r="G34" s="700" t="s">
        <v>611</v>
      </c>
    </row>
    <row r="35" spans="1:7" ht="15" thickBot="1">
      <c r="A35" s="710"/>
      <c r="B35" s="673"/>
      <c r="C35" s="675"/>
      <c r="D35" s="701"/>
      <c r="E35" s="701"/>
      <c r="F35" s="505" t="s">
        <v>559</v>
      </c>
      <c r="G35" s="701"/>
    </row>
    <row r="36" spans="1:7" ht="14.25" customHeight="1">
      <c r="A36" s="694" t="s">
        <v>560</v>
      </c>
      <c r="B36" s="456" t="s">
        <v>612</v>
      </c>
      <c r="C36" s="702" t="s">
        <v>613</v>
      </c>
      <c r="D36" s="704">
        <v>41113</v>
      </c>
      <c r="E36" s="725" t="s">
        <v>697</v>
      </c>
      <c r="F36" s="725" t="s">
        <v>698</v>
      </c>
      <c r="G36" s="725">
        <v>1216.5999999999999</v>
      </c>
    </row>
    <row r="37" spans="1:7" ht="15" thickBot="1">
      <c r="A37" s="696"/>
      <c r="B37" s="457" t="s">
        <v>551</v>
      </c>
      <c r="C37" s="703"/>
      <c r="D37" s="705"/>
      <c r="E37" s="726"/>
      <c r="F37" s="726"/>
      <c r="G37" s="726"/>
    </row>
    <row r="38" spans="1:7" ht="30.75" thickBot="1">
      <c r="A38" s="676" t="s">
        <v>563</v>
      </c>
      <c r="B38" s="677"/>
      <c r="C38" s="678"/>
      <c r="D38" s="458">
        <v>41113</v>
      </c>
      <c r="E38" s="459" t="s">
        <v>292</v>
      </c>
      <c r="F38" s="460" t="s">
        <v>698</v>
      </c>
      <c r="G38" s="459" t="s">
        <v>292</v>
      </c>
    </row>
    <row r="39" spans="1:7" ht="57.75" thickBot="1">
      <c r="A39" s="708" t="s">
        <v>550</v>
      </c>
      <c r="B39" s="711" t="s">
        <v>551</v>
      </c>
      <c r="C39" s="712"/>
      <c r="D39" s="461" t="s">
        <v>552</v>
      </c>
      <c r="E39" s="505" t="s">
        <v>564</v>
      </c>
      <c r="F39" s="505" t="s">
        <v>554</v>
      </c>
      <c r="G39" s="505" t="s">
        <v>565</v>
      </c>
    </row>
    <row r="40" spans="1:7" ht="72" thickBot="1">
      <c r="A40" s="710"/>
      <c r="B40" s="673"/>
      <c r="C40" s="675"/>
      <c r="D40" s="505" t="s">
        <v>610</v>
      </c>
      <c r="E40" s="505" t="s">
        <v>611</v>
      </c>
      <c r="F40" s="505" t="s">
        <v>566</v>
      </c>
      <c r="G40" s="505" t="s">
        <v>611</v>
      </c>
    </row>
    <row r="41" spans="1:7" ht="14.25" customHeight="1">
      <c r="A41" s="694" t="s">
        <v>567</v>
      </c>
      <c r="B41" s="456" t="s">
        <v>561</v>
      </c>
      <c r="C41" s="702" t="s">
        <v>572</v>
      </c>
      <c r="D41" s="704">
        <v>2303</v>
      </c>
      <c r="E41" s="725">
        <v>3347</v>
      </c>
      <c r="F41" s="725" t="s">
        <v>699</v>
      </c>
      <c r="G41" s="727" t="s">
        <v>292</v>
      </c>
    </row>
    <row r="42" spans="1:7" ht="15" thickBot="1">
      <c r="A42" s="695"/>
      <c r="B42" s="457" t="s">
        <v>551</v>
      </c>
      <c r="C42" s="703"/>
      <c r="D42" s="705"/>
      <c r="E42" s="726"/>
      <c r="F42" s="726"/>
      <c r="G42" s="728"/>
    </row>
    <row r="43" spans="1:7" ht="30" thickBot="1">
      <c r="A43" s="696"/>
      <c r="B43" s="457" t="s">
        <v>663</v>
      </c>
      <c r="C43" s="463" t="s">
        <v>568</v>
      </c>
      <c r="D43" s="464">
        <v>2391</v>
      </c>
      <c r="E43" s="459">
        <v>1000</v>
      </c>
      <c r="F43" s="459" t="s">
        <v>700</v>
      </c>
      <c r="G43" s="465"/>
    </row>
    <row r="44" spans="1:7" ht="30.75" thickBot="1">
      <c r="A44" s="676" t="s">
        <v>563</v>
      </c>
      <c r="B44" s="677"/>
      <c r="C44" s="678"/>
      <c r="D44" s="458">
        <v>4694</v>
      </c>
      <c r="E44" s="460" t="s">
        <v>292</v>
      </c>
      <c r="F44" s="460" t="s">
        <v>701</v>
      </c>
      <c r="G44" s="465" t="s">
        <v>292</v>
      </c>
    </row>
    <row r="45" spans="1:7" ht="45" thickBot="1">
      <c r="A45" s="676" t="s">
        <v>569</v>
      </c>
      <c r="B45" s="677"/>
      <c r="C45" s="678"/>
      <c r="D45" s="458">
        <v>45807</v>
      </c>
      <c r="E45" s="459" t="s">
        <v>292</v>
      </c>
      <c r="F45" s="460" t="s">
        <v>702</v>
      </c>
      <c r="G45" s="465" t="s">
        <v>292</v>
      </c>
    </row>
  </sheetData>
  <mergeCells count="66">
    <mergeCell ref="A2:A4"/>
    <mergeCell ref="B2:B4"/>
    <mergeCell ref="A5:A9"/>
    <mergeCell ref="B5:B6"/>
    <mergeCell ref="D5:D6"/>
    <mergeCell ref="A10:A13"/>
    <mergeCell ref="B10:B11"/>
    <mergeCell ref="D10:D11"/>
    <mergeCell ref="E10:E11"/>
    <mergeCell ref="F10:F11"/>
    <mergeCell ref="B12:B13"/>
    <mergeCell ref="D12:D13"/>
    <mergeCell ref="E12:E13"/>
    <mergeCell ref="F12:F13"/>
    <mergeCell ref="F5:F6"/>
    <mergeCell ref="B7:B8"/>
    <mergeCell ref="D7:D8"/>
    <mergeCell ref="E7:E8"/>
    <mergeCell ref="F7:F8"/>
    <mergeCell ref="E5:E6"/>
    <mergeCell ref="A14:B14"/>
    <mergeCell ref="A17:A18"/>
    <mergeCell ref="B17:B18"/>
    <mergeCell ref="E17:E18"/>
    <mergeCell ref="A19:A24"/>
    <mergeCell ref="B19:B20"/>
    <mergeCell ref="D19:D20"/>
    <mergeCell ref="E19:E20"/>
    <mergeCell ref="B21:B22"/>
    <mergeCell ref="D21:D22"/>
    <mergeCell ref="E21:E22"/>
    <mergeCell ref="B23:B24"/>
    <mergeCell ref="C23:C24"/>
    <mergeCell ref="E23:E24"/>
    <mergeCell ref="A16:D16"/>
    <mergeCell ref="F23:F24"/>
    <mergeCell ref="A25:A28"/>
    <mergeCell ref="B25:B26"/>
    <mergeCell ref="D25:D26"/>
    <mergeCell ref="E25:E26"/>
    <mergeCell ref="B27:B28"/>
    <mergeCell ref="D27:D28"/>
    <mergeCell ref="E27:E28"/>
    <mergeCell ref="A29:B29"/>
    <mergeCell ref="A33:A35"/>
    <mergeCell ref="B33:C35"/>
    <mergeCell ref="D34:D35"/>
    <mergeCell ref="E34:E35"/>
    <mergeCell ref="G34:G35"/>
    <mergeCell ref="A36:A37"/>
    <mergeCell ref="C36:C37"/>
    <mergeCell ref="D36:D37"/>
    <mergeCell ref="E36:E37"/>
    <mergeCell ref="F36:F37"/>
    <mergeCell ref="G36:G37"/>
    <mergeCell ref="A38:C38"/>
    <mergeCell ref="A39:A40"/>
    <mergeCell ref="B39:C40"/>
    <mergeCell ref="A41:A43"/>
    <mergeCell ref="C41:C42"/>
    <mergeCell ref="E41:E42"/>
    <mergeCell ref="F41:F42"/>
    <mergeCell ref="G41:G42"/>
    <mergeCell ref="A44:C44"/>
    <mergeCell ref="A45:C45"/>
    <mergeCell ref="D41:D4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9.9978637043366805E-2"/>
  </sheetPr>
  <dimension ref="A1:L60"/>
  <sheetViews>
    <sheetView zoomScale="95" zoomScaleNormal="95" workbookViewId="0">
      <selection activeCell="D58" sqref="D58"/>
    </sheetView>
  </sheetViews>
  <sheetFormatPr defaultRowHeight="18.75" customHeight="1"/>
  <cols>
    <col min="1" max="1" width="5.375" style="24" customWidth="1"/>
    <col min="2" max="2" width="31.625" style="37" customWidth="1"/>
    <col min="3" max="3" width="11.25" style="27" customWidth="1"/>
    <col min="4" max="4" width="12.5" style="27" customWidth="1"/>
    <col min="5" max="5" width="11.75" style="27" customWidth="1"/>
    <col min="6" max="6" width="11.25" style="27" customWidth="1"/>
    <col min="7" max="7" width="14.5" style="27" customWidth="1"/>
    <col min="8" max="10" width="11.25" style="27" customWidth="1"/>
    <col min="11" max="11" width="9" style="27"/>
    <col min="12" max="12" width="10.125" style="27" customWidth="1"/>
    <col min="13" max="256" width="9" style="27"/>
    <col min="257" max="257" width="5.375" style="27" customWidth="1"/>
    <col min="258" max="258" width="31.625" style="27" customWidth="1"/>
    <col min="259" max="259" width="11.25" style="27" customWidth="1"/>
    <col min="260" max="260" width="12.5" style="27" customWidth="1"/>
    <col min="261" max="261" width="11.75" style="27" customWidth="1"/>
    <col min="262" max="262" width="11.25" style="27" customWidth="1"/>
    <col min="263" max="263" width="14.5" style="27" customWidth="1"/>
    <col min="264" max="266" width="11.25" style="27" customWidth="1"/>
    <col min="267" max="512" width="9" style="27"/>
    <col min="513" max="513" width="5.375" style="27" customWidth="1"/>
    <col min="514" max="514" width="31.625" style="27" customWidth="1"/>
    <col min="515" max="515" width="11.25" style="27" customWidth="1"/>
    <col min="516" max="516" width="12.5" style="27" customWidth="1"/>
    <col min="517" max="517" width="11.75" style="27" customWidth="1"/>
    <col min="518" max="518" width="11.25" style="27" customWidth="1"/>
    <col min="519" max="519" width="14.5" style="27" customWidth="1"/>
    <col min="520" max="522" width="11.25" style="27" customWidth="1"/>
    <col min="523" max="768" width="9" style="27"/>
    <col min="769" max="769" width="5.375" style="27" customWidth="1"/>
    <col min="770" max="770" width="31.625" style="27" customWidth="1"/>
    <col min="771" max="771" width="11.25" style="27" customWidth="1"/>
    <col min="772" max="772" width="12.5" style="27" customWidth="1"/>
    <col min="773" max="773" width="11.75" style="27" customWidth="1"/>
    <col min="774" max="774" width="11.25" style="27" customWidth="1"/>
    <col min="775" max="775" width="14.5" style="27" customWidth="1"/>
    <col min="776" max="778" width="11.25" style="27" customWidth="1"/>
    <col min="779" max="1024" width="9" style="27"/>
    <col min="1025" max="1025" width="5.375" style="27" customWidth="1"/>
    <col min="1026" max="1026" width="31.625" style="27" customWidth="1"/>
    <col min="1027" max="1027" width="11.25" style="27" customWidth="1"/>
    <col min="1028" max="1028" width="12.5" style="27" customWidth="1"/>
    <col min="1029" max="1029" width="11.75" style="27" customWidth="1"/>
    <col min="1030" max="1030" width="11.25" style="27" customWidth="1"/>
    <col min="1031" max="1031" width="14.5" style="27" customWidth="1"/>
    <col min="1032" max="1034" width="11.25" style="27" customWidth="1"/>
    <col min="1035" max="1280" width="9" style="27"/>
    <col min="1281" max="1281" width="5.375" style="27" customWidth="1"/>
    <col min="1282" max="1282" width="31.625" style="27" customWidth="1"/>
    <col min="1283" max="1283" width="11.25" style="27" customWidth="1"/>
    <col min="1284" max="1284" width="12.5" style="27" customWidth="1"/>
    <col min="1285" max="1285" width="11.75" style="27" customWidth="1"/>
    <col min="1286" max="1286" width="11.25" style="27" customWidth="1"/>
    <col min="1287" max="1287" width="14.5" style="27" customWidth="1"/>
    <col min="1288" max="1290" width="11.25" style="27" customWidth="1"/>
    <col min="1291" max="1536" width="9" style="27"/>
    <col min="1537" max="1537" width="5.375" style="27" customWidth="1"/>
    <col min="1538" max="1538" width="31.625" style="27" customWidth="1"/>
    <col min="1539" max="1539" width="11.25" style="27" customWidth="1"/>
    <col min="1540" max="1540" width="12.5" style="27" customWidth="1"/>
    <col min="1541" max="1541" width="11.75" style="27" customWidth="1"/>
    <col min="1542" max="1542" width="11.25" style="27" customWidth="1"/>
    <col min="1543" max="1543" width="14.5" style="27" customWidth="1"/>
    <col min="1544" max="1546" width="11.25" style="27" customWidth="1"/>
    <col min="1547" max="1792" width="9" style="27"/>
    <col min="1793" max="1793" width="5.375" style="27" customWidth="1"/>
    <col min="1794" max="1794" width="31.625" style="27" customWidth="1"/>
    <col min="1795" max="1795" width="11.25" style="27" customWidth="1"/>
    <col min="1796" max="1796" width="12.5" style="27" customWidth="1"/>
    <col min="1797" max="1797" width="11.75" style="27" customWidth="1"/>
    <col min="1798" max="1798" width="11.25" style="27" customWidth="1"/>
    <col min="1799" max="1799" width="14.5" style="27" customWidth="1"/>
    <col min="1800" max="1802" width="11.25" style="27" customWidth="1"/>
    <col min="1803" max="2048" width="9" style="27"/>
    <col min="2049" max="2049" width="5.375" style="27" customWidth="1"/>
    <col min="2050" max="2050" width="31.625" style="27" customWidth="1"/>
    <col min="2051" max="2051" width="11.25" style="27" customWidth="1"/>
    <col min="2052" max="2052" width="12.5" style="27" customWidth="1"/>
    <col min="2053" max="2053" width="11.75" style="27" customWidth="1"/>
    <col min="2054" max="2054" width="11.25" style="27" customWidth="1"/>
    <col min="2055" max="2055" width="14.5" style="27" customWidth="1"/>
    <col min="2056" max="2058" width="11.25" style="27" customWidth="1"/>
    <col min="2059" max="2304" width="9" style="27"/>
    <col min="2305" max="2305" width="5.375" style="27" customWidth="1"/>
    <col min="2306" max="2306" width="31.625" style="27" customWidth="1"/>
    <col min="2307" max="2307" width="11.25" style="27" customWidth="1"/>
    <col min="2308" max="2308" width="12.5" style="27" customWidth="1"/>
    <col min="2309" max="2309" width="11.75" style="27" customWidth="1"/>
    <col min="2310" max="2310" width="11.25" style="27" customWidth="1"/>
    <col min="2311" max="2311" width="14.5" style="27" customWidth="1"/>
    <col min="2312" max="2314" width="11.25" style="27" customWidth="1"/>
    <col min="2315" max="2560" width="9" style="27"/>
    <col min="2561" max="2561" width="5.375" style="27" customWidth="1"/>
    <col min="2562" max="2562" width="31.625" style="27" customWidth="1"/>
    <col min="2563" max="2563" width="11.25" style="27" customWidth="1"/>
    <col min="2564" max="2564" width="12.5" style="27" customWidth="1"/>
    <col min="2565" max="2565" width="11.75" style="27" customWidth="1"/>
    <col min="2566" max="2566" width="11.25" style="27" customWidth="1"/>
    <col min="2567" max="2567" width="14.5" style="27" customWidth="1"/>
    <col min="2568" max="2570" width="11.25" style="27" customWidth="1"/>
    <col min="2571" max="2816" width="9" style="27"/>
    <col min="2817" max="2817" width="5.375" style="27" customWidth="1"/>
    <col min="2818" max="2818" width="31.625" style="27" customWidth="1"/>
    <col min="2819" max="2819" width="11.25" style="27" customWidth="1"/>
    <col min="2820" max="2820" width="12.5" style="27" customWidth="1"/>
    <col min="2821" max="2821" width="11.75" style="27" customWidth="1"/>
    <col min="2822" max="2822" width="11.25" style="27" customWidth="1"/>
    <col min="2823" max="2823" width="14.5" style="27" customWidth="1"/>
    <col min="2824" max="2826" width="11.25" style="27" customWidth="1"/>
    <col min="2827" max="3072" width="9" style="27"/>
    <col min="3073" max="3073" width="5.375" style="27" customWidth="1"/>
    <col min="3074" max="3074" width="31.625" style="27" customWidth="1"/>
    <col min="3075" max="3075" width="11.25" style="27" customWidth="1"/>
    <col min="3076" max="3076" width="12.5" style="27" customWidth="1"/>
    <col min="3077" max="3077" width="11.75" style="27" customWidth="1"/>
    <col min="3078" max="3078" width="11.25" style="27" customWidth="1"/>
    <col min="3079" max="3079" width="14.5" style="27" customWidth="1"/>
    <col min="3080" max="3082" width="11.25" style="27" customWidth="1"/>
    <col min="3083" max="3328" width="9" style="27"/>
    <col min="3329" max="3329" width="5.375" style="27" customWidth="1"/>
    <col min="3330" max="3330" width="31.625" style="27" customWidth="1"/>
    <col min="3331" max="3331" width="11.25" style="27" customWidth="1"/>
    <col min="3332" max="3332" width="12.5" style="27" customWidth="1"/>
    <col min="3333" max="3333" width="11.75" style="27" customWidth="1"/>
    <col min="3334" max="3334" width="11.25" style="27" customWidth="1"/>
    <col min="3335" max="3335" width="14.5" style="27" customWidth="1"/>
    <col min="3336" max="3338" width="11.25" style="27" customWidth="1"/>
    <col min="3339" max="3584" width="9" style="27"/>
    <col min="3585" max="3585" width="5.375" style="27" customWidth="1"/>
    <col min="3586" max="3586" width="31.625" style="27" customWidth="1"/>
    <col min="3587" max="3587" width="11.25" style="27" customWidth="1"/>
    <col min="3588" max="3588" width="12.5" style="27" customWidth="1"/>
    <col min="3589" max="3589" width="11.75" style="27" customWidth="1"/>
    <col min="3590" max="3590" width="11.25" style="27" customWidth="1"/>
    <col min="3591" max="3591" width="14.5" style="27" customWidth="1"/>
    <col min="3592" max="3594" width="11.25" style="27" customWidth="1"/>
    <col min="3595" max="3840" width="9" style="27"/>
    <col min="3841" max="3841" width="5.375" style="27" customWidth="1"/>
    <col min="3842" max="3842" width="31.625" style="27" customWidth="1"/>
    <col min="3843" max="3843" width="11.25" style="27" customWidth="1"/>
    <col min="3844" max="3844" width="12.5" style="27" customWidth="1"/>
    <col min="3845" max="3845" width="11.75" style="27" customWidth="1"/>
    <col min="3846" max="3846" width="11.25" style="27" customWidth="1"/>
    <col min="3847" max="3847" width="14.5" style="27" customWidth="1"/>
    <col min="3848" max="3850" width="11.25" style="27" customWidth="1"/>
    <col min="3851" max="4096" width="9" style="27"/>
    <col min="4097" max="4097" width="5.375" style="27" customWidth="1"/>
    <col min="4098" max="4098" width="31.625" style="27" customWidth="1"/>
    <col min="4099" max="4099" width="11.25" style="27" customWidth="1"/>
    <col min="4100" max="4100" width="12.5" style="27" customWidth="1"/>
    <col min="4101" max="4101" width="11.75" style="27" customWidth="1"/>
    <col min="4102" max="4102" width="11.25" style="27" customWidth="1"/>
    <col min="4103" max="4103" width="14.5" style="27" customWidth="1"/>
    <col min="4104" max="4106" width="11.25" style="27" customWidth="1"/>
    <col min="4107" max="4352" width="9" style="27"/>
    <col min="4353" max="4353" width="5.375" style="27" customWidth="1"/>
    <col min="4354" max="4354" width="31.625" style="27" customWidth="1"/>
    <col min="4355" max="4355" width="11.25" style="27" customWidth="1"/>
    <col min="4356" max="4356" width="12.5" style="27" customWidth="1"/>
    <col min="4357" max="4357" width="11.75" style="27" customWidth="1"/>
    <col min="4358" max="4358" width="11.25" style="27" customWidth="1"/>
    <col min="4359" max="4359" width="14.5" style="27" customWidth="1"/>
    <col min="4360" max="4362" width="11.25" style="27" customWidth="1"/>
    <col min="4363" max="4608" width="9" style="27"/>
    <col min="4609" max="4609" width="5.375" style="27" customWidth="1"/>
    <col min="4610" max="4610" width="31.625" style="27" customWidth="1"/>
    <col min="4611" max="4611" width="11.25" style="27" customWidth="1"/>
    <col min="4612" max="4612" width="12.5" style="27" customWidth="1"/>
    <col min="4613" max="4613" width="11.75" style="27" customWidth="1"/>
    <col min="4614" max="4614" width="11.25" style="27" customWidth="1"/>
    <col min="4615" max="4615" width="14.5" style="27" customWidth="1"/>
    <col min="4616" max="4618" width="11.25" style="27" customWidth="1"/>
    <col min="4619" max="4864" width="9" style="27"/>
    <col min="4865" max="4865" width="5.375" style="27" customWidth="1"/>
    <col min="4866" max="4866" width="31.625" style="27" customWidth="1"/>
    <col min="4867" max="4867" width="11.25" style="27" customWidth="1"/>
    <col min="4868" max="4868" width="12.5" style="27" customWidth="1"/>
    <col min="4869" max="4869" width="11.75" style="27" customWidth="1"/>
    <col min="4870" max="4870" width="11.25" style="27" customWidth="1"/>
    <col min="4871" max="4871" width="14.5" style="27" customWidth="1"/>
    <col min="4872" max="4874" width="11.25" style="27" customWidth="1"/>
    <col min="4875" max="5120" width="9" style="27"/>
    <col min="5121" max="5121" width="5.375" style="27" customWidth="1"/>
    <col min="5122" max="5122" width="31.625" style="27" customWidth="1"/>
    <col min="5123" max="5123" width="11.25" style="27" customWidth="1"/>
    <col min="5124" max="5124" width="12.5" style="27" customWidth="1"/>
    <col min="5125" max="5125" width="11.75" style="27" customWidth="1"/>
    <col min="5126" max="5126" width="11.25" style="27" customWidth="1"/>
    <col min="5127" max="5127" width="14.5" style="27" customWidth="1"/>
    <col min="5128" max="5130" width="11.25" style="27" customWidth="1"/>
    <col min="5131" max="5376" width="9" style="27"/>
    <col min="5377" max="5377" width="5.375" style="27" customWidth="1"/>
    <col min="5378" max="5378" width="31.625" style="27" customWidth="1"/>
    <col min="5379" max="5379" width="11.25" style="27" customWidth="1"/>
    <col min="5380" max="5380" width="12.5" style="27" customWidth="1"/>
    <col min="5381" max="5381" width="11.75" style="27" customWidth="1"/>
    <col min="5382" max="5382" width="11.25" style="27" customWidth="1"/>
    <col min="5383" max="5383" width="14.5" style="27" customWidth="1"/>
    <col min="5384" max="5386" width="11.25" style="27" customWidth="1"/>
    <col min="5387" max="5632" width="9" style="27"/>
    <col min="5633" max="5633" width="5.375" style="27" customWidth="1"/>
    <col min="5634" max="5634" width="31.625" style="27" customWidth="1"/>
    <col min="5635" max="5635" width="11.25" style="27" customWidth="1"/>
    <col min="5636" max="5636" width="12.5" style="27" customWidth="1"/>
    <col min="5637" max="5637" width="11.75" style="27" customWidth="1"/>
    <col min="5638" max="5638" width="11.25" style="27" customWidth="1"/>
    <col min="5639" max="5639" width="14.5" style="27" customWidth="1"/>
    <col min="5640" max="5642" width="11.25" style="27" customWidth="1"/>
    <col min="5643" max="5888" width="9" style="27"/>
    <col min="5889" max="5889" width="5.375" style="27" customWidth="1"/>
    <col min="5890" max="5890" width="31.625" style="27" customWidth="1"/>
    <col min="5891" max="5891" width="11.25" style="27" customWidth="1"/>
    <col min="5892" max="5892" width="12.5" style="27" customWidth="1"/>
    <col min="5893" max="5893" width="11.75" style="27" customWidth="1"/>
    <col min="5894" max="5894" width="11.25" style="27" customWidth="1"/>
    <col min="5895" max="5895" width="14.5" style="27" customWidth="1"/>
    <col min="5896" max="5898" width="11.25" style="27" customWidth="1"/>
    <col min="5899" max="6144" width="9" style="27"/>
    <col min="6145" max="6145" width="5.375" style="27" customWidth="1"/>
    <col min="6146" max="6146" width="31.625" style="27" customWidth="1"/>
    <col min="6147" max="6147" width="11.25" style="27" customWidth="1"/>
    <col min="6148" max="6148" width="12.5" style="27" customWidth="1"/>
    <col min="6149" max="6149" width="11.75" style="27" customWidth="1"/>
    <col min="6150" max="6150" width="11.25" style="27" customWidth="1"/>
    <col min="6151" max="6151" width="14.5" style="27" customWidth="1"/>
    <col min="6152" max="6154" width="11.25" style="27" customWidth="1"/>
    <col min="6155" max="6400" width="9" style="27"/>
    <col min="6401" max="6401" width="5.375" style="27" customWidth="1"/>
    <col min="6402" max="6402" width="31.625" style="27" customWidth="1"/>
    <col min="6403" max="6403" width="11.25" style="27" customWidth="1"/>
    <col min="6404" max="6404" width="12.5" style="27" customWidth="1"/>
    <col min="6405" max="6405" width="11.75" style="27" customWidth="1"/>
    <col min="6406" max="6406" width="11.25" style="27" customWidth="1"/>
    <col min="6407" max="6407" width="14.5" style="27" customWidth="1"/>
    <col min="6408" max="6410" width="11.25" style="27" customWidth="1"/>
    <col min="6411" max="6656" width="9" style="27"/>
    <col min="6657" max="6657" width="5.375" style="27" customWidth="1"/>
    <col min="6658" max="6658" width="31.625" style="27" customWidth="1"/>
    <col min="6659" max="6659" width="11.25" style="27" customWidth="1"/>
    <col min="6660" max="6660" width="12.5" style="27" customWidth="1"/>
    <col min="6661" max="6661" width="11.75" style="27" customWidth="1"/>
    <col min="6662" max="6662" width="11.25" style="27" customWidth="1"/>
    <col min="6663" max="6663" width="14.5" style="27" customWidth="1"/>
    <col min="6664" max="6666" width="11.25" style="27" customWidth="1"/>
    <col min="6667" max="6912" width="9" style="27"/>
    <col min="6913" max="6913" width="5.375" style="27" customWidth="1"/>
    <col min="6914" max="6914" width="31.625" style="27" customWidth="1"/>
    <col min="6915" max="6915" width="11.25" style="27" customWidth="1"/>
    <col min="6916" max="6916" width="12.5" style="27" customWidth="1"/>
    <col min="6917" max="6917" width="11.75" style="27" customWidth="1"/>
    <col min="6918" max="6918" width="11.25" style="27" customWidth="1"/>
    <col min="6919" max="6919" width="14.5" style="27" customWidth="1"/>
    <col min="6920" max="6922" width="11.25" style="27" customWidth="1"/>
    <col min="6923" max="7168" width="9" style="27"/>
    <col min="7169" max="7169" width="5.375" style="27" customWidth="1"/>
    <col min="7170" max="7170" width="31.625" style="27" customWidth="1"/>
    <col min="7171" max="7171" width="11.25" style="27" customWidth="1"/>
    <col min="7172" max="7172" width="12.5" style="27" customWidth="1"/>
    <col min="7173" max="7173" width="11.75" style="27" customWidth="1"/>
    <col min="7174" max="7174" width="11.25" style="27" customWidth="1"/>
    <col min="7175" max="7175" width="14.5" style="27" customWidth="1"/>
    <col min="7176" max="7178" width="11.25" style="27" customWidth="1"/>
    <col min="7179" max="7424" width="9" style="27"/>
    <col min="7425" max="7425" width="5.375" style="27" customWidth="1"/>
    <col min="7426" max="7426" width="31.625" style="27" customWidth="1"/>
    <col min="7427" max="7427" width="11.25" style="27" customWidth="1"/>
    <col min="7428" max="7428" width="12.5" style="27" customWidth="1"/>
    <col min="7429" max="7429" width="11.75" style="27" customWidth="1"/>
    <col min="7430" max="7430" width="11.25" style="27" customWidth="1"/>
    <col min="7431" max="7431" width="14.5" style="27" customWidth="1"/>
    <col min="7432" max="7434" width="11.25" style="27" customWidth="1"/>
    <col min="7435" max="7680" width="9" style="27"/>
    <col min="7681" max="7681" width="5.375" style="27" customWidth="1"/>
    <col min="7682" max="7682" width="31.625" style="27" customWidth="1"/>
    <col min="7683" max="7683" width="11.25" style="27" customWidth="1"/>
    <col min="7684" max="7684" width="12.5" style="27" customWidth="1"/>
    <col min="7685" max="7685" width="11.75" style="27" customWidth="1"/>
    <col min="7686" max="7686" width="11.25" style="27" customWidth="1"/>
    <col min="7687" max="7687" width="14.5" style="27" customWidth="1"/>
    <col min="7688" max="7690" width="11.25" style="27" customWidth="1"/>
    <col min="7691" max="7936" width="9" style="27"/>
    <col min="7937" max="7937" width="5.375" style="27" customWidth="1"/>
    <col min="7938" max="7938" width="31.625" style="27" customWidth="1"/>
    <col min="7939" max="7939" width="11.25" style="27" customWidth="1"/>
    <col min="7940" max="7940" width="12.5" style="27" customWidth="1"/>
    <col min="7941" max="7941" width="11.75" style="27" customWidth="1"/>
    <col min="7942" max="7942" width="11.25" style="27" customWidth="1"/>
    <col min="7943" max="7943" width="14.5" style="27" customWidth="1"/>
    <col min="7944" max="7946" width="11.25" style="27" customWidth="1"/>
    <col min="7947" max="8192" width="9" style="27"/>
    <col min="8193" max="8193" width="5.375" style="27" customWidth="1"/>
    <col min="8194" max="8194" width="31.625" style="27" customWidth="1"/>
    <col min="8195" max="8195" width="11.25" style="27" customWidth="1"/>
    <col min="8196" max="8196" width="12.5" style="27" customWidth="1"/>
    <col min="8197" max="8197" width="11.75" style="27" customWidth="1"/>
    <col min="8198" max="8198" width="11.25" style="27" customWidth="1"/>
    <col min="8199" max="8199" width="14.5" style="27" customWidth="1"/>
    <col min="8200" max="8202" width="11.25" style="27" customWidth="1"/>
    <col min="8203" max="8448" width="9" style="27"/>
    <col min="8449" max="8449" width="5.375" style="27" customWidth="1"/>
    <col min="8450" max="8450" width="31.625" style="27" customWidth="1"/>
    <col min="8451" max="8451" width="11.25" style="27" customWidth="1"/>
    <col min="8452" max="8452" width="12.5" style="27" customWidth="1"/>
    <col min="8453" max="8453" width="11.75" style="27" customWidth="1"/>
    <col min="8454" max="8454" width="11.25" style="27" customWidth="1"/>
    <col min="8455" max="8455" width="14.5" style="27" customWidth="1"/>
    <col min="8456" max="8458" width="11.25" style="27" customWidth="1"/>
    <col min="8459" max="8704" width="9" style="27"/>
    <col min="8705" max="8705" width="5.375" style="27" customWidth="1"/>
    <col min="8706" max="8706" width="31.625" style="27" customWidth="1"/>
    <col min="8707" max="8707" width="11.25" style="27" customWidth="1"/>
    <col min="8708" max="8708" width="12.5" style="27" customWidth="1"/>
    <col min="8709" max="8709" width="11.75" style="27" customWidth="1"/>
    <col min="8710" max="8710" width="11.25" style="27" customWidth="1"/>
    <col min="8711" max="8711" width="14.5" style="27" customWidth="1"/>
    <col min="8712" max="8714" width="11.25" style="27" customWidth="1"/>
    <col min="8715" max="8960" width="9" style="27"/>
    <col min="8961" max="8961" width="5.375" style="27" customWidth="1"/>
    <col min="8962" max="8962" width="31.625" style="27" customWidth="1"/>
    <col min="8963" max="8963" width="11.25" style="27" customWidth="1"/>
    <col min="8964" max="8964" width="12.5" style="27" customWidth="1"/>
    <col min="8965" max="8965" width="11.75" style="27" customWidth="1"/>
    <col min="8966" max="8966" width="11.25" style="27" customWidth="1"/>
    <col min="8967" max="8967" width="14.5" style="27" customWidth="1"/>
    <col min="8968" max="8970" width="11.25" style="27" customWidth="1"/>
    <col min="8971" max="9216" width="9" style="27"/>
    <col min="9217" max="9217" width="5.375" style="27" customWidth="1"/>
    <col min="9218" max="9218" width="31.625" style="27" customWidth="1"/>
    <col min="9219" max="9219" width="11.25" style="27" customWidth="1"/>
    <col min="9220" max="9220" width="12.5" style="27" customWidth="1"/>
    <col min="9221" max="9221" width="11.75" style="27" customWidth="1"/>
    <col min="9222" max="9222" width="11.25" style="27" customWidth="1"/>
    <col min="9223" max="9223" width="14.5" style="27" customWidth="1"/>
    <col min="9224" max="9226" width="11.25" style="27" customWidth="1"/>
    <col min="9227" max="9472" width="9" style="27"/>
    <col min="9473" max="9473" width="5.375" style="27" customWidth="1"/>
    <col min="9474" max="9474" width="31.625" style="27" customWidth="1"/>
    <col min="9475" max="9475" width="11.25" style="27" customWidth="1"/>
    <col min="9476" max="9476" width="12.5" style="27" customWidth="1"/>
    <col min="9477" max="9477" width="11.75" style="27" customWidth="1"/>
    <col min="9478" max="9478" width="11.25" style="27" customWidth="1"/>
    <col min="9479" max="9479" width="14.5" style="27" customWidth="1"/>
    <col min="9480" max="9482" width="11.25" style="27" customWidth="1"/>
    <col min="9483" max="9728" width="9" style="27"/>
    <col min="9729" max="9729" width="5.375" style="27" customWidth="1"/>
    <col min="9730" max="9730" width="31.625" style="27" customWidth="1"/>
    <col min="9731" max="9731" width="11.25" style="27" customWidth="1"/>
    <col min="9732" max="9732" width="12.5" style="27" customWidth="1"/>
    <col min="9733" max="9733" width="11.75" style="27" customWidth="1"/>
    <col min="9734" max="9734" width="11.25" style="27" customWidth="1"/>
    <col min="9735" max="9735" width="14.5" style="27" customWidth="1"/>
    <col min="9736" max="9738" width="11.25" style="27" customWidth="1"/>
    <col min="9739" max="9984" width="9" style="27"/>
    <col min="9985" max="9985" width="5.375" style="27" customWidth="1"/>
    <col min="9986" max="9986" width="31.625" style="27" customWidth="1"/>
    <col min="9987" max="9987" width="11.25" style="27" customWidth="1"/>
    <col min="9988" max="9988" width="12.5" style="27" customWidth="1"/>
    <col min="9989" max="9989" width="11.75" style="27" customWidth="1"/>
    <col min="9990" max="9990" width="11.25" style="27" customWidth="1"/>
    <col min="9991" max="9991" width="14.5" style="27" customWidth="1"/>
    <col min="9992" max="9994" width="11.25" style="27" customWidth="1"/>
    <col min="9995" max="10240" width="9" style="27"/>
    <col min="10241" max="10241" width="5.375" style="27" customWidth="1"/>
    <col min="10242" max="10242" width="31.625" style="27" customWidth="1"/>
    <col min="10243" max="10243" width="11.25" style="27" customWidth="1"/>
    <col min="10244" max="10244" width="12.5" style="27" customWidth="1"/>
    <col min="10245" max="10245" width="11.75" style="27" customWidth="1"/>
    <col min="10246" max="10246" width="11.25" style="27" customWidth="1"/>
    <col min="10247" max="10247" width="14.5" style="27" customWidth="1"/>
    <col min="10248" max="10250" width="11.25" style="27" customWidth="1"/>
    <col min="10251" max="10496" width="9" style="27"/>
    <col min="10497" max="10497" width="5.375" style="27" customWidth="1"/>
    <col min="10498" max="10498" width="31.625" style="27" customWidth="1"/>
    <col min="10499" max="10499" width="11.25" style="27" customWidth="1"/>
    <col min="10500" max="10500" width="12.5" style="27" customWidth="1"/>
    <col min="10501" max="10501" width="11.75" style="27" customWidth="1"/>
    <col min="10502" max="10502" width="11.25" style="27" customWidth="1"/>
    <col min="10503" max="10503" width="14.5" style="27" customWidth="1"/>
    <col min="10504" max="10506" width="11.25" style="27" customWidth="1"/>
    <col min="10507" max="10752" width="9" style="27"/>
    <col min="10753" max="10753" width="5.375" style="27" customWidth="1"/>
    <col min="10754" max="10754" width="31.625" style="27" customWidth="1"/>
    <col min="10755" max="10755" width="11.25" style="27" customWidth="1"/>
    <col min="10756" max="10756" width="12.5" style="27" customWidth="1"/>
    <col min="10757" max="10757" width="11.75" style="27" customWidth="1"/>
    <col min="10758" max="10758" width="11.25" style="27" customWidth="1"/>
    <col min="10759" max="10759" width="14.5" style="27" customWidth="1"/>
    <col min="10760" max="10762" width="11.25" style="27" customWidth="1"/>
    <col min="10763" max="11008" width="9" style="27"/>
    <col min="11009" max="11009" width="5.375" style="27" customWidth="1"/>
    <col min="11010" max="11010" width="31.625" style="27" customWidth="1"/>
    <col min="11011" max="11011" width="11.25" style="27" customWidth="1"/>
    <col min="11012" max="11012" width="12.5" style="27" customWidth="1"/>
    <col min="11013" max="11013" width="11.75" style="27" customWidth="1"/>
    <col min="11014" max="11014" width="11.25" style="27" customWidth="1"/>
    <col min="11015" max="11015" width="14.5" style="27" customWidth="1"/>
    <col min="11016" max="11018" width="11.25" style="27" customWidth="1"/>
    <col min="11019" max="11264" width="9" style="27"/>
    <col min="11265" max="11265" width="5.375" style="27" customWidth="1"/>
    <col min="11266" max="11266" width="31.625" style="27" customWidth="1"/>
    <col min="11267" max="11267" width="11.25" style="27" customWidth="1"/>
    <col min="11268" max="11268" width="12.5" style="27" customWidth="1"/>
    <col min="11269" max="11269" width="11.75" style="27" customWidth="1"/>
    <col min="11270" max="11270" width="11.25" style="27" customWidth="1"/>
    <col min="11271" max="11271" width="14.5" style="27" customWidth="1"/>
    <col min="11272" max="11274" width="11.25" style="27" customWidth="1"/>
    <col min="11275" max="11520" width="9" style="27"/>
    <col min="11521" max="11521" width="5.375" style="27" customWidth="1"/>
    <col min="11522" max="11522" width="31.625" style="27" customWidth="1"/>
    <col min="11523" max="11523" width="11.25" style="27" customWidth="1"/>
    <col min="11524" max="11524" width="12.5" style="27" customWidth="1"/>
    <col min="11525" max="11525" width="11.75" style="27" customWidth="1"/>
    <col min="11526" max="11526" width="11.25" style="27" customWidth="1"/>
    <col min="11527" max="11527" width="14.5" style="27" customWidth="1"/>
    <col min="11528" max="11530" width="11.25" style="27" customWidth="1"/>
    <col min="11531" max="11776" width="9" style="27"/>
    <col min="11777" max="11777" width="5.375" style="27" customWidth="1"/>
    <col min="11778" max="11778" width="31.625" style="27" customWidth="1"/>
    <col min="11779" max="11779" width="11.25" style="27" customWidth="1"/>
    <col min="11780" max="11780" width="12.5" style="27" customWidth="1"/>
    <col min="11781" max="11781" width="11.75" style="27" customWidth="1"/>
    <col min="11782" max="11782" width="11.25" style="27" customWidth="1"/>
    <col min="11783" max="11783" width="14.5" style="27" customWidth="1"/>
    <col min="11784" max="11786" width="11.25" style="27" customWidth="1"/>
    <col min="11787" max="12032" width="9" style="27"/>
    <col min="12033" max="12033" width="5.375" style="27" customWidth="1"/>
    <col min="12034" max="12034" width="31.625" style="27" customWidth="1"/>
    <col min="12035" max="12035" width="11.25" style="27" customWidth="1"/>
    <col min="12036" max="12036" width="12.5" style="27" customWidth="1"/>
    <col min="12037" max="12037" width="11.75" style="27" customWidth="1"/>
    <col min="12038" max="12038" width="11.25" style="27" customWidth="1"/>
    <col min="12039" max="12039" width="14.5" style="27" customWidth="1"/>
    <col min="12040" max="12042" width="11.25" style="27" customWidth="1"/>
    <col min="12043" max="12288" width="9" style="27"/>
    <col min="12289" max="12289" width="5.375" style="27" customWidth="1"/>
    <col min="12290" max="12290" width="31.625" style="27" customWidth="1"/>
    <col min="12291" max="12291" width="11.25" style="27" customWidth="1"/>
    <col min="12292" max="12292" width="12.5" style="27" customWidth="1"/>
    <col min="12293" max="12293" width="11.75" style="27" customWidth="1"/>
    <col min="12294" max="12294" width="11.25" style="27" customWidth="1"/>
    <col min="12295" max="12295" width="14.5" style="27" customWidth="1"/>
    <col min="12296" max="12298" width="11.25" style="27" customWidth="1"/>
    <col min="12299" max="12544" width="9" style="27"/>
    <col min="12545" max="12545" width="5.375" style="27" customWidth="1"/>
    <col min="12546" max="12546" width="31.625" style="27" customWidth="1"/>
    <col min="12547" max="12547" width="11.25" style="27" customWidth="1"/>
    <col min="12548" max="12548" width="12.5" style="27" customWidth="1"/>
    <col min="12549" max="12549" width="11.75" style="27" customWidth="1"/>
    <col min="12550" max="12550" width="11.25" style="27" customWidth="1"/>
    <col min="12551" max="12551" width="14.5" style="27" customWidth="1"/>
    <col min="12552" max="12554" width="11.25" style="27" customWidth="1"/>
    <col min="12555" max="12800" width="9" style="27"/>
    <col min="12801" max="12801" width="5.375" style="27" customWidth="1"/>
    <col min="12802" max="12802" width="31.625" style="27" customWidth="1"/>
    <col min="12803" max="12803" width="11.25" style="27" customWidth="1"/>
    <col min="12804" max="12804" width="12.5" style="27" customWidth="1"/>
    <col min="12805" max="12805" width="11.75" style="27" customWidth="1"/>
    <col min="12806" max="12806" width="11.25" style="27" customWidth="1"/>
    <col min="12807" max="12807" width="14.5" style="27" customWidth="1"/>
    <col min="12808" max="12810" width="11.25" style="27" customWidth="1"/>
    <col min="12811" max="13056" width="9" style="27"/>
    <col min="13057" max="13057" width="5.375" style="27" customWidth="1"/>
    <col min="13058" max="13058" width="31.625" style="27" customWidth="1"/>
    <col min="13059" max="13059" width="11.25" style="27" customWidth="1"/>
    <col min="13060" max="13060" width="12.5" style="27" customWidth="1"/>
    <col min="13061" max="13061" width="11.75" style="27" customWidth="1"/>
    <col min="13062" max="13062" width="11.25" style="27" customWidth="1"/>
    <col min="13063" max="13063" width="14.5" style="27" customWidth="1"/>
    <col min="13064" max="13066" width="11.25" style="27" customWidth="1"/>
    <col min="13067" max="13312" width="9" style="27"/>
    <col min="13313" max="13313" width="5.375" style="27" customWidth="1"/>
    <col min="13314" max="13314" width="31.625" style="27" customWidth="1"/>
    <col min="13315" max="13315" width="11.25" style="27" customWidth="1"/>
    <col min="13316" max="13316" width="12.5" style="27" customWidth="1"/>
    <col min="13317" max="13317" width="11.75" style="27" customWidth="1"/>
    <col min="13318" max="13318" width="11.25" style="27" customWidth="1"/>
    <col min="13319" max="13319" width="14.5" style="27" customWidth="1"/>
    <col min="13320" max="13322" width="11.25" style="27" customWidth="1"/>
    <col min="13323" max="13568" width="9" style="27"/>
    <col min="13569" max="13569" width="5.375" style="27" customWidth="1"/>
    <col min="13570" max="13570" width="31.625" style="27" customWidth="1"/>
    <col min="13571" max="13571" width="11.25" style="27" customWidth="1"/>
    <col min="13572" max="13572" width="12.5" style="27" customWidth="1"/>
    <col min="13573" max="13573" width="11.75" style="27" customWidth="1"/>
    <col min="13574" max="13574" width="11.25" style="27" customWidth="1"/>
    <col min="13575" max="13575" width="14.5" style="27" customWidth="1"/>
    <col min="13576" max="13578" width="11.25" style="27" customWidth="1"/>
    <col min="13579" max="13824" width="9" style="27"/>
    <col min="13825" max="13825" width="5.375" style="27" customWidth="1"/>
    <col min="13826" max="13826" width="31.625" style="27" customWidth="1"/>
    <col min="13827" max="13827" width="11.25" style="27" customWidth="1"/>
    <col min="13828" max="13828" width="12.5" style="27" customWidth="1"/>
    <col min="13829" max="13829" width="11.75" style="27" customWidth="1"/>
    <col min="13830" max="13830" width="11.25" style="27" customWidth="1"/>
    <col min="13831" max="13831" width="14.5" style="27" customWidth="1"/>
    <col min="13832" max="13834" width="11.25" style="27" customWidth="1"/>
    <col min="13835" max="14080" width="9" style="27"/>
    <col min="14081" max="14081" width="5.375" style="27" customWidth="1"/>
    <col min="14082" max="14082" width="31.625" style="27" customWidth="1"/>
    <col min="14083" max="14083" width="11.25" style="27" customWidth="1"/>
    <col min="14084" max="14084" width="12.5" style="27" customWidth="1"/>
    <col min="14085" max="14085" width="11.75" style="27" customWidth="1"/>
    <col min="14086" max="14086" width="11.25" style="27" customWidth="1"/>
    <col min="14087" max="14087" width="14.5" style="27" customWidth="1"/>
    <col min="14088" max="14090" width="11.25" style="27" customWidth="1"/>
    <col min="14091" max="14336" width="9" style="27"/>
    <col min="14337" max="14337" width="5.375" style="27" customWidth="1"/>
    <col min="14338" max="14338" width="31.625" style="27" customWidth="1"/>
    <col min="14339" max="14339" width="11.25" style="27" customWidth="1"/>
    <col min="14340" max="14340" width="12.5" style="27" customWidth="1"/>
    <col min="14341" max="14341" width="11.75" style="27" customWidth="1"/>
    <col min="14342" max="14342" width="11.25" style="27" customWidth="1"/>
    <col min="14343" max="14343" width="14.5" style="27" customWidth="1"/>
    <col min="14344" max="14346" width="11.25" style="27" customWidth="1"/>
    <col min="14347" max="14592" width="9" style="27"/>
    <col min="14593" max="14593" width="5.375" style="27" customWidth="1"/>
    <col min="14594" max="14594" width="31.625" style="27" customWidth="1"/>
    <col min="14595" max="14595" width="11.25" style="27" customWidth="1"/>
    <col min="14596" max="14596" width="12.5" style="27" customWidth="1"/>
    <col min="14597" max="14597" width="11.75" style="27" customWidth="1"/>
    <col min="14598" max="14598" width="11.25" style="27" customWidth="1"/>
    <col min="14599" max="14599" width="14.5" style="27" customWidth="1"/>
    <col min="14600" max="14602" width="11.25" style="27" customWidth="1"/>
    <col min="14603" max="14848" width="9" style="27"/>
    <col min="14849" max="14849" width="5.375" style="27" customWidth="1"/>
    <col min="14850" max="14850" width="31.625" style="27" customWidth="1"/>
    <col min="14851" max="14851" width="11.25" style="27" customWidth="1"/>
    <col min="14852" max="14852" width="12.5" style="27" customWidth="1"/>
    <col min="14853" max="14853" width="11.75" style="27" customWidth="1"/>
    <col min="14854" max="14854" width="11.25" style="27" customWidth="1"/>
    <col min="14855" max="14855" width="14.5" style="27" customWidth="1"/>
    <col min="14856" max="14858" width="11.25" style="27" customWidth="1"/>
    <col min="14859" max="15104" width="9" style="27"/>
    <col min="15105" max="15105" width="5.375" style="27" customWidth="1"/>
    <col min="15106" max="15106" width="31.625" style="27" customWidth="1"/>
    <col min="15107" max="15107" width="11.25" style="27" customWidth="1"/>
    <col min="15108" max="15108" width="12.5" style="27" customWidth="1"/>
    <col min="15109" max="15109" width="11.75" style="27" customWidth="1"/>
    <col min="15110" max="15110" width="11.25" style="27" customWidth="1"/>
    <col min="15111" max="15111" width="14.5" style="27" customWidth="1"/>
    <col min="15112" max="15114" width="11.25" style="27" customWidth="1"/>
    <col min="15115" max="15360" width="9" style="27"/>
    <col min="15361" max="15361" width="5.375" style="27" customWidth="1"/>
    <col min="15362" max="15362" width="31.625" style="27" customWidth="1"/>
    <col min="15363" max="15363" width="11.25" style="27" customWidth="1"/>
    <col min="15364" max="15364" width="12.5" style="27" customWidth="1"/>
    <col min="15365" max="15365" width="11.75" style="27" customWidth="1"/>
    <col min="15366" max="15366" width="11.25" style="27" customWidth="1"/>
    <col min="15367" max="15367" width="14.5" style="27" customWidth="1"/>
    <col min="15368" max="15370" width="11.25" style="27" customWidth="1"/>
    <col min="15371" max="15616" width="9" style="27"/>
    <col min="15617" max="15617" width="5.375" style="27" customWidth="1"/>
    <col min="15618" max="15618" width="31.625" style="27" customWidth="1"/>
    <col min="15619" max="15619" width="11.25" style="27" customWidth="1"/>
    <col min="15620" max="15620" width="12.5" style="27" customWidth="1"/>
    <col min="15621" max="15621" width="11.75" style="27" customWidth="1"/>
    <col min="15622" max="15622" width="11.25" style="27" customWidth="1"/>
    <col min="15623" max="15623" width="14.5" style="27" customWidth="1"/>
    <col min="15624" max="15626" width="11.25" style="27" customWidth="1"/>
    <col min="15627" max="15872" width="9" style="27"/>
    <col min="15873" max="15873" width="5.375" style="27" customWidth="1"/>
    <col min="15874" max="15874" width="31.625" style="27" customWidth="1"/>
    <col min="15875" max="15875" width="11.25" style="27" customWidth="1"/>
    <col min="15876" max="15876" width="12.5" style="27" customWidth="1"/>
    <col min="15877" max="15877" width="11.75" style="27" customWidth="1"/>
    <col min="15878" max="15878" width="11.25" style="27" customWidth="1"/>
    <col min="15879" max="15879" width="14.5" style="27" customWidth="1"/>
    <col min="15880" max="15882" width="11.25" style="27" customWidth="1"/>
    <col min="15883" max="16128" width="9" style="27"/>
    <col min="16129" max="16129" width="5.375" style="27" customWidth="1"/>
    <col min="16130" max="16130" width="31.625" style="27" customWidth="1"/>
    <col min="16131" max="16131" width="11.25" style="27" customWidth="1"/>
    <col min="16132" max="16132" width="12.5" style="27" customWidth="1"/>
    <col min="16133" max="16133" width="11.75" style="27" customWidth="1"/>
    <col min="16134" max="16134" width="11.25" style="27" customWidth="1"/>
    <col min="16135" max="16135" width="14.5" style="27" customWidth="1"/>
    <col min="16136" max="16138" width="11.25" style="27" customWidth="1"/>
    <col min="16139" max="16384" width="9" style="27"/>
  </cols>
  <sheetData>
    <row r="1" spans="1:10" ht="15" customHeight="1">
      <c r="B1" s="25" t="s">
        <v>29</v>
      </c>
      <c r="C1" s="26" t="s">
        <v>30</v>
      </c>
    </row>
    <row r="2" spans="1:10" ht="15" customHeight="1">
      <c r="A2" s="586" t="s">
        <v>348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s="35" customFormat="1" ht="15" customHeight="1">
      <c r="A3" s="28" t="s">
        <v>32</v>
      </c>
      <c r="B3" s="29" t="s">
        <v>33</v>
      </c>
      <c r="C3" s="30">
        <f>C4+C16</f>
        <v>9741</v>
      </c>
      <c r="D3" s="31" t="s">
        <v>34</v>
      </c>
      <c r="E3" s="32"/>
      <c r="F3" s="33"/>
      <c r="G3" s="34"/>
      <c r="H3" s="34"/>
      <c r="I3" s="34"/>
      <c r="J3" s="34"/>
    </row>
    <row r="4" spans="1:10" ht="15" customHeight="1">
      <c r="A4" s="342" t="s">
        <v>35</v>
      </c>
      <c r="B4" s="37" t="s">
        <v>33</v>
      </c>
      <c r="C4" s="340">
        <v>9740</v>
      </c>
      <c r="D4" s="39" t="s">
        <v>36</v>
      </c>
      <c r="E4" s="40"/>
      <c r="F4" s="40"/>
      <c r="G4" s="333" t="s">
        <v>279</v>
      </c>
      <c r="H4" s="41"/>
      <c r="I4" s="41"/>
      <c r="J4" s="41"/>
    </row>
    <row r="5" spans="1:10" ht="15" customHeight="1">
      <c r="A5" s="583" t="s">
        <v>37</v>
      </c>
      <c r="B5" s="42" t="s">
        <v>38</v>
      </c>
      <c r="C5" s="345" t="e">
        <f>ROUND(C4*(1+(1.6*E6+1.2*E7+0.8*E8+0.4*E10)*C7),0)</f>
        <v>#DIV/0!</v>
      </c>
      <c r="D5" s="44"/>
      <c r="E5" s="345"/>
      <c r="F5" s="345"/>
      <c r="G5" s="44"/>
      <c r="H5" s="44"/>
      <c r="I5" s="44"/>
      <c r="J5" s="44"/>
    </row>
    <row r="6" spans="1:10" ht="30.75" customHeight="1">
      <c r="A6" s="584"/>
      <c r="B6" s="342" t="s">
        <v>39</v>
      </c>
      <c r="C6" s="38"/>
      <c r="D6" s="342" t="s">
        <v>40</v>
      </c>
      <c r="E6" s="45" t="e">
        <f>ROUND(C9/C10,4)</f>
        <v>#DIV/0!</v>
      </c>
      <c r="F6" s="46" t="s">
        <v>41</v>
      </c>
      <c r="G6" s="41"/>
      <c r="H6" s="41"/>
      <c r="I6" s="41"/>
      <c r="J6" s="41"/>
    </row>
    <row r="7" spans="1:10" ht="15" customHeight="1">
      <c r="A7" s="584"/>
      <c r="B7" s="342" t="s">
        <v>42</v>
      </c>
      <c r="C7" s="47">
        <v>0</v>
      </c>
      <c r="D7" s="342" t="s">
        <v>43</v>
      </c>
      <c r="E7" s="45" t="e">
        <f>ROUND(C9/C10,4)</f>
        <v>#DIV/0!</v>
      </c>
      <c r="F7" s="46" t="s">
        <v>44</v>
      </c>
      <c r="G7" s="41"/>
      <c r="H7" s="41"/>
      <c r="I7" s="41"/>
      <c r="J7" s="41"/>
    </row>
    <row r="8" spans="1:10" ht="15" customHeight="1">
      <c r="A8" s="584"/>
      <c r="B8" s="342" t="s">
        <v>45</v>
      </c>
      <c r="C8" s="38">
        <v>0</v>
      </c>
      <c r="D8" s="342" t="s">
        <v>46</v>
      </c>
      <c r="E8" s="45" t="e">
        <f>ROUND(C9/C10,4)</f>
        <v>#DIV/0!</v>
      </c>
      <c r="F8" s="46" t="s">
        <v>47</v>
      </c>
      <c r="G8" s="41"/>
      <c r="H8" s="41"/>
      <c r="I8" s="41"/>
      <c r="J8" s="41"/>
    </row>
    <row r="9" spans="1:10" ht="15" customHeight="1">
      <c r="A9" s="584"/>
      <c r="B9" s="342" t="s">
        <v>48</v>
      </c>
      <c r="C9" s="45">
        <v>0</v>
      </c>
      <c r="D9" s="342" t="s">
        <v>49</v>
      </c>
      <c r="E9" s="45" t="e">
        <f>ROUND(C9/C10,4)</f>
        <v>#DIV/0!</v>
      </c>
      <c r="F9" s="46" t="s">
        <v>50</v>
      </c>
      <c r="G9" s="41"/>
      <c r="H9" s="41"/>
      <c r="I9" s="41"/>
      <c r="J9" s="41"/>
    </row>
    <row r="10" spans="1:10" ht="15" customHeight="1">
      <c r="A10" s="585"/>
      <c r="B10" s="342" t="s">
        <v>51</v>
      </c>
      <c r="C10" s="38">
        <v>0</v>
      </c>
      <c r="E10" s="48"/>
      <c r="G10" s="41"/>
      <c r="H10" s="41"/>
      <c r="I10" s="41"/>
      <c r="J10" s="41"/>
    </row>
    <row r="11" spans="1:10" ht="15" customHeight="1" thickBot="1">
      <c r="A11" s="583" t="s">
        <v>37</v>
      </c>
      <c r="B11" s="42" t="s">
        <v>52</v>
      </c>
      <c r="C11" s="49"/>
      <c r="D11" s="39" t="s">
        <v>53</v>
      </c>
      <c r="E11" s="343"/>
      <c r="F11" s="343"/>
      <c r="G11" s="51"/>
      <c r="H11" s="51"/>
      <c r="I11" s="51"/>
      <c r="J11" s="51"/>
    </row>
    <row r="12" spans="1:10" ht="15" customHeight="1">
      <c r="A12" s="589"/>
      <c r="B12" s="52" t="s">
        <v>54</v>
      </c>
      <c r="C12" s="53" t="s">
        <v>55</v>
      </c>
      <c r="D12" s="54" t="s">
        <v>56</v>
      </c>
      <c r="E12" s="54" t="s">
        <v>57</v>
      </c>
      <c r="F12" s="54" t="s">
        <v>58</v>
      </c>
      <c r="G12" s="55" t="s">
        <v>59</v>
      </c>
      <c r="H12" s="56" t="s">
        <v>60</v>
      </c>
      <c r="I12" s="57"/>
      <c r="J12" s="58"/>
    </row>
    <row r="13" spans="1:10" ht="15" customHeight="1">
      <c r="A13" s="589"/>
      <c r="B13" s="52" t="s">
        <v>61</v>
      </c>
      <c r="C13" s="59">
        <v>0.1</v>
      </c>
      <c r="D13" s="60">
        <v>0.1</v>
      </c>
      <c r="E13" s="60">
        <v>0.1</v>
      </c>
      <c r="F13" s="60">
        <v>0.2</v>
      </c>
      <c r="G13" s="61">
        <v>0.1</v>
      </c>
      <c r="H13" s="62"/>
      <c r="I13" s="38"/>
      <c r="J13" s="63"/>
    </row>
    <row r="14" spans="1:10" ht="15" customHeight="1">
      <c r="A14" s="589"/>
      <c r="B14" s="52" t="s">
        <v>62</v>
      </c>
      <c r="C14" s="62">
        <v>1</v>
      </c>
      <c r="D14" s="38">
        <v>1</v>
      </c>
      <c r="E14" s="38">
        <v>1</v>
      </c>
      <c r="F14" s="38">
        <v>1</v>
      </c>
      <c r="G14" s="63">
        <v>1</v>
      </c>
      <c r="H14" s="62">
        <v>1</v>
      </c>
      <c r="I14" s="38">
        <v>1</v>
      </c>
      <c r="J14" s="63">
        <v>1</v>
      </c>
    </row>
    <row r="15" spans="1:10" ht="15" customHeight="1" thickBot="1">
      <c r="A15" s="590"/>
      <c r="B15" s="64"/>
      <c r="C15" s="591" t="s">
        <v>63</v>
      </c>
      <c r="D15" s="592"/>
      <c r="E15" s="592"/>
      <c r="F15" s="592"/>
      <c r="G15" s="593"/>
      <c r="H15" s="594" t="s">
        <v>64</v>
      </c>
      <c r="I15" s="595"/>
      <c r="J15" s="596"/>
    </row>
    <row r="16" spans="1:10" ht="15" customHeight="1">
      <c r="A16" s="583" t="s">
        <v>65</v>
      </c>
      <c r="B16" s="42" t="s">
        <v>66</v>
      </c>
      <c r="C16" s="38">
        <v>1</v>
      </c>
      <c r="D16" s="39" t="s">
        <v>67</v>
      </c>
      <c r="E16" s="342"/>
      <c r="F16" s="342"/>
      <c r="G16" s="41"/>
      <c r="H16" s="41"/>
      <c r="I16" s="41"/>
      <c r="J16" s="41"/>
    </row>
    <row r="17" spans="1:12" ht="15" customHeight="1" thickBot="1">
      <c r="A17" s="584"/>
      <c r="B17" s="65" t="s">
        <v>68</v>
      </c>
      <c r="C17" s="66" t="s">
        <v>69</v>
      </c>
      <c r="D17" s="67"/>
      <c r="E17" s="65" t="s">
        <v>70</v>
      </c>
      <c r="F17" s="66" t="s">
        <v>314</v>
      </c>
      <c r="G17" s="65" t="s">
        <v>71</v>
      </c>
      <c r="H17" s="66">
        <v>2</v>
      </c>
      <c r="I17" s="51"/>
      <c r="J17" s="51"/>
    </row>
    <row r="18" spans="1:12" ht="15" customHeight="1">
      <c r="A18" s="584"/>
      <c r="B18" s="68" t="s">
        <v>72</v>
      </c>
      <c r="C18" s="53" t="s">
        <v>73</v>
      </c>
      <c r="D18" s="54" t="s">
        <v>74</v>
      </c>
      <c r="E18" s="54" t="s">
        <v>75</v>
      </c>
      <c r="F18" s="54" t="s">
        <v>76</v>
      </c>
      <c r="G18" s="54" t="s">
        <v>77</v>
      </c>
      <c r="H18" s="54" t="s">
        <v>78</v>
      </c>
      <c r="I18" s="54" t="s">
        <v>79</v>
      </c>
      <c r="J18" s="55" t="s">
        <v>80</v>
      </c>
    </row>
    <row r="19" spans="1:12" ht="15" customHeight="1">
      <c r="A19" s="584"/>
      <c r="B19" s="52" t="s">
        <v>81</v>
      </c>
      <c r="C19" s="69">
        <v>80</v>
      </c>
      <c r="D19" s="70">
        <v>70</v>
      </c>
      <c r="E19" s="70">
        <v>20</v>
      </c>
      <c r="F19" s="70">
        <v>30</v>
      </c>
      <c r="G19" s="70">
        <v>45</v>
      </c>
      <c r="H19" s="70">
        <v>60</v>
      </c>
      <c r="I19" s="70">
        <v>50</v>
      </c>
      <c r="J19" s="71">
        <v>20</v>
      </c>
    </row>
    <row r="20" spans="1:12" ht="15" customHeight="1">
      <c r="A20" s="584"/>
      <c r="B20" s="52" t="s">
        <v>82</v>
      </c>
      <c r="C20" s="69">
        <v>65</v>
      </c>
      <c r="D20" s="70">
        <v>55</v>
      </c>
      <c r="E20" s="70">
        <v>15</v>
      </c>
      <c r="F20" s="70">
        <v>25</v>
      </c>
      <c r="G20" s="70">
        <v>35</v>
      </c>
      <c r="H20" s="70">
        <v>50</v>
      </c>
      <c r="I20" s="70">
        <v>40</v>
      </c>
      <c r="J20" s="71">
        <v>15</v>
      </c>
    </row>
    <row r="21" spans="1:12" ht="15" customHeight="1" thickBot="1">
      <c r="A21" s="585"/>
      <c r="B21" s="52" t="s">
        <v>83</v>
      </c>
      <c r="C21" s="72">
        <v>50</v>
      </c>
      <c r="D21" s="73">
        <v>40</v>
      </c>
      <c r="E21" s="73">
        <v>10</v>
      </c>
      <c r="F21" s="73">
        <v>20</v>
      </c>
      <c r="G21" s="73">
        <v>25</v>
      </c>
      <c r="H21" s="73">
        <v>40</v>
      </c>
      <c r="I21" s="73">
        <v>30</v>
      </c>
      <c r="J21" s="74">
        <v>10</v>
      </c>
    </row>
    <row r="22" spans="1:12" s="35" customFormat="1" ht="15" customHeight="1">
      <c r="A22" s="28" t="s">
        <v>84</v>
      </c>
      <c r="B22" s="29" t="s">
        <v>85</v>
      </c>
      <c r="C22" s="75">
        <v>1</v>
      </c>
      <c r="D22" s="39" t="s">
        <v>86</v>
      </c>
      <c r="E22" s="76"/>
      <c r="F22" s="76"/>
      <c r="G22" s="34"/>
      <c r="H22" s="34"/>
      <c r="I22" s="34"/>
      <c r="J22" s="34"/>
    </row>
    <row r="23" spans="1:12" ht="15" customHeight="1">
      <c r="A23" s="40"/>
      <c r="B23" s="39" t="s">
        <v>87</v>
      </c>
      <c r="C23" s="77" t="s">
        <v>349</v>
      </c>
      <c r="E23" s="40"/>
      <c r="F23" s="40"/>
      <c r="G23" s="41"/>
      <c r="H23" s="41"/>
      <c r="I23" s="41"/>
      <c r="J23" s="41"/>
    </row>
    <row r="24" spans="1:12" s="35" customFormat="1" ht="15" customHeight="1">
      <c r="A24" s="28" t="s">
        <v>89</v>
      </c>
      <c r="B24" s="29" t="s">
        <v>90</v>
      </c>
      <c r="C24" s="341">
        <f>地价水平!H36</f>
        <v>1.2928999999999999</v>
      </c>
      <c r="D24" s="34"/>
      <c r="E24" s="34"/>
      <c r="F24" s="34"/>
      <c r="G24" s="34"/>
      <c r="H24" s="34"/>
      <c r="I24" s="34"/>
      <c r="J24" s="34"/>
    </row>
    <row r="25" spans="1:12" ht="15" customHeight="1">
      <c r="A25" s="79"/>
      <c r="B25" s="342" t="s">
        <v>91</v>
      </c>
      <c r="C25" s="38"/>
      <c r="D25" s="603" t="s">
        <v>92</v>
      </c>
      <c r="E25" s="603"/>
      <c r="F25" s="38"/>
      <c r="G25" s="80" t="s">
        <v>93</v>
      </c>
      <c r="H25" s="81"/>
      <c r="I25" s="81"/>
      <c r="J25" s="41"/>
      <c r="L25" s="27" t="s">
        <v>347</v>
      </c>
    </row>
    <row r="26" spans="1:12" s="35" customFormat="1" ht="15" customHeight="1">
      <c r="A26" s="28" t="s">
        <v>94</v>
      </c>
      <c r="B26" s="29" t="s">
        <v>95</v>
      </c>
      <c r="C26" s="78">
        <f>ROUND((1-1/POWER((1+C27),E27))/(1-1/POWER((1+C27),G27)),4)</f>
        <v>1</v>
      </c>
      <c r="H26" s="34"/>
      <c r="I26" s="34"/>
      <c r="J26" s="34"/>
    </row>
    <row r="27" spans="1:12" ht="15" customHeight="1">
      <c r="A27" s="342"/>
      <c r="B27" s="342" t="s">
        <v>96</v>
      </c>
      <c r="C27" s="82">
        <f>D30</f>
        <v>5.8999999999999997E-2</v>
      </c>
      <c r="D27" s="342" t="s">
        <v>97</v>
      </c>
      <c r="E27" s="38">
        <v>40</v>
      </c>
      <c r="F27" s="342" t="s">
        <v>98</v>
      </c>
      <c r="G27" s="38">
        <v>40</v>
      </c>
      <c r="H27" s="41"/>
      <c r="I27" s="41"/>
      <c r="J27" s="41"/>
    </row>
    <row r="28" spans="1:12" ht="15" customHeight="1" thickBot="1">
      <c r="A28" s="342"/>
      <c r="B28" s="342" t="s">
        <v>395</v>
      </c>
      <c r="C28" s="83">
        <v>4.7500000000000001E-2</v>
      </c>
      <c r="D28" s="343"/>
      <c r="E28" s="342"/>
      <c r="F28" s="342"/>
      <c r="G28" s="342"/>
      <c r="H28" s="41"/>
      <c r="I28" s="41"/>
      <c r="J28" s="41"/>
    </row>
    <row r="29" spans="1:12" ht="15" customHeight="1">
      <c r="A29" s="342"/>
      <c r="B29" s="24" t="s">
        <v>99</v>
      </c>
      <c r="C29" s="84" t="s">
        <v>100</v>
      </c>
      <c r="D29" s="85" t="s">
        <v>96</v>
      </c>
      <c r="E29" s="86"/>
      <c r="F29" s="342"/>
      <c r="G29" s="342"/>
      <c r="H29" s="41"/>
      <c r="I29" s="41"/>
      <c r="J29" s="41"/>
    </row>
    <row r="30" spans="1:12" ht="15" customHeight="1">
      <c r="A30" s="342"/>
      <c r="B30" s="64" t="s">
        <v>101</v>
      </c>
      <c r="C30" s="87">
        <v>0.25</v>
      </c>
      <c r="D30" s="88">
        <f>ROUND($C$28*(1+C30),3)</f>
        <v>5.8999999999999997E-2</v>
      </c>
      <c r="E30" s="86"/>
      <c r="F30" s="342"/>
      <c r="G30" s="342"/>
      <c r="H30" s="41"/>
      <c r="I30" s="41"/>
      <c r="J30" s="41"/>
    </row>
    <row r="31" spans="1:12" ht="15" customHeight="1">
      <c r="A31" s="342"/>
      <c r="B31" s="64" t="s">
        <v>102</v>
      </c>
      <c r="C31" s="87">
        <v>0.2</v>
      </c>
      <c r="D31" s="88">
        <f>ROUND($C$28*(1+C31),3)</f>
        <v>5.7000000000000002E-2</v>
      </c>
      <c r="E31" s="86"/>
      <c r="F31" s="342"/>
      <c r="G31" s="342"/>
      <c r="H31" s="41"/>
      <c r="I31" s="41"/>
      <c r="J31" s="41"/>
    </row>
    <row r="32" spans="1:12" ht="15" customHeight="1">
      <c r="A32" s="342"/>
      <c r="B32" s="64" t="s">
        <v>103</v>
      </c>
      <c r="C32" s="87">
        <v>0.15</v>
      </c>
      <c r="D32" s="88">
        <f>ROUND($C$28*(1+C32),3)</f>
        <v>5.5E-2</v>
      </c>
      <c r="E32" s="86"/>
      <c r="F32" s="342"/>
      <c r="G32" s="342"/>
      <c r="H32" s="41"/>
      <c r="I32" s="41"/>
      <c r="J32" s="41"/>
    </row>
    <row r="33" spans="1:12" ht="15" customHeight="1" thickBot="1">
      <c r="A33" s="342"/>
      <c r="B33" s="64" t="s">
        <v>104</v>
      </c>
      <c r="C33" s="89">
        <v>0.1</v>
      </c>
      <c r="D33" s="90">
        <f>ROUND($C$28*(1+C33),3)</f>
        <v>5.1999999999999998E-2</v>
      </c>
      <c r="E33" s="86"/>
      <c r="F33" s="342"/>
      <c r="G33" s="342"/>
      <c r="H33" s="41"/>
      <c r="I33" s="91"/>
      <c r="J33" s="92"/>
    </row>
    <row r="34" spans="1:12" s="35" customFormat="1" ht="15" customHeight="1">
      <c r="A34" s="28" t="s">
        <v>105</v>
      </c>
      <c r="B34" s="29" t="s">
        <v>106</v>
      </c>
      <c r="C34" s="372">
        <f>C35</f>
        <v>1.0203</v>
      </c>
      <c r="D34" s="93" t="s">
        <v>107</v>
      </c>
      <c r="E34" s="94"/>
      <c r="F34" s="94"/>
      <c r="G34" s="94"/>
      <c r="H34" s="34"/>
      <c r="I34" s="34"/>
      <c r="J34" s="34"/>
    </row>
    <row r="35" spans="1:12" s="35" customFormat="1" ht="15" customHeight="1">
      <c r="A35" s="95" t="s">
        <v>108</v>
      </c>
      <c r="B35" s="96" t="s">
        <v>109</v>
      </c>
      <c r="C35" s="94">
        <f>F36</f>
        <v>1.0203</v>
      </c>
      <c r="D35" s="94"/>
      <c r="E35" s="94"/>
      <c r="F35" s="94"/>
      <c r="G35" s="94"/>
      <c r="H35" s="34"/>
      <c r="I35" s="34"/>
      <c r="J35" s="34"/>
    </row>
    <row r="36" spans="1:12" ht="15" customHeight="1" thickBot="1">
      <c r="A36" s="583" t="s">
        <v>35</v>
      </c>
      <c r="B36" s="604" t="s">
        <v>110</v>
      </c>
      <c r="C36" s="344" t="s">
        <v>111</v>
      </c>
      <c r="D36" s="98">
        <v>2.35</v>
      </c>
      <c r="E36" s="99" t="s">
        <v>62</v>
      </c>
      <c r="F36" s="100">
        <f>ROUND(E38+(G38-E38)*(D36-E37)/(G37-E37),4)</f>
        <v>1.0203</v>
      </c>
      <c r="G36" s="344"/>
      <c r="H36" s="41"/>
      <c r="I36" s="41"/>
      <c r="J36" s="41"/>
      <c r="L36" s="27" t="s">
        <v>334</v>
      </c>
    </row>
    <row r="37" spans="1:12" ht="15" customHeight="1">
      <c r="A37" s="584"/>
      <c r="B37" s="604"/>
      <c r="C37" s="101"/>
      <c r="D37" s="102" t="s">
        <v>112</v>
      </c>
      <c r="E37" s="103">
        <v>2.2999999999999998</v>
      </c>
      <c r="F37" s="102" t="s">
        <v>113</v>
      </c>
      <c r="G37" s="104">
        <v>2.4</v>
      </c>
      <c r="H37" s="105"/>
      <c r="I37" s="41"/>
      <c r="J37" s="41"/>
      <c r="L37" s="35">
        <f>ROUND(45382/19337.887,2)</f>
        <v>2.35</v>
      </c>
    </row>
    <row r="38" spans="1:12" ht="15" customHeight="1" thickBot="1">
      <c r="A38" s="585"/>
      <c r="B38" s="605"/>
      <c r="C38" s="106" t="s">
        <v>114</v>
      </c>
      <c r="D38" s="107" t="s">
        <v>115</v>
      </c>
      <c r="E38" s="108">
        <v>1.0271999999999999</v>
      </c>
      <c r="F38" s="107" t="s">
        <v>116</v>
      </c>
      <c r="G38" s="109">
        <v>1.0133000000000001</v>
      </c>
      <c r="H38" s="105"/>
      <c r="I38" s="41"/>
      <c r="J38" s="41"/>
    </row>
    <row r="39" spans="1:12" ht="15" customHeight="1" thickBot="1">
      <c r="A39" s="583" t="s">
        <v>37</v>
      </c>
      <c r="B39" s="606" t="s">
        <v>117</v>
      </c>
      <c r="C39" s="344" t="s">
        <v>118</v>
      </c>
      <c r="D39" s="110">
        <v>11.2</v>
      </c>
      <c r="E39" s="111" t="s">
        <v>62</v>
      </c>
      <c r="F39" s="112">
        <v>0.56989999999999996</v>
      </c>
      <c r="G39" s="345"/>
      <c r="H39" s="41"/>
      <c r="I39" s="41"/>
      <c r="J39" s="41"/>
    </row>
    <row r="40" spans="1:12" ht="15" customHeight="1">
      <c r="A40" s="584"/>
      <c r="B40" s="607"/>
      <c r="C40" s="101"/>
      <c r="D40" s="113" t="s">
        <v>119</v>
      </c>
      <c r="E40" s="102" t="s">
        <v>120</v>
      </c>
      <c r="F40" s="114" t="s">
        <v>121</v>
      </c>
      <c r="G40" s="115"/>
      <c r="H40" s="41"/>
      <c r="I40" s="41"/>
      <c r="J40" s="41"/>
    </row>
    <row r="41" spans="1:12" ht="15" customHeight="1">
      <c r="A41" s="584"/>
      <c r="B41" s="607"/>
      <c r="C41" s="116" t="s">
        <v>101</v>
      </c>
      <c r="D41" s="117">
        <f>ROUND(0.9335-0.0094*D39,4)</f>
        <v>0.82820000000000005</v>
      </c>
      <c r="E41" s="117">
        <f>ROUND(0.8331-0.0109*D39,4)</f>
        <v>0.71099999999999997</v>
      </c>
      <c r="F41" s="118">
        <f>ROUND(0.689-0.0155*D39,4)</f>
        <v>0.51539999999999997</v>
      </c>
      <c r="G41" s="115"/>
      <c r="H41" s="41"/>
      <c r="I41" s="41"/>
      <c r="J41" s="41"/>
    </row>
    <row r="42" spans="1:12" ht="15" customHeight="1">
      <c r="A42" s="584"/>
      <c r="B42" s="607"/>
      <c r="C42" s="116" t="s">
        <v>102</v>
      </c>
      <c r="D42" s="117">
        <f>ROUND(0.949-0.012*D39,4)</f>
        <v>0.81459999999999999</v>
      </c>
      <c r="E42" s="117">
        <f>ROUND(0.8567-0.013*D39,4)</f>
        <v>0.71109999999999995</v>
      </c>
      <c r="F42" s="118">
        <f>ROUND(0.7694-0.014*D39,4)</f>
        <v>0.61260000000000003</v>
      </c>
      <c r="G42" s="115"/>
      <c r="H42" s="41"/>
      <c r="I42" s="41"/>
      <c r="J42" s="41"/>
    </row>
    <row r="43" spans="1:12" ht="15" customHeight="1" thickBot="1">
      <c r="A43" s="584"/>
      <c r="B43" s="607"/>
      <c r="C43" s="119" t="s">
        <v>103</v>
      </c>
      <c r="D43" s="120">
        <f>ROUND(0.8808-0.006*D39,4)</f>
        <v>0.81359999999999999</v>
      </c>
      <c r="E43" s="120">
        <f>ROUND(0.8748-0.008*D39,4)</f>
        <v>0.78520000000000001</v>
      </c>
      <c r="F43" s="121">
        <f>ROUND(0.7412-0.0095*D39,4)</f>
        <v>0.63480000000000003</v>
      </c>
      <c r="G43" s="122"/>
      <c r="H43" s="41"/>
      <c r="I43" s="41"/>
      <c r="J43" s="41"/>
    </row>
    <row r="44" spans="1:12" ht="15" customHeight="1">
      <c r="A44" s="584"/>
      <c r="B44" s="607"/>
      <c r="C44" s="84"/>
      <c r="D44" s="113" t="s">
        <v>119</v>
      </c>
      <c r="E44" s="102" t="s">
        <v>122</v>
      </c>
      <c r="F44" s="102" t="s">
        <v>123</v>
      </c>
      <c r="G44" s="114" t="s">
        <v>121</v>
      </c>
      <c r="H44" s="105"/>
      <c r="I44" s="41"/>
      <c r="J44" s="41"/>
    </row>
    <row r="45" spans="1:12" ht="15" customHeight="1" thickBot="1">
      <c r="A45" s="585"/>
      <c r="B45" s="608"/>
      <c r="C45" s="119" t="s">
        <v>104</v>
      </c>
      <c r="D45" s="123">
        <f>ROUND(0.7275-0.01*D39,4)</f>
        <v>0.61550000000000005</v>
      </c>
      <c r="E45" s="123">
        <f>ROUND(0.7043-0.012*D39,4)</f>
        <v>0.56989999999999996</v>
      </c>
      <c r="F45" s="123">
        <f>ROUND(0.6299-0.0122*D39,4)</f>
        <v>0.49330000000000002</v>
      </c>
      <c r="G45" s="124">
        <f>ROUND(0.5667-0.0136*D39,4)</f>
        <v>0.41439999999999999</v>
      </c>
      <c r="H45" s="105"/>
      <c r="I45" s="41"/>
      <c r="J45" s="41"/>
    </row>
    <row r="46" spans="1:12" ht="15" customHeight="1">
      <c r="A46" s="125" t="s">
        <v>124</v>
      </c>
      <c r="B46" s="126" t="s">
        <v>125</v>
      </c>
      <c r="C46" s="127"/>
      <c r="D46" s="46" t="s">
        <v>126</v>
      </c>
      <c r="E46" s="128"/>
      <c r="F46" s="128"/>
      <c r="G46" s="129"/>
      <c r="H46" s="105"/>
      <c r="I46" s="41"/>
      <c r="J46" s="41"/>
    </row>
    <row r="47" spans="1:12" s="35" customFormat="1" ht="15" customHeight="1">
      <c r="A47" s="28" t="s">
        <v>127</v>
      </c>
      <c r="B47" s="29" t="s">
        <v>128</v>
      </c>
      <c r="C47" s="370">
        <f>因素修正表!E13</f>
        <v>1.048125</v>
      </c>
      <c r="D47" s="46" t="s">
        <v>129</v>
      </c>
      <c r="E47" s="34"/>
      <c r="F47" s="34"/>
      <c r="G47" s="34"/>
      <c r="H47" s="34"/>
      <c r="I47" s="34"/>
      <c r="J47" s="34"/>
    </row>
    <row r="48" spans="1:12" ht="15" customHeight="1">
      <c r="A48" s="76" t="s">
        <v>130</v>
      </c>
      <c r="B48" s="130" t="s">
        <v>131</v>
      </c>
      <c r="C48" s="41"/>
      <c r="D48" s="41"/>
      <c r="E48" s="41"/>
      <c r="F48" s="131"/>
      <c r="G48" s="41"/>
      <c r="H48" s="41"/>
      <c r="I48" s="41"/>
      <c r="J48" s="41"/>
    </row>
    <row r="49" spans="1:10" ht="15" customHeight="1" thickBot="1">
      <c r="A49" s="76" t="s">
        <v>132</v>
      </c>
      <c r="B49" s="132" t="s">
        <v>133</v>
      </c>
      <c r="C49" s="51"/>
      <c r="D49" s="51"/>
      <c r="E49" s="51"/>
      <c r="F49" s="133"/>
      <c r="G49" s="51"/>
      <c r="H49" s="51"/>
      <c r="I49" s="51"/>
      <c r="J49" s="51"/>
    </row>
    <row r="50" spans="1:10" ht="21.6" customHeight="1">
      <c r="A50" s="597" t="s">
        <v>134</v>
      </c>
      <c r="B50" s="134" t="s">
        <v>135</v>
      </c>
      <c r="C50" s="371">
        <f>ROUND(C3*C22*C24*C26*C34*C47,0)</f>
        <v>13468</v>
      </c>
      <c r="D50" s="600" t="s">
        <v>136</v>
      </c>
      <c r="E50" s="601"/>
      <c r="F50" s="601"/>
      <c r="G50" s="601"/>
      <c r="H50" s="601"/>
      <c r="I50" s="601"/>
      <c r="J50" s="602"/>
    </row>
    <row r="51" spans="1:10" ht="21.6" customHeight="1">
      <c r="A51" s="598"/>
      <c r="B51" s="135" t="s">
        <v>137</v>
      </c>
      <c r="C51" s="136">
        <f>J51</f>
        <v>3367</v>
      </c>
      <c r="D51" s="39" t="s">
        <v>138</v>
      </c>
      <c r="E51" s="39"/>
      <c r="F51" s="131"/>
      <c r="G51" s="41"/>
      <c r="H51" s="39" t="s">
        <v>139</v>
      </c>
      <c r="I51" s="137">
        <v>0.25</v>
      </c>
      <c r="J51" s="138">
        <f>ROUND(C50*I51,0)</f>
        <v>3367</v>
      </c>
    </row>
    <row r="52" spans="1:10" ht="21.6" customHeight="1" thickBot="1">
      <c r="A52" s="599"/>
      <c r="B52" s="139"/>
      <c r="C52" s="140" t="s">
        <v>140</v>
      </c>
      <c r="D52" s="141"/>
      <c r="E52" s="141"/>
      <c r="F52" s="141"/>
      <c r="G52" s="141"/>
      <c r="H52" s="141" t="s">
        <v>141</v>
      </c>
      <c r="I52" s="142">
        <v>0.15</v>
      </c>
      <c r="J52" s="143">
        <f>ROUND(C50*I52,0)</f>
        <v>2020</v>
      </c>
    </row>
    <row r="53" spans="1:10" ht="21.6" customHeight="1">
      <c r="A53" s="597" t="s">
        <v>142</v>
      </c>
      <c r="B53" s="134" t="s">
        <v>143</v>
      </c>
      <c r="C53" s="40"/>
      <c r="D53" s="600" t="s">
        <v>144</v>
      </c>
      <c r="E53" s="601"/>
      <c r="F53" s="601"/>
      <c r="G53" s="601"/>
      <c r="H53" s="601"/>
      <c r="I53" s="601"/>
      <c r="J53" s="602"/>
    </row>
    <row r="54" spans="1:10" ht="21.6" customHeight="1">
      <c r="A54" s="598"/>
      <c r="B54" s="144"/>
      <c r="C54" s="145"/>
      <c r="D54" s="39" t="s">
        <v>145</v>
      </c>
      <c r="E54" s="41"/>
      <c r="F54" s="146">
        <f>地下空间修正系数表!E4</f>
        <v>0.7</v>
      </c>
      <c r="G54" s="39" t="s">
        <v>146</v>
      </c>
      <c r="H54" s="41"/>
      <c r="I54" s="41"/>
      <c r="J54" s="147"/>
    </row>
    <row r="55" spans="1:10" ht="21.6" customHeight="1">
      <c r="A55" s="598"/>
      <c r="B55" s="135" t="s">
        <v>147</v>
      </c>
      <c r="C55" s="136">
        <f>J55</f>
        <v>0</v>
      </c>
      <c r="D55" s="39" t="s">
        <v>138</v>
      </c>
      <c r="E55" s="39"/>
      <c r="F55" s="40"/>
      <c r="G55" s="41"/>
      <c r="H55" s="39" t="s">
        <v>139</v>
      </c>
      <c r="I55" s="137">
        <v>0.25</v>
      </c>
      <c r="J55" s="138">
        <f>ROUND(C53*I55,0)</f>
        <v>0</v>
      </c>
    </row>
    <row r="56" spans="1:10" ht="21.6" customHeight="1" thickBot="1">
      <c r="A56" s="599"/>
      <c r="B56" s="139"/>
      <c r="C56" s="149" t="s">
        <v>140</v>
      </c>
      <c r="D56" s="149"/>
      <c r="E56" s="149"/>
      <c r="F56" s="150"/>
      <c r="G56" s="141"/>
      <c r="H56" s="141" t="s">
        <v>141</v>
      </c>
      <c r="I56" s="142">
        <v>0.15</v>
      </c>
      <c r="J56" s="143">
        <f>ROUND(C53*I56,0)</f>
        <v>0</v>
      </c>
    </row>
    <row r="57" spans="1:10" ht="15" customHeight="1">
      <c r="A57" s="40" t="s">
        <v>148</v>
      </c>
      <c r="B57" s="151" t="s">
        <v>149</v>
      </c>
      <c r="C57" s="152"/>
      <c r="D57" s="153"/>
      <c r="E57" s="153"/>
      <c r="F57" s="154"/>
      <c r="G57" s="44"/>
      <c r="H57" s="44"/>
      <c r="I57" s="44"/>
      <c r="J57" s="155"/>
    </row>
    <row r="58" spans="1:10" ht="15" customHeight="1">
      <c r="A58" s="40"/>
      <c r="B58" s="42" t="s">
        <v>150</v>
      </c>
      <c r="C58" s="131"/>
      <c r="D58" s="39"/>
      <c r="E58" s="39"/>
      <c r="F58" s="40"/>
      <c r="G58" s="41"/>
      <c r="H58" s="41"/>
      <c r="I58" s="41"/>
      <c r="J58" s="91"/>
    </row>
    <row r="59" spans="1:10" ht="15" customHeight="1">
      <c r="A59" s="40"/>
      <c r="B59" s="42" t="s">
        <v>151</v>
      </c>
      <c r="C59" s="41"/>
      <c r="D59" s="41"/>
      <c r="E59" s="41"/>
      <c r="F59" s="41"/>
      <c r="G59" s="41"/>
      <c r="H59" s="41"/>
      <c r="I59" s="41"/>
      <c r="J59" s="41"/>
    </row>
    <row r="60" spans="1:10" ht="15" customHeight="1"/>
  </sheetData>
  <mergeCells count="15">
    <mergeCell ref="A53:A56"/>
    <mergeCell ref="D53:J53"/>
    <mergeCell ref="D25:E25"/>
    <mergeCell ref="A36:A38"/>
    <mergeCell ref="B36:B38"/>
    <mergeCell ref="A39:A45"/>
    <mergeCell ref="B39:B45"/>
    <mergeCell ref="A50:A52"/>
    <mergeCell ref="D50:J50"/>
    <mergeCell ref="A16:A21"/>
    <mergeCell ref="A2:J2"/>
    <mergeCell ref="A5:A10"/>
    <mergeCell ref="A11:A15"/>
    <mergeCell ref="C15:G15"/>
    <mergeCell ref="H15:J1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D24" sqref="D24"/>
    </sheetView>
  </sheetViews>
  <sheetFormatPr defaultRowHeight="21" customHeight="1"/>
  <cols>
    <col min="1" max="1" width="9" style="375"/>
    <col min="2" max="2" width="11.125" style="376" customWidth="1"/>
    <col min="3" max="4" width="17.875" style="376" customWidth="1"/>
    <col min="5" max="5" width="18.625" style="376" customWidth="1"/>
    <col min="6" max="16384" width="9" style="375"/>
  </cols>
  <sheetData>
    <row r="1" spans="1:6" ht="21" customHeight="1">
      <c r="A1" s="384" t="s">
        <v>373</v>
      </c>
      <c r="B1" s="383"/>
      <c r="C1" s="383"/>
    </row>
    <row r="2" spans="1:6" ht="21" customHeight="1">
      <c r="A2" s="615" t="s">
        <v>372</v>
      </c>
      <c r="B2" s="615"/>
      <c r="C2" s="615"/>
      <c r="D2" s="615"/>
      <c r="E2" s="615"/>
    </row>
    <row r="3" spans="1:6" ht="21" customHeight="1">
      <c r="A3" s="616" t="s">
        <v>371</v>
      </c>
      <c r="B3" s="616" t="s">
        <v>370</v>
      </c>
      <c r="C3" s="616" t="s">
        <v>369</v>
      </c>
      <c r="D3" s="616"/>
      <c r="E3" s="616"/>
    </row>
    <row r="4" spans="1:6" ht="21" customHeight="1">
      <c r="A4" s="616"/>
      <c r="B4" s="616"/>
      <c r="C4" s="380" t="s">
        <v>368</v>
      </c>
      <c r="D4" s="380" t="s">
        <v>367</v>
      </c>
      <c r="E4" s="380" t="s">
        <v>366</v>
      </c>
    </row>
    <row r="5" spans="1:6" ht="21" customHeight="1">
      <c r="A5" s="612" t="s">
        <v>365</v>
      </c>
      <c r="B5" s="380" t="s">
        <v>361</v>
      </c>
      <c r="C5" s="379">
        <v>1.9361999999999999</v>
      </c>
      <c r="D5" s="379">
        <v>1.8629</v>
      </c>
      <c r="E5" s="379">
        <v>1.9419999999999999</v>
      </c>
    </row>
    <row r="6" spans="1:6" ht="21" customHeight="1">
      <c r="A6" s="613"/>
      <c r="B6" s="380" t="s">
        <v>360</v>
      </c>
      <c r="C6" s="379">
        <v>1.4198</v>
      </c>
      <c r="D6" s="379">
        <v>1.3371999999999999</v>
      </c>
      <c r="E6" s="379">
        <v>1.2799</v>
      </c>
    </row>
    <row r="7" spans="1:6" ht="21" customHeight="1">
      <c r="A7" s="613"/>
      <c r="B7" s="380" t="s">
        <v>359</v>
      </c>
      <c r="C7" s="379">
        <v>1.1594</v>
      </c>
      <c r="D7" s="379">
        <v>1.0788</v>
      </c>
      <c r="E7" s="379">
        <v>1.0072000000000001</v>
      </c>
    </row>
    <row r="8" spans="1:6" ht="21" customHeight="1">
      <c r="A8" s="613"/>
      <c r="B8" s="380" t="s">
        <v>358</v>
      </c>
      <c r="C8" s="379">
        <v>0.96220000000000006</v>
      </c>
      <c r="D8" s="379">
        <v>0.86560000000000004</v>
      </c>
      <c r="E8" s="379">
        <v>0.75249999999999995</v>
      </c>
    </row>
    <row r="9" spans="1:6" ht="21" customHeight="1">
      <c r="A9" s="613"/>
      <c r="B9" s="380" t="s">
        <v>357</v>
      </c>
      <c r="C9" s="379">
        <v>0.8417</v>
      </c>
      <c r="D9" s="379">
        <v>0.73709999999999998</v>
      </c>
      <c r="E9" s="379">
        <v>0.56589999999999996</v>
      </c>
    </row>
    <row r="10" spans="1:6" ht="21" customHeight="1">
      <c r="A10" s="613"/>
      <c r="B10" s="380" t="s">
        <v>356</v>
      </c>
      <c r="C10" s="379">
        <v>0.76080000000000003</v>
      </c>
      <c r="D10" s="379">
        <v>0.6482</v>
      </c>
      <c r="E10" s="379">
        <v>0.45250000000000001</v>
      </c>
    </row>
    <row r="11" spans="1:6" ht="21" customHeight="1">
      <c r="A11" s="613"/>
      <c r="B11" s="610" t="s">
        <v>355</v>
      </c>
      <c r="C11" s="378">
        <v>10</v>
      </c>
      <c r="D11" s="378">
        <v>8</v>
      </c>
      <c r="E11" s="378">
        <v>9</v>
      </c>
      <c r="F11" s="375" t="s">
        <v>354</v>
      </c>
    </row>
    <row r="12" spans="1:6" ht="21" customHeight="1">
      <c r="A12" s="614"/>
      <c r="B12" s="611"/>
      <c r="C12" s="377">
        <f>(-0.163*(C11^2)-0.59*C11+7617)*(10^(-4))</f>
        <v>0.75948000000000004</v>
      </c>
      <c r="D12" s="377">
        <f>(-0.161*(D11^2)-7.509*D11+6533)*(10^(-4))</f>
        <v>0.64626240000000001</v>
      </c>
      <c r="E12" s="377">
        <f>(-0.214*(E11^2)-21.991*E11+4665)*(10^(-4))</f>
        <v>0.44497470000000006</v>
      </c>
      <c r="F12" s="375" t="s">
        <v>353</v>
      </c>
    </row>
    <row r="13" spans="1:6" ht="21" customHeight="1">
      <c r="A13" s="612" t="s">
        <v>364</v>
      </c>
      <c r="B13" s="382" t="s">
        <v>363</v>
      </c>
      <c r="C13" s="381">
        <v>0.5</v>
      </c>
      <c r="D13" s="381">
        <v>0.6</v>
      </c>
      <c r="E13" s="381">
        <v>0.8</v>
      </c>
      <c r="F13" s="375" t="s">
        <v>362</v>
      </c>
    </row>
    <row r="14" spans="1:6" ht="21" customHeight="1">
      <c r="A14" s="613"/>
      <c r="B14" s="380" t="s">
        <v>361</v>
      </c>
      <c r="C14" s="379">
        <f>1.9362/C13</f>
        <v>3.8723999999999998</v>
      </c>
      <c r="D14" s="379">
        <f>1.8629/D13</f>
        <v>3.1048333333333336</v>
      </c>
      <c r="E14" s="379">
        <f>1.942/E13</f>
        <v>2.4274999999999998</v>
      </c>
    </row>
    <row r="15" spans="1:6" ht="21" customHeight="1">
      <c r="A15" s="613"/>
      <c r="B15" s="380" t="s">
        <v>360</v>
      </c>
      <c r="C15" s="379">
        <f>1.4198/C13</f>
        <v>2.8395999999999999</v>
      </c>
      <c r="D15" s="379">
        <f>1.3372/D13</f>
        <v>2.2286666666666668</v>
      </c>
      <c r="E15" s="379">
        <f>1.2799/E13</f>
        <v>1.5998749999999999</v>
      </c>
    </row>
    <row r="16" spans="1:6" ht="21" customHeight="1">
      <c r="A16" s="613"/>
      <c r="B16" s="380" t="s">
        <v>359</v>
      </c>
      <c r="C16" s="379">
        <f>1.1594/C13</f>
        <v>2.3188</v>
      </c>
      <c r="D16" s="379">
        <f>1.0788/D13</f>
        <v>1.798</v>
      </c>
      <c r="E16" s="379">
        <f>1.0072/E13</f>
        <v>1.2590000000000001</v>
      </c>
    </row>
    <row r="17" spans="1:6" ht="21" customHeight="1">
      <c r="A17" s="613"/>
      <c r="B17" s="380" t="s">
        <v>358</v>
      </c>
      <c r="C17" s="379">
        <f>0.9622/C13</f>
        <v>1.9244000000000001</v>
      </c>
      <c r="D17" s="379">
        <f>0.8656/D13</f>
        <v>1.4426666666666668</v>
      </c>
      <c r="E17" s="379">
        <f>0.7525/E13</f>
        <v>0.94062499999999993</v>
      </c>
    </row>
    <row r="18" spans="1:6" ht="21" customHeight="1">
      <c r="A18" s="613"/>
      <c r="B18" s="380" t="s">
        <v>357</v>
      </c>
      <c r="C18" s="379">
        <f>0.8417/C13</f>
        <v>1.6834</v>
      </c>
      <c r="D18" s="379">
        <f>0.7371/D13</f>
        <v>1.2284999999999999</v>
      </c>
      <c r="E18" s="379">
        <f>0.5659/E13</f>
        <v>0.70737499999999986</v>
      </c>
    </row>
    <row r="19" spans="1:6" ht="21" customHeight="1">
      <c r="A19" s="613"/>
      <c r="B19" s="380" t="s">
        <v>356</v>
      </c>
      <c r="C19" s="379">
        <f>0.7608/C13</f>
        <v>1.5216000000000001</v>
      </c>
      <c r="D19" s="379">
        <f>0.6482/D13</f>
        <v>1.0803333333333334</v>
      </c>
      <c r="E19" s="379">
        <f>0.4525/E13</f>
        <v>0.56562499999999993</v>
      </c>
    </row>
    <row r="20" spans="1:6" ht="21" customHeight="1">
      <c r="A20" s="613"/>
      <c r="B20" s="610" t="s">
        <v>355</v>
      </c>
      <c r="C20" s="378">
        <v>7</v>
      </c>
      <c r="D20" s="378">
        <v>8</v>
      </c>
      <c r="E20" s="378">
        <v>9</v>
      </c>
      <c r="F20" s="375" t="s">
        <v>354</v>
      </c>
    </row>
    <row r="21" spans="1:6" ht="21" customHeight="1">
      <c r="A21" s="614"/>
      <c r="B21" s="611"/>
      <c r="C21" s="377">
        <f>(-0.163*(C20^2)-0.59*C20+7617)*(10^(-4))/C13</f>
        <v>1.5209766</v>
      </c>
      <c r="D21" s="377">
        <f>(-0.161*(D20^2)-7.509*D20+6533)*(10^(-4))/D13</f>
        <v>1.0771040000000001</v>
      </c>
      <c r="E21" s="377">
        <f>(-0.214*(E20^2)-21.991*E20+4665)*(10^(-4))/E13</f>
        <v>0.55621837500000004</v>
      </c>
      <c r="F21" s="375" t="s">
        <v>353</v>
      </c>
    </row>
    <row r="22" spans="1:6" ht="21" customHeight="1">
      <c r="A22" s="609" t="s">
        <v>352</v>
      </c>
      <c r="B22" s="609"/>
      <c r="C22" s="609"/>
      <c r="D22" s="609"/>
      <c r="E22" s="609"/>
    </row>
  </sheetData>
  <mergeCells count="9">
    <mergeCell ref="A22:E22"/>
    <mergeCell ref="B11:B12"/>
    <mergeCell ref="A13:A21"/>
    <mergeCell ref="B20:B21"/>
    <mergeCell ref="A2:E2"/>
    <mergeCell ref="A3:A4"/>
    <mergeCell ref="B3:B4"/>
    <mergeCell ref="C3:E3"/>
    <mergeCell ref="A5:A12"/>
  </mergeCells>
  <phoneticPr fontId="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61"/>
  <sheetViews>
    <sheetView topLeftCell="A20" zoomScale="120" zoomScaleNormal="120" workbookViewId="0">
      <selection activeCell="I13" sqref="I13"/>
    </sheetView>
  </sheetViews>
  <sheetFormatPr defaultRowHeight="12"/>
  <cols>
    <col min="1" max="1" width="4.75" style="393" customWidth="1"/>
    <col min="2" max="2" width="18.625" style="393" customWidth="1"/>
    <col min="3" max="3" width="12.375" style="393" customWidth="1"/>
    <col min="4" max="4" width="5.625" style="393" customWidth="1"/>
    <col min="5" max="5" width="12.375" style="393" customWidth="1"/>
    <col min="6" max="6" width="5.625" style="393" customWidth="1"/>
    <col min="7" max="7" width="12.375" style="393" customWidth="1"/>
    <col min="8" max="8" width="5.625" style="393" customWidth="1"/>
    <col min="9" max="9" width="12.375" style="393" customWidth="1"/>
    <col min="10" max="10" width="5.625" style="393" customWidth="1"/>
    <col min="11" max="11" width="29.5" style="393" customWidth="1"/>
    <col min="12" max="12" width="6.625" style="393" customWidth="1"/>
    <col min="13" max="13" width="3" style="393" customWidth="1"/>
    <col min="14" max="14" width="4.5" style="393" customWidth="1"/>
    <col min="15" max="15" width="18.375" style="393" customWidth="1"/>
    <col min="16" max="18" width="6.125" style="393" customWidth="1"/>
    <col min="19" max="19" width="6.125" style="415" customWidth="1"/>
    <col min="20" max="21" width="6.125" style="393" customWidth="1"/>
    <col min="22" max="22" width="3" style="393" customWidth="1"/>
    <col min="23" max="23" width="4.25" style="393" customWidth="1"/>
    <col min="24" max="24" width="14.25" style="393" customWidth="1"/>
    <col min="25" max="27" width="9.375" style="393" customWidth="1"/>
    <col min="28" max="256" width="9" style="393"/>
    <col min="257" max="257" width="4.75" style="393" customWidth="1"/>
    <col min="258" max="258" width="18.625" style="393" customWidth="1"/>
    <col min="259" max="259" width="12.375" style="393" customWidth="1"/>
    <col min="260" max="260" width="5.625" style="393" customWidth="1"/>
    <col min="261" max="261" width="12.375" style="393" customWidth="1"/>
    <col min="262" max="262" width="5.625" style="393" customWidth="1"/>
    <col min="263" max="263" width="12.375" style="393" customWidth="1"/>
    <col min="264" max="264" width="5.625" style="393" customWidth="1"/>
    <col min="265" max="265" width="12.375" style="393" customWidth="1"/>
    <col min="266" max="266" width="5.625" style="393" customWidth="1"/>
    <col min="267" max="267" width="29.5" style="393" customWidth="1"/>
    <col min="268" max="268" width="6.625" style="393" customWidth="1"/>
    <col min="269" max="269" width="3" style="393" customWidth="1"/>
    <col min="270" max="270" width="4.5" style="393" customWidth="1"/>
    <col min="271" max="271" width="18.375" style="393" customWidth="1"/>
    <col min="272" max="277" width="6.125" style="393" customWidth="1"/>
    <col min="278" max="278" width="3" style="393" customWidth="1"/>
    <col min="279" max="279" width="4.25" style="393" customWidth="1"/>
    <col min="280" max="280" width="14.25" style="393" customWidth="1"/>
    <col min="281" max="283" width="9.375" style="393" customWidth="1"/>
    <col min="284" max="512" width="9" style="393"/>
    <col min="513" max="513" width="4.75" style="393" customWidth="1"/>
    <col min="514" max="514" width="18.625" style="393" customWidth="1"/>
    <col min="515" max="515" width="12.375" style="393" customWidth="1"/>
    <col min="516" max="516" width="5.625" style="393" customWidth="1"/>
    <col min="517" max="517" width="12.375" style="393" customWidth="1"/>
    <col min="518" max="518" width="5.625" style="393" customWidth="1"/>
    <col min="519" max="519" width="12.375" style="393" customWidth="1"/>
    <col min="520" max="520" width="5.625" style="393" customWidth="1"/>
    <col min="521" max="521" width="12.375" style="393" customWidth="1"/>
    <col min="522" max="522" width="5.625" style="393" customWidth="1"/>
    <col min="523" max="523" width="29.5" style="393" customWidth="1"/>
    <col min="524" max="524" width="6.625" style="393" customWidth="1"/>
    <col min="525" max="525" width="3" style="393" customWidth="1"/>
    <col min="526" max="526" width="4.5" style="393" customWidth="1"/>
    <col min="527" max="527" width="18.375" style="393" customWidth="1"/>
    <col min="528" max="533" width="6.125" style="393" customWidth="1"/>
    <col min="534" max="534" width="3" style="393" customWidth="1"/>
    <col min="535" max="535" width="4.25" style="393" customWidth="1"/>
    <col min="536" max="536" width="14.25" style="393" customWidth="1"/>
    <col min="537" max="539" width="9.375" style="393" customWidth="1"/>
    <col min="540" max="768" width="9" style="393"/>
    <col min="769" max="769" width="4.75" style="393" customWidth="1"/>
    <col min="770" max="770" width="18.625" style="393" customWidth="1"/>
    <col min="771" max="771" width="12.375" style="393" customWidth="1"/>
    <col min="772" max="772" width="5.625" style="393" customWidth="1"/>
    <col min="773" max="773" width="12.375" style="393" customWidth="1"/>
    <col min="774" max="774" width="5.625" style="393" customWidth="1"/>
    <col min="775" max="775" width="12.375" style="393" customWidth="1"/>
    <col min="776" max="776" width="5.625" style="393" customWidth="1"/>
    <col min="777" max="777" width="12.375" style="393" customWidth="1"/>
    <col min="778" max="778" width="5.625" style="393" customWidth="1"/>
    <col min="779" max="779" width="29.5" style="393" customWidth="1"/>
    <col min="780" max="780" width="6.625" style="393" customWidth="1"/>
    <col min="781" max="781" width="3" style="393" customWidth="1"/>
    <col min="782" max="782" width="4.5" style="393" customWidth="1"/>
    <col min="783" max="783" width="18.375" style="393" customWidth="1"/>
    <col min="784" max="789" width="6.125" style="393" customWidth="1"/>
    <col min="790" max="790" width="3" style="393" customWidth="1"/>
    <col min="791" max="791" width="4.25" style="393" customWidth="1"/>
    <col min="792" max="792" width="14.25" style="393" customWidth="1"/>
    <col min="793" max="795" width="9.375" style="393" customWidth="1"/>
    <col min="796" max="1024" width="9" style="393"/>
    <col min="1025" max="1025" width="4.75" style="393" customWidth="1"/>
    <col min="1026" max="1026" width="18.625" style="393" customWidth="1"/>
    <col min="1027" max="1027" width="12.375" style="393" customWidth="1"/>
    <col min="1028" max="1028" width="5.625" style="393" customWidth="1"/>
    <col min="1029" max="1029" width="12.375" style="393" customWidth="1"/>
    <col min="1030" max="1030" width="5.625" style="393" customWidth="1"/>
    <col min="1031" max="1031" width="12.375" style="393" customWidth="1"/>
    <col min="1032" max="1032" width="5.625" style="393" customWidth="1"/>
    <col min="1033" max="1033" width="12.375" style="393" customWidth="1"/>
    <col min="1034" max="1034" width="5.625" style="393" customWidth="1"/>
    <col min="1035" max="1035" width="29.5" style="393" customWidth="1"/>
    <col min="1036" max="1036" width="6.625" style="393" customWidth="1"/>
    <col min="1037" max="1037" width="3" style="393" customWidth="1"/>
    <col min="1038" max="1038" width="4.5" style="393" customWidth="1"/>
    <col min="1039" max="1039" width="18.375" style="393" customWidth="1"/>
    <col min="1040" max="1045" width="6.125" style="393" customWidth="1"/>
    <col min="1046" max="1046" width="3" style="393" customWidth="1"/>
    <col min="1047" max="1047" width="4.25" style="393" customWidth="1"/>
    <col min="1048" max="1048" width="14.25" style="393" customWidth="1"/>
    <col min="1049" max="1051" width="9.375" style="393" customWidth="1"/>
    <col min="1052" max="1280" width="9" style="393"/>
    <col min="1281" max="1281" width="4.75" style="393" customWidth="1"/>
    <col min="1282" max="1282" width="18.625" style="393" customWidth="1"/>
    <col min="1283" max="1283" width="12.375" style="393" customWidth="1"/>
    <col min="1284" max="1284" width="5.625" style="393" customWidth="1"/>
    <col min="1285" max="1285" width="12.375" style="393" customWidth="1"/>
    <col min="1286" max="1286" width="5.625" style="393" customWidth="1"/>
    <col min="1287" max="1287" width="12.375" style="393" customWidth="1"/>
    <col min="1288" max="1288" width="5.625" style="393" customWidth="1"/>
    <col min="1289" max="1289" width="12.375" style="393" customWidth="1"/>
    <col min="1290" max="1290" width="5.625" style="393" customWidth="1"/>
    <col min="1291" max="1291" width="29.5" style="393" customWidth="1"/>
    <col min="1292" max="1292" width="6.625" style="393" customWidth="1"/>
    <col min="1293" max="1293" width="3" style="393" customWidth="1"/>
    <col min="1294" max="1294" width="4.5" style="393" customWidth="1"/>
    <col min="1295" max="1295" width="18.375" style="393" customWidth="1"/>
    <col min="1296" max="1301" width="6.125" style="393" customWidth="1"/>
    <col min="1302" max="1302" width="3" style="393" customWidth="1"/>
    <col min="1303" max="1303" width="4.25" style="393" customWidth="1"/>
    <col min="1304" max="1304" width="14.25" style="393" customWidth="1"/>
    <col min="1305" max="1307" width="9.375" style="393" customWidth="1"/>
    <col min="1308" max="1536" width="9" style="393"/>
    <col min="1537" max="1537" width="4.75" style="393" customWidth="1"/>
    <col min="1538" max="1538" width="18.625" style="393" customWidth="1"/>
    <col min="1539" max="1539" width="12.375" style="393" customWidth="1"/>
    <col min="1540" max="1540" width="5.625" style="393" customWidth="1"/>
    <col min="1541" max="1541" width="12.375" style="393" customWidth="1"/>
    <col min="1542" max="1542" width="5.625" style="393" customWidth="1"/>
    <col min="1543" max="1543" width="12.375" style="393" customWidth="1"/>
    <col min="1544" max="1544" width="5.625" style="393" customWidth="1"/>
    <col min="1545" max="1545" width="12.375" style="393" customWidth="1"/>
    <col min="1546" max="1546" width="5.625" style="393" customWidth="1"/>
    <col min="1547" max="1547" width="29.5" style="393" customWidth="1"/>
    <col min="1548" max="1548" width="6.625" style="393" customWidth="1"/>
    <col min="1549" max="1549" width="3" style="393" customWidth="1"/>
    <col min="1550" max="1550" width="4.5" style="393" customWidth="1"/>
    <col min="1551" max="1551" width="18.375" style="393" customWidth="1"/>
    <col min="1552" max="1557" width="6.125" style="393" customWidth="1"/>
    <col min="1558" max="1558" width="3" style="393" customWidth="1"/>
    <col min="1559" max="1559" width="4.25" style="393" customWidth="1"/>
    <col min="1560" max="1560" width="14.25" style="393" customWidth="1"/>
    <col min="1561" max="1563" width="9.375" style="393" customWidth="1"/>
    <col min="1564" max="1792" width="9" style="393"/>
    <col min="1793" max="1793" width="4.75" style="393" customWidth="1"/>
    <col min="1794" max="1794" width="18.625" style="393" customWidth="1"/>
    <col min="1795" max="1795" width="12.375" style="393" customWidth="1"/>
    <col min="1796" max="1796" width="5.625" style="393" customWidth="1"/>
    <col min="1797" max="1797" width="12.375" style="393" customWidth="1"/>
    <col min="1798" max="1798" width="5.625" style="393" customWidth="1"/>
    <col min="1799" max="1799" width="12.375" style="393" customWidth="1"/>
    <col min="1800" max="1800" width="5.625" style="393" customWidth="1"/>
    <col min="1801" max="1801" width="12.375" style="393" customWidth="1"/>
    <col min="1802" max="1802" width="5.625" style="393" customWidth="1"/>
    <col min="1803" max="1803" width="29.5" style="393" customWidth="1"/>
    <col min="1804" max="1804" width="6.625" style="393" customWidth="1"/>
    <col min="1805" max="1805" width="3" style="393" customWidth="1"/>
    <col min="1806" max="1806" width="4.5" style="393" customWidth="1"/>
    <col min="1807" max="1807" width="18.375" style="393" customWidth="1"/>
    <col min="1808" max="1813" width="6.125" style="393" customWidth="1"/>
    <col min="1814" max="1814" width="3" style="393" customWidth="1"/>
    <col min="1815" max="1815" width="4.25" style="393" customWidth="1"/>
    <col min="1816" max="1816" width="14.25" style="393" customWidth="1"/>
    <col min="1817" max="1819" width="9.375" style="393" customWidth="1"/>
    <col min="1820" max="2048" width="9" style="393"/>
    <col min="2049" max="2049" width="4.75" style="393" customWidth="1"/>
    <col min="2050" max="2050" width="18.625" style="393" customWidth="1"/>
    <col min="2051" max="2051" width="12.375" style="393" customWidth="1"/>
    <col min="2052" max="2052" width="5.625" style="393" customWidth="1"/>
    <col min="2053" max="2053" width="12.375" style="393" customWidth="1"/>
    <col min="2054" max="2054" width="5.625" style="393" customWidth="1"/>
    <col min="2055" max="2055" width="12.375" style="393" customWidth="1"/>
    <col min="2056" max="2056" width="5.625" style="393" customWidth="1"/>
    <col min="2057" max="2057" width="12.375" style="393" customWidth="1"/>
    <col min="2058" max="2058" width="5.625" style="393" customWidth="1"/>
    <col min="2059" max="2059" width="29.5" style="393" customWidth="1"/>
    <col min="2060" max="2060" width="6.625" style="393" customWidth="1"/>
    <col min="2061" max="2061" width="3" style="393" customWidth="1"/>
    <col min="2062" max="2062" width="4.5" style="393" customWidth="1"/>
    <col min="2063" max="2063" width="18.375" style="393" customWidth="1"/>
    <col min="2064" max="2069" width="6.125" style="393" customWidth="1"/>
    <col min="2070" max="2070" width="3" style="393" customWidth="1"/>
    <col min="2071" max="2071" width="4.25" style="393" customWidth="1"/>
    <col min="2072" max="2072" width="14.25" style="393" customWidth="1"/>
    <col min="2073" max="2075" width="9.375" style="393" customWidth="1"/>
    <col min="2076" max="2304" width="9" style="393"/>
    <col min="2305" max="2305" width="4.75" style="393" customWidth="1"/>
    <col min="2306" max="2306" width="18.625" style="393" customWidth="1"/>
    <col min="2307" max="2307" width="12.375" style="393" customWidth="1"/>
    <col min="2308" max="2308" width="5.625" style="393" customWidth="1"/>
    <col min="2309" max="2309" width="12.375" style="393" customWidth="1"/>
    <col min="2310" max="2310" width="5.625" style="393" customWidth="1"/>
    <col min="2311" max="2311" width="12.375" style="393" customWidth="1"/>
    <col min="2312" max="2312" width="5.625" style="393" customWidth="1"/>
    <col min="2313" max="2313" width="12.375" style="393" customWidth="1"/>
    <col min="2314" max="2314" width="5.625" style="393" customWidth="1"/>
    <col min="2315" max="2315" width="29.5" style="393" customWidth="1"/>
    <col min="2316" max="2316" width="6.625" style="393" customWidth="1"/>
    <col min="2317" max="2317" width="3" style="393" customWidth="1"/>
    <col min="2318" max="2318" width="4.5" style="393" customWidth="1"/>
    <col min="2319" max="2319" width="18.375" style="393" customWidth="1"/>
    <col min="2320" max="2325" width="6.125" style="393" customWidth="1"/>
    <col min="2326" max="2326" width="3" style="393" customWidth="1"/>
    <col min="2327" max="2327" width="4.25" style="393" customWidth="1"/>
    <col min="2328" max="2328" width="14.25" style="393" customWidth="1"/>
    <col min="2329" max="2331" width="9.375" style="393" customWidth="1"/>
    <col min="2332" max="2560" width="9" style="393"/>
    <col min="2561" max="2561" width="4.75" style="393" customWidth="1"/>
    <col min="2562" max="2562" width="18.625" style="393" customWidth="1"/>
    <col min="2563" max="2563" width="12.375" style="393" customWidth="1"/>
    <col min="2564" max="2564" width="5.625" style="393" customWidth="1"/>
    <col min="2565" max="2565" width="12.375" style="393" customWidth="1"/>
    <col min="2566" max="2566" width="5.625" style="393" customWidth="1"/>
    <col min="2567" max="2567" width="12.375" style="393" customWidth="1"/>
    <col min="2568" max="2568" width="5.625" style="393" customWidth="1"/>
    <col min="2569" max="2569" width="12.375" style="393" customWidth="1"/>
    <col min="2570" max="2570" width="5.625" style="393" customWidth="1"/>
    <col min="2571" max="2571" width="29.5" style="393" customWidth="1"/>
    <col min="2572" max="2572" width="6.625" style="393" customWidth="1"/>
    <col min="2573" max="2573" width="3" style="393" customWidth="1"/>
    <col min="2574" max="2574" width="4.5" style="393" customWidth="1"/>
    <col min="2575" max="2575" width="18.375" style="393" customWidth="1"/>
    <col min="2576" max="2581" width="6.125" style="393" customWidth="1"/>
    <col min="2582" max="2582" width="3" style="393" customWidth="1"/>
    <col min="2583" max="2583" width="4.25" style="393" customWidth="1"/>
    <col min="2584" max="2584" width="14.25" style="393" customWidth="1"/>
    <col min="2585" max="2587" width="9.375" style="393" customWidth="1"/>
    <col min="2588" max="2816" width="9" style="393"/>
    <col min="2817" max="2817" width="4.75" style="393" customWidth="1"/>
    <col min="2818" max="2818" width="18.625" style="393" customWidth="1"/>
    <col min="2819" max="2819" width="12.375" style="393" customWidth="1"/>
    <col min="2820" max="2820" width="5.625" style="393" customWidth="1"/>
    <col min="2821" max="2821" width="12.375" style="393" customWidth="1"/>
    <col min="2822" max="2822" width="5.625" style="393" customWidth="1"/>
    <col min="2823" max="2823" width="12.375" style="393" customWidth="1"/>
    <col min="2824" max="2824" width="5.625" style="393" customWidth="1"/>
    <col min="2825" max="2825" width="12.375" style="393" customWidth="1"/>
    <col min="2826" max="2826" width="5.625" style="393" customWidth="1"/>
    <col min="2827" max="2827" width="29.5" style="393" customWidth="1"/>
    <col min="2828" max="2828" width="6.625" style="393" customWidth="1"/>
    <col min="2829" max="2829" width="3" style="393" customWidth="1"/>
    <col min="2830" max="2830" width="4.5" style="393" customWidth="1"/>
    <col min="2831" max="2831" width="18.375" style="393" customWidth="1"/>
    <col min="2832" max="2837" width="6.125" style="393" customWidth="1"/>
    <col min="2838" max="2838" width="3" style="393" customWidth="1"/>
    <col min="2839" max="2839" width="4.25" style="393" customWidth="1"/>
    <col min="2840" max="2840" width="14.25" style="393" customWidth="1"/>
    <col min="2841" max="2843" width="9.375" style="393" customWidth="1"/>
    <col min="2844" max="3072" width="9" style="393"/>
    <col min="3073" max="3073" width="4.75" style="393" customWidth="1"/>
    <col min="3074" max="3074" width="18.625" style="393" customWidth="1"/>
    <col min="3075" max="3075" width="12.375" style="393" customWidth="1"/>
    <col min="3076" max="3076" width="5.625" style="393" customWidth="1"/>
    <col min="3077" max="3077" width="12.375" style="393" customWidth="1"/>
    <col min="3078" max="3078" width="5.625" style="393" customWidth="1"/>
    <col min="3079" max="3079" width="12.375" style="393" customWidth="1"/>
    <col min="3080" max="3080" width="5.625" style="393" customWidth="1"/>
    <col min="3081" max="3081" width="12.375" style="393" customWidth="1"/>
    <col min="3082" max="3082" width="5.625" style="393" customWidth="1"/>
    <col min="3083" max="3083" width="29.5" style="393" customWidth="1"/>
    <col min="3084" max="3084" width="6.625" style="393" customWidth="1"/>
    <col min="3085" max="3085" width="3" style="393" customWidth="1"/>
    <col min="3086" max="3086" width="4.5" style="393" customWidth="1"/>
    <col min="3087" max="3087" width="18.375" style="393" customWidth="1"/>
    <col min="3088" max="3093" width="6.125" style="393" customWidth="1"/>
    <col min="3094" max="3094" width="3" style="393" customWidth="1"/>
    <col min="3095" max="3095" width="4.25" style="393" customWidth="1"/>
    <col min="3096" max="3096" width="14.25" style="393" customWidth="1"/>
    <col min="3097" max="3099" width="9.375" style="393" customWidth="1"/>
    <col min="3100" max="3328" width="9" style="393"/>
    <col min="3329" max="3329" width="4.75" style="393" customWidth="1"/>
    <col min="3330" max="3330" width="18.625" style="393" customWidth="1"/>
    <col min="3331" max="3331" width="12.375" style="393" customWidth="1"/>
    <col min="3332" max="3332" width="5.625" style="393" customWidth="1"/>
    <col min="3333" max="3333" width="12.375" style="393" customWidth="1"/>
    <col min="3334" max="3334" width="5.625" style="393" customWidth="1"/>
    <col min="3335" max="3335" width="12.375" style="393" customWidth="1"/>
    <col min="3336" max="3336" width="5.625" style="393" customWidth="1"/>
    <col min="3337" max="3337" width="12.375" style="393" customWidth="1"/>
    <col min="3338" max="3338" width="5.625" style="393" customWidth="1"/>
    <col min="3339" max="3339" width="29.5" style="393" customWidth="1"/>
    <col min="3340" max="3340" width="6.625" style="393" customWidth="1"/>
    <col min="3341" max="3341" width="3" style="393" customWidth="1"/>
    <col min="3342" max="3342" width="4.5" style="393" customWidth="1"/>
    <col min="3343" max="3343" width="18.375" style="393" customWidth="1"/>
    <col min="3344" max="3349" width="6.125" style="393" customWidth="1"/>
    <col min="3350" max="3350" width="3" style="393" customWidth="1"/>
    <col min="3351" max="3351" width="4.25" style="393" customWidth="1"/>
    <col min="3352" max="3352" width="14.25" style="393" customWidth="1"/>
    <col min="3353" max="3355" width="9.375" style="393" customWidth="1"/>
    <col min="3356" max="3584" width="9" style="393"/>
    <col min="3585" max="3585" width="4.75" style="393" customWidth="1"/>
    <col min="3586" max="3586" width="18.625" style="393" customWidth="1"/>
    <col min="3587" max="3587" width="12.375" style="393" customWidth="1"/>
    <col min="3588" max="3588" width="5.625" style="393" customWidth="1"/>
    <col min="3589" max="3589" width="12.375" style="393" customWidth="1"/>
    <col min="3590" max="3590" width="5.625" style="393" customWidth="1"/>
    <col min="3591" max="3591" width="12.375" style="393" customWidth="1"/>
    <col min="3592" max="3592" width="5.625" style="393" customWidth="1"/>
    <col min="3593" max="3593" width="12.375" style="393" customWidth="1"/>
    <col min="3594" max="3594" width="5.625" style="393" customWidth="1"/>
    <col min="3595" max="3595" width="29.5" style="393" customWidth="1"/>
    <col min="3596" max="3596" width="6.625" style="393" customWidth="1"/>
    <col min="3597" max="3597" width="3" style="393" customWidth="1"/>
    <col min="3598" max="3598" width="4.5" style="393" customWidth="1"/>
    <col min="3599" max="3599" width="18.375" style="393" customWidth="1"/>
    <col min="3600" max="3605" width="6.125" style="393" customWidth="1"/>
    <col min="3606" max="3606" width="3" style="393" customWidth="1"/>
    <col min="3607" max="3607" width="4.25" style="393" customWidth="1"/>
    <col min="3608" max="3608" width="14.25" style="393" customWidth="1"/>
    <col min="3609" max="3611" width="9.375" style="393" customWidth="1"/>
    <col min="3612" max="3840" width="9" style="393"/>
    <col min="3841" max="3841" width="4.75" style="393" customWidth="1"/>
    <col min="3842" max="3842" width="18.625" style="393" customWidth="1"/>
    <col min="3843" max="3843" width="12.375" style="393" customWidth="1"/>
    <col min="3844" max="3844" width="5.625" style="393" customWidth="1"/>
    <col min="3845" max="3845" width="12.375" style="393" customWidth="1"/>
    <col min="3846" max="3846" width="5.625" style="393" customWidth="1"/>
    <col min="3847" max="3847" width="12.375" style="393" customWidth="1"/>
    <col min="3848" max="3848" width="5.625" style="393" customWidth="1"/>
    <col min="3849" max="3849" width="12.375" style="393" customWidth="1"/>
    <col min="3850" max="3850" width="5.625" style="393" customWidth="1"/>
    <col min="3851" max="3851" width="29.5" style="393" customWidth="1"/>
    <col min="3852" max="3852" width="6.625" style="393" customWidth="1"/>
    <col min="3853" max="3853" width="3" style="393" customWidth="1"/>
    <col min="3854" max="3854" width="4.5" style="393" customWidth="1"/>
    <col min="3855" max="3855" width="18.375" style="393" customWidth="1"/>
    <col min="3856" max="3861" width="6.125" style="393" customWidth="1"/>
    <col min="3862" max="3862" width="3" style="393" customWidth="1"/>
    <col min="3863" max="3863" width="4.25" style="393" customWidth="1"/>
    <col min="3864" max="3864" width="14.25" style="393" customWidth="1"/>
    <col min="3865" max="3867" width="9.375" style="393" customWidth="1"/>
    <col min="3868" max="4096" width="9" style="393"/>
    <col min="4097" max="4097" width="4.75" style="393" customWidth="1"/>
    <col min="4098" max="4098" width="18.625" style="393" customWidth="1"/>
    <col min="4099" max="4099" width="12.375" style="393" customWidth="1"/>
    <col min="4100" max="4100" width="5.625" style="393" customWidth="1"/>
    <col min="4101" max="4101" width="12.375" style="393" customWidth="1"/>
    <col min="4102" max="4102" width="5.625" style="393" customWidth="1"/>
    <col min="4103" max="4103" width="12.375" style="393" customWidth="1"/>
    <col min="4104" max="4104" width="5.625" style="393" customWidth="1"/>
    <col min="4105" max="4105" width="12.375" style="393" customWidth="1"/>
    <col min="4106" max="4106" width="5.625" style="393" customWidth="1"/>
    <col min="4107" max="4107" width="29.5" style="393" customWidth="1"/>
    <col min="4108" max="4108" width="6.625" style="393" customWidth="1"/>
    <col min="4109" max="4109" width="3" style="393" customWidth="1"/>
    <col min="4110" max="4110" width="4.5" style="393" customWidth="1"/>
    <col min="4111" max="4111" width="18.375" style="393" customWidth="1"/>
    <col min="4112" max="4117" width="6.125" style="393" customWidth="1"/>
    <col min="4118" max="4118" width="3" style="393" customWidth="1"/>
    <col min="4119" max="4119" width="4.25" style="393" customWidth="1"/>
    <col min="4120" max="4120" width="14.25" style="393" customWidth="1"/>
    <col min="4121" max="4123" width="9.375" style="393" customWidth="1"/>
    <col min="4124" max="4352" width="9" style="393"/>
    <col min="4353" max="4353" width="4.75" style="393" customWidth="1"/>
    <col min="4354" max="4354" width="18.625" style="393" customWidth="1"/>
    <col min="4355" max="4355" width="12.375" style="393" customWidth="1"/>
    <col min="4356" max="4356" width="5.625" style="393" customWidth="1"/>
    <col min="4357" max="4357" width="12.375" style="393" customWidth="1"/>
    <col min="4358" max="4358" width="5.625" style="393" customWidth="1"/>
    <col min="4359" max="4359" width="12.375" style="393" customWidth="1"/>
    <col min="4360" max="4360" width="5.625" style="393" customWidth="1"/>
    <col min="4361" max="4361" width="12.375" style="393" customWidth="1"/>
    <col min="4362" max="4362" width="5.625" style="393" customWidth="1"/>
    <col min="4363" max="4363" width="29.5" style="393" customWidth="1"/>
    <col min="4364" max="4364" width="6.625" style="393" customWidth="1"/>
    <col min="4365" max="4365" width="3" style="393" customWidth="1"/>
    <col min="4366" max="4366" width="4.5" style="393" customWidth="1"/>
    <col min="4367" max="4367" width="18.375" style="393" customWidth="1"/>
    <col min="4368" max="4373" width="6.125" style="393" customWidth="1"/>
    <col min="4374" max="4374" width="3" style="393" customWidth="1"/>
    <col min="4375" max="4375" width="4.25" style="393" customWidth="1"/>
    <col min="4376" max="4376" width="14.25" style="393" customWidth="1"/>
    <col min="4377" max="4379" width="9.375" style="393" customWidth="1"/>
    <col min="4380" max="4608" width="9" style="393"/>
    <col min="4609" max="4609" width="4.75" style="393" customWidth="1"/>
    <col min="4610" max="4610" width="18.625" style="393" customWidth="1"/>
    <col min="4611" max="4611" width="12.375" style="393" customWidth="1"/>
    <col min="4612" max="4612" width="5.625" style="393" customWidth="1"/>
    <col min="4613" max="4613" width="12.375" style="393" customWidth="1"/>
    <col min="4614" max="4614" width="5.625" style="393" customWidth="1"/>
    <col min="4615" max="4615" width="12.375" style="393" customWidth="1"/>
    <col min="4616" max="4616" width="5.625" style="393" customWidth="1"/>
    <col min="4617" max="4617" width="12.375" style="393" customWidth="1"/>
    <col min="4618" max="4618" width="5.625" style="393" customWidth="1"/>
    <col min="4619" max="4619" width="29.5" style="393" customWidth="1"/>
    <col min="4620" max="4620" width="6.625" style="393" customWidth="1"/>
    <col min="4621" max="4621" width="3" style="393" customWidth="1"/>
    <col min="4622" max="4622" width="4.5" style="393" customWidth="1"/>
    <col min="4623" max="4623" width="18.375" style="393" customWidth="1"/>
    <col min="4624" max="4629" width="6.125" style="393" customWidth="1"/>
    <col min="4630" max="4630" width="3" style="393" customWidth="1"/>
    <col min="4631" max="4631" width="4.25" style="393" customWidth="1"/>
    <col min="4632" max="4632" width="14.25" style="393" customWidth="1"/>
    <col min="4633" max="4635" width="9.375" style="393" customWidth="1"/>
    <col min="4636" max="4864" width="9" style="393"/>
    <col min="4865" max="4865" width="4.75" style="393" customWidth="1"/>
    <col min="4866" max="4866" width="18.625" style="393" customWidth="1"/>
    <col min="4867" max="4867" width="12.375" style="393" customWidth="1"/>
    <col min="4868" max="4868" width="5.625" style="393" customWidth="1"/>
    <col min="4869" max="4869" width="12.375" style="393" customWidth="1"/>
    <col min="4870" max="4870" width="5.625" style="393" customWidth="1"/>
    <col min="4871" max="4871" width="12.375" style="393" customWidth="1"/>
    <col min="4872" max="4872" width="5.625" style="393" customWidth="1"/>
    <col min="4873" max="4873" width="12.375" style="393" customWidth="1"/>
    <col min="4874" max="4874" width="5.625" style="393" customWidth="1"/>
    <col min="4875" max="4875" width="29.5" style="393" customWidth="1"/>
    <col min="4876" max="4876" width="6.625" style="393" customWidth="1"/>
    <col min="4877" max="4877" width="3" style="393" customWidth="1"/>
    <col min="4878" max="4878" width="4.5" style="393" customWidth="1"/>
    <col min="4879" max="4879" width="18.375" style="393" customWidth="1"/>
    <col min="4880" max="4885" width="6.125" style="393" customWidth="1"/>
    <col min="4886" max="4886" width="3" style="393" customWidth="1"/>
    <col min="4887" max="4887" width="4.25" style="393" customWidth="1"/>
    <col min="4888" max="4888" width="14.25" style="393" customWidth="1"/>
    <col min="4889" max="4891" width="9.375" style="393" customWidth="1"/>
    <col min="4892" max="5120" width="9" style="393"/>
    <col min="5121" max="5121" width="4.75" style="393" customWidth="1"/>
    <col min="5122" max="5122" width="18.625" style="393" customWidth="1"/>
    <col min="5123" max="5123" width="12.375" style="393" customWidth="1"/>
    <col min="5124" max="5124" width="5.625" style="393" customWidth="1"/>
    <col min="5125" max="5125" width="12.375" style="393" customWidth="1"/>
    <col min="5126" max="5126" width="5.625" style="393" customWidth="1"/>
    <col min="5127" max="5127" width="12.375" style="393" customWidth="1"/>
    <col min="5128" max="5128" width="5.625" style="393" customWidth="1"/>
    <col min="5129" max="5129" width="12.375" style="393" customWidth="1"/>
    <col min="5130" max="5130" width="5.625" style="393" customWidth="1"/>
    <col min="5131" max="5131" width="29.5" style="393" customWidth="1"/>
    <col min="5132" max="5132" width="6.625" style="393" customWidth="1"/>
    <col min="5133" max="5133" width="3" style="393" customWidth="1"/>
    <col min="5134" max="5134" width="4.5" style="393" customWidth="1"/>
    <col min="5135" max="5135" width="18.375" style="393" customWidth="1"/>
    <col min="5136" max="5141" width="6.125" style="393" customWidth="1"/>
    <col min="5142" max="5142" width="3" style="393" customWidth="1"/>
    <col min="5143" max="5143" width="4.25" style="393" customWidth="1"/>
    <col min="5144" max="5144" width="14.25" style="393" customWidth="1"/>
    <col min="5145" max="5147" width="9.375" style="393" customWidth="1"/>
    <col min="5148" max="5376" width="9" style="393"/>
    <col min="5377" max="5377" width="4.75" style="393" customWidth="1"/>
    <col min="5378" max="5378" width="18.625" style="393" customWidth="1"/>
    <col min="5379" max="5379" width="12.375" style="393" customWidth="1"/>
    <col min="5380" max="5380" width="5.625" style="393" customWidth="1"/>
    <col min="5381" max="5381" width="12.375" style="393" customWidth="1"/>
    <col min="5382" max="5382" width="5.625" style="393" customWidth="1"/>
    <col min="5383" max="5383" width="12.375" style="393" customWidth="1"/>
    <col min="5384" max="5384" width="5.625" style="393" customWidth="1"/>
    <col min="5385" max="5385" width="12.375" style="393" customWidth="1"/>
    <col min="5386" max="5386" width="5.625" style="393" customWidth="1"/>
    <col min="5387" max="5387" width="29.5" style="393" customWidth="1"/>
    <col min="5388" max="5388" width="6.625" style="393" customWidth="1"/>
    <col min="5389" max="5389" width="3" style="393" customWidth="1"/>
    <col min="5390" max="5390" width="4.5" style="393" customWidth="1"/>
    <col min="5391" max="5391" width="18.375" style="393" customWidth="1"/>
    <col min="5392" max="5397" width="6.125" style="393" customWidth="1"/>
    <col min="5398" max="5398" width="3" style="393" customWidth="1"/>
    <col min="5399" max="5399" width="4.25" style="393" customWidth="1"/>
    <col min="5400" max="5400" width="14.25" style="393" customWidth="1"/>
    <col min="5401" max="5403" width="9.375" style="393" customWidth="1"/>
    <col min="5404" max="5632" width="9" style="393"/>
    <col min="5633" max="5633" width="4.75" style="393" customWidth="1"/>
    <col min="5634" max="5634" width="18.625" style="393" customWidth="1"/>
    <col min="5635" max="5635" width="12.375" style="393" customWidth="1"/>
    <col min="5636" max="5636" width="5.625" style="393" customWidth="1"/>
    <col min="5637" max="5637" width="12.375" style="393" customWidth="1"/>
    <col min="5638" max="5638" width="5.625" style="393" customWidth="1"/>
    <col min="5639" max="5639" width="12.375" style="393" customWidth="1"/>
    <col min="5640" max="5640" width="5.625" style="393" customWidth="1"/>
    <col min="5641" max="5641" width="12.375" style="393" customWidth="1"/>
    <col min="5642" max="5642" width="5.625" style="393" customWidth="1"/>
    <col min="5643" max="5643" width="29.5" style="393" customWidth="1"/>
    <col min="5644" max="5644" width="6.625" style="393" customWidth="1"/>
    <col min="5645" max="5645" width="3" style="393" customWidth="1"/>
    <col min="5646" max="5646" width="4.5" style="393" customWidth="1"/>
    <col min="5647" max="5647" width="18.375" style="393" customWidth="1"/>
    <col min="5648" max="5653" width="6.125" style="393" customWidth="1"/>
    <col min="5654" max="5654" width="3" style="393" customWidth="1"/>
    <col min="5655" max="5655" width="4.25" style="393" customWidth="1"/>
    <col min="5656" max="5656" width="14.25" style="393" customWidth="1"/>
    <col min="5657" max="5659" width="9.375" style="393" customWidth="1"/>
    <col min="5660" max="5888" width="9" style="393"/>
    <col min="5889" max="5889" width="4.75" style="393" customWidth="1"/>
    <col min="5890" max="5890" width="18.625" style="393" customWidth="1"/>
    <col min="5891" max="5891" width="12.375" style="393" customWidth="1"/>
    <col min="5892" max="5892" width="5.625" style="393" customWidth="1"/>
    <col min="5893" max="5893" width="12.375" style="393" customWidth="1"/>
    <col min="5894" max="5894" width="5.625" style="393" customWidth="1"/>
    <col min="5895" max="5895" width="12.375" style="393" customWidth="1"/>
    <col min="5896" max="5896" width="5.625" style="393" customWidth="1"/>
    <col min="5897" max="5897" width="12.375" style="393" customWidth="1"/>
    <col min="5898" max="5898" width="5.625" style="393" customWidth="1"/>
    <col min="5899" max="5899" width="29.5" style="393" customWidth="1"/>
    <col min="5900" max="5900" width="6.625" style="393" customWidth="1"/>
    <col min="5901" max="5901" width="3" style="393" customWidth="1"/>
    <col min="5902" max="5902" width="4.5" style="393" customWidth="1"/>
    <col min="5903" max="5903" width="18.375" style="393" customWidth="1"/>
    <col min="5904" max="5909" width="6.125" style="393" customWidth="1"/>
    <col min="5910" max="5910" width="3" style="393" customWidth="1"/>
    <col min="5911" max="5911" width="4.25" style="393" customWidth="1"/>
    <col min="5912" max="5912" width="14.25" style="393" customWidth="1"/>
    <col min="5913" max="5915" width="9.375" style="393" customWidth="1"/>
    <col min="5916" max="6144" width="9" style="393"/>
    <col min="6145" max="6145" width="4.75" style="393" customWidth="1"/>
    <col min="6146" max="6146" width="18.625" style="393" customWidth="1"/>
    <col min="6147" max="6147" width="12.375" style="393" customWidth="1"/>
    <col min="6148" max="6148" width="5.625" style="393" customWidth="1"/>
    <col min="6149" max="6149" width="12.375" style="393" customWidth="1"/>
    <col min="6150" max="6150" width="5.625" style="393" customWidth="1"/>
    <col min="6151" max="6151" width="12.375" style="393" customWidth="1"/>
    <col min="6152" max="6152" width="5.625" style="393" customWidth="1"/>
    <col min="6153" max="6153" width="12.375" style="393" customWidth="1"/>
    <col min="6154" max="6154" width="5.625" style="393" customWidth="1"/>
    <col min="6155" max="6155" width="29.5" style="393" customWidth="1"/>
    <col min="6156" max="6156" width="6.625" style="393" customWidth="1"/>
    <col min="6157" max="6157" width="3" style="393" customWidth="1"/>
    <col min="6158" max="6158" width="4.5" style="393" customWidth="1"/>
    <col min="6159" max="6159" width="18.375" style="393" customWidth="1"/>
    <col min="6160" max="6165" width="6.125" style="393" customWidth="1"/>
    <col min="6166" max="6166" width="3" style="393" customWidth="1"/>
    <col min="6167" max="6167" width="4.25" style="393" customWidth="1"/>
    <col min="6168" max="6168" width="14.25" style="393" customWidth="1"/>
    <col min="6169" max="6171" width="9.375" style="393" customWidth="1"/>
    <col min="6172" max="6400" width="9" style="393"/>
    <col min="6401" max="6401" width="4.75" style="393" customWidth="1"/>
    <col min="6402" max="6402" width="18.625" style="393" customWidth="1"/>
    <col min="6403" max="6403" width="12.375" style="393" customWidth="1"/>
    <col min="6404" max="6404" width="5.625" style="393" customWidth="1"/>
    <col min="6405" max="6405" width="12.375" style="393" customWidth="1"/>
    <col min="6406" max="6406" width="5.625" style="393" customWidth="1"/>
    <col min="6407" max="6407" width="12.375" style="393" customWidth="1"/>
    <col min="6408" max="6408" width="5.625" style="393" customWidth="1"/>
    <col min="6409" max="6409" width="12.375" style="393" customWidth="1"/>
    <col min="6410" max="6410" width="5.625" style="393" customWidth="1"/>
    <col min="6411" max="6411" width="29.5" style="393" customWidth="1"/>
    <col min="6412" max="6412" width="6.625" style="393" customWidth="1"/>
    <col min="6413" max="6413" width="3" style="393" customWidth="1"/>
    <col min="6414" max="6414" width="4.5" style="393" customWidth="1"/>
    <col min="6415" max="6415" width="18.375" style="393" customWidth="1"/>
    <col min="6416" max="6421" width="6.125" style="393" customWidth="1"/>
    <col min="6422" max="6422" width="3" style="393" customWidth="1"/>
    <col min="6423" max="6423" width="4.25" style="393" customWidth="1"/>
    <col min="6424" max="6424" width="14.25" style="393" customWidth="1"/>
    <col min="6425" max="6427" width="9.375" style="393" customWidth="1"/>
    <col min="6428" max="6656" width="9" style="393"/>
    <col min="6657" max="6657" width="4.75" style="393" customWidth="1"/>
    <col min="6658" max="6658" width="18.625" style="393" customWidth="1"/>
    <col min="6659" max="6659" width="12.375" style="393" customWidth="1"/>
    <col min="6660" max="6660" width="5.625" style="393" customWidth="1"/>
    <col min="6661" max="6661" width="12.375" style="393" customWidth="1"/>
    <col min="6662" max="6662" width="5.625" style="393" customWidth="1"/>
    <col min="6663" max="6663" width="12.375" style="393" customWidth="1"/>
    <col min="6664" max="6664" width="5.625" style="393" customWidth="1"/>
    <col min="6665" max="6665" width="12.375" style="393" customWidth="1"/>
    <col min="6666" max="6666" width="5.625" style="393" customWidth="1"/>
    <col min="6667" max="6667" width="29.5" style="393" customWidth="1"/>
    <col min="6668" max="6668" width="6.625" style="393" customWidth="1"/>
    <col min="6669" max="6669" width="3" style="393" customWidth="1"/>
    <col min="6670" max="6670" width="4.5" style="393" customWidth="1"/>
    <col min="6671" max="6671" width="18.375" style="393" customWidth="1"/>
    <col min="6672" max="6677" width="6.125" style="393" customWidth="1"/>
    <col min="6678" max="6678" width="3" style="393" customWidth="1"/>
    <col min="6679" max="6679" width="4.25" style="393" customWidth="1"/>
    <col min="6680" max="6680" width="14.25" style="393" customWidth="1"/>
    <col min="6681" max="6683" width="9.375" style="393" customWidth="1"/>
    <col min="6684" max="6912" width="9" style="393"/>
    <col min="6913" max="6913" width="4.75" style="393" customWidth="1"/>
    <col min="6914" max="6914" width="18.625" style="393" customWidth="1"/>
    <col min="6915" max="6915" width="12.375" style="393" customWidth="1"/>
    <col min="6916" max="6916" width="5.625" style="393" customWidth="1"/>
    <col min="6917" max="6917" width="12.375" style="393" customWidth="1"/>
    <col min="6918" max="6918" width="5.625" style="393" customWidth="1"/>
    <col min="6919" max="6919" width="12.375" style="393" customWidth="1"/>
    <col min="6920" max="6920" width="5.625" style="393" customWidth="1"/>
    <col min="6921" max="6921" width="12.375" style="393" customWidth="1"/>
    <col min="6922" max="6922" width="5.625" style="393" customWidth="1"/>
    <col min="6923" max="6923" width="29.5" style="393" customWidth="1"/>
    <col min="6924" max="6924" width="6.625" style="393" customWidth="1"/>
    <col min="6925" max="6925" width="3" style="393" customWidth="1"/>
    <col min="6926" max="6926" width="4.5" style="393" customWidth="1"/>
    <col min="6927" max="6927" width="18.375" style="393" customWidth="1"/>
    <col min="6928" max="6933" width="6.125" style="393" customWidth="1"/>
    <col min="6934" max="6934" width="3" style="393" customWidth="1"/>
    <col min="6935" max="6935" width="4.25" style="393" customWidth="1"/>
    <col min="6936" max="6936" width="14.25" style="393" customWidth="1"/>
    <col min="6937" max="6939" width="9.375" style="393" customWidth="1"/>
    <col min="6940" max="7168" width="9" style="393"/>
    <col min="7169" max="7169" width="4.75" style="393" customWidth="1"/>
    <col min="7170" max="7170" width="18.625" style="393" customWidth="1"/>
    <col min="7171" max="7171" width="12.375" style="393" customWidth="1"/>
    <col min="7172" max="7172" width="5.625" style="393" customWidth="1"/>
    <col min="7173" max="7173" width="12.375" style="393" customWidth="1"/>
    <col min="7174" max="7174" width="5.625" style="393" customWidth="1"/>
    <col min="7175" max="7175" width="12.375" style="393" customWidth="1"/>
    <col min="7176" max="7176" width="5.625" style="393" customWidth="1"/>
    <col min="7177" max="7177" width="12.375" style="393" customWidth="1"/>
    <col min="7178" max="7178" width="5.625" style="393" customWidth="1"/>
    <col min="7179" max="7179" width="29.5" style="393" customWidth="1"/>
    <col min="7180" max="7180" width="6.625" style="393" customWidth="1"/>
    <col min="7181" max="7181" width="3" style="393" customWidth="1"/>
    <col min="7182" max="7182" width="4.5" style="393" customWidth="1"/>
    <col min="7183" max="7183" width="18.375" style="393" customWidth="1"/>
    <col min="7184" max="7189" width="6.125" style="393" customWidth="1"/>
    <col min="7190" max="7190" width="3" style="393" customWidth="1"/>
    <col min="7191" max="7191" width="4.25" style="393" customWidth="1"/>
    <col min="7192" max="7192" width="14.25" style="393" customWidth="1"/>
    <col min="7193" max="7195" width="9.375" style="393" customWidth="1"/>
    <col min="7196" max="7424" width="9" style="393"/>
    <col min="7425" max="7425" width="4.75" style="393" customWidth="1"/>
    <col min="7426" max="7426" width="18.625" style="393" customWidth="1"/>
    <col min="7427" max="7427" width="12.375" style="393" customWidth="1"/>
    <col min="7428" max="7428" width="5.625" style="393" customWidth="1"/>
    <col min="7429" max="7429" width="12.375" style="393" customWidth="1"/>
    <col min="7430" max="7430" width="5.625" style="393" customWidth="1"/>
    <col min="7431" max="7431" width="12.375" style="393" customWidth="1"/>
    <col min="7432" max="7432" width="5.625" style="393" customWidth="1"/>
    <col min="7433" max="7433" width="12.375" style="393" customWidth="1"/>
    <col min="7434" max="7434" width="5.625" style="393" customWidth="1"/>
    <col min="7435" max="7435" width="29.5" style="393" customWidth="1"/>
    <col min="7436" max="7436" width="6.625" style="393" customWidth="1"/>
    <col min="7437" max="7437" width="3" style="393" customWidth="1"/>
    <col min="7438" max="7438" width="4.5" style="393" customWidth="1"/>
    <col min="7439" max="7439" width="18.375" style="393" customWidth="1"/>
    <col min="7440" max="7445" width="6.125" style="393" customWidth="1"/>
    <col min="7446" max="7446" width="3" style="393" customWidth="1"/>
    <col min="7447" max="7447" width="4.25" style="393" customWidth="1"/>
    <col min="7448" max="7448" width="14.25" style="393" customWidth="1"/>
    <col min="7449" max="7451" width="9.375" style="393" customWidth="1"/>
    <col min="7452" max="7680" width="9" style="393"/>
    <col min="7681" max="7681" width="4.75" style="393" customWidth="1"/>
    <col min="7682" max="7682" width="18.625" style="393" customWidth="1"/>
    <col min="7683" max="7683" width="12.375" style="393" customWidth="1"/>
    <col min="7684" max="7684" width="5.625" style="393" customWidth="1"/>
    <col min="7685" max="7685" width="12.375" style="393" customWidth="1"/>
    <col min="7686" max="7686" width="5.625" style="393" customWidth="1"/>
    <col min="7687" max="7687" width="12.375" style="393" customWidth="1"/>
    <col min="7688" max="7688" width="5.625" style="393" customWidth="1"/>
    <col min="7689" max="7689" width="12.375" style="393" customWidth="1"/>
    <col min="7690" max="7690" width="5.625" style="393" customWidth="1"/>
    <col min="7691" max="7691" width="29.5" style="393" customWidth="1"/>
    <col min="7692" max="7692" width="6.625" style="393" customWidth="1"/>
    <col min="7693" max="7693" width="3" style="393" customWidth="1"/>
    <col min="7694" max="7694" width="4.5" style="393" customWidth="1"/>
    <col min="7695" max="7695" width="18.375" style="393" customWidth="1"/>
    <col min="7696" max="7701" width="6.125" style="393" customWidth="1"/>
    <col min="7702" max="7702" width="3" style="393" customWidth="1"/>
    <col min="7703" max="7703" width="4.25" style="393" customWidth="1"/>
    <col min="7704" max="7704" width="14.25" style="393" customWidth="1"/>
    <col min="7705" max="7707" width="9.375" style="393" customWidth="1"/>
    <col min="7708" max="7936" width="9" style="393"/>
    <col min="7937" max="7937" width="4.75" style="393" customWidth="1"/>
    <col min="7938" max="7938" width="18.625" style="393" customWidth="1"/>
    <col min="7939" max="7939" width="12.375" style="393" customWidth="1"/>
    <col min="7940" max="7940" width="5.625" style="393" customWidth="1"/>
    <col min="7941" max="7941" width="12.375" style="393" customWidth="1"/>
    <col min="7942" max="7942" width="5.625" style="393" customWidth="1"/>
    <col min="7943" max="7943" width="12.375" style="393" customWidth="1"/>
    <col min="7944" max="7944" width="5.625" style="393" customWidth="1"/>
    <col min="7945" max="7945" width="12.375" style="393" customWidth="1"/>
    <col min="7946" max="7946" width="5.625" style="393" customWidth="1"/>
    <col min="7947" max="7947" width="29.5" style="393" customWidth="1"/>
    <col min="7948" max="7948" width="6.625" style="393" customWidth="1"/>
    <col min="7949" max="7949" width="3" style="393" customWidth="1"/>
    <col min="7950" max="7950" width="4.5" style="393" customWidth="1"/>
    <col min="7951" max="7951" width="18.375" style="393" customWidth="1"/>
    <col min="7952" max="7957" width="6.125" style="393" customWidth="1"/>
    <col min="7958" max="7958" width="3" style="393" customWidth="1"/>
    <col min="7959" max="7959" width="4.25" style="393" customWidth="1"/>
    <col min="7960" max="7960" width="14.25" style="393" customWidth="1"/>
    <col min="7961" max="7963" width="9.375" style="393" customWidth="1"/>
    <col min="7964" max="8192" width="9" style="393"/>
    <col min="8193" max="8193" width="4.75" style="393" customWidth="1"/>
    <col min="8194" max="8194" width="18.625" style="393" customWidth="1"/>
    <col min="8195" max="8195" width="12.375" style="393" customWidth="1"/>
    <col min="8196" max="8196" width="5.625" style="393" customWidth="1"/>
    <col min="8197" max="8197" width="12.375" style="393" customWidth="1"/>
    <col min="8198" max="8198" width="5.625" style="393" customWidth="1"/>
    <col min="8199" max="8199" width="12.375" style="393" customWidth="1"/>
    <col min="8200" max="8200" width="5.625" style="393" customWidth="1"/>
    <col min="8201" max="8201" width="12.375" style="393" customWidth="1"/>
    <col min="8202" max="8202" width="5.625" style="393" customWidth="1"/>
    <col min="8203" max="8203" width="29.5" style="393" customWidth="1"/>
    <col min="8204" max="8204" width="6.625" style="393" customWidth="1"/>
    <col min="8205" max="8205" width="3" style="393" customWidth="1"/>
    <col min="8206" max="8206" width="4.5" style="393" customWidth="1"/>
    <col min="8207" max="8207" width="18.375" style="393" customWidth="1"/>
    <col min="8208" max="8213" width="6.125" style="393" customWidth="1"/>
    <col min="8214" max="8214" width="3" style="393" customWidth="1"/>
    <col min="8215" max="8215" width="4.25" style="393" customWidth="1"/>
    <col min="8216" max="8216" width="14.25" style="393" customWidth="1"/>
    <col min="8217" max="8219" width="9.375" style="393" customWidth="1"/>
    <col min="8220" max="8448" width="9" style="393"/>
    <col min="8449" max="8449" width="4.75" style="393" customWidth="1"/>
    <col min="8450" max="8450" width="18.625" style="393" customWidth="1"/>
    <col min="8451" max="8451" width="12.375" style="393" customWidth="1"/>
    <col min="8452" max="8452" width="5.625" style="393" customWidth="1"/>
    <col min="8453" max="8453" width="12.375" style="393" customWidth="1"/>
    <col min="8454" max="8454" width="5.625" style="393" customWidth="1"/>
    <col min="8455" max="8455" width="12.375" style="393" customWidth="1"/>
    <col min="8456" max="8456" width="5.625" style="393" customWidth="1"/>
    <col min="8457" max="8457" width="12.375" style="393" customWidth="1"/>
    <col min="8458" max="8458" width="5.625" style="393" customWidth="1"/>
    <col min="8459" max="8459" width="29.5" style="393" customWidth="1"/>
    <col min="8460" max="8460" width="6.625" style="393" customWidth="1"/>
    <col min="8461" max="8461" width="3" style="393" customWidth="1"/>
    <col min="8462" max="8462" width="4.5" style="393" customWidth="1"/>
    <col min="8463" max="8463" width="18.375" style="393" customWidth="1"/>
    <col min="8464" max="8469" width="6.125" style="393" customWidth="1"/>
    <col min="8470" max="8470" width="3" style="393" customWidth="1"/>
    <col min="8471" max="8471" width="4.25" style="393" customWidth="1"/>
    <col min="8472" max="8472" width="14.25" style="393" customWidth="1"/>
    <col min="8473" max="8475" width="9.375" style="393" customWidth="1"/>
    <col min="8476" max="8704" width="9" style="393"/>
    <col min="8705" max="8705" width="4.75" style="393" customWidth="1"/>
    <col min="8706" max="8706" width="18.625" style="393" customWidth="1"/>
    <col min="8707" max="8707" width="12.375" style="393" customWidth="1"/>
    <col min="8708" max="8708" width="5.625" style="393" customWidth="1"/>
    <col min="8709" max="8709" width="12.375" style="393" customWidth="1"/>
    <col min="8710" max="8710" width="5.625" style="393" customWidth="1"/>
    <col min="8711" max="8711" width="12.375" style="393" customWidth="1"/>
    <col min="8712" max="8712" width="5.625" style="393" customWidth="1"/>
    <col min="8713" max="8713" width="12.375" style="393" customWidth="1"/>
    <col min="8714" max="8714" width="5.625" style="393" customWidth="1"/>
    <col min="8715" max="8715" width="29.5" style="393" customWidth="1"/>
    <col min="8716" max="8716" width="6.625" style="393" customWidth="1"/>
    <col min="8717" max="8717" width="3" style="393" customWidth="1"/>
    <col min="8718" max="8718" width="4.5" style="393" customWidth="1"/>
    <col min="8719" max="8719" width="18.375" style="393" customWidth="1"/>
    <col min="8720" max="8725" width="6.125" style="393" customWidth="1"/>
    <col min="8726" max="8726" width="3" style="393" customWidth="1"/>
    <col min="8727" max="8727" width="4.25" style="393" customWidth="1"/>
    <col min="8728" max="8728" width="14.25" style="393" customWidth="1"/>
    <col min="8729" max="8731" width="9.375" style="393" customWidth="1"/>
    <col min="8732" max="8960" width="9" style="393"/>
    <col min="8961" max="8961" width="4.75" style="393" customWidth="1"/>
    <col min="8962" max="8962" width="18.625" style="393" customWidth="1"/>
    <col min="8963" max="8963" width="12.375" style="393" customWidth="1"/>
    <col min="8964" max="8964" width="5.625" style="393" customWidth="1"/>
    <col min="8965" max="8965" width="12.375" style="393" customWidth="1"/>
    <col min="8966" max="8966" width="5.625" style="393" customWidth="1"/>
    <col min="8967" max="8967" width="12.375" style="393" customWidth="1"/>
    <col min="8968" max="8968" width="5.625" style="393" customWidth="1"/>
    <col min="8969" max="8969" width="12.375" style="393" customWidth="1"/>
    <col min="8970" max="8970" width="5.625" style="393" customWidth="1"/>
    <col min="8971" max="8971" width="29.5" style="393" customWidth="1"/>
    <col min="8972" max="8972" width="6.625" style="393" customWidth="1"/>
    <col min="8973" max="8973" width="3" style="393" customWidth="1"/>
    <col min="8974" max="8974" width="4.5" style="393" customWidth="1"/>
    <col min="8975" max="8975" width="18.375" style="393" customWidth="1"/>
    <col min="8976" max="8981" width="6.125" style="393" customWidth="1"/>
    <col min="8982" max="8982" width="3" style="393" customWidth="1"/>
    <col min="8983" max="8983" width="4.25" style="393" customWidth="1"/>
    <col min="8984" max="8984" width="14.25" style="393" customWidth="1"/>
    <col min="8985" max="8987" width="9.375" style="393" customWidth="1"/>
    <col min="8988" max="9216" width="9" style="393"/>
    <col min="9217" max="9217" width="4.75" style="393" customWidth="1"/>
    <col min="9218" max="9218" width="18.625" style="393" customWidth="1"/>
    <col min="9219" max="9219" width="12.375" style="393" customWidth="1"/>
    <col min="9220" max="9220" width="5.625" style="393" customWidth="1"/>
    <col min="9221" max="9221" width="12.375" style="393" customWidth="1"/>
    <col min="9222" max="9222" width="5.625" style="393" customWidth="1"/>
    <col min="9223" max="9223" width="12.375" style="393" customWidth="1"/>
    <col min="9224" max="9224" width="5.625" style="393" customWidth="1"/>
    <col min="9225" max="9225" width="12.375" style="393" customWidth="1"/>
    <col min="9226" max="9226" width="5.625" style="393" customWidth="1"/>
    <col min="9227" max="9227" width="29.5" style="393" customWidth="1"/>
    <col min="9228" max="9228" width="6.625" style="393" customWidth="1"/>
    <col min="9229" max="9229" width="3" style="393" customWidth="1"/>
    <col min="9230" max="9230" width="4.5" style="393" customWidth="1"/>
    <col min="9231" max="9231" width="18.375" style="393" customWidth="1"/>
    <col min="9232" max="9237" width="6.125" style="393" customWidth="1"/>
    <col min="9238" max="9238" width="3" style="393" customWidth="1"/>
    <col min="9239" max="9239" width="4.25" style="393" customWidth="1"/>
    <col min="9240" max="9240" width="14.25" style="393" customWidth="1"/>
    <col min="9241" max="9243" width="9.375" style="393" customWidth="1"/>
    <col min="9244" max="9472" width="9" style="393"/>
    <col min="9473" max="9473" width="4.75" style="393" customWidth="1"/>
    <col min="9474" max="9474" width="18.625" style="393" customWidth="1"/>
    <col min="9475" max="9475" width="12.375" style="393" customWidth="1"/>
    <col min="9476" max="9476" width="5.625" style="393" customWidth="1"/>
    <col min="9477" max="9477" width="12.375" style="393" customWidth="1"/>
    <col min="9478" max="9478" width="5.625" style="393" customWidth="1"/>
    <col min="9479" max="9479" width="12.375" style="393" customWidth="1"/>
    <col min="9480" max="9480" width="5.625" style="393" customWidth="1"/>
    <col min="9481" max="9481" width="12.375" style="393" customWidth="1"/>
    <col min="9482" max="9482" width="5.625" style="393" customWidth="1"/>
    <col min="9483" max="9483" width="29.5" style="393" customWidth="1"/>
    <col min="9484" max="9484" width="6.625" style="393" customWidth="1"/>
    <col min="9485" max="9485" width="3" style="393" customWidth="1"/>
    <col min="9486" max="9486" width="4.5" style="393" customWidth="1"/>
    <col min="9487" max="9487" width="18.375" style="393" customWidth="1"/>
    <col min="9488" max="9493" width="6.125" style="393" customWidth="1"/>
    <col min="9494" max="9494" width="3" style="393" customWidth="1"/>
    <col min="9495" max="9495" width="4.25" style="393" customWidth="1"/>
    <col min="9496" max="9496" width="14.25" style="393" customWidth="1"/>
    <col min="9497" max="9499" width="9.375" style="393" customWidth="1"/>
    <col min="9500" max="9728" width="9" style="393"/>
    <col min="9729" max="9729" width="4.75" style="393" customWidth="1"/>
    <col min="9730" max="9730" width="18.625" style="393" customWidth="1"/>
    <col min="9731" max="9731" width="12.375" style="393" customWidth="1"/>
    <col min="9732" max="9732" width="5.625" style="393" customWidth="1"/>
    <col min="9733" max="9733" width="12.375" style="393" customWidth="1"/>
    <col min="9734" max="9734" width="5.625" style="393" customWidth="1"/>
    <col min="9735" max="9735" width="12.375" style="393" customWidth="1"/>
    <col min="9736" max="9736" width="5.625" style="393" customWidth="1"/>
    <col min="9737" max="9737" width="12.375" style="393" customWidth="1"/>
    <col min="9738" max="9738" width="5.625" style="393" customWidth="1"/>
    <col min="9739" max="9739" width="29.5" style="393" customWidth="1"/>
    <col min="9740" max="9740" width="6.625" style="393" customWidth="1"/>
    <col min="9741" max="9741" width="3" style="393" customWidth="1"/>
    <col min="9742" max="9742" width="4.5" style="393" customWidth="1"/>
    <col min="9743" max="9743" width="18.375" style="393" customWidth="1"/>
    <col min="9744" max="9749" width="6.125" style="393" customWidth="1"/>
    <col min="9750" max="9750" width="3" style="393" customWidth="1"/>
    <col min="9751" max="9751" width="4.25" style="393" customWidth="1"/>
    <col min="9752" max="9752" width="14.25" style="393" customWidth="1"/>
    <col min="9753" max="9755" width="9.375" style="393" customWidth="1"/>
    <col min="9756" max="9984" width="9" style="393"/>
    <col min="9985" max="9985" width="4.75" style="393" customWidth="1"/>
    <col min="9986" max="9986" width="18.625" style="393" customWidth="1"/>
    <col min="9987" max="9987" width="12.375" style="393" customWidth="1"/>
    <col min="9988" max="9988" width="5.625" style="393" customWidth="1"/>
    <col min="9989" max="9989" width="12.375" style="393" customWidth="1"/>
    <col min="9990" max="9990" width="5.625" style="393" customWidth="1"/>
    <col min="9991" max="9991" width="12.375" style="393" customWidth="1"/>
    <col min="9992" max="9992" width="5.625" style="393" customWidth="1"/>
    <col min="9993" max="9993" width="12.375" style="393" customWidth="1"/>
    <col min="9994" max="9994" width="5.625" style="393" customWidth="1"/>
    <col min="9995" max="9995" width="29.5" style="393" customWidth="1"/>
    <col min="9996" max="9996" width="6.625" style="393" customWidth="1"/>
    <col min="9997" max="9997" width="3" style="393" customWidth="1"/>
    <col min="9998" max="9998" width="4.5" style="393" customWidth="1"/>
    <col min="9999" max="9999" width="18.375" style="393" customWidth="1"/>
    <col min="10000" max="10005" width="6.125" style="393" customWidth="1"/>
    <col min="10006" max="10006" width="3" style="393" customWidth="1"/>
    <col min="10007" max="10007" width="4.25" style="393" customWidth="1"/>
    <col min="10008" max="10008" width="14.25" style="393" customWidth="1"/>
    <col min="10009" max="10011" width="9.375" style="393" customWidth="1"/>
    <col min="10012" max="10240" width="9" style="393"/>
    <col min="10241" max="10241" width="4.75" style="393" customWidth="1"/>
    <col min="10242" max="10242" width="18.625" style="393" customWidth="1"/>
    <col min="10243" max="10243" width="12.375" style="393" customWidth="1"/>
    <col min="10244" max="10244" width="5.625" style="393" customWidth="1"/>
    <col min="10245" max="10245" width="12.375" style="393" customWidth="1"/>
    <col min="10246" max="10246" width="5.625" style="393" customWidth="1"/>
    <col min="10247" max="10247" width="12.375" style="393" customWidth="1"/>
    <col min="10248" max="10248" width="5.625" style="393" customWidth="1"/>
    <col min="10249" max="10249" width="12.375" style="393" customWidth="1"/>
    <col min="10250" max="10250" width="5.625" style="393" customWidth="1"/>
    <col min="10251" max="10251" width="29.5" style="393" customWidth="1"/>
    <col min="10252" max="10252" width="6.625" style="393" customWidth="1"/>
    <col min="10253" max="10253" width="3" style="393" customWidth="1"/>
    <col min="10254" max="10254" width="4.5" style="393" customWidth="1"/>
    <col min="10255" max="10255" width="18.375" style="393" customWidth="1"/>
    <col min="10256" max="10261" width="6.125" style="393" customWidth="1"/>
    <col min="10262" max="10262" width="3" style="393" customWidth="1"/>
    <col min="10263" max="10263" width="4.25" style="393" customWidth="1"/>
    <col min="10264" max="10264" width="14.25" style="393" customWidth="1"/>
    <col min="10265" max="10267" width="9.375" style="393" customWidth="1"/>
    <col min="10268" max="10496" width="9" style="393"/>
    <col min="10497" max="10497" width="4.75" style="393" customWidth="1"/>
    <col min="10498" max="10498" width="18.625" style="393" customWidth="1"/>
    <col min="10499" max="10499" width="12.375" style="393" customWidth="1"/>
    <col min="10500" max="10500" width="5.625" style="393" customWidth="1"/>
    <col min="10501" max="10501" width="12.375" style="393" customWidth="1"/>
    <col min="10502" max="10502" width="5.625" style="393" customWidth="1"/>
    <col min="10503" max="10503" width="12.375" style="393" customWidth="1"/>
    <col min="10504" max="10504" width="5.625" style="393" customWidth="1"/>
    <col min="10505" max="10505" width="12.375" style="393" customWidth="1"/>
    <col min="10506" max="10506" width="5.625" style="393" customWidth="1"/>
    <col min="10507" max="10507" width="29.5" style="393" customWidth="1"/>
    <col min="10508" max="10508" width="6.625" style="393" customWidth="1"/>
    <col min="10509" max="10509" width="3" style="393" customWidth="1"/>
    <col min="10510" max="10510" width="4.5" style="393" customWidth="1"/>
    <col min="10511" max="10511" width="18.375" style="393" customWidth="1"/>
    <col min="10512" max="10517" width="6.125" style="393" customWidth="1"/>
    <col min="10518" max="10518" width="3" style="393" customWidth="1"/>
    <col min="10519" max="10519" width="4.25" style="393" customWidth="1"/>
    <col min="10520" max="10520" width="14.25" style="393" customWidth="1"/>
    <col min="10521" max="10523" width="9.375" style="393" customWidth="1"/>
    <col min="10524" max="10752" width="9" style="393"/>
    <col min="10753" max="10753" width="4.75" style="393" customWidth="1"/>
    <col min="10754" max="10754" width="18.625" style="393" customWidth="1"/>
    <col min="10755" max="10755" width="12.375" style="393" customWidth="1"/>
    <col min="10756" max="10756" width="5.625" style="393" customWidth="1"/>
    <col min="10757" max="10757" width="12.375" style="393" customWidth="1"/>
    <col min="10758" max="10758" width="5.625" style="393" customWidth="1"/>
    <col min="10759" max="10759" width="12.375" style="393" customWidth="1"/>
    <col min="10760" max="10760" width="5.625" style="393" customWidth="1"/>
    <col min="10761" max="10761" width="12.375" style="393" customWidth="1"/>
    <col min="10762" max="10762" width="5.625" style="393" customWidth="1"/>
    <col min="10763" max="10763" width="29.5" style="393" customWidth="1"/>
    <col min="10764" max="10764" width="6.625" style="393" customWidth="1"/>
    <col min="10765" max="10765" width="3" style="393" customWidth="1"/>
    <col min="10766" max="10766" width="4.5" style="393" customWidth="1"/>
    <col min="10767" max="10767" width="18.375" style="393" customWidth="1"/>
    <col min="10768" max="10773" width="6.125" style="393" customWidth="1"/>
    <col min="10774" max="10774" width="3" style="393" customWidth="1"/>
    <col min="10775" max="10775" width="4.25" style="393" customWidth="1"/>
    <col min="10776" max="10776" width="14.25" style="393" customWidth="1"/>
    <col min="10777" max="10779" width="9.375" style="393" customWidth="1"/>
    <col min="10780" max="11008" width="9" style="393"/>
    <col min="11009" max="11009" width="4.75" style="393" customWidth="1"/>
    <col min="11010" max="11010" width="18.625" style="393" customWidth="1"/>
    <col min="11011" max="11011" width="12.375" style="393" customWidth="1"/>
    <col min="11012" max="11012" width="5.625" style="393" customWidth="1"/>
    <col min="11013" max="11013" width="12.375" style="393" customWidth="1"/>
    <col min="11014" max="11014" width="5.625" style="393" customWidth="1"/>
    <col min="11015" max="11015" width="12.375" style="393" customWidth="1"/>
    <col min="11016" max="11016" width="5.625" style="393" customWidth="1"/>
    <col min="11017" max="11017" width="12.375" style="393" customWidth="1"/>
    <col min="11018" max="11018" width="5.625" style="393" customWidth="1"/>
    <col min="11019" max="11019" width="29.5" style="393" customWidth="1"/>
    <col min="11020" max="11020" width="6.625" style="393" customWidth="1"/>
    <col min="11021" max="11021" width="3" style="393" customWidth="1"/>
    <col min="11022" max="11022" width="4.5" style="393" customWidth="1"/>
    <col min="11023" max="11023" width="18.375" style="393" customWidth="1"/>
    <col min="11024" max="11029" width="6.125" style="393" customWidth="1"/>
    <col min="11030" max="11030" width="3" style="393" customWidth="1"/>
    <col min="11031" max="11031" width="4.25" style="393" customWidth="1"/>
    <col min="11032" max="11032" width="14.25" style="393" customWidth="1"/>
    <col min="11033" max="11035" width="9.375" style="393" customWidth="1"/>
    <col min="11036" max="11264" width="9" style="393"/>
    <col min="11265" max="11265" width="4.75" style="393" customWidth="1"/>
    <col min="11266" max="11266" width="18.625" style="393" customWidth="1"/>
    <col min="11267" max="11267" width="12.375" style="393" customWidth="1"/>
    <col min="11268" max="11268" width="5.625" style="393" customWidth="1"/>
    <col min="11269" max="11269" width="12.375" style="393" customWidth="1"/>
    <col min="11270" max="11270" width="5.625" style="393" customWidth="1"/>
    <col min="11271" max="11271" width="12.375" style="393" customWidth="1"/>
    <col min="11272" max="11272" width="5.625" style="393" customWidth="1"/>
    <col min="11273" max="11273" width="12.375" style="393" customWidth="1"/>
    <col min="11274" max="11274" width="5.625" style="393" customWidth="1"/>
    <col min="11275" max="11275" width="29.5" style="393" customWidth="1"/>
    <col min="11276" max="11276" width="6.625" style="393" customWidth="1"/>
    <col min="11277" max="11277" width="3" style="393" customWidth="1"/>
    <col min="11278" max="11278" width="4.5" style="393" customWidth="1"/>
    <col min="11279" max="11279" width="18.375" style="393" customWidth="1"/>
    <col min="11280" max="11285" width="6.125" style="393" customWidth="1"/>
    <col min="11286" max="11286" width="3" style="393" customWidth="1"/>
    <col min="11287" max="11287" width="4.25" style="393" customWidth="1"/>
    <col min="11288" max="11288" width="14.25" style="393" customWidth="1"/>
    <col min="11289" max="11291" width="9.375" style="393" customWidth="1"/>
    <col min="11292" max="11520" width="9" style="393"/>
    <col min="11521" max="11521" width="4.75" style="393" customWidth="1"/>
    <col min="11522" max="11522" width="18.625" style="393" customWidth="1"/>
    <col min="11523" max="11523" width="12.375" style="393" customWidth="1"/>
    <col min="11524" max="11524" width="5.625" style="393" customWidth="1"/>
    <col min="11525" max="11525" width="12.375" style="393" customWidth="1"/>
    <col min="11526" max="11526" width="5.625" style="393" customWidth="1"/>
    <col min="11527" max="11527" width="12.375" style="393" customWidth="1"/>
    <col min="11528" max="11528" width="5.625" style="393" customWidth="1"/>
    <col min="11529" max="11529" width="12.375" style="393" customWidth="1"/>
    <col min="11530" max="11530" width="5.625" style="393" customWidth="1"/>
    <col min="11531" max="11531" width="29.5" style="393" customWidth="1"/>
    <col min="11532" max="11532" width="6.625" style="393" customWidth="1"/>
    <col min="11533" max="11533" width="3" style="393" customWidth="1"/>
    <col min="11534" max="11534" width="4.5" style="393" customWidth="1"/>
    <col min="11535" max="11535" width="18.375" style="393" customWidth="1"/>
    <col min="11536" max="11541" width="6.125" style="393" customWidth="1"/>
    <col min="11542" max="11542" width="3" style="393" customWidth="1"/>
    <col min="11543" max="11543" width="4.25" style="393" customWidth="1"/>
    <col min="11544" max="11544" width="14.25" style="393" customWidth="1"/>
    <col min="11545" max="11547" width="9.375" style="393" customWidth="1"/>
    <col min="11548" max="11776" width="9" style="393"/>
    <col min="11777" max="11777" width="4.75" style="393" customWidth="1"/>
    <col min="11778" max="11778" width="18.625" style="393" customWidth="1"/>
    <col min="11779" max="11779" width="12.375" style="393" customWidth="1"/>
    <col min="11780" max="11780" width="5.625" style="393" customWidth="1"/>
    <col min="11781" max="11781" width="12.375" style="393" customWidth="1"/>
    <col min="11782" max="11782" width="5.625" style="393" customWidth="1"/>
    <col min="11783" max="11783" width="12.375" style="393" customWidth="1"/>
    <col min="11784" max="11784" width="5.625" style="393" customWidth="1"/>
    <col min="11785" max="11785" width="12.375" style="393" customWidth="1"/>
    <col min="11786" max="11786" width="5.625" style="393" customWidth="1"/>
    <col min="11787" max="11787" width="29.5" style="393" customWidth="1"/>
    <col min="11788" max="11788" width="6.625" style="393" customWidth="1"/>
    <col min="11789" max="11789" width="3" style="393" customWidth="1"/>
    <col min="11790" max="11790" width="4.5" style="393" customWidth="1"/>
    <col min="11791" max="11791" width="18.375" style="393" customWidth="1"/>
    <col min="11792" max="11797" width="6.125" style="393" customWidth="1"/>
    <col min="11798" max="11798" width="3" style="393" customWidth="1"/>
    <col min="11799" max="11799" width="4.25" style="393" customWidth="1"/>
    <col min="11800" max="11800" width="14.25" style="393" customWidth="1"/>
    <col min="11801" max="11803" width="9.375" style="393" customWidth="1"/>
    <col min="11804" max="12032" width="9" style="393"/>
    <col min="12033" max="12033" width="4.75" style="393" customWidth="1"/>
    <col min="12034" max="12034" width="18.625" style="393" customWidth="1"/>
    <col min="12035" max="12035" width="12.375" style="393" customWidth="1"/>
    <col min="12036" max="12036" width="5.625" style="393" customWidth="1"/>
    <col min="12037" max="12037" width="12.375" style="393" customWidth="1"/>
    <col min="12038" max="12038" width="5.625" style="393" customWidth="1"/>
    <col min="12039" max="12039" width="12.375" style="393" customWidth="1"/>
    <col min="12040" max="12040" width="5.625" style="393" customWidth="1"/>
    <col min="12041" max="12041" width="12.375" style="393" customWidth="1"/>
    <col min="12042" max="12042" width="5.625" style="393" customWidth="1"/>
    <col min="12043" max="12043" width="29.5" style="393" customWidth="1"/>
    <col min="12044" max="12044" width="6.625" style="393" customWidth="1"/>
    <col min="12045" max="12045" width="3" style="393" customWidth="1"/>
    <col min="12046" max="12046" width="4.5" style="393" customWidth="1"/>
    <col min="12047" max="12047" width="18.375" style="393" customWidth="1"/>
    <col min="12048" max="12053" width="6.125" style="393" customWidth="1"/>
    <col min="12054" max="12054" width="3" style="393" customWidth="1"/>
    <col min="12055" max="12055" width="4.25" style="393" customWidth="1"/>
    <col min="12056" max="12056" width="14.25" style="393" customWidth="1"/>
    <col min="12057" max="12059" width="9.375" style="393" customWidth="1"/>
    <col min="12060" max="12288" width="9" style="393"/>
    <col min="12289" max="12289" width="4.75" style="393" customWidth="1"/>
    <col min="12290" max="12290" width="18.625" style="393" customWidth="1"/>
    <col min="12291" max="12291" width="12.375" style="393" customWidth="1"/>
    <col min="12292" max="12292" width="5.625" style="393" customWidth="1"/>
    <col min="12293" max="12293" width="12.375" style="393" customWidth="1"/>
    <col min="12294" max="12294" width="5.625" style="393" customWidth="1"/>
    <col min="12295" max="12295" width="12.375" style="393" customWidth="1"/>
    <col min="12296" max="12296" width="5.625" style="393" customWidth="1"/>
    <col min="12297" max="12297" width="12.375" style="393" customWidth="1"/>
    <col min="12298" max="12298" width="5.625" style="393" customWidth="1"/>
    <col min="12299" max="12299" width="29.5" style="393" customWidth="1"/>
    <col min="12300" max="12300" width="6.625" style="393" customWidth="1"/>
    <col min="12301" max="12301" width="3" style="393" customWidth="1"/>
    <col min="12302" max="12302" width="4.5" style="393" customWidth="1"/>
    <col min="12303" max="12303" width="18.375" style="393" customWidth="1"/>
    <col min="12304" max="12309" width="6.125" style="393" customWidth="1"/>
    <col min="12310" max="12310" width="3" style="393" customWidth="1"/>
    <col min="12311" max="12311" width="4.25" style="393" customWidth="1"/>
    <col min="12312" max="12312" width="14.25" style="393" customWidth="1"/>
    <col min="12313" max="12315" width="9.375" style="393" customWidth="1"/>
    <col min="12316" max="12544" width="9" style="393"/>
    <col min="12545" max="12545" width="4.75" style="393" customWidth="1"/>
    <col min="12546" max="12546" width="18.625" style="393" customWidth="1"/>
    <col min="12547" max="12547" width="12.375" style="393" customWidth="1"/>
    <col min="12548" max="12548" width="5.625" style="393" customWidth="1"/>
    <col min="12549" max="12549" width="12.375" style="393" customWidth="1"/>
    <col min="12550" max="12550" width="5.625" style="393" customWidth="1"/>
    <col min="12551" max="12551" width="12.375" style="393" customWidth="1"/>
    <col min="12552" max="12552" width="5.625" style="393" customWidth="1"/>
    <col min="12553" max="12553" width="12.375" style="393" customWidth="1"/>
    <col min="12554" max="12554" width="5.625" style="393" customWidth="1"/>
    <col min="12555" max="12555" width="29.5" style="393" customWidth="1"/>
    <col min="12556" max="12556" width="6.625" style="393" customWidth="1"/>
    <col min="12557" max="12557" width="3" style="393" customWidth="1"/>
    <col min="12558" max="12558" width="4.5" style="393" customWidth="1"/>
    <col min="12559" max="12559" width="18.375" style="393" customWidth="1"/>
    <col min="12560" max="12565" width="6.125" style="393" customWidth="1"/>
    <col min="12566" max="12566" width="3" style="393" customWidth="1"/>
    <col min="12567" max="12567" width="4.25" style="393" customWidth="1"/>
    <col min="12568" max="12568" width="14.25" style="393" customWidth="1"/>
    <col min="12569" max="12571" width="9.375" style="393" customWidth="1"/>
    <col min="12572" max="12800" width="9" style="393"/>
    <col min="12801" max="12801" width="4.75" style="393" customWidth="1"/>
    <col min="12802" max="12802" width="18.625" style="393" customWidth="1"/>
    <col min="12803" max="12803" width="12.375" style="393" customWidth="1"/>
    <col min="12804" max="12804" width="5.625" style="393" customWidth="1"/>
    <col min="12805" max="12805" width="12.375" style="393" customWidth="1"/>
    <col min="12806" max="12806" width="5.625" style="393" customWidth="1"/>
    <col min="12807" max="12807" width="12.375" style="393" customWidth="1"/>
    <col min="12808" max="12808" width="5.625" style="393" customWidth="1"/>
    <col min="12809" max="12809" width="12.375" style="393" customWidth="1"/>
    <col min="12810" max="12810" width="5.625" style="393" customWidth="1"/>
    <col min="12811" max="12811" width="29.5" style="393" customWidth="1"/>
    <col min="12812" max="12812" width="6.625" style="393" customWidth="1"/>
    <col min="12813" max="12813" width="3" style="393" customWidth="1"/>
    <col min="12814" max="12814" width="4.5" style="393" customWidth="1"/>
    <col min="12815" max="12815" width="18.375" style="393" customWidth="1"/>
    <col min="12816" max="12821" width="6.125" style="393" customWidth="1"/>
    <col min="12822" max="12822" width="3" style="393" customWidth="1"/>
    <col min="12823" max="12823" width="4.25" style="393" customWidth="1"/>
    <col min="12824" max="12824" width="14.25" style="393" customWidth="1"/>
    <col min="12825" max="12827" width="9.375" style="393" customWidth="1"/>
    <col min="12828" max="13056" width="9" style="393"/>
    <col min="13057" max="13057" width="4.75" style="393" customWidth="1"/>
    <col min="13058" max="13058" width="18.625" style="393" customWidth="1"/>
    <col min="13059" max="13059" width="12.375" style="393" customWidth="1"/>
    <col min="13060" max="13060" width="5.625" style="393" customWidth="1"/>
    <col min="13061" max="13061" width="12.375" style="393" customWidth="1"/>
    <col min="13062" max="13062" width="5.625" style="393" customWidth="1"/>
    <col min="13063" max="13063" width="12.375" style="393" customWidth="1"/>
    <col min="13064" max="13064" width="5.625" style="393" customWidth="1"/>
    <col min="13065" max="13065" width="12.375" style="393" customWidth="1"/>
    <col min="13066" max="13066" width="5.625" style="393" customWidth="1"/>
    <col min="13067" max="13067" width="29.5" style="393" customWidth="1"/>
    <col min="13068" max="13068" width="6.625" style="393" customWidth="1"/>
    <col min="13069" max="13069" width="3" style="393" customWidth="1"/>
    <col min="13070" max="13070" width="4.5" style="393" customWidth="1"/>
    <col min="13071" max="13071" width="18.375" style="393" customWidth="1"/>
    <col min="13072" max="13077" width="6.125" style="393" customWidth="1"/>
    <col min="13078" max="13078" width="3" style="393" customWidth="1"/>
    <col min="13079" max="13079" width="4.25" style="393" customWidth="1"/>
    <col min="13080" max="13080" width="14.25" style="393" customWidth="1"/>
    <col min="13081" max="13083" width="9.375" style="393" customWidth="1"/>
    <col min="13084" max="13312" width="9" style="393"/>
    <col min="13313" max="13313" width="4.75" style="393" customWidth="1"/>
    <col min="13314" max="13314" width="18.625" style="393" customWidth="1"/>
    <col min="13315" max="13315" width="12.375" style="393" customWidth="1"/>
    <col min="13316" max="13316" width="5.625" style="393" customWidth="1"/>
    <col min="13317" max="13317" width="12.375" style="393" customWidth="1"/>
    <col min="13318" max="13318" width="5.625" style="393" customWidth="1"/>
    <col min="13319" max="13319" width="12.375" style="393" customWidth="1"/>
    <col min="13320" max="13320" width="5.625" style="393" customWidth="1"/>
    <col min="13321" max="13321" width="12.375" style="393" customWidth="1"/>
    <col min="13322" max="13322" width="5.625" style="393" customWidth="1"/>
    <col min="13323" max="13323" width="29.5" style="393" customWidth="1"/>
    <col min="13324" max="13324" width="6.625" style="393" customWidth="1"/>
    <col min="13325" max="13325" width="3" style="393" customWidth="1"/>
    <col min="13326" max="13326" width="4.5" style="393" customWidth="1"/>
    <col min="13327" max="13327" width="18.375" style="393" customWidth="1"/>
    <col min="13328" max="13333" width="6.125" style="393" customWidth="1"/>
    <col min="13334" max="13334" width="3" style="393" customWidth="1"/>
    <col min="13335" max="13335" width="4.25" style="393" customWidth="1"/>
    <col min="13336" max="13336" width="14.25" style="393" customWidth="1"/>
    <col min="13337" max="13339" width="9.375" style="393" customWidth="1"/>
    <col min="13340" max="13568" width="9" style="393"/>
    <col min="13569" max="13569" width="4.75" style="393" customWidth="1"/>
    <col min="13570" max="13570" width="18.625" style="393" customWidth="1"/>
    <col min="13571" max="13571" width="12.375" style="393" customWidth="1"/>
    <col min="13572" max="13572" width="5.625" style="393" customWidth="1"/>
    <col min="13573" max="13573" width="12.375" style="393" customWidth="1"/>
    <col min="13574" max="13574" width="5.625" style="393" customWidth="1"/>
    <col min="13575" max="13575" width="12.375" style="393" customWidth="1"/>
    <col min="13576" max="13576" width="5.625" style="393" customWidth="1"/>
    <col min="13577" max="13577" width="12.375" style="393" customWidth="1"/>
    <col min="13578" max="13578" width="5.625" style="393" customWidth="1"/>
    <col min="13579" max="13579" width="29.5" style="393" customWidth="1"/>
    <col min="13580" max="13580" width="6.625" style="393" customWidth="1"/>
    <col min="13581" max="13581" width="3" style="393" customWidth="1"/>
    <col min="13582" max="13582" width="4.5" style="393" customWidth="1"/>
    <col min="13583" max="13583" width="18.375" style="393" customWidth="1"/>
    <col min="13584" max="13589" width="6.125" style="393" customWidth="1"/>
    <col min="13590" max="13590" width="3" style="393" customWidth="1"/>
    <col min="13591" max="13591" width="4.25" style="393" customWidth="1"/>
    <col min="13592" max="13592" width="14.25" style="393" customWidth="1"/>
    <col min="13593" max="13595" width="9.375" style="393" customWidth="1"/>
    <col min="13596" max="13824" width="9" style="393"/>
    <col min="13825" max="13825" width="4.75" style="393" customWidth="1"/>
    <col min="13826" max="13826" width="18.625" style="393" customWidth="1"/>
    <col min="13827" max="13827" width="12.375" style="393" customWidth="1"/>
    <col min="13828" max="13828" width="5.625" style="393" customWidth="1"/>
    <col min="13829" max="13829" width="12.375" style="393" customWidth="1"/>
    <col min="13830" max="13830" width="5.625" style="393" customWidth="1"/>
    <col min="13831" max="13831" width="12.375" style="393" customWidth="1"/>
    <col min="13832" max="13832" width="5.625" style="393" customWidth="1"/>
    <col min="13833" max="13833" width="12.375" style="393" customWidth="1"/>
    <col min="13834" max="13834" width="5.625" style="393" customWidth="1"/>
    <col min="13835" max="13835" width="29.5" style="393" customWidth="1"/>
    <col min="13836" max="13836" width="6.625" style="393" customWidth="1"/>
    <col min="13837" max="13837" width="3" style="393" customWidth="1"/>
    <col min="13838" max="13838" width="4.5" style="393" customWidth="1"/>
    <col min="13839" max="13839" width="18.375" style="393" customWidth="1"/>
    <col min="13840" max="13845" width="6.125" style="393" customWidth="1"/>
    <col min="13846" max="13846" width="3" style="393" customWidth="1"/>
    <col min="13847" max="13847" width="4.25" style="393" customWidth="1"/>
    <col min="13848" max="13848" width="14.25" style="393" customWidth="1"/>
    <col min="13849" max="13851" width="9.375" style="393" customWidth="1"/>
    <col min="13852" max="14080" width="9" style="393"/>
    <col min="14081" max="14081" width="4.75" style="393" customWidth="1"/>
    <col min="14082" max="14082" width="18.625" style="393" customWidth="1"/>
    <col min="14083" max="14083" width="12.375" style="393" customWidth="1"/>
    <col min="14084" max="14084" width="5.625" style="393" customWidth="1"/>
    <col min="14085" max="14085" width="12.375" style="393" customWidth="1"/>
    <col min="14086" max="14086" width="5.625" style="393" customWidth="1"/>
    <col min="14087" max="14087" width="12.375" style="393" customWidth="1"/>
    <col min="14088" max="14088" width="5.625" style="393" customWidth="1"/>
    <col min="14089" max="14089" width="12.375" style="393" customWidth="1"/>
    <col min="14090" max="14090" width="5.625" style="393" customWidth="1"/>
    <col min="14091" max="14091" width="29.5" style="393" customWidth="1"/>
    <col min="14092" max="14092" width="6.625" style="393" customWidth="1"/>
    <col min="14093" max="14093" width="3" style="393" customWidth="1"/>
    <col min="14094" max="14094" width="4.5" style="393" customWidth="1"/>
    <col min="14095" max="14095" width="18.375" style="393" customWidth="1"/>
    <col min="14096" max="14101" width="6.125" style="393" customWidth="1"/>
    <col min="14102" max="14102" width="3" style="393" customWidth="1"/>
    <col min="14103" max="14103" width="4.25" style="393" customWidth="1"/>
    <col min="14104" max="14104" width="14.25" style="393" customWidth="1"/>
    <col min="14105" max="14107" width="9.375" style="393" customWidth="1"/>
    <col min="14108" max="14336" width="9" style="393"/>
    <col min="14337" max="14337" width="4.75" style="393" customWidth="1"/>
    <col min="14338" max="14338" width="18.625" style="393" customWidth="1"/>
    <col min="14339" max="14339" width="12.375" style="393" customWidth="1"/>
    <col min="14340" max="14340" width="5.625" style="393" customWidth="1"/>
    <col min="14341" max="14341" width="12.375" style="393" customWidth="1"/>
    <col min="14342" max="14342" width="5.625" style="393" customWidth="1"/>
    <col min="14343" max="14343" width="12.375" style="393" customWidth="1"/>
    <col min="14344" max="14344" width="5.625" style="393" customWidth="1"/>
    <col min="14345" max="14345" width="12.375" style="393" customWidth="1"/>
    <col min="14346" max="14346" width="5.625" style="393" customWidth="1"/>
    <col min="14347" max="14347" width="29.5" style="393" customWidth="1"/>
    <col min="14348" max="14348" width="6.625" style="393" customWidth="1"/>
    <col min="14349" max="14349" width="3" style="393" customWidth="1"/>
    <col min="14350" max="14350" width="4.5" style="393" customWidth="1"/>
    <col min="14351" max="14351" width="18.375" style="393" customWidth="1"/>
    <col min="14352" max="14357" width="6.125" style="393" customWidth="1"/>
    <col min="14358" max="14358" width="3" style="393" customWidth="1"/>
    <col min="14359" max="14359" width="4.25" style="393" customWidth="1"/>
    <col min="14360" max="14360" width="14.25" style="393" customWidth="1"/>
    <col min="14361" max="14363" width="9.375" style="393" customWidth="1"/>
    <col min="14364" max="14592" width="9" style="393"/>
    <col min="14593" max="14593" width="4.75" style="393" customWidth="1"/>
    <col min="14594" max="14594" width="18.625" style="393" customWidth="1"/>
    <col min="14595" max="14595" width="12.375" style="393" customWidth="1"/>
    <col min="14596" max="14596" width="5.625" style="393" customWidth="1"/>
    <col min="14597" max="14597" width="12.375" style="393" customWidth="1"/>
    <col min="14598" max="14598" width="5.625" style="393" customWidth="1"/>
    <col min="14599" max="14599" width="12.375" style="393" customWidth="1"/>
    <col min="14600" max="14600" width="5.625" style="393" customWidth="1"/>
    <col min="14601" max="14601" width="12.375" style="393" customWidth="1"/>
    <col min="14602" max="14602" width="5.625" style="393" customWidth="1"/>
    <col min="14603" max="14603" width="29.5" style="393" customWidth="1"/>
    <col min="14604" max="14604" width="6.625" style="393" customWidth="1"/>
    <col min="14605" max="14605" width="3" style="393" customWidth="1"/>
    <col min="14606" max="14606" width="4.5" style="393" customWidth="1"/>
    <col min="14607" max="14607" width="18.375" style="393" customWidth="1"/>
    <col min="14608" max="14613" width="6.125" style="393" customWidth="1"/>
    <col min="14614" max="14614" width="3" style="393" customWidth="1"/>
    <col min="14615" max="14615" width="4.25" style="393" customWidth="1"/>
    <col min="14616" max="14616" width="14.25" style="393" customWidth="1"/>
    <col min="14617" max="14619" width="9.375" style="393" customWidth="1"/>
    <col min="14620" max="14848" width="9" style="393"/>
    <col min="14849" max="14849" width="4.75" style="393" customWidth="1"/>
    <col min="14850" max="14850" width="18.625" style="393" customWidth="1"/>
    <col min="14851" max="14851" width="12.375" style="393" customWidth="1"/>
    <col min="14852" max="14852" width="5.625" style="393" customWidth="1"/>
    <col min="14853" max="14853" width="12.375" style="393" customWidth="1"/>
    <col min="14854" max="14854" width="5.625" style="393" customWidth="1"/>
    <col min="14855" max="14855" width="12.375" style="393" customWidth="1"/>
    <col min="14856" max="14856" width="5.625" style="393" customWidth="1"/>
    <col min="14857" max="14857" width="12.375" style="393" customWidth="1"/>
    <col min="14858" max="14858" width="5.625" style="393" customWidth="1"/>
    <col min="14859" max="14859" width="29.5" style="393" customWidth="1"/>
    <col min="14860" max="14860" width="6.625" style="393" customWidth="1"/>
    <col min="14861" max="14861" width="3" style="393" customWidth="1"/>
    <col min="14862" max="14862" width="4.5" style="393" customWidth="1"/>
    <col min="14863" max="14863" width="18.375" style="393" customWidth="1"/>
    <col min="14864" max="14869" width="6.125" style="393" customWidth="1"/>
    <col min="14870" max="14870" width="3" style="393" customWidth="1"/>
    <col min="14871" max="14871" width="4.25" style="393" customWidth="1"/>
    <col min="14872" max="14872" width="14.25" style="393" customWidth="1"/>
    <col min="14873" max="14875" width="9.375" style="393" customWidth="1"/>
    <col min="14876" max="15104" width="9" style="393"/>
    <col min="15105" max="15105" width="4.75" style="393" customWidth="1"/>
    <col min="15106" max="15106" width="18.625" style="393" customWidth="1"/>
    <col min="15107" max="15107" width="12.375" style="393" customWidth="1"/>
    <col min="15108" max="15108" width="5.625" style="393" customWidth="1"/>
    <col min="15109" max="15109" width="12.375" style="393" customWidth="1"/>
    <col min="15110" max="15110" width="5.625" style="393" customWidth="1"/>
    <col min="15111" max="15111" width="12.375" style="393" customWidth="1"/>
    <col min="15112" max="15112" width="5.625" style="393" customWidth="1"/>
    <col min="15113" max="15113" width="12.375" style="393" customWidth="1"/>
    <col min="15114" max="15114" width="5.625" style="393" customWidth="1"/>
    <col min="15115" max="15115" width="29.5" style="393" customWidth="1"/>
    <col min="15116" max="15116" width="6.625" style="393" customWidth="1"/>
    <col min="15117" max="15117" width="3" style="393" customWidth="1"/>
    <col min="15118" max="15118" width="4.5" style="393" customWidth="1"/>
    <col min="15119" max="15119" width="18.375" style="393" customWidth="1"/>
    <col min="15120" max="15125" width="6.125" style="393" customWidth="1"/>
    <col min="15126" max="15126" width="3" style="393" customWidth="1"/>
    <col min="15127" max="15127" width="4.25" style="393" customWidth="1"/>
    <col min="15128" max="15128" width="14.25" style="393" customWidth="1"/>
    <col min="15129" max="15131" width="9.375" style="393" customWidth="1"/>
    <col min="15132" max="15360" width="9" style="393"/>
    <col min="15361" max="15361" width="4.75" style="393" customWidth="1"/>
    <col min="15362" max="15362" width="18.625" style="393" customWidth="1"/>
    <col min="15363" max="15363" width="12.375" style="393" customWidth="1"/>
    <col min="15364" max="15364" width="5.625" style="393" customWidth="1"/>
    <col min="15365" max="15365" width="12.375" style="393" customWidth="1"/>
    <col min="15366" max="15366" width="5.625" style="393" customWidth="1"/>
    <col min="15367" max="15367" width="12.375" style="393" customWidth="1"/>
    <col min="15368" max="15368" width="5.625" style="393" customWidth="1"/>
    <col min="15369" max="15369" width="12.375" style="393" customWidth="1"/>
    <col min="15370" max="15370" width="5.625" style="393" customWidth="1"/>
    <col min="15371" max="15371" width="29.5" style="393" customWidth="1"/>
    <col min="15372" max="15372" width="6.625" style="393" customWidth="1"/>
    <col min="15373" max="15373" width="3" style="393" customWidth="1"/>
    <col min="15374" max="15374" width="4.5" style="393" customWidth="1"/>
    <col min="15375" max="15375" width="18.375" style="393" customWidth="1"/>
    <col min="15376" max="15381" width="6.125" style="393" customWidth="1"/>
    <col min="15382" max="15382" width="3" style="393" customWidth="1"/>
    <col min="15383" max="15383" width="4.25" style="393" customWidth="1"/>
    <col min="15384" max="15384" width="14.25" style="393" customWidth="1"/>
    <col min="15385" max="15387" width="9.375" style="393" customWidth="1"/>
    <col min="15388" max="15616" width="9" style="393"/>
    <col min="15617" max="15617" width="4.75" style="393" customWidth="1"/>
    <col min="15618" max="15618" width="18.625" style="393" customWidth="1"/>
    <col min="15619" max="15619" width="12.375" style="393" customWidth="1"/>
    <col min="15620" max="15620" width="5.625" style="393" customWidth="1"/>
    <col min="15621" max="15621" width="12.375" style="393" customWidth="1"/>
    <col min="15622" max="15622" width="5.625" style="393" customWidth="1"/>
    <col min="15623" max="15623" width="12.375" style="393" customWidth="1"/>
    <col min="15624" max="15624" width="5.625" style="393" customWidth="1"/>
    <col min="15625" max="15625" width="12.375" style="393" customWidth="1"/>
    <col min="15626" max="15626" width="5.625" style="393" customWidth="1"/>
    <col min="15627" max="15627" width="29.5" style="393" customWidth="1"/>
    <col min="15628" max="15628" width="6.625" style="393" customWidth="1"/>
    <col min="15629" max="15629" width="3" style="393" customWidth="1"/>
    <col min="15630" max="15630" width="4.5" style="393" customWidth="1"/>
    <col min="15631" max="15631" width="18.375" style="393" customWidth="1"/>
    <col min="15632" max="15637" width="6.125" style="393" customWidth="1"/>
    <col min="15638" max="15638" width="3" style="393" customWidth="1"/>
    <col min="15639" max="15639" width="4.25" style="393" customWidth="1"/>
    <col min="15640" max="15640" width="14.25" style="393" customWidth="1"/>
    <col min="15641" max="15643" width="9.375" style="393" customWidth="1"/>
    <col min="15644" max="15872" width="9" style="393"/>
    <col min="15873" max="15873" width="4.75" style="393" customWidth="1"/>
    <col min="15874" max="15874" width="18.625" style="393" customWidth="1"/>
    <col min="15875" max="15875" width="12.375" style="393" customWidth="1"/>
    <col min="15876" max="15876" width="5.625" style="393" customWidth="1"/>
    <col min="15877" max="15877" width="12.375" style="393" customWidth="1"/>
    <col min="15878" max="15878" width="5.625" style="393" customWidth="1"/>
    <col min="15879" max="15879" width="12.375" style="393" customWidth="1"/>
    <col min="15880" max="15880" width="5.625" style="393" customWidth="1"/>
    <col min="15881" max="15881" width="12.375" style="393" customWidth="1"/>
    <col min="15882" max="15882" width="5.625" style="393" customWidth="1"/>
    <col min="15883" max="15883" width="29.5" style="393" customWidth="1"/>
    <col min="15884" max="15884" width="6.625" style="393" customWidth="1"/>
    <col min="15885" max="15885" width="3" style="393" customWidth="1"/>
    <col min="15886" max="15886" width="4.5" style="393" customWidth="1"/>
    <col min="15887" max="15887" width="18.375" style="393" customWidth="1"/>
    <col min="15888" max="15893" width="6.125" style="393" customWidth="1"/>
    <col min="15894" max="15894" width="3" style="393" customWidth="1"/>
    <col min="15895" max="15895" width="4.25" style="393" customWidth="1"/>
    <col min="15896" max="15896" width="14.25" style="393" customWidth="1"/>
    <col min="15897" max="15899" width="9.375" style="393" customWidth="1"/>
    <col min="15900" max="16128" width="9" style="393"/>
    <col min="16129" max="16129" width="4.75" style="393" customWidth="1"/>
    <col min="16130" max="16130" width="18.625" style="393" customWidth="1"/>
    <col min="16131" max="16131" width="12.375" style="393" customWidth="1"/>
    <col min="16132" max="16132" width="5.625" style="393" customWidth="1"/>
    <col min="16133" max="16133" width="12.375" style="393" customWidth="1"/>
    <col min="16134" max="16134" width="5.625" style="393" customWidth="1"/>
    <col min="16135" max="16135" width="12.375" style="393" customWidth="1"/>
    <col min="16136" max="16136" width="5.625" style="393" customWidth="1"/>
    <col min="16137" max="16137" width="12.375" style="393" customWidth="1"/>
    <col min="16138" max="16138" width="5.625" style="393" customWidth="1"/>
    <col min="16139" max="16139" width="29.5" style="393" customWidth="1"/>
    <col min="16140" max="16140" width="6.625" style="393" customWidth="1"/>
    <col min="16141" max="16141" width="3" style="393" customWidth="1"/>
    <col min="16142" max="16142" width="4.5" style="393" customWidth="1"/>
    <col min="16143" max="16143" width="18.375" style="393" customWidth="1"/>
    <col min="16144" max="16149" width="6.125" style="393" customWidth="1"/>
    <col min="16150" max="16150" width="3" style="393" customWidth="1"/>
    <col min="16151" max="16151" width="4.25" style="393" customWidth="1"/>
    <col min="16152" max="16152" width="14.25" style="393" customWidth="1"/>
    <col min="16153" max="16155" width="9.375" style="393" customWidth="1"/>
    <col min="16156" max="16384" width="9" style="393"/>
  </cols>
  <sheetData>
    <row r="1" spans="1:27" ht="20.25">
      <c r="A1" s="617" t="s">
        <v>396</v>
      </c>
      <c r="B1" s="618"/>
      <c r="C1" s="618"/>
      <c r="D1" s="618"/>
      <c r="E1" s="618"/>
      <c r="F1" s="618"/>
      <c r="G1" s="618"/>
      <c r="H1" s="618"/>
      <c r="I1" s="618"/>
      <c r="J1" s="618"/>
      <c r="K1" s="390"/>
      <c r="L1" s="390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2"/>
    </row>
    <row r="2" spans="1:27">
      <c r="A2" s="619" t="s">
        <v>397</v>
      </c>
      <c r="B2" s="619"/>
      <c r="C2" s="619" t="s">
        <v>398</v>
      </c>
      <c r="D2" s="619"/>
      <c r="E2" s="619" t="s">
        <v>399</v>
      </c>
      <c r="F2" s="619"/>
      <c r="G2" s="619" t="s">
        <v>400</v>
      </c>
      <c r="H2" s="619"/>
      <c r="I2" s="619" t="s">
        <v>401</v>
      </c>
      <c r="J2" s="619"/>
      <c r="K2" s="623" t="s">
        <v>61</v>
      </c>
      <c r="L2" s="623"/>
      <c r="M2" s="624"/>
      <c r="N2" s="625" t="s">
        <v>397</v>
      </c>
      <c r="O2" s="626"/>
      <c r="P2" s="625" t="s">
        <v>399</v>
      </c>
      <c r="Q2" s="626"/>
      <c r="R2" s="625" t="s">
        <v>400</v>
      </c>
      <c r="S2" s="626"/>
      <c r="T2" s="625" t="s">
        <v>401</v>
      </c>
      <c r="U2" s="626"/>
      <c r="V2" s="624"/>
      <c r="W2" s="625" t="s">
        <v>397</v>
      </c>
      <c r="X2" s="626"/>
      <c r="Y2" s="620" t="s">
        <v>399</v>
      </c>
      <c r="Z2" s="620" t="s">
        <v>400</v>
      </c>
      <c r="AA2" s="620" t="s">
        <v>401</v>
      </c>
    </row>
    <row r="3" spans="1:27">
      <c r="A3" s="619"/>
      <c r="B3" s="619"/>
      <c r="C3" s="619"/>
      <c r="D3" s="619"/>
      <c r="E3" s="619" t="s">
        <v>499</v>
      </c>
      <c r="F3" s="619"/>
      <c r="G3" s="619" t="s">
        <v>548</v>
      </c>
      <c r="H3" s="619"/>
      <c r="I3" s="619" t="s">
        <v>549</v>
      </c>
      <c r="J3" s="619"/>
      <c r="K3" s="623"/>
      <c r="L3" s="623"/>
      <c r="M3" s="624"/>
      <c r="N3" s="627"/>
      <c r="O3" s="628"/>
      <c r="P3" s="627"/>
      <c r="Q3" s="628"/>
      <c r="R3" s="627"/>
      <c r="S3" s="628"/>
      <c r="T3" s="627"/>
      <c r="U3" s="628"/>
      <c r="V3" s="624"/>
      <c r="W3" s="627"/>
      <c r="X3" s="628"/>
      <c r="Y3" s="621"/>
      <c r="Z3" s="621"/>
      <c r="AA3" s="621"/>
    </row>
    <row r="4" spans="1:27">
      <c r="A4" s="619"/>
      <c r="B4" s="619"/>
      <c r="C4" s="619"/>
      <c r="D4" s="619"/>
      <c r="E4" s="619" t="s">
        <v>500</v>
      </c>
      <c r="F4" s="619"/>
      <c r="G4" s="619" t="s">
        <v>402</v>
      </c>
      <c r="H4" s="619"/>
      <c r="I4" s="619" t="s">
        <v>532</v>
      </c>
      <c r="J4" s="619"/>
      <c r="K4" s="623"/>
      <c r="L4" s="623"/>
      <c r="M4" s="624"/>
      <c r="N4" s="629"/>
      <c r="O4" s="630"/>
      <c r="P4" s="629"/>
      <c r="Q4" s="630"/>
      <c r="R4" s="629"/>
      <c r="S4" s="630"/>
      <c r="T4" s="629"/>
      <c r="U4" s="630"/>
      <c r="V4" s="624"/>
      <c r="W4" s="629"/>
      <c r="X4" s="630"/>
      <c r="Y4" s="622"/>
      <c r="Z4" s="622"/>
      <c r="AA4" s="622"/>
    </row>
    <row r="5" spans="1:27" ht="28.5" customHeight="1">
      <c r="A5" s="619" t="s">
        <v>403</v>
      </c>
      <c r="B5" s="619"/>
      <c r="C5" s="426">
        <v>43221</v>
      </c>
      <c r="D5" s="395">
        <v>100</v>
      </c>
      <c r="E5" s="426">
        <v>42948</v>
      </c>
      <c r="F5" s="395">
        <v>100</v>
      </c>
      <c r="G5" s="426">
        <v>42948</v>
      </c>
      <c r="H5" s="395">
        <v>100</v>
      </c>
      <c r="I5" s="394" t="s">
        <v>537</v>
      </c>
      <c r="J5" s="395">
        <v>100</v>
      </c>
      <c r="K5" s="396" t="s">
        <v>404</v>
      </c>
      <c r="L5" s="397">
        <v>0.01</v>
      </c>
      <c r="M5" s="624"/>
      <c r="N5" s="631" t="str">
        <f t="shared" ref="N5:O20" si="0">A5</f>
        <v>交易时间</v>
      </c>
      <c r="O5" s="632"/>
      <c r="P5" s="398" t="s">
        <v>405</v>
      </c>
      <c r="Q5" s="399">
        <f t="shared" ref="Q5:Q30" si="1">F5</f>
        <v>100</v>
      </c>
      <c r="R5" s="398" t="s">
        <v>405</v>
      </c>
      <c r="S5" s="399">
        <f t="shared" ref="S5:S30" si="2">H5</f>
        <v>100</v>
      </c>
      <c r="T5" s="398" t="s">
        <v>405</v>
      </c>
      <c r="U5" s="399">
        <f t="shared" ref="U5:U30" si="3">J5</f>
        <v>100</v>
      </c>
      <c r="V5" s="624"/>
      <c r="W5" s="631" t="str">
        <f>N5</f>
        <v>交易时间</v>
      </c>
      <c r="X5" s="632"/>
      <c r="Y5" s="400">
        <f t="shared" ref="Y5:Y30" si="4">D5/F5</f>
        <v>1</v>
      </c>
      <c r="Z5" s="400">
        <f t="shared" ref="Z5:Z30" si="5">D5/H5</f>
        <v>1</v>
      </c>
      <c r="AA5" s="400">
        <f t="shared" ref="AA5:AA30" si="6">D5/J5</f>
        <v>1</v>
      </c>
    </row>
    <row r="6" spans="1:27" ht="30.75" customHeight="1">
      <c r="A6" s="619" t="s">
        <v>406</v>
      </c>
      <c r="B6" s="619"/>
      <c r="C6" s="427" t="s">
        <v>521</v>
      </c>
      <c r="D6" s="395">
        <v>100</v>
      </c>
      <c r="E6" s="394" t="s">
        <v>521</v>
      </c>
      <c r="F6" s="395">
        <v>100</v>
      </c>
      <c r="G6" s="394" t="s">
        <v>521</v>
      </c>
      <c r="H6" s="395">
        <v>100</v>
      </c>
      <c r="I6" s="394" t="s">
        <v>521</v>
      </c>
      <c r="J6" s="395">
        <v>100</v>
      </c>
      <c r="K6" s="396" t="s">
        <v>407</v>
      </c>
      <c r="L6" s="401" t="s">
        <v>408</v>
      </c>
      <c r="M6" s="624"/>
      <c r="N6" s="631" t="str">
        <f t="shared" si="0"/>
        <v>交易情况</v>
      </c>
      <c r="O6" s="632"/>
      <c r="P6" s="398" t="s">
        <v>409</v>
      </c>
      <c r="Q6" s="399">
        <f t="shared" si="1"/>
        <v>100</v>
      </c>
      <c r="R6" s="398" t="s">
        <v>409</v>
      </c>
      <c r="S6" s="399">
        <f t="shared" si="2"/>
        <v>100</v>
      </c>
      <c r="T6" s="398" t="s">
        <v>409</v>
      </c>
      <c r="U6" s="399">
        <f t="shared" si="3"/>
        <v>100</v>
      </c>
      <c r="V6" s="624"/>
      <c r="W6" s="631" t="str">
        <f>N6</f>
        <v>交易情况</v>
      </c>
      <c r="X6" s="632"/>
      <c r="Y6" s="400">
        <f t="shared" si="4"/>
        <v>1</v>
      </c>
      <c r="Z6" s="400">
        <f t="shared" si="5"/>
        <v>1</v>
      </c>
      <c r="AA6" s="400">
        <f t="shared" si="6"/>
        <v>1</v>
      </c>
    </row>
    <row r="7" spans="1:27">
      <c r="A7" s="619" t="s">
        <v>410</v>
      </c>
      <c r="B7" s="619"/>
      <c r="C7" s="394" t="s">
        <v>522</v>
      </c>
      <c r="D7" s="395">
        <v>100</v>
      </c>
      <c r="E7" s="394" t="s">
        <v>522</v>
      </c>
      <c r="F7" s="395">
        <v>100</v>
      </c>
      <c r="G7" s="394" t="s">
        <v>522</v>
      </c>
      <c r="H7" s="395">
        <v>100</v>
      </c>
      <c r="I7" s="394" t="s">
        <v>522</v>
      </c>
      <c r="J7" s="395">
        <v>100</v>
      </c>
      <c r="K7" s="396" t="s">
        <v>411</v>
      </c>
      <c r="L7" s="397">
        <v>0.01</v>
      </c>
      <c r="M7" s="624"/>
      <c r="N7" s="631" t="str">
        <f t="shared" si="0"/>
        <v>用途</v>
      </c>
      <c r="O7" s="632"/>
      <c r="P7" s="398" t="s">
        <v>412</v>
      </c>
      <c r="Q7" s="399">
        <f t="shared" si="1"/>
        <v>100</v>
      </c>
      <c r="R7" s="398" t="s">
        <v>412</v>
      </c>
      <c r="S7" s="399">
        <f t="shared" si="2"/>
        <v>100</v>
      </c>
      <c r="T7" s="398" t="s">
        <v>412</v>
      </c>
      <c r="U7" s="399">
        <f t="shared" si="3"/>
        <v>100</v>
      </c>
      <c r="V7" s="624"/>
      <c r="W7" s="631" t="str">
        <f>N7</f>
        <v>用途</v>
      </c>
      <c r="X7" s="632"/>
      <c r="Y7" s="400">
        <f>D7/F7</f>
        <v>1</v>
      </c>
      <c r="Z7" s="400">
        <f>D7/H7</f>
        <v>1</v>
      </c>
      <c r="AA7" s="400">
        <f>D7/J7</f>
        <v>1</v>
      </c>
    </row>
    <row r="8" spans="1:27" ht="21">
      <c r="A8" s="619" t="s">
        <v>527</v>
      </c>
      <c r="B8" s="619"/>
      <c r="C8" s="394" t="s">
        <v>528</v>
      </c>
      <c r="D8" s="395">
        <v>100</v>
      </c>
      <c r="E8" s="394" t="s">
        <v>523</v>
      </c>
      <c r="F8" s="395">
        <v>100</v>
      </c>
      <c r="G8" s="394" t="s">
        <v>523</v>
      </c>
      <c r="H8" s="395">
        <v>100</v>
      </c>
      <c r="I8" s="394" t="s">
        <v>523</v>
      </c>
      <c r="J8" s="395">
        <v>100</v>
      </c>
      <c r="K8" s="396" t="s">
        <v>413</v>
      </c>
      <c r="L8" s="397">
        <v>0.02</v>
      </c>
      <c r="M8" s="624"/>
      <c r="N8" s="631" t="str">
        <f t="shared" si="0"/>
        <v>最高土地使用年限</v>
      </c>
      <c r="O8" s="632"/>
      <c r="P8" s="398" t="s">
        <v>412</v>
      </c>
      <c r="Q8" s="399">
        <f>F8</f>
        <v>100</v>
      </c>
      <c r="R8" s="398" t="s">
        <v>412</v>
      </c>
      <c r="S8" s="399">
        <f>H8</f>
        <v>100</v>
      </c>
      <c r="T8" s="398" t="s">
        <v>412</v>
      </c>
      <c r="U8" s="399">
        <f>J8</f>
        <v>100</v>
      </c>
      <c r="V8" s="624"/>
      <c r="W8" s="631" t="str">
        <f>N8</f>
        <v>最高土地使用年限</v>
      </c>
      <c r="X8" s="632"/>
      <c r="Y8" s="400">
        <f>D8/F8</f>
        <v>1</v>
      </c>
      <c r="Z8" s="400">
        <f>D8/H8</f>
        <v>1</v>
      </c>
      <c r="AA8" s="400">
        <f>D8/J8</f>
        <v>1</v>
      </c>
    </row>
    <row r="9" spans="1:27" ht="31.5">
      <c r="A9" s="619" t="s">
        <v>414</v>
      </c>
      <c r="B9" s="619"/>
      <c r="C9" s="394" t="s">
        <v>524</v>
      </c>
      <c r="D9" s="395">
        <v>100</v>
      </c>
      <c r="E9" s="394" t="s">
        <v>545</v>
      </c>
      <c r="F9" s="395">
        <v>100</v>
      </c>
      <c r="G9" s="394" t="s">
        <v>546</v>
      </c>
      <c r="H9" s="395">
        <v>100</v>
      </c>
      <c r="I9" s="394" t="s">
        <v>547</v>
      </c>
      <c r="J9" s="395">
        <v>100</v>
      </c>
      <c r="K9" s="396" t="s">
        <v>415</v>
      </c>
      <c r="L9" s="397">
        <v>0.01</v>
      </c>
      <c r="M9" s="624"/>
      <c r="N9" s="631" t="str">
        <f t="shared" si="0"/>
        <v>容积率</v>
      </c>
      <c r="O9" s="632"/>
      <c r="P9" s="398" t="s">
        <v>412</v>
      </c>
      <c r="Q9" s="399">
        <f t="shared" si="1"/>
        <v>100</v>
      </c>
      <c r="R9" s="398" t="s">
        <v>412</v>
      </c>
      <c r="S9" s="399">
        <f t="shared" si="2"/>
        <v>100</v>
      </c>
      <c r="T9" s="398" t="s">
        <v>412</v>
      </c>
      <c r="U9" s="399">
        <f t="shared" si="3"/>
        <v>100</v>
      </c>
      <c r="V9" s="624"/>
      <c r="W9" s="631" t="str">
        <f>N9</f>
        <v>容积率</v>
      </c>
      <c r="X9" s="632"/>
      <c r="Y9" s="400">
        <f>D9/F9</f>
        <v>1</v>
      </c>
      <c r="Z9" s="400">
        <f>D9/H9</f>
        <v>1</v>
      </c>
      <c r="AA9" s="400">
        <f>D9/J9</f>
        <v>1</v>
      </c>
    </row>
    <row r="10" spans="1:27">
      <c r="A10" s="633" t="s">
        <v>416</v>
      </c>
      <c r="B10" s="402" t="s">
        <v>417</v>
      </c>
      <c r="C10" s="394" t="s">
        <v>526</v>
      </c>
      <c r="D10" s="395">
        <v>100</v>
      </c>
      <c r="E10" s="394" t="s">
        <v>525</v>
      </c>
      <c r="F10" s="395">
        <v>100</v>
      </c>
      <c r="G10" s="394" t="s">
        <v>525</v>
      </c>
      <c r="H10" s="395">
        <v>100</v>
      </c>
      <c r="I10" s="394" t="s">
        <v>525</v>
      </c>
      <c r="J10" s="395">
        <v>100</v>
      </c>
      <c r="K10" s="396" t="s">
        <v>418</v>
      </c>
      <c r="L10" s="397">
        <v>0.05</v>
      </c>
      <c r="M10" s="624"/>
      <c r="N10" s="634" t="str">
        <f t="shared" si="0"/>
        <v>区域因素</v>
      </c>
      <c r="O10" s="403" t="str">
        <f t="shared" si="0"/>
        <v>商业繁华度</v>
      </c>
      <c r="P10" s="398" t="s">
        <v>419</v>
      </c>
      <c r="Q10" s="399">
        <f t="shared" si="1"/>
        <v>100</v>
      </c>
      <c r="R10" s="398" t="s">
        <v>419</v>
      </c>
      <c r="S10" s="399">
        <f t="shared" si="2"/>
        <v>100</v>
      </c>
      <c r="T10" s="398" t="s">
        <v>419</v>
      </c>
      <c r="U10" s="399">
        <f t="shared" si="3"/>
        <v>100</v>
      </c>
      <c r="V10" s="624"/>
      <c r="W10" s="634" t="str">
        <f>A10</f>
        <v>区域因素</v>
      </c>
      <c r="X10" s="403" t="str">
        <f>B10</f>
        <v>商业繁华度</v>
      </c>
      <c r="Y10" s="400">
        <f t="shared" si="4"/>
        <v>1</v>
      </c>
      <c r="Z10" s="400">
        <f t="shared" si="5"/>
        <v>1</v>
      </c>
      <c r="AA10" s="400">
        <f t="shared" si="6"/>
        <v>1</v>
      </c>
    </row>
    <row r="11" spans="1:27">
      <c r="A11" s="633"/>
      <c r="B11" s="402" t="s">
        <v>420</v>
      </c>
      <c r="C11" s="394" t="s">
        <v>525</v>
      </c>
      <c r="D11" s="395">
        <v>100</v>
      </c>
      <c r="E11" s="394" t="s">
        <v>525</v>
      </c>
      <c r="F11" s="395">
        <v>100</v>
      </c>
      <c r="G11" s="394" t="s">
        <v>525</v>
      </c>
      <c r="H11" s="395">
        <v>100</v>
      </c>
      <c r="I11" s="394" t="s">
        <v>525</v>
      </c>
      <c r="J11" s="395">
        <v>100</v>
      </c>
      <c r="K11" s="396" t="s">
        <v>421</v>
      </c>
      <c r="L11" s="397">
        <v>0.05</v>
      </c>
      <c r="M11" s="624"/>
      <c r="N11" s="635"/>
      <c r="O11" s="403" t="str">
        <f t="shared" si="0"/>
        <v>交通便捷度</v>
      </c>
      <c r="P11" s="398" t="s">
        <v>419</v>
      </c>
      <c r="Q11" s="399">
        <f t="shared" si="1"/>
        <v>100</v>
      </c>
      <c r="R11" s="398" t="s">
        <v>419</v>
      </c>
      <c r="S11" s="399">
        <f t="shared" si="2"/>
        <v>100</v>
      </c>
      <c r="T11" s="398" t="s">
        <v>419</v>
      </c>
      <c r="U11" s="399">
        <f t="shared" si="3"/>
        <v>100</v>
      </c>
      <c r="V11" s="624"/>
      <c r="W11" s="635"/>
      <c r="X11" s="403" t="str">
        <f t="shared" ref="X11:X30" si="7">B11</f>
        <v>交通便捷度</v>
      </c>
      <c r="Y11" s="400">
        <f t="shared" si="4"/>
        <v>1</v>
      </c>
      <c r="Z11" s="400">
        <f t="shared" si="5"/>
        <v>1</v>
      </c>
      <c r="AA11" s="400">
        <f t="shared" si="6"/>
        <v>1</v>
      </c>
    </row>
    <row r="12" spans="1:27">
      <c r="A12" s="633"/>
      <c r="B12" s="402" t="s">
        <v>422</v>
      </c>
      <c r="C12" s="394" t="s">
        <v>525</v>
      </c>
      <c r="D12" s="395">
        <v>100</v>
      </c>
      <c r="E12" s="394" t="s">
        <v>525</v>
      </c>
      <c r="F12" s="395">
        <v>100</v>
      </c>
      <c r="G12" s="394" t="s">
        <v>525</v>
      </c>
      <c r="H12" s="395">
        <v>100</v>
      </c>
      <c r="I12" s="394" t="s">
        <v>525</v>
      </c>
      <c r="J12" s="395">
        <v>100</v>
      </c>
      <c r="K12" s="396" t="s">
        <v>423</v>
      </c>
      <c r="L12" s="397">
        <v>0.05</v>
      </c>
      <c r="M12" s="624"/>
      <c r="N12" s="635"/>
      <c r="O12" s="403" t="str">
        <f t="shared" si="0"/>
        <v>区域基础设施完备状况</v>
      </c>
      <c r="P12" s="398" t="s">
        <v>409</v>
      </c>
      <c r="Q12" s="399">
        <f t="shared" si="1"/>
        <v>100</v>
      </c>
      <c r="R12" s="398" t="s">
        <v>409</v>
      </c>
      <c r="S12" s="399">
        <f t="shared" si="2"/>
        <v>100</v>
      </c>
      <c r="T12" s="398" t="s">
        <v>409</v>
      </c>
      <c r="U12" s="399">
        <f t="shared" si="3"/>
        <v>100</v>
      </c>
      <c r="V12" s="624"/>
      <c r="W12" s="635"/>
      <c r="X12" s="403" t="str">
        <f t="shared" si="7"/>
        <v>区域基础设施完备状况</v>
      </c>
      <c r="Y12" s="400">
        <f t="shared" si="4"/>
        <v>1</v>
      </c>
      <c r="Z12" s="400">
        <f t="shared" si="5"/>
        <v>1</v>
      </c>
      <c r="AA12" s="400">
        <f t="shared" si="6"/>
        <v>1</v>
      </c>
    </row>
    <row r="13" spans="1:27">
      <c r="A13" s="633"/>
      <c r="B13" s="402" t="s">
        <v>424</v>
      </c>
      <c r="C13" s="394" t="s">
        <v>526</v>
      </c>
      <c r="D13" s="395">
        <v>100</v>
      </c>
      <c r="E13" s="394" t="s">
        <v>526</v>
      </c>
      <c r="F13" s="395">
        <v>100</v>
      </c>
      <c r="G13" s="394" t="s">
        <v>525</v>
      </c>
      <c r="H13" s="395">
        <v>100</v>
      </c>
      <c r="I13" s="394" t="s">
        <v>525</v>
      </c>
      <c r="J13" s="395">
        <v>100</v>
      </c>
      <c r="K13" s="396" t="s">
        <v>421</v>
      </c>
      <c r="L13" s="397">
        <v>0.05</v>
      </c>
      <c r="M13" s="624"/>
      <c r="N13" s="635"/>
      <c r="O13" s="403" t="str">
        <f t="shared" si="0"/>
        <v>自然及人文环境状况</v>
      </c>
      <c r="P13" s="398" t="s">
        <v>409</v>
      </c>
      <c r="Q13" s="399">
        <f t="shared" si="1"/>
        <v>100</v>
      </c>
      <c r="R13" s="398" t="s">
        <v>409</v>
      </c>
      <c r="S13" s="399">
        <f t="shared" si="2"/>
        <v>100</v>
      </c>
      <c r="T13" s="398" t="s">
        <v>409</v>
      </c>
      <c r="U13" s="399">
        <f t="shared" si="3"/>
        <v>100</v>
      </c>
      <c r="V13" s="624"/>
      <c r="W13" s="635"/>
      <c r="X13" s="403" t="str">
        <f t="shared" si="7"/>
        <v>自然及人文环境状况</v>
      </c>
      <c r="Y13" s="400">
        <f t="shared" si="4"/>
        <v>1</v>
      </c>
      <c r="Z13" s="400">
        <f t="shared" si="5"/>
        <v>1</v>
      </c>
      <c r="AA13" s="400">
        <f t="shared" si="6"/>
        <v>1</v>
      </c>
    </row>
    <row r="14" spans="1:27">
      <c r="A14" s="633"/>
      <c r="B14" s="402" t="s">
        <v>425</v>
      </c>
      <c r="C14" s="394" t="s">
        <v>525</v>
      </c>
      <c r="D14" s="395">
        <v>100</v>
      </c>
      <c r="E14" s="394" t="s">
        <v>525</v>
      </c>
      <c r="F14" s="395">
        <v>100</v>
      </c>
      <c r="G14" s="394" t="s">
        <v>525</v>
      </c>
      <c r="H14" s="395">
        <v>100</v>
      </c>
      <c r="I14" s="394" t="s">
        <v>525</v>
      </c>
      <c r="J14" s="395">
        <v>100</v>
      </c>
      <c r="K14" s="396" t="s">
        <v>426</v>
      </c>
      <c r="L14" s="397">
        <v>0.05</v>
      </c>
      <c r="M14" s="624"/>
      <c r="N14" s="635"/>
      <c r="O14" s="403" t="str">
        <f t="shared" si="0"/>
        <v>公共服务设施状况</v>
      </c>
      <c r="P14" s="398" t="s">
        <v>409</v>
      </c>
      <c r="Q14" s="399">
        <f t="shared" si="1"/>
        <v>100</v>
      </c>
      <c r="R14" s="398" t="s">
        <v>409</v>
      </c>
      <c r="S14" s="399">
        <f t="shared" si="2"/>
        <v>100</v>
      </c>
      <c r="T14" s="398" t="s">
        <v>409</v>
      </c>
      <c r="U14" s="399">
        <f t="shared" si="3"/>
        <v>100</v>
      </c>
      <c r="V14" s="624"/>
      <c r="W14" s="635"/>
      <c r="X14" s="403" t="str">
        <f t="shared" si="7"/>
        <v>公共服务设施状况</v>
      </c>
      <c r="Y14" s="400">
        <f t="shared" si="4"/>
        <v>1</v>
      </c>
      <c r="Z14" s="400">
        <f t="shared" si="5"/>
        <v>1</v>
      </c>
      <c r="AA14" s="400">
        <f t="shared" si="6"/>
        <v>1</v>
      </c>
    </row>
    <row r="15" spans="1:27" hidden="1">
      <c r="A15" s="633"/>
      <c r="B15" s="402" t="s">
        <v>427</v>
      </c>
      <c r="C15" s="394"/>
      <c r="D15" s="395">
        <v>100</v>
      </c>
      <c r="E15" s="394"/>
      <c r="F15" s="395">
        <v>100</v>
      </c>
      <c r="G15" s="394"/>
      <c r="H15" s="395">
        <v>100</v>
      </c>
      <c r="I15" s="394"/>
      <c r="J15" s="395">
        <v>100</v>
      </c>
      <c r="K15" s="396"/>
      <c r="L15" s="397">
        <v>0.05</v>
      </c>
      <c r="M15" s="624"/>
      <c r="N15" s="635"/>
      <c r="O15" s="403" t="str">
        <f t="shared" si="0"/>
        <v>特殊因素</v>
      </c>
      <c r="P15" s="398" t="s">
        <v>409</v>
      </c>
      <c r="Q15" s="399">
        <f t="shared" si="1"/>
        <v>100</v>
      </c>
      <c r="R15" s="398" t="s">
        <v>409</v>
      </c>
      <c r="S15" s="399">
        <f t="shared" si="2"/>
        <v>100</v>
      </c>
      <c r="T15" s="398" t="s">
        <v>409</v>
      </c>
      <c r="U15" s="399">
        <f t="shared" si="3"/>
        <v>100</v>
      </c>
      <c r="V15" s="624"/>
      <c r="W15" s="635"/>
      <c r="X15" s="403" t="str">
        <f t="shared" si="7"/>
        <v>特殊因素</v>
      </c>
      <c r="Y15" s="400">
        <f t="shared" si="4"/>
        <v>1</v>
      </c>
      <c r="Z15" s="400">
        <f t="shared" si="5"/>
        <v>1</v>
      </c>
      <c r="AA15" s="400">
        <f t="shared" si="6"/>
        <v>1</v>
      </c>
    </row>
    <row r="16" spans="1:27" hidden="1">
      <c r="A16" s="633"/>
      <c r="B16" s="402"/>
      <c r="C16" s="394"/>
      <c r="D16" s="395">
        <v>100</v>
      </c>
      <c r="E16" s="394"/>
      <c r="F16" s="395">
        <v>100</v>
      </c>
      <c r="G16" s="394"/>
      <c r="H16" s="395">
        <v>100</v>
      </c>
      <c r="I16" s="394"/>
      <c r="J16" s="395">
        <v>100</v>
      </c>
      <c r="K16" s="396"/>
      <c r="L16" s="397">
        <v>0.05</v>
      </c>
      <c r="M16" s="624"/>
      <c r="N16" s="635"/>
      <c r="O16" s="403">
        <f t="shared" si="0"/>
        <v>0</v>
      </c>
      <c r="P16" s="398" t="s">
        <v>419</v>
      </c>
      <c r="Q16" s="399">
        <f t="shared" si="1"/>
        <v>100</v>
      </c>
      <c r="R16" s="398" t="s">
        <v>419</v>
      </c>
      <c r="S16" s="399">
        <f t="shared" si="2"/>
        <v>100</v>
      </c>
      <c r="T16" s="398" t="s">
        <v>419</v>
      </c>
      <c r="U16" s="399">
        <f t="shared" si="3"/>
        <v>100</v>
      </c>
      <c r="V16" s="624"/>
      <c r="W16" s="635"/>
      <c r="X16" s="403">
        <f t="shared" si="7"/>
        <v>0</v>
      </c>
      <c r="Y16" s="400">
        <f t="shared" si="4"/>
        <v>1</v>
      </c>
      <c r="Z16" s="400">
        <f t="shared" si="5"/>
        <v>1</v>
      </c>
      <c r="AA16" s="400">
        <f t="shared" si="6"/>
        <v>1</v>
      </c>
    </row>
    <row r="17" spans="1:27" hidden="1">
      <c r="A17" s="633"/>
      <c r="B17" s="402"/>
      <c r="C17" s="394"/>
      <c r="D17" s="395">
        <v>100</v>
      </c>
      <c r="E17" s="394"/>
      <c r="F17" s="395">
        <v>100</v>
      </c>
      <c r="G17" s="394"/>
      <c r="H17" s="395">
        <v>100</v>
      </c>
      <c r="I17" s="394"/>
      <c r="J17" s="395">
        <v>100</v>
      </c>
      <c r="K17" s="396"/>
      <c r="L17" s="397">
        <v>0.05</v>
      </c>
      <c r="M17" s="624"/>
      <c r="N17" s="636"/>
      <c r="O17" s="403">
        <f t="shared" si="0"/>
        <v>0</v>
      </c>
      <c r="P17" s="398" t="s">
        <v>419</v>
      </c>
      <c r="Q17" s="399">
        <f t="shared" si="1"/>
        <v>100</v>
      </c>
      <c r="R17" s="398" t="s">
        <v>419</v>
      </c>
      <c r="S17" s="399">
        <f t="shared" si="2"/>
        <v>100</v>
      </c>
      <c r="T17" s="398" t="s">
        <v>419</v>
      </c>
      <c r="U17" s="399">
        <f t="shared" si="3"/>
        <v>100</v>
      </c>
      <c r="V17" s="624"/>
      <c r="W17" s="636"/>
      <c r="X17" s="403">
        <f t="shared" si="7"/>
        <v>0</v>
      </c>
      <c r="Y17" s="400">
        <f t="shared" si="4"/>
        <v>1</v>
      </c>
      <c r="Z17" s="400">
        <f t="shared" si="5"/>
        <v>1</v>
      </c>
      <c r="AA17" s="400">
        <f t="shared" si="6"/>
        <v>1</v>
      </c>
    </row>
    <row r="18" spans="1:27" ht="21">
      <c r="A18" s="637" t="s">
        <v>428</v>
      </c>
      <c r="B18" s="402" t="s">
        <v>429</v>
      </c>
      <c r="C18" s="395"/>
      <c r="D18" s="395">
        <v>100</v>
      </c>
      <c r="E18" s="395"/>
      <c r="F18" s="395">
        <v>100</v>
      </c>
      <c r="G18" s="395"/>
      <c r="H18" s="395">
        <v>100</v>
      </c>
      <c r="I18" s="395"/>
      <c r="J18" s="395">
        <v>100</v>
      </c>
      <c r="K18" s="396" t="s">
        <v>430</v>
      </c>
      <c r="L18" s="397">
        <v>0.05</v>
      </c>
      <c r="M18" s="624"/>
      <c r="N18" s="638" t="str">
        <f>A18</f>
        <v>个别因素</v>
      </c>
      <c r="O18" s="403" t="str">
        <f t="shared" si="0"/>
        <v>商业类型</v>
      </c>
      <c r="P18" s="398" t="s">
        <v>409</v>
      </c>
      <c r="Q18" s="399">
        <f t="shared" si="1"/>
        <v>100</v>
      </c>
      <c r="R18" s="398" t="s">
        <v>409</v>
      </c>
      <c r="S18" s="399">
        <f t="shared" si="2"/>
        <v>100</v>
      </c>
      <c r="T18" s="398" t="s">
        <v>409</v>
      </c>
      <c r="U18" s="399">
        <f t="shared" si="3"/>
        <v>100</v>
      </c>
      <c r="V18" s="624"/>
      <c r="W18" s="638" t="str">
        <f>A18</f>
        <v>个别因素</v>
      </c>
      <c r="X18" s="403" t="str">
        <f t="shared" si="7"/>
        <v>商业类型</v>
      </c>
      <c r="Y18" s="400">
        <f t="shared" si="4"/>
        <v>1</v>
      </c>
      <c r="Z18" s="400">
        <f t="shared" si="5"/>
        <v>1</v>
      </c>
      <c r="AA18" s="400">
        <f t="shared" si="6"/>
        <v>1</v>
      </c>
    </row>
    <row r="19" spans="1:27">
      <c r="A19" s="637"/>
      <c r="B19" s="402" t="s">
        <v>431</v>
      </c>
      <c r="C19" s="394" t="s">
        <v>529</v>
      </c>
      <c r="D19" s="395">
        <v>100</v>
      </c>
      <c r="E19" s="394"/>
      <c r="F19" s="395">
        <v>100</v>
      </c>
      <c r="G19" s="394"/>
      <c r="H19" s="395">
        <v>100</v>
      </c>
      <c r="I19" s="394"/>
      <c r="J19" s="395">
        <v>100</v>
      </c>
      <c r="K19" s="396" t="s">
        <v>432</v>
      </c>
      <c r="L19" s="397">
        <v>0.05</v>
      </c>
      <c r="M19" s="624"/>
      <c r="N19" s="638"/>
      <c r="O19" s="403" t="str">
        <f t="shared" si="0"/>
        <v>建筑结构</v>
      </c>
      <c r="P19" s="398" t="s">
        <v>419</v>
      </c>
      <c r="Q19" s="399">
        <f t="shared" si="1"/>
        <v>100</v>
      </c>
      <c r="R19" s="398" t="s">
        <v>419</v>
      </c>
      <c r="S19" s="399">
        <f t="shared" si="2"/>
        <v>100</v>
      </c>
      <c r="T19" s="398" t="s">
        <v>419</v>
      </c>
      <c r="U19" s="399">
        <f t="shared" si="3"/>
        <v>100</v>
      </c>
      <c r="V19" s="624"/>
      <c r="W19" s="638"/>
      <c r="X19" s="403" t="str">
        <f t="shared" si="7"/>
        <v>建筑结构</v>
      </c>
      <c r="Y19" s="400">
        <f t="shared" si="4"/>
        <v>1</v>
      </c>
      <c r="Z19" s="400">
        <f t="shared" si="5"/>
        <v>1</v>
      </c>
      <c r="AA19" s="400">
        <f t="shared" si="6"/>
        <v>1</v>
      </c>
    </row>
    <row r="20" spans="1:27">
      <c r="A20" s="637"/>
      <c r="B20" s="402" t="s">
        <v>433</v>
      </c>
      <c r="C20" s="395"/>
      <c r="D20" s="395">
        <v>100</v>
      </c>
      <c r="E20" s="395"/>
      <c r="F20" s="395">
        <v>100</v>
      </c>
      <c r="G20" s="395"/>
      <c r="H20" s="395">
        <v>100</v>
      </c>
      <c r="I20" s="395"/>
      <c r="J20" s="395">
        <v>100</v>
      </c>
      <c r="K20" s="396"/>
      <c r="L20" s="397">
        <v>0.05</v>
      </c>
      <c r="M20" s="624"/>
      <c r="N20" s="638"/>
      <c r="O20" s="403" t="str">
        <f t="shared" si="0"/>
        <v>建筑面积（平方米）</v>
      </c>
      <c r="P20" s="398" t="s">
        <v>419</v>
      </c>
      <c r="Q20" s="399">
        <f t="shared" si="1"/>
        <v>100</v>
      </c>
      <c r="R20" s="398" t="s">
        <v>419</v>
      </c>
      <c r="S20" s="399">
        <f t="shared" si="2"/>
        <v>100</v>
      </c>
      <c r="T20" s="398" t="s">
        <v>419</v>
      </c>
      <c r="U20" s="399">
        <f t="shared" si="3"/>
        <v>100</v>
      </c>
      <c r="V20" s="624"/>
      <c r="W20" s="638"/>
      <c r="X20" s="403" t="str">
        <f t="shared" si="7"/>
        <v>建筑面积（平方米）</v>
      </c>
      <c r="Y20" s="400">
        <f t="shared" si="4"/>
        <v>1</v>
      </c>
      <c r="Z20" s="400">
        <f t="shared" si="5"/>
        <v>1</v>
      </c>
      <c r="AA20" s="400">
        <f t="shared" si="6"/>
        <v>1</v>
      </c>
    </row>
    <row r="21" spans="1:27" hidden="1">
      <c r="A21" s="637"/>
      <c r="B21" s="402" t="s">
        <v>434</v>
      </c>
      <c r="C21" s="395"/>
      <c r="D21" s="395">
        <v>100</v>
      </c>
      <c r="E21" s="395"/>
      <c r="F21" s="395">
        <v>100</v>
      </c>
      <c r="G21" s="395"/>
      <c r="H21" s="395">
        <v>100</v>
      </c>
      <c r="I21" s="395"/>
      <c r="J21" s="395">
        <v>100</v>
      </c>
      <c r="K21" s="396" t="s">
        <v>435</v>
      </c>
      <c r="L21" s="397">
        <v>0.05</v>
      </c>
      <c r="M21" s="624"/>
      <c r="N21" s="638"/>
      <c r="O21" s="403" t="str">
        <f t="shared" ref="O21:O30" si="8">B21</f>
        <v>层高</v>
      </c>
      <c r="P21" s="398" t="s">
        <v>436</v>
      </c>
      <c r="Q21" s="399">
        <f>F21</f>
        <v>100</v>
      </c>
      <c r="R21" s="398" t="s">
        <v>436</v>
      </c>
      <c r="S21" s="399">
        <f>H21</f>
        <v>100</v>
      </c>
      <c r="T21" s="398" t="s">
        <v>436</v>
      </c>
      <c r="U21" s="399">
        <f>J21</f>
        <v>100</v>
      </c>
      <c r="V21" s="624"/>
      <c r="W21" s="638"/>
      <c r="X21" s="403" t="str">
        <f t="shared" si="7"/>
        <v>层高</v>
      </c>
      <c r="Y21" s="400">
        <f t="shared" si="4"/>
        <v>1</v>
      </c>
      <c r="Z21" s="400">
        <f t="shared" si="5"/>
        <v>1</v>
      </c>
      <c r="AA21" s="400">
        <f t="shared" si="6"/>
        <v>1</v>
      </c>
    </row>
    <row r="22" spans="1:27" ht="21" hidden="1">
      <c r="A22" s="637"/>
      <c r="B22" s="402" t="s">
        <v>437</v>
      </c>
      <c r="C22" s="395"/>
      <c r="D22" s="395">
        <v>100</v>
      </c>
      <c r="E22" s="395"/>
      <c r="F22" s="395">
        <v>100</v>
      </c>
      <c r="G22" s="395"/>
      <c r="H22" s="395">
        <v>100</v>
      </c>
      <c r="I22" s="395"/>
      <c r="J22" s="395">
        <v>100</v>
      </c>
      <c r="K22" s="396" t="s">
        <v>438</v>
      </c>
      <c r="L22" s="397">
        <v>0.05</v>
      </c>
      <c r="M22" s="624"/>
      <c r="N22" s="638"/>
      <c r="O22" s="403" t="str">
        <f t="shared" si="8"/>
        <v>楼层</v>
      </c>
      <c r="P22" s="398" t="s">
        <v>436</v>
      </c>
      <c r="Q22" s="399">
        <f>F22</f>
        <v>100</v>
      </c>
      <c r="R22" s="398" t="s">
        <v>436</v>
      </c>
      <c r="S22" s="399">
        <f>H22</f>
        <v>100</v>
      </c>
      <c r="T22" s="398" t="s">
        <v>436</v>
      </c>
      <c r="U22" s="399">
        <f>J22</f>
        <v>100</v>
      </c>
      <c r="V22" s="624"/>
      <c r="W22" s="638"/>
      <c r="X22" s="403" t="str">
        <f t="shared" si="7"/>
        <v>楼层</v>
      </c>
      <c r="Y22" s="400">
        <f t="shared" si="4"/>
        <v>1</v>
      </c>
      <c r="Z22" s="400">
        <f t="shared" si="5"/>
        <v>1</v>
      </c>
      <c r="AA22" s="400">
        <f t="shared" si="6"/>
        <v>1</v>
      </c>
    </row>
    <row r="23" spans="1:27" ht="12.75">
      <c r="A23" s="637"/>
      <c r="B23" s="402" t="s">
        <v>439</v>
      </c>
      <c r="C23" s="395" t="s">
        <v>530</v>
      </c>
      <c r="D23" s="395">
        <v>100</v>
      </c>
      <c r="E23" s="395"/>
      <c r="F23" s="395">
        <v>100</v>
      </c>
      <c r="G23" s="395"/>
      <c r="H23" s="395">
        <v>100</v>
      </c>
      <c r="I23" s="395"/>
      <c r="J23" s="395">
        <v>100</v>
      </c>
      <c r="K23" s="396" t="s">
        <v>440</v>
      </c>
      <c r="L23" s="397">
        <v>0.05</v>
      </c>
      <c r="M23" s="624"/>
      <c r="N23" s="638"/>
      <c r="O23" s="403" t="str">
        <f t="shared" si="8"/>
        <v>宗地基础设施条件</v>
      </c>
      <c r="P23" s="398" t="s">
        <v>436</v>
      </c>
      <c r="Q23" s="399">
        <f>F23</f>
        <v>100</v>
      </c>
      <c r="R23" s="398" t="s">
        <v>436</v>
      </c>
      <c r="S23" s="399">
        <f>H23</f>
        <v>100</v>
      </c>
      <c r="T23" s="398" t="s">
        <v>436</v>
      </c>
      <c r="U23" s="399">
        <f>J23</f>
        <v>100</v>
      </c>
      <c r="V23" s="624"/>
      <c r="W23" s="638"/>
      <c r="X23" s="403" t="str">
        <f t="shared" si="7"/>
        <v>宗地基础设施条件</v>
      </c>
      <c r="Y23" s="400">
        <f t="shared" si="4"/>
        <v>1</v>
      </c>
      <c r="Z23" s="400">
        <f t="shared" si="5"/>
        <v>1</v>
      </c>
      <c r="AA23" s="400">
        <f t="shared" si="6"/>
        <v>1</v>
      </c>
    </row>
    <row r="24" spans="1:27">
      <c r="A24" s="637"/>
      <c r="B24" s="402" t="s">
        <v>441</v>
      </c>
      <c r="C24" s="395" t="s">
        <v>531</v>
      </c>
      <c r="D24" s="395">
        <v>100</v>
      </c>
      <c r="E24" s="395"/>
      <c r="F24" s="395">
        <v>100</v>
      </c>
      <c r="G24" s="395"/>
      <c r="H24" s="395">
        <v>100</v>
      </c>
      <c r="I24" s="395"/>
      <c r="J24" s="395">
        <v>100</v>
      </c>
      <c r="K24" s="396" t="s">
        <v>442</v>
      </c>
      <c r="L24" s="397">
        <v>0.05</v>
      </c>
      <c r="M24" s="624"/>
      <c r="N24" s="638"/>
      <c r="O24" s="403" t="str">
        <f t="shared" si="8"/>
        <v>内部装修</v>
      </c>
      <c r="P24" s="398" t="s">
        <v>436</v>
      </c>
      <c r="Q24" s="399">
        <f>F24</f>
        <v>100</v>
      </c>
      <c r="R24" s="398" t="s">
        <v>436</v>
      </c>
      <c r="S24" s="399">
        <f>H24</f>
        <v>100</v>
      </c>
      <c r="T24" s="398" t="s">
        <v>436</v>
      </c>
      <c r="U24" s="399">
        <f>J24</f>
        <v>100</v>
      </c>
      <c r="V24" s="624"/>
      <c r="W24" s="638"/>
      <c r="X24" s="403" t="str">
        <f t="shared" si="7"/>
        <v>内部装修</v>
      </c>
      <c r="Y24" s="400">
        <f t="shared" si="4"/>
        <v>1</v>
      </c>
      <c r="Z24" s="400">
        <f t="shared" si="5"/>
        <v>1</v>
      </c>
      <c r="AA24" s="400">
        <f t="shared" si="6"/>
        <v>1</v>
      </c>
    </row>
    <row r="25" spans="1:27">
      <c r="A25" s="637"/>
      <c r="B25" s="402" t="s">
        <v>443</v>
      </c>
      <c r="C25" s="395"/>
      <c r="D25" s="395">
        <v>100</v>
      </c>
      <c r="E25" s="395"/>
      <c r="F25" s="395">
        <v>100</v>
      </c>
      <c r="G25" s="395"/>
      <c r="H25" s="395">
        <v>100</v>
      </c>
      <c r="I25" s="395"/>
      <c r="J25" s="395">
        <v>100</v>
      </c>
      <c r="K25" s="396" t="s">
        <v>444</v>
      </c>
      <c r="L25" s="397">
        <v>0.05</v>
      </c>
      <c r="M25" s="624"/>
      <c r="N25" s="638"/>
      <c r="O25" s="403" t="str">
        <f t="shared" si="8"/>
        <v>物业等级</v>
      </c>
      <c r="P25" s="398" t="s">
        <v>436</v>
      </c>
      <c r="Q25" s="399">
        <f>F25</f>
        <v>100</v>
      </c>
      <c r="R25" s="398" t="s">
        <v>436</v>
      </c>
      <c r="S25" s="399">
        <f>H25</f>
        <v>100</v>
      </c>
      <c r="T25" s="398" t="s">
        <v>436</v>
      </c>
      <c r="U25" s="399">
        <f>J25</f>
        <v>100</v>
      </c>
      <c r="V25" s="624"/>
      <c r="W25" s="638"/>
      <c r="X25" s="403" t="str">
        <f t="shared" si="7"/>
        <v>物业等级</v>
      </c>
      <c r="Y25" s="400">
        <f t="shared" si="4"/>
        <v>1</v>
      </c>
      <c r="Z25" s="400">
        <f t="shared" si="5"/>
        <v>1</v>
      </c>
      <c r="AA25" s="400">
        <f t="shared" si="6"/>
        <v>1</v>
      </c>
    </row>
    <row r="26" spans="1:27" ht="52.5">
      <c r="A26" s="637"/>
      <c r="B26" s="402" t="s">
        <v>445</v>
      </c>
      <c r="C26" s="394"/>
      <c r="D26" s="395">
        <v>100</v>
      </c>
      <c r="E26" s="394"/>
      <c r="F26" s="395">
        <v>100</v>
      </c>
      <c r="G26" s="394"/>
      <c r="H26" s="395">
        <v>100</v>
      </c>
      <c r="I26" s="394"/>
      <c r="J26" s="395">
        <v>100</v>
      </c>
      <c r="K26" s="396" t="s">
        <v>446</v>
      </c>
      <c r="L26" s="397">
        <v>0.05</v>
      </c>
      <c r="M26" s="624"/>
      <c r="N26" s="638"/>
      <c r="O26" s="403" t="str">
        <f t="shared" si="8"/>
        <v>成新率</v>
      </c>
      <c r="P26" s="398" t="s">
        <v>419</v>
      </c>
      <c r="Q26" s="399">
        <f t="shared" si="1"/>
        <v>100</v>
      </c>
      <c r="R26" s="398" t="s">
        <v>419</v>
      </c>
      <c r="S26" s="399">
        <f t="shared" si="2"/>
        <v>100</v>
      </c>
      <c r="T26" s="398" t="s">
        <v>419</v>
      </c>
      <c r="U26" s="399">
        <f t="shared" si="3"/>
        <v>100</v>
      </c>
      <c r="V26" s="624"/>
      <c r="W26" s="638"/>
      <c r="X26" s="403" t="str">
        <f t="shared" si="7"/>
        <v>成新率</v>
      </c>
      <c r="Y26" s="400">
        <f t="shared" si="4"/>
        <v>1</v>
      </c>
      <c r="Z26" s="400">
        <f t="shared" si="5"/>
        <v>1</v>
      </c>
      <c r="AA26" s="400">
        <f t="shared" si="6"/>
        <v>1</v>
      </c>
    </row>
    <row r="27" spans="1:27">
      <c r="A27" s="637"/>
      <c r="B27" s="402" t="s">
        <v>447</v>
      </c>
      <c r="C27" s="404"/>
      <c r="D27" s="395">
        <v>100</v>
      </c>
      <c r="E27" s="394"/>
      <c r="F27" s="395">
        <v>100</v>
      </c>
      <c r="G27" s="394"/>
      <c r="H27" s="395">
        <v>100</v>
      </c>
      <c r="I27" s="394"/>
      <c r="J27" s="395">
        <v>100</v>
      </c>
      <c r="K27" s="396" t="s">
        <v>448</v>
      </c>
      <c r="L27" s="397">
        <v>0.05</v>
      </c>
      <c r="M27" s="624"/>
      <c r="N27" s="638"/>
      <c r="O27" s="403" t="str">
        <f t="shared" si="8"/>
        <v>业态</v>
      </c>
      <c r="P27" s="398" t="s">
        <v>419</v>
      </c>
      <c r="Q27" s="399">
        <f t="shared" si="1"/>
        <v>100</v>
      </c>
      <c r="R27" s="398" t="s">
        <v>419</v>
      </c>
      <c r="S27" s="399">
        <f t="shared" si="2"/>
        <v>100</v>
      </c>
      <c r="T27" s="398" t="s">
        <v>419</v>
      </c>
      <c r="U27" s="399">
        <f>J27</f>
        <v>100</v>
      </c>
      <c r="V27" s="624"/>
      <c r="W27" s="638"/>
      <c r="X27" s="403" t="str">
        <f t="shared" si="7"/>
        <v>业态</v>
      </c>
      <c r="Y27" s="400">
        <f t="shared" si="4"/>
        <v>1</v>
      </c>
      <c r="Z27" s="400">
        <f t="shared" si="5"/>
        <v>1</v>
      </c>
      <c r="AA27" s="400">
        <f t="shared" si="6"/>
        <v>1</v>
      </c>
    </row>
    <row r="28" spans="1:27">
      <c r="A28" s="637"/>
      <c r="B28" s="402" t="s">
        <v>449</v>
      </c>
      <c r="C28" s="404"/>
      <c r="D28" s="395">
        <v>100</v>
      </c>
      <c r="E28" s="394"/>
      <c r="F28" s="395">
        <v>100</v>
      </c>
      <c r="G28" s="394"/>
      <c r="H28" s="395">
        <v>100</v>
      </c>
      <c r="I28" s="394"/>
      <c r="J28" s="395">
        <v>100</v>
      </c>
      <c r="K28" s="396" t="s">
        <v>450</v>
      </c>
      <c r="L28" s="397">
        <v>0.05</v>
      </c>
      <c r="M28" s="624"/>
      <c r="N28" s="638"/>
      <c r="O28" s="403" t="str">
        <f t="shared" si="8"/>
        <v>可视性</v>
      </c>
      <c r="P28" s="398" t="s">
        <v>419</v>
      </c>
      <c r="Q28" s="399">
        <f t="shared" si="1"/>
        <v>100</v>
      </c>
      <c r="R28" s="398" t="s">
        <v>419</v>
      </c>
      <c r="S28" s="399">
        <f t="shared" si="2"/>
        <v>100</v>
      </c>
      <c r="T28" s="398" t="s">
        <v>419</v>
      </c>
      <c r="U28" s="399">
        <f>J28</f>
        <v>100</v>
      </c>
      <c r="V28" s="624"/>
      <c r="W28" s="638"/>
      <c r="X28" s="403" t="str">
        <f t="shared" si="7"/>
        <v>可视性</v>
      </c>
      <c r="Y28" s="400">
        <f t="shared" si="4"/>
        <v>1</v>
      </c>
      <c r="Z28" s="400">
        <f t="shared" si="5"/>
        <v>1</v>
      </c>
      <c r="AA28" s="400">
        <f t="shared" si="6"/>
        <v>1</v>
      </c>
    </row>
    <row r="29" spans="1:27" ht="21">
      <c r="A29" s="637"/>
      <c r="B29" s="402" t="s">
        <v>451</v>
      </c>
      <c r="C29" s="394"/>
      <c r="D29" s="395">
        <v>100</v>
      </c>
      <c r="E29" s="394"/>
      <c r="F29" s="395">
        <v>100</v>
      </c>
      <c r="G29" s="394"/>
      <c r="H29" s="395">
        <v>100</v>
      </c>
      <c r="I29" s="394"/>
      <c r="J29" s="395">
        <v>100</v>
      </c>
      <c r="K29" s="396" t="s">
        <v>452</v>
      </c>
      <c r="L29" s="397">
        <v>0.05</v>
      </c>
      <c r="M29" s="624"/>
      <c r="N29" s="638"/>
      <c r="O29" s="403" t="str">
        <f t="shared" si="8"/>
        <v>所属项目临路级别</v>
      </c>
      <c r="P29" s="398" t="s">
        <v>419</v>
      </c>
      <c r="Q29" s="399">
        <f t="shared" si="1"/>
        <v>100</v>
      </c>
      <c r="R29" s="398" t="s">
        <v>419</v>
      </c>
      <c r="S29" s="399">
        <f t="shared" si="2"/>
        <v>100</v>
      </c>
      <c r="T29" s="398" t="s">
        <v>419</v>
      </c>
      <c r="U29" s="399">
        <f t="shared" si="3"/>
        <v>100</v>
      </c>
      <c r="V29" s="624"/>
      <c r="W29" s="638"/>
      <c r="X29" s="403" t="str">
        <f t="shared" si="7"/>
        <v>所属项目临路级别</v>
      </c>
      <c r="Y29" s="400">
        <f t="shared" si="4"/>
        <v>1</v>
      </c>
      <c r="Z29" s="400">
        <f t="shared" si="5"/>
        <v>1</v>
      </c>
      <c r="AA29" s="400">
        <f t="shared" si="6"/>
        <v>1</v>
      </c>
    </row>
    <row r="30" spans="1:27">
      <c r="A30" s="637"/>
      <c r="B30" s="402" t="s">
        <v>453</v>
      </c>
      <c r="C30" s="394"/>
      <c r="D30" s="395">
        <v>100</v>
      </c>
      <c r="E30" s="394"/>
      <c r="F30" s="395">
        <v>100</v>
      </c>
      <c r="G30" s="394"/>
      <c r="H30" s="395">
        <v>100</v>
      </c>
      <c r="I30" s="394"/>
      <c r="J30" s="395">
        <v>100</v>
      </c>
      <c r="K30" s="396" t="s">
        <v>454</v>
      </c>
      <c r="L30" s="397">
        <v>0.05</v>
      </c>
      <c r="M30" s="624"/>
      <c r="N30" s="638"/>
      <c r="O30" s="403" t="str">
        <f t="shared" si="8"/>
        <v>临街状况</v>
      </c>
      <c r="P30" s="398" t="s">
        <v>419</v>
      </c>
      <c r="Q30" s="399">
        <f t="shared" si="1"/>
        <v>100</v>
      </c>
      <c r="R30" s="398" t="s">
        <v>419</v>
      </c>
      <c r="S30" s="399">
        <f t="shared" si="2"/>
        <v>100</v>
      </c>
      <c r="T30" s="398" t="s">
        <v>419</v>
      </c>
      <c r="U30" s="399">
        <f t="shared" si="3"/>
        <v>100</v>
      </c>
      <c r="V30" s="624"/>
      <c r="W30" s="638"/>
      <c r="X30" s="403" t="str">
        <f t="shared" si="7"/>
        <v>临街状况</v>
      </c>
      <c r="Y30" s="400">
        <f t="shared" si="4"/>
        <v>1</v>
      </c>
      <c r="Z30" s="400">
        <f t="shared" si="5"/>
        <v>1</v>
      </c>
      <c r="AA30" s="400">
        <f t="shared" si="6"/>
        <v>1</v>
      </c>
    </row>
    <row r="31" spans="1:27" ht="12" customHeight="1">
      <c r="A31" s="639" t="s">
        <v>455</v>
      </c>
      <c r="B31" s="639"/>
      <c r="C31" s="639" t="s">
        <v>456</v>
      </c>
      <c r="D31" s="639"/>
      <c r="E31" s="640">
        <v>0</v>
      </c>
      <c r="F31" s="640"/>
      <c r="G31" s="640">
        <v>42274</v>
      </c>
      <c r="H31" s="640"/>
      <c r="I31" s="640">
        <v>42591</v>
      </c>
      <c r="J31" s="640"/>
      <c r="K31" s="641" t="s">
        <v>457</v>
      </c>
      <c r="L31" s="641"/>
      <c r="N31" s="631" t="s">
        <v>458</v>
      </c>
      <c r="O31" s="642"/>
      <c r="P31" s="643">
        <f>E31</f>
        <v>0</v>
      </c>
      <c r="Q31" s="643"/>
      <c r="R31" s="643">
        <f>G31</f>
        <v>42274</v>
      </c>
      <c r="S31" s="643"/>
      <c r="T31" s="643">
        <f>I31</f>
        <v>42591</v>
      </c>
      <c r="U31" s="643"/>
    </row>
    <row r="32" spans="1:27">
      <c r="A32" s="639" t="s">
        <v>459</v>
      </c>
      <c r="B32" s="639"/>
      <c r="C32" s="644">
        <f>P33</f>
        <v>28288</v>
      </c>
      <c r="D32" s="639"/>
      <c r="E32" s="644">
        <f>P32</f>
        <v>0</v>
      </c>
      <c r="F32" s="639"/>
      <c r="G32" s="644">
        <f>R32</f>
        <v>42274</v>
      </c>
      <c r="H32" s="639"/>
      <c r="I32" s="644">
        <f>T32</f>
        <v>42591</v>
      </c>
      <c r="J32" s="639"/>
      <c r="K32" s="645" t="s">
        <v>460</v>
      </c>
      <c r="L32" s="646"/>
      <c r="N32" s="631" t="s">
        <v>461</v>
      </c>
      <c r="O32" s="642"/>
      <c r="P32" s="647">
        <f>ROUND(E31*Y5*Y6*Y7*Y8*Y9*Y10*Y11*Y12*Y13*Y14*Y15*Y16*Y17*Y18*Y19*Y20*Y21*Y22*Y23*Y24*Y25*Y26*Y27*Y28*Y29*Y30,0)</f>
        <v>0</v>
      </c>
      <c r="Q32" s="647"/>
      <c r="R32" s="647">
        <f>ROUND(G31*Z5*Z6*Z7*Z8*Z9*Z10*Z11*Z12*Z13*Z14*Z15*Z16*Z17*Z18*Z19*Z20*Z21*Z22*Z23*Z24*Z25*Z26*Z27*Z28*Z29*Z30,0)</f>
        <v>42274</v>
      </c>
      <c r="S32" s="647"/>
      <c r="T32" s="647">
        <f>ROUND(I31*AA5*AA6*AA7*AA8*AA9*AA10*AA11*AA12*AA13*AA14*AA15*AA16*AA17*AA18*AA19*AA20*AA21*AA22*AA23*AA24*AA25*AA26*AA27*AA28*AA29*AA30,0)</f>
        <v>42591</v>
      </c>
      <c r="U32" s="647"/>
    </row>
    <row r="33" spans="1:21" ht="30" customHeight="1">
      <c r="A33" s="648"/>
      <c r="B33" s="648"/>
      <c r="C33" s="649"/>
      <c r="D33" s="649"/>
      <c r="E33" s="649"/>
      <c r="F33" s="649"/>
      <c r="G33" s="649"/>
      <c r="H33" s="649"/>
      <c r="I33" s="649"/>
      <c r="J33" s="649"/>
      <c r="K33" s="641"/>
      <c r="L33" s="641"/>
      <c r="N33" s="650" t="s">
        <v>462</v>
      </c>
      <c r="O33" s="650"/>
      <c r="P33" s="651">
        <f>ROUND(AVERAGE(P32:T32),0)</f>
        <v>28288</v>
      </c>
      <c r="Q33" s="651"/>
      <c r="R33" s="651"/>
      <c r="S33" s="651"/>
      <c r="T33" s="651"/>
      <c r="U33" s="651"/>
    </row>
    <row r="34" spans="1:21">
      <c r="A34" s="405"/>
      <c r="B34" s="406"/>
      <c r="C34" s="407"/>
      <c r="D34" s="407"/>
      <c r="E34" s="408"/>
      <c r="F34" s="407"/>
      <c r="G34" s="409"/>
      <c r="H34" s="408"/>
      <c r="I34" s="405"/>
      <c r="J34" s="405"/>
      <c r="K34" s="410"/>
      <c r="L34" s="411"/>
      <c r="N34" s="653" t="s">
        <v>463</v>
      </c>
      <c r="O34" s="653"/>
      <c r="P34" s="651"/>
      <c r="Q34" s="651"/>
      <c r="R34" s="651"/>
      <c r="S34" s="651"/>
      <c r="T34" s="651"/>
      <c r="U34" s="651"/>
    </row>
    <row r="35" spans="1:21">
      <c r="A35" s="405"/>
      <c r="B35" s="407"/>
      <c r="C35" s="407"/>
      <c r="D35" s="407"/>
      <c r="E35" s="408"/>
      <c r="F35" s="407"/>
      <c r="G35" s="408"/>
      <c r="H35" s="408"/>
      <c r="I35" s="405"/>
      <c r="J35" s="405"/>
      <c r="K35" s="412"/>
      <c r="L35" s="412"/>
      <c r="N35" s="653" t="s">
        <v>464</v>
      </c>
      <c r="O35" s="653"/>
      <c r="P35" s="653">
        <f>ROUND(P33*P34,0)</f>
        <v>0</v>
      </c>
      <c r="Q35" s="653"/>
      <c r="R35" s="653"/>
      <c r="S35" s="653"/>
      <c r="T35" s="653"/>
      <c r="U35" s="653"/>
    </row>
    <row r="36" spans="1:21">
      <c r="A36" s="405"/>
      <c r="B36" s="407"/>
      <c r="C36" s="407"/>
      <c r="D36" s="407"/>
      <c r="E36" s="408"/>
      <c r="F36" s="407"/>
      <c r="G36" s="408"/>
      <c r="H36" s="408"/>
      <c r="I36" s="405"/>
      <c r="J36" s="405"/>
      <c r="K36" s="412"/>
      <c r="L36" s="412"/>
      <c r="N36" s="650" t="s">
        <v>465</v>
      </c>
      <c r="O36" s="650"/>
      <c r="P36" s="652" t="e">
        <f>(P32-P31)/P31</f>
        <v>#DIV/0!</v>
      </c>
      <c r="Q36" s="652"/>
      <c r="R36" s="652">
        <f>(R32-R31)/R31</f>
        <v>0</v>
      </c>
      <c r="S36" s="652"/>
      <c r="T36" s="652">
        <f>(T32-T31)/T31</f>
        <v>0</v>
      </c>
      <c r="U36" s="652"/>
    </row>
    <row r="37" spans="1:21">
      <c r="A37" s="405"/>
      <c r="B37" s="407"/>
      <c r="C37" s="407"/>
      <c r="D37" s="407"/>
      <c r="E37" s="408"/>
      <c r="F37" s="407"/>
      <c r="G37" s="407"/>
      <c r="H37" s="407"/>
      <c r="I37" s="405"/>
      <c r="J37" s="405"/>
      <c r="K37" s="412"/>
      <c r="L37" s="412"/>
      <c r="P37" s="652" t="e">
        <f>(P32-P31)/P32</f>
        <v>#DIV/0!</v>
      </c>
      <c r="Q37" s="652"/>
      <c r="R37" s="652">
        <f>(R32-R31)/R32</f>
        <v>0</v>
      </c>
      <c r="S37" s="652"/>
      <c r="T37" s="652">
        <f>(T32-T31)/T32</f>
        <v>0</v>
      </c>
      <c r="U37" s="652"/>
    </row>
    <row r="38" spans="1:21">
      <c r="A38" s="423" t="s">
        <v>501</v>
      </c>
      <c r="B38" s="417"/>
      <c r="C38" s="417"/>
      <c r="D38" s="417"/>
      <c r="E38" s="417"/>
      <c r="F38" s="413"/>
      <c r="G38" s="413"/>
      <c r="H38" s="413"/>
      <c r="K38" s="414"/>
      <c r="L38" s="414"/>
      <c r="P38" s="393" t="s">
        <v>466</v>
      </c>
    </row>
    <row r="39" spans="1:21" s="416" customFormat="1">
      <c r="C39" s="419"/>
      <c r="D39" s="419"/>
      <c r="E39" s="424" t="s">
        <v>502</v>
      </c>
      <c r="F39" s="417"/>
      <c r="G39" s="428">
        <v>42675</v>
      </c>
      <c r="H39" s="417"/>
      <c r="I39" s="424" t="s">
        <v>533</v>
      </c>
      <c r="J39" s="424"/>
      <c r="K39" s="414"/>
      <c r="L39" s="414"/>
      <c r="P39" s="416" t="e">
        <f>(P31-R31)/P31</f>
        <v>#DIV/0!</v>
      </c>
      <c r="R39" s="416">
        <f>(R31-P31)/R31</f>
        <v>1</v>
      </c>
      <c r="S39" s="418"/>
      <c r="T39" s="416">
        <f>(T31-P31)/T31</f>
        <v>1</v>
      </c>
    </row>
    <row r="40" spans="1:21" s="416" customFormat="1">
      <c r="C40" s="419"/>
      <c r="D40" s="419"/>
      <c r="E40" s="424" t="s">
        <v>503</v>
      </c>
      <c r="F40" s="419"/>
      <c r="G40" s="419"/>
      <c r="H40" s="419"/>
      <c r="I40" s="424" t="s">
        <v>534</v>
      </c>
      <c r="J40" s="424"/>
      <c r="K40" s="414"/>
      <c r="L40" s="414"/>
      <c r="P40" s="416" t="e">
        <f>(P31-T31)/P31</f>
        <v>#DIV/0!</v>
      </c>
      <c r="R40" s="416">
        <f>(R31-T31)/R31</f>
        <v>-7.4986989639021619E-3</v>
      </c>
      <c r="S40" s="418"/>
      <c r="T40" s="416">
        <f>(T31-R31)/T31</f>
        <v>7.4428869949050265E-3</v>
      </c>
    </row>
    <row r="41" spans="1:21" s="416" customFormat="1">
      <c r="C41" s="419"/>
      <c r="D41" s="419"/>
      <c r="E41" s="424" t="s">
        <v>504</v>
      </c>
      <c r="F41" s="419"/>
      <c r="G41" s="419"/>
      <c r="H41" s="419"/>
      <c r="I41" s="424" t="s">
        <v>535</v>
      </c>
      <c r="J41" s="424"/>
      <c r="K41" s="414"/>
      <c r="L41" s="414"/>
      <c r="S41" s="418"/>
    </row>
    <row r="42" spans="1:21" s="416" customFormat="1">
      <c r="C42" s="417"/>
      <c r="D42" s="417"/>
      <c r="E42" s="424" t="s">
        <v>505</v>
      </c>
      <c r="F42" s="419"/>
      <c r="G42" s="419"/>
      <c r="H42" s="419"/>
      <c r="I42" s="424" t="s">
        <v>536</v>
      </c>
      <c r="J42" s="424"/>
      <c r="K42" s="414"/>
      <c r="L42" s="414"/>
      <c r="S42" s="418"/>
    </row>
    <row r="43" spans="1:21" s="416" customFormat="1">
      <c r="C43" s="419"/>
      <c r="D43" s="419"/>
      <c r="E43" s="424" t="s">
        <v>506</v>
      </c>
      <c r="F43" s="420"/>
      <c r="G43" s="421"/>
      <c r="H43" s="421"/>
      <c r="I43" s="424" t="s">
        <v>502</v>
      </c>
      <c r="J43" s="424"/>
      <c r="K43" s="414"/>
      <c r="L43" s="414"/>
      <c r="S43" s="418"/>
    </row>
    <row r="44" spans="1:21" s="416" customFormat="1">
      <c r="C44" s="419"/>
      <c r="D44" s="419"/>
      <c r="E44" s="424" t="s">
        <v>507</v>
      </c>
      <c r="F44" s="419"/>
      <c r="I44" s="424" t="s">
        <v>503</v>
      </c>
      <c r="K44" s="422"/>
      <c r="L44" s="422"/>
      <c r="S44" s="418"/>
    </row>
    <row r="45" spans="1:21" s="416" customFormat="1">
      <c r="C45" s="419"/>
      <c r="D45" s="419"/>
      <c r="E45" s="424" t="s">
        <v>508</v>
      </c>
      <c r="F45" s="419"/>
      <c r="I45" s="424" t="s">
        <v>504</v>
      </c>
      <c r="K45" s="393"/>
      <c r="L45" s="393"/>
      <c r="S45" s="418"/>
    </row>
    <row r="46" spans="1:21" s="416" customFormat="1">
      <c r="C46" s="419"/>
      <c r="D46" s="419"/>
      <c r="E46" s="424" t="s">
        <v>509</v>
      </c>
      <c r="F46" s="419"/>
      <c r="I46" s="424" t="s">
        <v>505</v>
      </c>
      <c r="K46" s="393"/>
      <c r="L46" s="393"/>
      <c r="S46" s="418"/>
    </row>
    <row r="47" spans="1:21" s="416" customFormat="1">
      <c r="A47" s="393"/>
      <c r="C47" s="393"/>
      <c r="D47" s="393"/>
      <c r="E47" s="424" t="s">
        <v>510</v>
      </c>
      <c r="F47" s="419"/>
      <c r="I47" s="424" t="s">
        <v>506</v>
      </c>
      <c r="K47" s="393"/>
      <c r="L47" s="393"/>
      <c r="S47" s="418"/>
    </row>
    <row r="48" spans="1:21">
      <c r="E48" s="425" t="s">
        <v>511</v>
      </c>
      <c r="I48" s="424" t="s">
        <v>507</v>
      </c>
    </row>
    <row r="49" spans="5:9">
      <c r="E49" s="424" t="s">
        <v>512</v>
      </c>
      <c r="I49" s="424" t="s">
        <v>508</v>
      </c>
    </row>
    <row r="50" spans="5:9">
      <c r="E50" s="424" t="s">
        <v>513</v>
      </c>
      <c r="I50" s="425" t="s">
        <v>509</v>
      </c>
    </row>
    <row r="51" spans="5:9">
      <c r="E51" s="424" t="s">
        <v>514</v>
      </c>
      <c r="I51" s="424" t="s">
        <v>510</v>
      </c>
    </row>
    <row r="52" spans="5:9">
      <c r="E52" s="424" t="s">
        <v>515</v>
      </c>
      <c r="I52" s="424" t="s">
        <v>511</v>
      </c>
    </row>
    <row r="53" spans="5:9">
      <c r="E53" s="424" t="s">
        <v>516</v>
      </c>
      <c r="I53" s="424" t="s">
        <v>512</v>
      </c>
    </row>
    <row r="54" spans="5:9">
      <c r="E54" s="424" t="s">
        <v>517</v>
      </c>
      <c r="I54" s="424" t="s">
        <v>513</v>
      </c>
    </row>
    <row r="55" spans="5:9">
      <c r="E55" s="424" t="s">
        <v>518</v>
      </c>
      <c r="I55" s="424" t="s">
        <v>514</v>
      </c>
    </row>
    <row r="56" spans="5:9">
      <c r="E56" s="424" t="s">
        <v>519</v>
      </c>
      <c r="I56" s="424" t="s">
        <v>515</v>
      </c>
    </row>
    <row r="57" spans="5:9">
      <c r="E57" s="424" t="s">
        <v>520</v>
      </c>
      <c r="I57" s="424" t="s">
        <v>516</v>
      </c>
    </row>
    <row r="58" spans="5:9">
      <c r="I58" s="424" t="s">
        <v>517</v>
      </c>
    </row>
    <row r="59" spans="5:9">
      <c r="I59" s="424" t="s">
        <v>518</v>
      </c>
    </row>
    <row r="60" spans="5:9">
      <c r="I60" s="424" t="s">
        <v>519</v>
      </c>
    </row>
    <row r="61" spans="5:9">
      <c r="I61" s="424" t="s">
        <v>520</v>
      </c>
    </row>
  </sheetData>
  <mergeCells count="82">
    <mergeCell ref="P37:Q37"/>
    <mergeCell ref="R37:S37"/>
    <mergeCell ref="T37:U37"/>
    <mergeCell ref="N34:O34"/>
    <mergeCell ref="P34:U34"/>
    <mergeCell ref="N35:O35"/>
    <mergeCell ref="P35:U35"/>
    <mergeCell ref="N36:O36"/>
    <mergeCell ref="P36:Q36"/>
    <mergeCell ref="R36:S36"/>
    <mergeCell ref="T36:U36"/>
    <mergeCell ref="A33:B33"/>
    <mergeCell ref="C33:J33"/>
    <mergeCell ref="K33:L33"/>
    <mergeCell ref="N33:O33"/>
    <mergeCell ref="P33:U33"/>
    <mergeCell ref="K32:L32"/>
    <mergeCell ref="N32:O32"/>
    <mergeCell ref="P32:Q32"/>
    <mergeCell ref="R32:S32"/>
    <mergeCell ref="T32:U32"/>
    <mergeCell ref="A32:B32"/>
    <mergeCell ref="C32:D32"/>
    <mergeCell ref="E32:F32"/>
    <mergeCell ref="G32:H32"/>
    <mergeCell ref="I32:J32"/>
    <mergeCell ref="K31:L31"/>
    <mergeCell ref="N31:O31"/>
    <mergeCell ref="P31:Q31"/>
    <mergeCell ref="R31:S31"/>
    <mergeCell ref="T31:U31"/>
    <mergeCell ref="A31:B31"/>
    <mergeCell ref="C31:D31"/>
    <mergeCell ref="E31:F31"/>
    <mergeCell ref="G31:H31"/>
    <mergeCell ref="I31:J31"/>
    <mergeCell ref="A10:A17"/>
    <mergeCell ref="N10:N17"/>
    <mergeCell ref="W10:W17"/>
    <mergeCell ref="A18:A30"/>
    <mergeCell ref="N18:N30"/>
    <mergeCell ref="W18:W30"/>
    <mergeCell ref="A5:B5"/>
    <mergeCell ref="N5:O5"/>
    <mergeCell ref="W5:X5"/>
    <mergeCell ref="A6:B6"/>
    <mergeCell ref="N6:O6"/>
    <mergeCell ref="W6:X6"/>
    <mergeCell ref="V2:V30"/>
    <mergeCell ref="W2:X4"/>
    <mergeCell ref="A7:B7"/>
    <mergeCell ref="N7:O7"/>
    <mergeCell ref="W7:X7"/>
    <mergeCell ref="A8:B8"/>
    <mergeCell ref="N8:O8"/>
    <mergeCell ref="W8:X8"/>
    <mergeCell ref="A9:B9"/>
    <mergeCell ref="N9:O9"/>
    <mergeCell ref="Y2:Y4"/>
    <mergeCell ref="Z2:Z4"/>
    <mergeCell ref="AA2:AA4"/>
    <mergeCell ref="C3:D3"/>
    <mergeCell ref="E3:F3"/>
    <mergeCell ref="G3:H3"/>
    <mergeCell ref="I3:J3"/>
    <mergeCell ref="C4:D4"/>
    <mergeCell ref="K2:L4"/>
    <mergeCell ref="M2:M30"/>
    <mergeCell ref="N2:O4"/>
    <mergeCell ref="P2:Q4"/>
    <mergeCell ref="R2:S4"/>
    <mergeCell ref="T2:U4"/>
    <mergeCell ref="W9:X9"/>
    <mergeCell ref="A1:J1"/>
    <mergeCell ref="A2:B4"/>
    <mergeCell ref="C2:D2"/>
    <mergeCell ref="E2:F2"/>
    <mergeCell ref="G2:H2"/>
    <mergeCell ref="I2:J2"/>
    <mergeCell ref="E4:F4"/>
    <mergeCell ref="G4:H4"/>
    <mergeCell ref="I4:J4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106"/>
  <sheetViews>
    <sheetView topLeftCell="A31" workbookViewId="0">
      <selection activeCell="I32" sqref="I32"/>
    </sheetView>
  </sheetViews>
  <sheetFormatPr defaultRowHeight="13.5"/>
  <cols>
    <col min="1" max="1" width="10.75" customWidth="1"/>
    <col min="4" max="4" width="13.875" customWidth="1"/>
    <col min="5" max="5" width="28.75" customWidth="1"/>
  </cols>
  <sheetData>
    <row r="1" spans="8:8" s="18" customFormat="1"/>
    <row r="16" spans="8:8">
      <c r="H16">
        <v>442.09</v>
      </c>
    </row>
    <row r="17" spans="8:9">
      <c r="H17">
        <v>207.56</v>
      </c>
    </row>
    <row r="18" spans="8:9">
      <c r="H18">
        <v>4093.45</v>
      </c>
    </row>
    <row r="19" spans="8:9">
      <c r="H19">
        <v>1202.02</v>
      </c>
    </row>
    <row r="20" spans="8:9">
      <c r="H20">
        <v>785.34</v>
      </c>
    </row>
    <row r="21" spans="8:9">
      <c r="H21">
        <v>348.4</v>
      </c>
    </row>
    <row r="23" spans="8:9">
      <c r="H23">
        <v>7078.96</v>
      </c>
      <c r="I23" t="s">
        <v>636</v>
      </c>
    </row>
    <row r="28" spans="8:9" s="335" customFormat="1"/>
    <row r="41" s="18" customFormat="1"/>
    <row r="74" s="18" customFormat="1"/>
    <row r="106" spans="2:2">
      <c r="B106" t="s">
        <v>643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9.9978637043366805E-2"/>
  </sheetPr>
  <dimension ref="A1:L60"/>
  <sheetViews>
    <sheetView topLeftCell="A49" zoomScale="95" zoomScaleNormal="95" workbookViewId="0">
      <selection activeCell="D72" sqref="D72"/>
    </sheetView>
  </sheetViews>
  <sheetFormatPr defaultRowHeight="18.75" customHeight="1"/>
  <cols>
    <col min="1" max="1" width="5.375" style="24" customWidth="1"/>
    <col min="2" max="2" width="31.625" style="37" customWidth="1"/>
    <col min="3" max="3" width="11.25" style="27" customWidth="1"/>
    <col min="4" max="4" width="12.5" style="27" customWidth="1"/>
    <col min="5" max="5" width="11.75" style="27" customWidth="1"/>
    <col min="6" max="6" width="11.25" style="27" customWidth="1"/>
    <col min="7" max="7" width="14.5" style="27" customWidth="1"/>
    <col min="8" max="10" width="11.25" style="27" customWidth="1"/>
    <col min="11" max="11" width="9" style="27"/>
    <col min="12" max="12" width="12.125" style="27" customWidth="1"/>
    <col min="13" max="256" width="9" style="27"/>
    <col min="257" max="257" width="5.375" style="27" customWidth="1"/>
    <col min="258" max="258" width="31.625" style="27" customWidth="1"/>
    <col min="259" max="259" width="11.25" style="27" customWidth="1"/>
    <col min="260" max="260" width="12.5" style="27" customWidth="1"/>
    <col min="261" max="261" width="11.75" style="27" customWidth="1"/>
    <col min="262" max="262" width="11.25" style="27" customWidth="1"/>
    <col min="263" max="263" width="14.5" style="27" customWidth="1"/>
    <col min="264" max="266" width="11.25" style="27" customWidth="1"/>
    <col min="267" max="512" width="9" style="27"/>
    <col min="513" max="513" width="5.375" style="27" customWidth="1"/>
    <col min="514" max="514" width="31.625" style="27" customWidth="1"/>
    <col min="515" max="515" width="11.25" style="27" customWidth="1"/>
    <col min="516" max="516" width="12.5" style="27" customWidth="1"/>
    <col min="517" max="517" width="11.75" style="27" customWidth="1"/>
    <col min="518" max="518" width="11.25" style="27" customWidth="1"/>
    <col min="519" max="519" width="14.5" style="27" customWidth="1"/>
    <col min="520" max="522" width="11.25" style="27" customWidth="1"/>
    <col min="523" max="768" width="9" style="27"/>
    <col min="769" max="769" width="5.375" style="27" customWidth="1"/>
    <col min="770" max="770" width="31.625" style="27" customWidth="1"/>
    <col min="771" max="771" width="11.25" style="27" customWidth="1"/>
    <col min="772" max="772" width="12.5" style="27" customWidth="1"/>
    <col min="773" max="773" width="11.75" style="27" customWidth="1"/>
    <col min="774" max="774" width="11.25" style="27" customWidth="1"/>
    <col min="775" max="775" width="14.5" style="27" customWidth="1"/>
    <col min="776" max="778" width="11.25" style="27" customWidth="1"/>
    <col min="779" max="1024" width="9" style="27"/>
    <col min="1025" max="1025" width="5.375" style="27" customWidth="1"/>
    <col min="1026" max="1026" width="31.625" style="27" customWidth="1"/>
    <col min="1027" max="1027" width="11.25" style="27" customWidth="1"/>
    <col min="1028" max="1028" width="12.5" style="27" customWidth="1"/>
    <col min="1029" max="1029" width="11.75" style="27" customWidth="1"/>
    <col min="1030" max="1030" width="11.25" style="27" customWidth="1"/>
    <col min="1031" max="1031" width="14.5" style="27" customWidth="1"/>
    <col min="1032" max="1034" width="11.25" style="27" customWidth="1"/>
    <col min="1035" max="1280" width="9" style="27"/>
    <col min="1281" max="1281" width="5.375" style="27" customWidth="1"/>
    <col min="1282" max="1282" width="31.625" style="27" customWidth="1"/>
    <col min="1283" max="1283" width="11.25" style="27" customWidth="1"/>
    <col min="1284" max="1284" width="12.5" style="27" customWidth="1"/>
    <col min="1285" max="1285" width="11.75" style="27" customWidth="1"/>
    <col min="1286" max="1286" width="11.25" style="27" customWidth="1"/>
    <col min="1287" max="1287" width="14.5" style="27" customWidth="1"/>
    <col min="1288" max="1290" width="11.25" style="27" customWidth="1"/>
    <col min="1291" max="1536" width="9" style="27"/>
    <col min="1537" max="1537" width="5.375" style="27" customWidth="1"/>
    <col min="1538" max="1538" width="31.625" style="27" customWidth="1"/>
    <col min="1539" max="1539" width="11.25" style="27" customWidth="1"/>
    <col min="1540" max="1540" width="12.5" style="27" customWidth="1"/>
    <col min="1541" max="1541" width="11.75" style="27" customWidth="1"/>
    <col min="1542" max="1542" width="11.25" style="27" customWidth="1"/>
    <col min="1543" max="1543" width="14.5" style="27" customWidth="1"/>
    <col min="1544" max="1546" width="11.25" style="27" customWidth="1"/>
    <col min="1547" max="1792" width="9" style="27"/>
    <col min="1793" max="1793" width="5.375" style="27" customWidth="1"/>
    <col min="1794" max="1794" width="31.625" style="27" customWidth="1"/>
    <col min="1795" max="1795" width="11.25" style="27" customWidth="1"/>
    <col min="1796" max="1796" width="12.5" style="27" customWidth="1"/>
    <col min="1797" max="1797" width="11.75" style="27" customWidth="1"/>
    <col min="1798" max="1798" width="11.25" style="27" customWidth="1"/>
    <col min="1799" max="1799" width="14.5" style="27" customWidth="1"/>
    <col min="1800" max="1802" width="11.25" style="27" customWidth="1"/>
    <col min="1803" max="2048" width="9" style="27"/>
    <col min="2049" max="2049" width="5.375" style="27" customWidth="1"/>
    <col min="2050" max="2050" width="31.625" style="27" customWidth="1"/>
    <col min="2051" max="2051" width="11.25" style="27" customWidth="1"/>
    <col min="2052" max="2052" width="12.5" style="27" customWidth="1"/>
    <col min="2053" max="2053" width="11.75" style="27" customWidth="1"/>
    <col min="2054" max="2054" width="11.25" style="27" customWidth="1"/>
    <col min="2055" max="2055" width="14.5" style="27" customWidth="1"/>
    <col min="2056" max="2058" width="11.25" style="27" customWidth="1"/>
    <col min="2059" max="2304" width="9" style="27"/>
    <col min="2305" max="2305" width="5.375" style="27" customWidth="1"/>
    <col min="2306" max="2306" width="31.625" style="27" customWidth="1"/>
    <col min="2307" max="2307" width="11.25" style="27" customWidth="1"/>
    <col min="2308" max="2308" width="12.5" style="27" customWidth="1"/>
    <col min="2309" max="2309" width="11.75" style="27" customWidth="1"/>
    <col min="2310" max="2310" width="11.25" style="27" customWidth="1"/>
    <col min="2311" max="2311" width="14.5" style="27" customWidth="1"/>
    <col min="2312" max="2314" width="11.25" style="27" customWidth="1"/>
    <col min="2315" max="2560" width="9" style="27"/>
    <col min="2561" max="2561" width="5.375" style="27" customWidth="1"/>
    <col min="2562" max="2562" width="31.625" style="27" customWidth="1"/>
    <col min="2563" max="2563" width="11.25" style="27" customWidth="1"/>
    <col min="2564" max="2564" width="12.5" style="27" customWidth="1"/>
    <col min="2565" max="2565" width="11.75" style="27" customWidth="1"/>
    <col min="2566" max="2566" width="11.25" style="27" customWidth="1"/>
    <col min="2567" max="2567" width="14.5" style="27" customWidth="1"/>
    <col min="2568" max="2570" width="11.25" style="27" customWidth="1"/>
    <col min="2571" max="2816" width="9" style="27"/>
    <col min="2817" max="2817" width="5.375" style="27" customWidth="1"/>
    <col min="2818" max="2818" width="31.625" style="27" customWidth="1"/>
    <col min="2819" max="2819" width="11.25" style="27" customWidth="1"/>
    <col min="2820" max="2820" width="12.5" style="27" customWidth="1"/>
    <col min="2821" max="2821" width="11.75" style="27" customWidth="1"/>
    <col min="2822" max="2822" width="11.25" style="27" customWidth="1"/>
    <col min="2823" max="2823" width="14.5" style="27" customWidth="1"/>
    <col min="2824" max="2826" width="11.25" style="27" customWidth="1"/>
    <col min="2827" max="3072" width="9" style="27"/>
    <col min="3073" max="3073" width="5.375" style="27" customWidth="1"/>
    <col min="3074" max="3074" width="31.625" style="27" customWidth="1"/>
    <col min="3075" max="3075" width="11.25" style="27" customWidth="1"/>
    <col min="3076" max="3076" width="12.5" style="27" customWidth="1"/>
    <col min="3077" max="3077" width="11.75" style="27" customWidth="1"/>
    <col min="3078" max="3078" width="11.25" style="27" customWidth="1"/>
    <col min="3079" max="3079" width="14.5" style="27" customWidth="1"/>
    <col min="3080" max="3082" width="11.25" style="27" customWidth="1"/>
    <col min="3083" max="3328" width="9" style="27"/>
    <col min="3329" max="3329" width="5.375" style="27" customWidth="1"/>
    <col min="3330" max="3330" width="31.625" style="27" customWidth="1"/>
    <col min="3331" max="3331" width="11.25" style="27" customWidth="1"/>
    <col min="3332" max="3332" width="12.5" style="27" customWidth="1"/>
    <col min="3333" max="3333" width="11.75" style="27" customWidth="1"/>
    <col min="3334" max="3334" width="11.25" style="27" customWidth="1"/>
    <col min="3335" max="3335" width="14.5" style="27" customWidth="1"/>
    <col min="3336" max="3338" width="11.25" style="27" customWidth="1"/>
    <col min="3339" max="3584" width="9" style="27"/>
    <col min="3585" max="3585" width="5.375" style="27" customWidth="1"/>
    <col min="3586" max="3586" width="31.625" style="27" customWidth="1"/>
    <col min="3587" max="3587" width="11.25" style="27" customWidth="1"/>
    <col min="3588" max="3588" width="12.5" style="27" customWidth="1"/>
    <col min="3589" max="3589" width="11.75" style="27" customWidth="1"/>
    <col min="3590" max="3590" width="11.25" style="27" customWidth="1"/>
    <col min="3591" max="3591" width="14.5" style="27" customWidth="1"/>
    <col min="3592" max="3594" width="11.25" style="27" customWidth="1"/>
    <col min="3595" max="3840" width="9" style="27"/>
    <col min="3841" max="3841" width="5.375" style="27" customWidth="1"/>
    <col min="3842" max="3842" width="31.625" style="27" customWidth="1"/>
    <col min="3843" max="3843" width="11.25" style="27" customWidth="1"/>
    <col min="3844" max="3844" width="12.5" style="27" customWidth="1"/>
    <col min="3845" max="3845" width="11.75" style="27" customWidth="1"/>
    <col min="3846" max="3846" width="11.25" style="27" customWidth="1"/>
    <col min="3847" max="3847" width="14.5" style="27" customWidth="1"/>
    <col min="3848" max="3850" width="11.25" style="27" customWidth="1"/>
    <col min="3851" max="4096" width="9" style="27"/>
    <col min="4097" max="4097" width="5.375" style="27" customWidth="1"/>
    <col min="4098" max="4098" width="31.625" style="27" customWidth="1"/>
    <col min="4099" max="4099" width="11.25" style="27" customWidth="1"/>
    <col min="4100" max="4100" width="12.5" style="27" customWidth="1"/>
    <col min="4101" max="4101" width="11.75" style="27" customWidth="1"/>
    <col min="4102" max="4102" width="11.25" style="27" customWidth="1"/>
    <col min="4103" max="4103" width="14.5" style="27" customWidth="1"/>
    <col min="4104" max="4106" width="11.25" style="27" customWidth="1"/>
    <col min="4107" max="4352" width="9" style="27"/>
    <col min="4353" max="4353" width="5.375" style="27" customWidth="1"/>
    <col min="4354" max="4354" width="31.625" style="27" customWidth="1"/>
    <col min="4355" max="4355" width="11.25" style="27" customWidth="1"/>
    <col min="4356" max="4356" width="12.5" style="27" customWidth="1"/>
    <col min="4357" max="4357" width="11.75" style="27" customWidth="1"/>
    <col min="4358" max="4358" width="11.25" style="27" customWidth="1"/>
    <col min="4359" max="4359" width="14.5" style="27" customWidth="1"/>
    <col min="4360" max="4362" width="11.25" style="27" customWidth="1"/>
    <col min="4363" max="4608" width="9" style="27"/>
    <col min="4609" max="4609" width="5.375" style="27" customWidth="1"/>
    <col min="4610" max="4610" width="31.625" style="27" customWidth="1"/>
    <col min="4611" max="4611" width="11.25" style="27" customWidth="1"/>
    <col min="4612" max="4612" width="12.5" style="27" customWidth="1"/>
    <col min="4613" max="4613" width="11.75" style="27" customWidth="1"/>
    <col min="4614" max="4614" width="11.25" style="27" customWidth="1"/>
    <col min="4615" max="4615" width="14.5" style="27" customWidth="1"/>
    <col min="4616" max="4618" width="11.25" style="27" customWidth="1"/>
    <col min="4619" max="4864" width="9" style="27"/>
    <col min="4865" max="4865" width="5.375" style="27" customWidth="1"/>
    <col min="4866" max="4866" width="31.625" style="27" customWidth="1"/>
    <col min="4867" max="4867" width="11.25" style="27" customWidth="1"/>
    <col min="4868" max="4868" width="12.5" style="27" customWidth="1"/>
    <col min="4869" max="4869" width="11.75" style="27" customWidth="1"/>
    <col min="4870" max="4870" width="11.25" style="27" customWidth="1"/>
    <col min="4871" max="4871" width="14.5" style="27" customWidth="1"/>
    <col min="4872" max="4874" width="11.25" style="27" customWidth="1"/>
    <col min="4875" max="5120" width="9" style="27"/>
    <col min="5121" max="5121" width="5.375" style="27" customWidth="1"/>
    <col min="5122" max="5122" width="31.625" style="27" customWidth="1"/>
    <col min="5123" max="5123" width="11.25" style="27" customWidth="1"/>
    <col min="5124" max="5124" width="12.5" style="27" customWidth="1"/>
    <col min="5125" max="5125" width="11.75" style="27" customWidth="1"/>
    <col min="5126" max="5126" width="11.25" style="27" customWidth="1"/>
    <col min="5127" max="5127" width="14.5" style="27" customWidth="1"/>
    <col min="5128" max="5130" width="11.25" style="27" customWidth="1"/>
    <col min="5131" max="5376" width="9" style="27"/>
    <col min="5377" max="5377" width="5.375" style="27" customWidth="1"/>
    <col min="5378" max="5378" width="31.625" style="27" customWidth="1"/>
    <col min="5379" max="5379" width="11.25" style="27" customWidth="1"/>
    <col min="5380" max="5380" width="12.5" style="27" customWidth="1"/>
    <col min="5381" max="5381" width="11.75" style="27" customWidth="1"/>
    <col min="5382" max="5382" width="11.25" style="27" customWidth="1"/>
    <col min="5383" max="5383" width="14.5" style="27" customWidth="1"/>
    <col min="5384" max="5386" width="11.25" style="27" customWidth="1"/>
    <col min="5387" max="5632" width="9" style="27"/>
    <col min="5633" max="5633" width="5.375" style="27" customWidth="1"/>
    <col min="5634" max="5634" width="31.625" style="27" customWidth="1"/>
    <col min="5635" max="5635" width="11.25" style="27" customWidth="1"/>
    <col min="5636" max="5636" width="12.5" style="27" customWidth="1"/>
    <col min="5637" max="5637" width="11.75" style="27" customWidth="1"/>
    <col min="5638" max="5638" width="11.25" style="27" customWidth="1"/>
    <col min="5639" max="5639" width="14.5" style="27" customWidth="1"/>
    <col min="5640" max="5642" width="11.25" style="27" customWidth="1"/>
    <col min="5643" max="5888" width="9" style="27"/>
    <col min="5889" max="5889" width="5.375" style="27" customWidth="1"/>
    <col min="5890" max="5890" width="31.625" style="27" customWidth="1"/>
    <col min="5891" max="5891" width="11.25" style="27" customWidth="1"/>
    <col min="5892" max="5892" width="12.5" style="27" customWidth="1"/>
    <col min="5893" max="5893" width="11.75" style="27" customWidth="1"/>
    <col min="5894" max="5894" width="11.25" style="27" customWidth="1"/>
    <col min="5895" max="5895" width="14.5" style="27" customWidth="1"/>
    <col min="5896" max="5898" width="11.25" style="27" customWidth="1"/>
    <col min="5899" max="6144" width="9" style="27"/>
    <col min="6145" max="6145" width="5.375" style="27" customWidth="1"/>
    <col min="6146" max="6146" width="31.625" style="27" customWidth="1"/>
    <col min="6147" max="6147" width="11.25" style="27" customWidth="1"/>
    <col min="6148" max="6148" width="12.5" style="27" customWidth="1"/>
    <col min="6149" max="6149" width="11.75" style="27" customWidth="1"/>
    <col min="6150" max="6150" width="11.25" style="27" customWidth="1"/>
    <col min="6151" max="6151" width="14.5" style="27" customWidth="1"/>
    <col min="6152" max="6154" width="11.25" style="27" customWidth="1"/>
    <col min="6155" max="6400" width="9" style="27"/>
    <col min="6401" max="6401" width="5.375" style="27" customWidth="1"/>
    <col min="6402" max="6402" width="31.625" style="27" customWidth="1"/>
    <col min="6403" max="6403" width="11.25" style="27" customWidth="1"/>
    <col min="6404" max="6404" width="12.5" style="27" customWidth="1"/>
    <col min="6405" max="6405" width="11.75" style="27" customWidth="1"/>
    <col min="6406" max="6406" width="11.25" style="27" customWidth="1"/>
    <col min="6407" max="6407" width="14.5" style="27" customWidth="1"/>
    <col min="6408" max="6410" width="11.25" style="27" customWidth="1"/>
    <col min="6411" max="6656" width="9" style="27"/>
    <col min="6657" max="6657" width="5.375" style="27" customWidth="1"/>
    <col min="6658" max="6658" width="31.625" style="27" customWidth="1"/>
    <col min="6659" max="6659" width="11.25" style="27" customWidth="1"/>
    <col min="6660" max="6660" width="12.5" style="27" customWidth="1"/>
    <col min="6661" max="6661" width="11.75" style="27" customWidth="1"/>
    <col min="6662" max="6662" width="11.25" style="27" customWidth="1"/>
    <col min="6663" max="6663" width="14.5" style="27" customWidth="1"/>
    <col min="6664" max="6666" width="11.25" style="27" customWidth="1"/>
    <col min="6667" max="6912" width="9" style="27"/>
    <col min="6913" max="6913" width="5.375" style="27" customWidth="1"/>
    <col min="6914" max="6914" width="31.625" style="27" customWidth="1"/>
    <col min="6915" max="6915" width="11.25" style="27" customWidth="1"/>
    <col min="6916" max="6916" width="12.5" style="27" customWidth="1"/>
    <col min="6917" max="6917" width="11.75" style="27" customWidth="1"/>
    <col min="6918" max="6918" width="11.25" style="27" customWidth="1"/>
    <col min="6919" max="6919" width="14.5" style="27" customWidth="1"/>
    <col min="6920" max="6922" width="11.25" style="27" customWidth="1"/>
    <col min="6923" max="7168" width="9" style="27"/>
    <col min="7169" max="7169" width="5.375" style="27" customWidth="1"/>
    <col min="7170" max="7170" width="31.625" style="27" customWidth="1"/>
    <col min="7171" max="7171" width="11.25" style="27" customWidth="1"/>
    <col min="7172" max="7172" width="12.5" style="27" customWidth="1"/>
    <col min="7173" max="7173" width="11.75" style="27" customWidth="1"/>
    <col min="7174" max="7174" width="11.25" style="27" customWidth="1"/>
    <col min="7175" max="7175" width="14.5" style="27" customWidth="1"/>
    <col min="7176" max="7178" width="11.25" style="27" customWidth="1"/>
    <col min="7179" max="7424" width="9" style="27"/>
    <col min="7425" max="7425" width="5.375" style="27" customWidth="1"/>
    <col min="7426" max="7426" width="31.625" style="27" customWidth="1"/>
    <col min="7427" max="7427" width="11.25" style="27" customWidth="1"/>
    <col min="7428" max="7428" width="12.5" style="27" customWidth="1"/>
    <col min="7429" max="7429" width="11.75" style="27" customWidth="1"/>
    <col min="7430" max="7430" width="11.25" style="27" customWidth="1"/>
    <col min="7431" max="7431" width="14.5" style="27" customWidth="1"/>
    <col min="7432" max="7434" width="11.25" style="27" customWidth="1"/>
    <col min="7435" max="7680" width="9" style="27"/>
    <col min="7681" max="7681" width="5.375" style="27" customWidth="1"/>
    <col min="7682" max="7682" width="31.625" style="27" customWidth="1"/>
    <col min="7683" max="7683" width="11.25" style="27" customWidth="1"/>
    <col min="7684" max="7684" width="12.5" style="27" customWidth="1"/>
    <col min="7685" max="7685" width="11.75" style="27" customWidth="1"/>
    <col min="7686" max="7686" width="11.25" style="27" customWidth="1"/>
    <col min="7687" max="7687" width="14.5" style="27" customWidth="1"/>
    <col min="7688" max="7690" width="11.25" style="27" customWidth="1"/>
    <col min="7691" max="7936" width="9" style="27"/>
    <col min="7937" max="7937" width="5.375" style="27" customWidth="1"/>
    <col min="7938" max="7938" width="31.625" style="27" customWidth="1"/>
    <col min="7939" max="7939" width="11.25" style="27" customWidth="1"/>
    <col min="7940" max="7940" width="12.5" style="27" customWidth="1"/>
    <col min="7941" max="7941" width="11.75" style="27" customWidth="1"/>
    <col min="7942" max="7942" width="11.25" style="27" customWidth="1"/>
    <col min="7943" max="7943" width="14.5" style="27" customWidth="1"/>
    <col min="7944" max="7946" width="11.25" style="27" customWidth="1"/>
    <col min="7947" max="8192" width="9" style="27"/>
    <col min="8193" max="8193" width="5.375" style="27" customWidth="1"/>
    <col min="8194" max="8194" width="31.625" style="27" customWidth="1"/>
    <col min="8195" max="8195" width="11.25" style="27" customWidth="1"/>
    <col min="8196" max="8196" width="12.5" style="27" customWidth="1"/>
    <col min="8197" max="8197" width="11.75" style="27" customWidth="1"/>
    <col min="8198" max="8198" width="11.25" style="27" customWidth="1"/>
    <col min="8199" max="8199" width="14.5" style="27" customWidth="1"/>
    <col min="8200" max="8202" width="11.25" style="27" customWidth="1"/>
    <col min="8203" max="8448" width="9" style="27"/>
    <col min="8449" max="8449" width="5.375" style="27" customWidth="1"/>
    <col min="8450" max="8450" width="31.625" style="27" customWidth="1"/>
    <col min="8451" max="8451" width="11.25" style="27" customWidth="1"/>
    <col min="8452" max="8452" width="12.5" style="27" customWidth="1"/>
    <col min="8453" max="8453" width="11.75" style="27" customWidth="1"/>
    <col min="8454" max="8454" width="11.25" style="27" customWidth="1"/>
    <col min="8455" max="8455" width="14.5" style="27" customWidth="1"/>
    <col min="8456" max="8458" width="11.25" style="27" customWidth="1"/>
    <col min="8459" max="8704" width="9" style="27"/>
    <col min="8705" max="8705" width="5.375" style="27" customWidth="1"/>
    <col min="8706" max="8706" width="31.625" style="27" customWidth="1"/>
    <col min="8707" max="8707" width="11.25" style="27" customWidth="1"/>
    <col min="8708" max="8708" width="12.5" style="27" customWidth="1"/>
    <col min="8709" max="8709" width="11.75" style="27" customWidth="1"/>
    <col min="8710" max="8710" width="11.25" style="27" customWidth="1"/>
    <col min="8711" max="8711" width="14.5" style="27" customWidth="1"/>
    <col min="8712" max="8714" width="11.25" style="27" customWidth="1"/>
    <col min="8715" max="8960" width="9" style="27"/>
    <col min="8961" max="8961" width="5.375" style="27" customWidth="1"/>
    <col min="8962" max="8962" width="31.625" style="27" customWidth="1"/>
    <col min="8963" max="8963" width="11.25" style="27" customWidth="1"/>
    <col min="8964" max="8964" width="12.5" style="27" customWidth="1"/>
    <col min="8965" max="8965" width="11.75" style="27" customWidth="1"/>
    <col min="8966" max="8966" width="11.25" style="27" customWidth="1"/>
    <col min="8967" max="8967" width="14.5" style="27" customWidth="1"/>
    <col min="8968" max="8970" width="11.25" style="27" customWidth="1"/>
    <col min="8971" max="9216" width="9" style="27"/>
    <col min="9217" max="9217" width="5.375" style="27" customWidth="1"/>
    <col min="9218" max="9218" width="31.625" style="27" customWidth="1"/>
    <col min="9219" max="9219" width="11.25" style="27" customWidth="1"/>
    <col min="9220" max="9220" width="12.5" style="27" customWidth="1"/>
    <col min="9221" max="9221" width="11.75" style="27" customWidth="1"/>
    <col min="9222" max="9222" width="11.25" style="27" customWidth="1"/>
    <col min="9223" max="9223" width="14.5" style="27" customWidth="1"/>
    <col min="9224" max="9226" width="11.25" style="27" customWidth="1"/>
    <col min="9227" max="9472" width="9" style="27"/>
    <col min="9473" max="9473" width="5.375" style="27" customWidth="1"/>
    <col min="9474" max="9474" width="31.625" style="27" customWidth="1"/>
    <col min="9475" max="9475" width="11.25" style="27" customWidth="1"/>
    <col min="9476" max="9476" width="12.5" style="27" customWidth="1"/>
    <col min="9477" max="9477" width="11.75" style="27" customWidth="1"/>
    <col min="9478" max="9478" width="11.25" style="27" customWidth="1"/>
    <col min="9479" max="9479" width="14.5" style="27" customWidth="1"/>
    <col min="9480" max="9482" width="11.25" style="27" customWidth="1"/>
    <col min="9483" max="9728" width="9" style="27"/>
    <col min="9729" max="9729" width="5.375" style="27" customWidth="1"/>
    <col min="9730" max="9730" width="31.625" style="27" customWidth="1"/>
    <col min="9731" max="9731" width="11.25" style="27" customWidth="1"/>
    <col min="9732" max="9732" width="12.5" style="27" customWidth="1"/>
    <col min="9733" max="9733" width="11.75" style="27" customWidth="1"/>
    <col min="9734" max="9734" width="11.25" style="27" customWidth="1"/>
    <col min="9735" max="9735" width="14.5" style="27" customWidth="1"/>
    <col min="9736" max="9738" width="11.25" style="27" customWidth="1"/>
    <col min="9739" max="9984" width="9" style="27"/>
    <col min="9985" max="9985" width="5.375" style="27" customWidth="1"/>
    <col min="9986" max="9986" width="31.625" style="27" customWidth="1"/>
    <col min="9987" max="9987" width="11.25" style="27" customWidth="1"/>
    <col min="9988" max="9988" width="12.5" style="27" customWidth="1"/>
    <col min="9989" max="9989" width="11.75" style="27" customWidth="1"/>
    <col min="9990" max="9990" width="11.25" style="27" customWidth="1"/>
    <col min="9991" max="9991" width="14.5" style="27" customWidth="1"/>
    <col min="9992" max="9994" width="11.25" style="27" customWidth="1"/>
    <col min="9995" max="10240" width="9" style="27"/>
    <col min="10241" max="10241" width="5.375" style="27" customWidth="1"/>
    <col min="10242" max="10242" width="31.625" style="27" customWidth="1"/>
    <col min="10243" max="10243" width="11.25" style="27" customWidth="1"/>
    <col min="10244" max="10244" width="12.5" style="27" customWidth="1"/>
    <col min="10245" max="10245" width="11.75" style="27" customWidth="1"/>
    <col min="10246" max="10246" width="11.25" style="27" customWidth="1"/>
    <col min="10247" max="10247" width="14.5" style="27" customWidth="1"/>
    <col min="10248" max="10250" width="11.25" style="27" customWidth="1"/>
    <col min="10251" max="10496" width="9" style="27"/>
    <col min="10497" max="10497" width="5.375" style="27" customWidth="1"/>
    <col min="10498" max="10498" width="31.625" style="27" customWidth="1"/>
    <col min="10499" max="10499" width="11.25" style="27" customWidth="1"/>
    <col min="10500" max="10500" width="12.5" style="27" customWidth="1"/>
    <col min="10501" max="10501" width="11.75" style="27" customWidth="1"/>
    <col min="10502" max="10502" width="11.25" style="27" customWidth="1"/>
    <col min="10503" max="10503" width="14.5" style="27" customWidth="1"/>
    <col min="10504" max="10506" width="11.25" style="27" customWidth="1"/>
    <col min="10507" max="10752" width="9" style="27"/>
    <col min="10753" max="10753" width="5.375" style="27" customWidth="1"/>
    <col min="10754" max="10754" width="31.625" style="27" customWidth="1"/>
    <col min="10755" max="10755" width="11.25" style="27" customWidth="1"/>
    <col min="10756" max="10756" width="12.5" style="27" customWidth="1"/>
    <col min="10757" max="10757" width="11.75" style="27" customWidth="1"/>
    <col min="10758" max="10758" width="11.25" style="27" customWidth="1"/>
    <col min="10759" max="10759" width="14.5" style="27" customWidth="1"/>
    <col min="10760" max="10762" width="11.25" style="27" customWidth="1"/>
    <col min="10763" max="11008" width="9" style="27"/>
    <col min="11009" max="11009" width="5.375" style="27" customWidth="1"/>
    <col min="11010" max="11010" width="31.625" style="27" customWidth="1"/>
    <col min="11011" max="11011" width="11.25" style="27" customWidth="1"/>
    <col min="11012" max="11012" width="12.5" style="27" customWidth="1"/>
    <col min="11013" max="11013" width="11.75" style="27" customWidth="1"/>
    <col min="11014" max="11014" width="11.25" style="27" customWidth="1"/>
    <col min="11015" max="11015" width="14.5" style="27" customWidth="1"/>
    <col min="11016" max="11018" width="11.25" style="27" customWidth="1"/>
    <col min="11019" max="11264" width="9" style="27"/>
    <col min="11265" max="11265" width="5.375" style="27" customWidth="1"/>
    <col min="11266" max="11266" width="31.625" style="27" customWidth="1"/>
    <col min="11267" max="11267" width="11.25" style="27" customWidth="1"/>
    <col min="11268" max="11268" width="12.5" style="27" customWidth="1"/>
    <col min="11269" max="11269" width="11.75" style="27" customWidth="1"/>
    <col min="11270" max="11270" width="11.25" style="27" customWidth="1"/>
    <col min="11271" max="11271" width="14.5" style="27" customWidth="1"/>
    <col min="11272" max="11274" width="11.25" style="27" customWidth="1"/>
    <col min="11275" max="11520" width="9" style="27"/>
    <col min="11521" max="11521" width="5.375" style="27" customWidth="1"/>
    <col min="11522" max="11522" width="31.625" style="27" customWidth="1"/>
    <col min="11523" max="11523" width="11.25" style="27" customWidth="1"/>
    <col min="11524" max="11524" width="12.5" style="27" customWidth="1"/>
    <col min="11525" max="11525" width="11.75" style="27" customWidth="1"/>
    <col min="11526" max="11526" width="11.25" style="27" customWidth="1"/>
    <col min="11527" max="11527" width="14.5" style="27" customWidth="1"/>
    <col min="11528" max="11530" width="11.25" style="27" customWidth="1"/>
    <col min="11531" max="11776" width="9" style="27"/>
    <col min="11777" max="11777" width="5.375" style="27" customWidth="1"/>
    <col min="11778" max="11778" width="31.625" style="27" customWidth="1"/>
    <col min="11779" max="11779" width="11.25" style="27" customWidth="1"/>
    <col min="11780" max="11780" width="12.5" style="27" customWidth="1"/>
    <col min="11781" max="11781" width="11.75" style="27" customWidth="1"/>
    <col min="11782" max="11782" width="11.25" style="27" customWidth="1"/>
    <col min="11783" max="11783" width="14.5" style="27" customWidth="1"/>
    <col min="11784" max="11786" width="11.25" style="27" customWidth="1"/>
    <col min="11787" max="12032" width="9" style="27"/>
    <col min="12033" max="12033" width="5.375" style="27" customWidth="1"/>
    <col min="12034" max="12034" width="31.625" style="27" customWidth="1"/>
    <col min="12035" max="12035" width="11.25" style="27" customWidth="1"/>
    <col min="12036" max="12036" width="12.5" style="27" customWidth="1"/>
    <col min="12037" max="12037" width="11.75" style="27" customWidth="1"/>
    <col min="12038" max="12038" width="11.25" style="27" customWidth="1"/>
    <col min="12039" max="12039" width="14.5" style="27" customWidth="1"/>
    <col min="12040" max="12042" width="11.25" style="27" customWidth="1"/>
    <col min="12043" max="12288" width="9" style="27"/>
    <col min="12289" max="12289" width="5.375" style="27" customWidth="1"/>
    <col min="12290" max="12290" width="31.625" style="27" customWidth="1"/>
    <col min="12291" max="12291" width="11.25" style="27" customWidth="1"/>
    <col min="12292" max="12292" width="12.5" style="27" customWidth="1"/>
    <col min="12293" max="12293" width="11.75" style="27" customWidth="1"/>
    <col min="12294" max="12294" width="11.25" style="27" customWidth="1"/>
    <col min="12295" max="12295" width="14.5" style="27" customWidth="1"/>
    <col min="12296" max="12298" width="11.25" style="27" customWidth="1"/>
    <col min="12299" max="12544" width="9" style="27"/>
    <col min="12545" max="12545" width="5.375" style="27" customWidth="1"/>
    <col min="12546" max="12546" width="31.625" style="27" customWidth="1"/>
    <col min="12547" max="12547" width="11.25" style="27" customWidth="1"/>
    <col min="12548" max="12548" width="12.5" style="27" customWidth="1"/>
    <col min="12549" max="12549" width="11.75" style="27" customWidth="1"/>
    <col min="12550" max="12550" width="11.25" style="27" customWidth="1"/>
    <col min="12551" max="12551" width="14.5" style="27" customWidth="1"/>
    <col min="12552" max="12554" width="11.25" style="27" customWidth="1"/>
    <col min="12555" max="12800" width="9" style="27"/>
    <col min="12801" max="12801" width="5.375" style="27" customWidth="1"/>
    <col min="12802" max="12802" width="31.625" style="27" customWidth="1"/>
    <col min="12803" max="12803" width="11.25" style="27" customWidth="1"/>
    <col min="12804" max="12804" width="12.5" style="27" customWidth="1"/>
    <col min="12805" max="12805" width="11.75" style="27" customWidth="1"/>
    <col min="12806" max="12806" width="11.25" style="27" customWidth="1"/>
    <col min="12807" max="12807" width="14.5" style="27" customWidth="1"/>
    <col min="12808" max="12810" width="11.25" style="27" customWidth="1"/>
    <col min="12811" max="13056" width="9" style="27"/>
    <col min="13057" max="13057" width="5.375" style="27" customWidth="1"/>
    <col min="13058" max="13058" width="31.625" style="27" customWidth="1"/>
    <col min="13059" max="13059" width="11.25" style="27" customWidth="1"/>
    <col min="13060" max="13060" width="12.5" style="27" customWidth="1"/>
    <col min="13061" max="13061" width="11.75" style="27" customWidth="1"/>
    <col min="13062" max="13062" width="11.25" style="27" customWidth="1"/>
    <col min="13063" max="13063" width="14.5" style="27" customWidth="1"/>
    <col min="13064" max="13066" width="11.25" style="27" customWidth="1"/>
    <col min="13067" max="13312" width="9" style="27"/>
    <col min="13313" max="13313" width="5.375" style="27" customWidth="1"/>
    <col min="13314" max="13314" width="31.625" style="27" customWidth="1"/>
    <col min="13315" max="13315" width="11.25" style="27" customWidth="1"/>
    <col min="13316" max="13316" width="12.5" style="27" customWidth="1"/>
    <col min="13317" max="13317" width="11.75" style="27" customWidth="1"/>
    <col min="13318" max="13318" width="11.25" style="27" customWidth="1"/>
    <col min="13319" max="13319" width="14.5" style="27" customWidth="1"/>
    <col min="13320" max="13322" width="11.25" style="27" customWidth="1"/>
    <col min="13323" max="13568" width="9" style="27"/>
    <col min="13569" max="13569" width="5.375" style="27" customWidth="1"/>
    <col min="13570" max="13570" width="31.625" style="27" customWidth="1"/>
    <col min="13571" max="13571" width="11.25" style="27" customWidth="1"/>
    <col min="13572" max="13572" width="12.5" style="27" customWidth="1"/>
    <col min="13573" max="13573" width="11.75" style="27" customWidth="1"/>
    <col min="13574" max="13574" width="11.25" style="27" customWidth="1"/>
    <col min="13575" max="13575" width="14.5" style="27" customWidth="1"/>
    <col min="13576" max="13578" width="11.25" style="27" customWidth="1"/>
    <col min="13579" max="13824" width="9" style="27"/>
    <col min="13825" max="13825" width="5.375" style="27" customWidth="1"/>
    <col min="13826" max="13826" width="31.625" style="27" customWidth="1"/>
    <col min="13827" max="13827" width="11.25" style="27" customWidth="1"/>
    <col min="13828" max="13828" width="12.5" style="27" customWidth="1"/>
    <col min="13829" max="13829" width="11.75" style="27" customWidth="1"/>
    <col min="13830" max="13830" width="11.25" style="27" customWidth="1"/>
    <col min="13831" max="13831" width="14.5" style="27" customWidth="1"/>
    <col min="13832" max="13834" width="11.25" style="27" customWidth="1"/>
    <col min="13835" max="14080" width="9" style="27"/>
    <col min="14081" max="14081" width="5.375" style="27" customWidth="1"/>
    <col min="14082" max="14082" width="31.625" style="27" customWidth="1"/>
    <col min="14083" max="14083" width="11.25" style="27" customWidth="1"/>
    <col min="14084" max="14084" width="12.5" style="27" customWidth="1"/>
    <col min="14085" max="14085" width="11.75" style="27" customWidth="1"/>
    <col min="14086" max="14086" width="11.25" style="27" customWidth="1"/>
    <col min="14087" max="14087" width="14.5" style="27" customWidth="1"/>
    <col min="14088" max="14090" width="11.25" style="27" customWidth="1"/>
    <col min="14091" max="14336" width="9" style="27"/>
    <col min="14337" max="14337" width="5.375" style="27" customWidth="1"/>
    <col min="14338" max="14338" width="31.625" style="27" customWidth="1"/>
    <col min="14339" max="14339" width="11.25" style="27" customWidth="1"/>
    <col min="14340" max="14340" width="12.5" style="27" customWidth="1"/>
    <col min="14341" max="14341" width="11.75" style="27" customWidth="1"/>
    <col min="14342" max="14342" width="11.25" style="27" customWidth="1"/>
    <col min="14343" max="14343" width="14.5" style="27" customWidth="1"/>
    <col min="14344" max="14346" width="11.25" style="27" customWidth="1"/>
    <col min="14347" max="14592" width="9" style="27"/>
    <col min="14593" max="14593" width="5.375" style="27" customWidth="1"/>
    <col min="14594" max="14594" width="31.625" style="27" customWidth="1"/>
    <col min="14595" max="14595" width="11.25" style="27" customWidth="1"/>
    <col min="14596" max="14596" width="12.5" style="27" customWidth="1"/>
    <col min="14597" max="14597" width="11.75" style="27" customWidth="1"/>
    <col min="14598" max="14598" width="11.25" style="27" customWidth="1"/>
    <col min="14599" max="14599" width="14.5" style="27" customWidth="1"/>
    <col min="14600" max="14602" width="11.25" style="27" customWidth="1"/>
    <col min="14603" max="14848" width="9" style="27"/>
    <col min="14849" max="14849" width="5.375" style="27" customWidth="1"/>
    <col min="14850" max="14850" width="31.625" style="27" customWidth="1"/>
    <col min="14851" max="14851" width="11.25" style="27" customWidth="1"/>
    <col min="14852" max="14852" width="12.5" style="27" customWidth="1"/>
    <col min="14853" max="14853" width="11.75" style="27" customWidth="1"/>
    <col min="14854" max="14854" width="11.25" style="27" customWidth="1"/>
    <col min="14855" max="14855" width="14.5" style="27" customWidth="1"/>
    <col min="14856" max="14858" width="11.25" style="27" customWidth="1"/>
    <col min="14859" max="15104" width="9" style="27"/>
    <col min="15105" max="15105" width="5.375" style="27" customWidth="1"/>
    <col min="15106" max="15106" width="31.625" style="27" customWidth="1"/>
    <col min="15107" max="15107" width="11.25" style="27" customWidth="1"/>
    <col min="15108" max="15108" width="12.5" style="27" customWidth="1"/>
    <col min="15109" max="15109" width="11.75" style="27" customWidth="1"/>
    <col min="15110" max="15110" width="11.25" style="27" customWidth="1"/>
    <col min="15111" max="15111" width="14.5" style="27" customWidth="1"/>
    <col min="15112" max="15114" width="11.25" style="27" customWidth="1"/>
    <col min="15115" max="15360" width="9" style="27"/>
    <col min="15361" max="15361" width="5.375" style="27" customWidth="1"/>
    <col min="15362" max="15362" width="31.625" style="27" customWidth="1"/>
    <col min="15363" max="15363" width="11.25" style="27" customWidth="1"/>
    <col min="15364" max="15364" width="12.5" style="27" customWidth="1"/>
    <col min="15365" max="15365" width="11.75" style="27" customWidth="1"/>
    <col min="15366" max="15366" width="11.25" style="27" customWidth="1"/>
    <col min="15367" max="15367" width="14.5" style="27" customWidth="1"/>
    <col min="15368" max="15370" width="11.25" style="27" customWidth="1"/>
    <col min="15371" max="15616" width="9" style="27"/>
    <col min="15617" max="15617" width="5.375" style="27" customWidth="1"/>
    <col min="15618" max="15618" width="31.625" style="27" customWidth="1"/>
    <col min="15619" max="15619" width="11.25" style="27" customWidth="1"/>
    <col min="15620" max="15620" width="12.5" style="27" customWidth="1"/>
    <col min="15621" max="15621" width="11.75" style="27" customWidth="1"/>
    <col min="15622" max="15622" width="11.25" style="27" customWidth="1"/>
    <col min="15623" max="15623" width="14.5" style="27" customWidth="1"/>
    <col min="15624" max="15626" width="11.25" style="27" customWidth="1"/>
    <col min="15627" max="15872" width="9" style="27"/>
    <col min="15873" max="15873" width="5.375" style="27" customWidth="1"/>
    <col min="15874" max="15874" width="31.625" style="27" customWidth="1"/>
    <col min="15875" max="15875" width="11.25" style="27" customWidth="1"/>
    <col min="15876" max="15876" width="12.5" style="27" customWidth="1"/>
    <col min="15877" max="15877" width="11.75" style="27" customWidth="1"/>
    <col min="15878" max="15878" width="11.25" style="27" customWidth="1"/>
    <col min="15879" max="15879" width="14.5" style="27" customWidth="1"/>
    <col min="15880" max="15882" width="11.25" style="27" customWidth="1"/>
    <col min="15883" max="16128" width="9" style="27"/>
    <col min="16129" max="16129" width="5.375" style="27" customWidth="1"/>
    <col min="16130" max="16130" width="31.625" style="27" customWidth="1"/>
    <col min="16131" max="16131" width="11.25" style="27" customWidth="1"/>
    <col min="16132" max="16132" width="12.5" style="27" customWidth="1"/>
    <col min="16133" max="16133" width="11.75" style="27" customWidth="1"/>
    <col min="16134" max="16134" width="11.25" style="27" customWidth="1"/>
    <col min="16135" max="16135" width="14.5" style="27" customWidth="1"/>
    <col min="16136" max="16138" width="11.25" style="27" customWidth="1"/>
    <col min="16139" max="16384" width="9" style="27"/>
  </cols>
  <sheetData>
    <row r="1" spans="1:10" ht="15" customHeight="1">
      <c r="B1" s="25" t="s">
        <v>29</v>
      </c>
      <c r="C1" s="26" t="s">
        <v>30</v>
      </c>
    </row>
    <row r="2" spans="1:10" ht="15" customHeight="1">
      <c r="A2" s="586" t="s">
        <v>348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s="35" customFormat="1" ht="15" customHeight="1">
      <c r="A3" s="28" t="s">
        <v>32</v>
      </c>
      <c r="B3" s="29" t="s">
        <v>33</v>
      </c>
      <c r="C3" s="30">
        <f>C4+C16</f>
        <v>9741</v>
      </c>
      <c r="D3" s="31" t="s">
        <v>34</v>
      </c>
      <c r="E3" s="32"/>
      <c r="F3" s="33"/>
      <c r="G3" s="34"/>
      <c r="H3" s="34"/>
      <c r="I3" s="34"/>
      <c r="J3" s="34"/>
    </row>
    <row r="4" spans="1:10" ht="15" customHeight="1">
      <c r="A4" s="342" t="s">
        <v>35</v>
      </c>
      <c r="B4" s="37" t="s">
        <v>33</v>
      </c>
      <c r="C4" s="340">
        <v>9740</v>
      </c>
      <c r="D4" s="39" t="s">
        <v>36</v>
      </c>
      <c r="E4" s="40"/>
      <c r="F4" s="40"/>
      <c r="G4" s="333" t="s">
        <v>279</v>
      </c>
      <c r="H4" s="41"/>
      <c r="I4" s="41"/>
      <c r="J4" s="41"/>
    </row>
    <row r="5" spans="1:10" ht="15" customHeight="1">
      <c r="A5" s="583" t="s">
        <v>37</v>
      </c>
      <c r="B5" s="42" t="s">
        <v>38</v>
      </c>
      <c r="C5" s="345" t="e">
        <f>ROUND(C4*(1+(1.6*E6+1.2*E7+0.8*E8+0.4*E10)*C7),0)</f>
        <v>#DIV/0!</v>
      </c>
      <c r="D5" s="44"/>
      <c r="E5" s="345"/>
      <c r="F5" s="345"/>
      <c r="G5" s="44"/>
      <c r="H5" s="44"/>
      <c r="I5" s="44"/>
      <c r="J5" s="44"/>
    </row>
    <row r="6" spans="1:10" ht="30.75" customHeight="1">
      <c r="A6" s="584"/>
      <c r="B6" s="342" t="s">
        <v>39</v>
      </c>
      <c r="C6" s="38"/>
      <c r="D6" s="342" t="s">
        <v>40</v>
      </c>
      <c r="E6" s="45" t="e">
        <f>ROUND(C9/C10,4)</f>
        <v>#DIV/0!</v>
      </c>
      <c r="F6" s="46" t="s">
        <v>41</v>
      </c>
      <c r="G6" s="41"/>
      <c r="H6" s="41"/>
      <c r="I6" s="41"/>
      <c r="J6" s="41"/>
    </row>
    <row r="7" spans="1:10" ht="15" customHeight="1">
      <c r="A7" s="584"/>
      <c r="B7" s="342" t="s">
        <v>42</v>
      </c>
      <c r="C7" s="47">
        <v>0</v>
      </c>
      <c r="D7" s="342" t="s">
        <v>43</v>
      </c>
      <c r="E7" s="45" t="e">
        <f>ROUND(C9/C10,4)</f>
        <v>#DIV/0!</v>
      </c>
      <c r="F7" s="46" t="s">
        <v>44</v>
      </c>
      <c r="G7" s="41"/>
      <c r="H7" s="41"/>
      <c r="I7" s="41"/>
      <c r="J7" s="41"/>
    </row>
    <row r="8" spans="1:10" ht="15" customHeight="1">
      <c r="A8" s="584"/>
      <c r="B8" s="342" t="s">
        <v>45</v>
      </c>
      <c r="C8" s="38">
        <v>0</v>
      </c>
      <c r="D8" s="342" t="s">
        <v>46</v>
      </c>
      <c r="E8" s="45" t="e">
        <f>ROUND(C9/C10,4)</f>
        <v>#DIV/0!</v>
      </c>
      <c r="F8" s="46" t="s">
        <v>47</v>
      </c>
      <c r="G8" s="41"/>
      <c r="H8" s="41"/>
      <c r="I8" s="41"/>
      <c r="J8" s="41"/>
    </row>
    <row r="9" spans="1:10" ht="15" customHeight="1">
      <c r="A9" s="584"/>
      <c r="B9" s="342" t="s">
        <v>48</v>
      </c>
      <c r="C9" s="45">
        <v>0</v>
      </c>
      <c r="D9" s="342" t="s">
        <v>49</v>
      </c>
      <c r="E9" s="45" t="e">
        <f>ROUND(C9/C10,4)</f>
        <v>#DIV/0!</v>
      </c>
      <c r="F9" s="46" t="s">
        <v>50</v>
      </c>
      <c r="G9" s="41"/>
      <c r="H9" s="41"/>
      <c r="I9" s="41"/>
      <c r="J9" s="41"/>
    </row>
    <row r="10" spans="1:10" ht="15" customHeight="1">
      <c r="A10" s="585"/>
      <c r="B10" s="342" t="s">
        <v>51</v>
      </c>
      <c r="C10" s="38">
        <v>0</v>
      </c>
      <c r="E10" s="48"/>
      <c r="G10" s="41"/>
      <c r="H10" s="41"/>
      <c r="I10" s="41"/>
      <c r="J10" s="41"/>
    </row>
    <row r="11" spans="1:10" ht="15" customHeight="1" thickBot="1">
      <c r="A11" s="583" t="s">
        <v>37</v>
      </c>
      <c r="B11" s="42" t="s">
        <v>52</v>
      </c>
      <c r="C11" s="49"/>
      <c r="D11" s="39" t="s">
        <v>53</v>
      </c>
      <c r="E11" s="343"/>
      <c r="F11" s="343"/>
      <c r="G11" s="51"/>
      <c r="H11" s="51"/>
      <c r="I11" s="51"/>
      <c r="J11" s="51"/>
    </row>
    <row r="12" spans="1:10" ht="15" customHeight="1">
      <c r="A12" s="589"/>
      <c r="B12" s="52" t="s">
        <v>54</v>
      </c>
      <c r="C12" s="53" t="s">
        <v>55</v>
      </c>
      <c r="D12" s="54" t="s">
        <v>56</v>
      </c>
      <c r="E12" s="54" t="s">
        <v>57</v>
      </c>
      <c r="F12" s="54" t="s">
        <v>58</v>
      </c>
      <c r="G12" s="55" t="s">
        <v>59</v>
      </c>
      <c r="H12" s="56" t="s">
        <v>60</v>
      </c>
      <c r="I12" s="57"/>
      <c r="J12" s="58"/>
    </row>
    <row r="13" spans="1:10" ht="15" customHeight="1">
      <c r="A13" s="589"/>
      <c r="B13" s="52" t="s">
        <v>61</v>
      </c>
      <c r="C13" s="59">
        <v>0.1</v>
      </c>
      <c r="D13" s="60">
        <v>0.1</v>
      </c>
      <c r="E13" s="60">
        <v>0.1</v>
      </c>
      <c r="F13" s="60">
        <v>0.2</v>
      </c>
      <c r="G13" s="61">
        <v>0.1</v>
      </c>
      <c r="H13" s="62"/>
      <c r="I13" s="38"/>
      <c r="J13" s="63"/>
    </row>
    <row r="14" spans="1:10" ht="15" customHeight="1">
      <c r="A14" s="589"/>
      <c r="B14" s="52" t="s">
        <v>62</v>
      </c>
      <c r="C14" s="62">
        <v>1</v>
      </c>
      <c r="D14" s="38">
        <v>1</v>
      </c>
      <c r="E14" s="38">
        <v>1</v>
      </c>
      <c r="F14" s="38">
        <v>1</v>
      </c>
      <c r="G14" s="63">
        <v>1</v>
      </c>
      <c r="H14" s="62">
        <v>1</v>
      </c>
      <c r="I14" s="38">
        <v>1</v>
      </c>
      <c r="J14" s="63">
        <v>1</v>
      </c>
    </row>
    <row r="15" spans="1:10" ht="15" customHeight="1" thickBot="1">
      <c r="A15" s="590"/>
      <c r="B15" s="64"/>
      <c r="C15" s="591" t="s">
        <v>63</v>
      </c>
      <c r="D15" s="592"/>
      <c r="E15" s="592"/>
      <c r="F15" s="592"/>
      <c r="G15" s="593"/>
      <c r="H15" s="594" t="s">
        <v>64</v>
      </c>
      <c r="I15" s="595"/>
      <c r="J15" s="596"/>
    </row>
    <row r="16" spans="1:10" ht="15" customHeight="1">
      <c r="A16" s="583" t="s">
        <v>65</v>
      </c>
      <c r="B16" s="42" t="s">
        <v>66</v>
      </c>
      <c r="C16" s="38">
        <v>1</v>
      </c>
      <c r="D16" s="39" t="s">
        <v>67</v>
      </c>
      <c r="E16" s="342"/>
      <c r="F16" s="342"/>
      <c r="G16" s="41"/>
      <c r="H16" s="41"/>
      <c r="I16" s="41"/>
      <c r="J16" s="41"/>
    </row>
    <row r="17" spans="1:12" ht="15" customHeight="1" thickBot="1">
      <c r="A17" s="584"/>
      <c r="B17" s="65" t="s">
        <v>68</v>
      </c>
      <c r="C17" s="66" t="s">
        <v>69</v>
      </c>
      <c r="D17" s="67"/>
      <c r="E17" s="65" t="s">
        <v>70</v>
      </c>
      <c r="F17" s="66" t="s">
        <v>314</v>
      </c>
      <c r="G17" s="65" t="s">
        <v>71</v>
      </c>
      <c r="H17" s="66">
        <v>2</v>
      </c>
      <c r="I17" s="51"/>
      <c r="J17" s="51"/>
    </row>
    <row r="18" spans="1:12" ht="15" customHeight="1">
      <c r="A18" s="584"/>
      <c r="B18" s="68" t="s">
        <v>72</v>
      </c>
      <c r="C18" s="53" t="s">
        <v>73</v>
      </c>
      <c r="D18" s="54" t="s">
        <v>74</v>
      </c>
      <c r="E18" s="54" t="s">
        <v>75</v>
      </c>
      <c r="F18" s="54" t="s">
        <v>76</v>
      </c>
      <c r="G18" s="54" t="s">
        <v>77</v>
      </c>
      <c r="H18" s="54" t="s">
        <v>78</v>
      </c>
      <c r="I18" s="54" t="s">
        <v>79</v>
      </c>
      <c r="J18" s="55" t="s">
        <v>80</v>
      </c>
    </row>
    <row r="19" spans="1:12" ht="15" customHeight="1">
      <c r="A19" s="584"/>
      <c r="B19" s="52" t="s">
        <v>81</v>
      </c>
      <c r="C19" s="69">
        <v>80</v>
      </c>
      <c r="D19" s="70">
        <v>70</v>
      </c>
      <c r="E19" s="70">
        <v>20</v>
      </c>
      <c r="F19" s="70">
        <v>30</v>
      </c>
      <c r="G19" s="70">
        <v>45</v>
      </c>
      <c r="H19" s="70">
        <v>60</v>
      </c>
      <c r="I19" s="70">
        <v>50</v>
      </c>
      <c r="J19" s="71">
        <v>20</v>
      </c>
    </row>
    <row r="20" spans="1:12" ht="15" customHeight="1">
      <c r="A20" s="584"/>
      <c r="B20" s="52" t="s">
        <v>82</v>
      </c>
      <c r="C20" s="69">
        <v>65</v>
      </c>
      <c r="D20" s="70">
        <v>55</v>
      </c>
      <c r="E20" s="70">
        <v>15</v>
      </c>
      <c r="F20" s="70">
        <v>25</v>
      </c>
      <c r="G20" s="70">
        <v>35</v>
      </c>
      <c r="H20" s="70">
        <v>50</v>
      </c>
      <c r="I20" s="70">
        <v>40</v>
      </c>
      <c r="J20" s="71">
        <v>15</v>
      </c>
    </row>
    <row r="21" spans="1:12" ht="15" customHeight="1" thickBot="1">
      <c r="A21" s="585"/>
      <c r="B21" s="52" t="s">
        <v>83</v>
      </c>
      <c r="C21" s="72">
        <v>50</v>
      </c>
      <c r="D21" s="73">
        <v>40</v>
      </c>
      <c r="E21" s="73">
        <v>10</v>
      </c>
      <c r="F21" s="73">
        <v>20</v>
      </c>
      <c r="G21" s="73">
        <v>25</v>
      </c>
      <c r="H21" s="73">
        <v>40</v>
      </c>
      <c r="I21" s="73">
        <v>30</v>
      </c>
      <c r="J21" s="74">
        <v>10</v>
      </c>
    </row>
    <row r="22" spans="1:12" s="35" customFormat="1" ht="15" customHeight="1">
      <c r="A22" s="28" t="s">
        <v>84</v>
      </c>
      <c r="B22" s="29" t="s">
        <v>85</v>
      </c>
      <c r="C22" s="75">
        <v>1</v>
      </c>
      <c r="D22" s="39" t="s">
        <v>86</v>
      </c>
      <c r="E22" s="76"/>
      <c r="F22" s="76"/>
      <c r="G22" s="34"/>
      <c r="H22" s="34"/>
      <c r="I22" s="34"/>
      <c r="J22" s="34"/>
    </row>
    <row r="23" spans="1:12" ht="15" customHeight="1">
      <c r="A23" s="40"/>
      <c r="B23" s="39" t="s">
        <v>87</v>
      </c>
      <c r="C23" s="77" t="s">
        <v>349</v>
      </c>
      <c r="E23" s="40"/>
      <c r="F23" s="40"/>
      <c r="G23" s="41"/>
      <c r="H23" s="41"/>
      <c r="I23" s="41"/>
      <c r="J23" s="41"/>
    </row>
    <row r="24" spans="1:12" s="35" customFormat="1" ht="15" customHeight="1">
      <c r="A24" s="28" t="s">
        <v>89</v>
      </c>
      <c r="B24" s="29" t="s">
        <v>90</v>
      </c>
      <c r="C24" s="341">
        <f>地价水平!H36</f>
        <v>1.2928999999999999</v>
      </c>
      <c r="D24" s="34"/>
      <c r="E24" s="34"/>
      <c r="F24" s="34"/>
      <c r="G24" s="34"/>
      <c r="H24" s="34"/>
      <c r="I24" s="34"/>
      <c r="J24" s="34"/>
    </row>
    <row r="25" spans="1:12" ht="15" customHeight="1">
      <c r="A25" s="79"/>
      <c r="B25" s="342" t="s">
        <v>91</v>
      </c>
      <c r="C25" s="38"/>
      <c r="D25" s="603" t="s">
        <v>92</v>
      </c>
      <c r="E25" s="603"/>
      <c r="F25" s="38"/>
      <c r="G25" s="80" t="s">
        <v>93</v>
      </c>
      <c r="H25" s="81"/>
      <c r="I25" s="81"/>
      <c r="J25" s="41"/>
      <c r="L25" s="27" t="s">
        <v>394</v>
      </c>
    </row>
    <row r="26" spans="1:12" s="35" customFormat="1" ht="15" customHeight="1">
      <c r="A26" s="28" t="s">
        <v>94</v>
      </c>
      <c r="B26" s="29" t="s">
        <v>95</v>
      </c>
      <c r="C26" s="78">
        <f>ROUND((1-1/POWER((1+C27),E27))/(1-1/POWER((1+C27),G27)),4)</f>
        <v>0.89970000000000006</v>
      </c>
      <c r="H26" s="34"/>
      <c r="I26" s="34"/>
      <c r="J26" s="34"/>
    </row>
    <row r="27" spans="1:12" ht="15" customHeight="1">
      <c r="A27" s="342"/>
      <c r="B27" s="342" t="s">
        <v>96</v>
      </c>
      <c r="C27" s="82">
        <f>D30</f>
        <v>5.8999999999999997E-2</v>
      </c>
      <c r="D27" s="342" t="s">
        <v>97</v>
      </c>
      <c r="E27" s="38">
        <v>28.87</v>
      </c>
      <c r="F27" s="342" t="s">
        <v>98</v>
      </c>
      <c r="G27" s="38">
        <v>40</v>
      </c>
      <c r="H27" s="41"/>
      <c r="I27" s="41"/>
      <c r="J27" s="41"/>
    </row>
    <row r="28" spans="1:12" ht="15" customHeight="1" thickBot="1">
      <c r="A28" s="342"/>
      <c r="B28" s="342" t="s">
        <v>395</v>
      </c>
      <c r="C28" s="83">
        <f>'基准地价-地上商业（40）'!C28</f>
        <v>4.7500000000000001E-2</v>
      </c>
      <c r="D28" s="343"/>
      <c r="E28" s="342"/>
      <c r="F28" s="342"/>
      <c r="G28" s="342"/>
      <c r="H28" s="41"/>
      <c r="I28" s="41"/>
      <c r="J28" s="41"/>
    </row>
    <row r="29" spans="1:12" ht="15" customHeight="1">
      <c r="A29" s="342"/>
      <c r="B29" s="24" t="s">
        <v>99</v>
      </c>
      <c r="C29" s="84" t="s">
        <v>100</v>
      </c>
      <c r="D29" s="85" t="s">
        <v>96</v>
      </c>
      <c r="E29" s="86"/>
      <c r="F29" s="342"/>
      <c r="G29" s="342"/>
      <c r="H29" s="41"/>
      <c r="I29" s="41"/>
      <c r="J29" s="41"/>
    </row>
    <row r="30" spans="1:12" ht="15" customHeight="1">
      <c r="A30" s="342"/>
      <c r="B30" s="64" t="s">
        <v>101</v>
      </c>
      <c r="C30" s="87">
        <v>0.25</v>
      </c>
      <c r="D30" s="88">
        <f>ROUND($C$28*(1+C30),3)</f>
        <v>5.8999999999999997E-2</v>
      </c>
      <c r="E30" s="86"/>
      <c r="F30" s="342"/>
      <c r="G30" s="342"/>
      <c r="H30" s="41"/>
      <c r="I30" s="41"/>
      <c r="J30" s="41"/>
    </row>
    <row r="31" spans="1:12" ht="15" customHeight="1">
      <c r="A31" s="342"/>
      <c r="B31" s="64" t="s">
        <v>102</v>
      </c>
      <c r="C31" s="87">
        <v>0.2</v>
      </c>
      <c r="D31" s="88">
        <f>ROUND($C$28*(1+C31),3)</f>
        <v>5.7000000000000002E-2</v>
      </c>
      <c r="E31" s="86"/>
      <c r="F31" s="342"/>
      <c r="G31" s="342"/>
      <c r="H31" s="41"/>
      <c r="I31" s="41"/>
      <c r="J31" s="41"/>
    </row>
    <row r="32" spans="1:12" ht="15" customHeight="1">
      <c r="A32" s="342"/>
      <c r="B32" s="64" t="s">
        <v>103</v>
      </c>
      <c r="C32" s="87">
        <v>0.15</v>
      </c>
      <c r="D32" s="88">
        <f>ROUND($C$28*(1+C32),3)</f>
        <v>5.5E-2</v>
      </c>
      <c r="E32" s="86"/>
      <c r="F32" s="342"/>
      <c r="G32" s="342"/>
      <c r="H32" s="41"/>
      <c r="I32" s="41"/>
      <c r="J32" s="41"/>
    </row>
    <row r="33" spans="1:12" ht="15" customHeight="1" thickBot="1">
      <c r="A33" s="342"/>
      <c r="B33" s="64" t="s">
        <v>104</v>
      </c>
      <c r="C33" s="89">
        <v>0.1</v>
      </c>
      <c r="D33" s="90">
        <f>ROUND($C$28*(1+C33),3)</f>
        <v>5.1999999999999998E-2</v>
      </c>
      <c r="E33" s="86"/>
      <c r="F33" s="342"/>
      <c r="G33" s="342"/>
      <c r="H33" s="41"/>
      <c r="I33" s="91"/>
      <c r="J33" s="92"/>
    </row>
    <row r="34" spans="1:12" s="35" customFormat="1" ht="15" customHeight="1">
      <c r="A34" s="28" t="s">
        <v>105</v>
      </c>
      <c r="B34" s="29" t="s">
        <v>106</v>
      </c>
      <c r="C34" s="372">
        <f>C35</f>
        <v>1.0203</v>
      </c>
      <c r="D34" s="93" t="s">
        <v>107</v>
      </c>
      <c r="E34" s="94"/>
      <c r="F34" s="94"/>
      <c r="G34" s="94"/>
      <c r="H34" s="34"/>
      <c r="I34" s="34"/>
      <c r="J34" s="34"/>
    </row>
    <row r="35" spans="1:12" s="35" customFormat="1" ht="15" customHeight="1">
      <c r="A35" s="95" t="s">
        <v>108</v>
      </c>
      <c r="B35" s="96" t="s">
        <v>109</v>
      </c>
      <c r="C35" s="94">
        <f>F36</f>
        <v>1.0203</v>
      </c>
      <c r="D35" s="94"/>
      <c r="E35" s="94"/>
      <c r="F35" s="94"/>
      <c r="G35" s="94"/>
      <c r="H35" s="34"/>
      <c r="I35" s="34"/>
      <c r="J35" s="34"/>
    </row>
    <row r="36" spans="1:12" ht="15" customHeight="1" thickBot="1">
      <c r="A36" s="583" t="s">
        <v>35</v>
      </c>
      <c r="B36" s="604" t="s">
        <v>110</v>
      </c>
      <c r="C36" s="344" t="s">
        <v>111</v>
      </c>
      <c r="D36" s="98">
        <v>2.35</v>
      </c>
      <c r="E36" s="99" t="s">
        <v>62</v>
      </c>
      <c r="F36" s="100">
        <f>ROUND(E38+(G38-E38)*(D36-E37)/(G37-E37),4)</f>
        <v>1.0203</v>
      </c>
      <c r="G36" s="344"/>
      <c r="H36" s="41"/>
      <c r="I36" s="41"/>
      <c r="J36" s="41"/>
      <c r="L36" s="27" t="s">
        <v>334</v>
      </c>
    </row>
    <row r="37" spans="1:12" ht="15" customHeight="1">
      <c r="A37" s="584"/>
      <c r="B37" s="604"/>
      <c r="C37" s="101"/>
      <c r="D37" s="102" t="s">
        <v>112</v>
      </c>
      <c r="E37" s="103">
        <v>2.2999999999999998</v>
      </c>
      <c r="F37" s="102" t="s">
        <v>113</v>
      </c>
      <c r="G37" s="104">
        <v>2.4</v>
      </c>
      <c r="H37" s="105"/>
      <c r="I37" s="41"/>
      <c r="J37" s="41"/>
      <c r="L37" s="35">
        <f>ROUND(45382/19337.887,2)</f>
        <v>2.35</v>
      </c>
    </row>
    <row r="38" spans="1:12" ht="15" customHeight="1" thickBot="1">
      <c r="A38" s="585"/>
      <c r="B38" s="605"/>
      <c r="C38" s="106" t="s">
        <v>114</v>
      </c>
      <c r="D38" s="107" t="s">
        <v>115</v>
      </c>
      <c r="E38" s="108">
        <v>1.0271999999999999</v>
      </c>
      <c r="F38" s="107" t="s">
        <v>116</v>
      </c>
      <c r="G38" s="109">
        <v>1.0133000000000001</v>
      </c>
      <c r="H38" s="105"/>
      <c r="I38" s="41"/>
      <c r="J38" s="41"/>
    </row>
    <row r="39" spans="1:12" ht="15" customHeight="1" thickBot="1">
      <c r="A39" s="583" t="s">
        <v>37</v>
      </c>
      <c r="B39" s="606" t="s">
        <v>117</v>
      </c>
      <c r="C39" s="344" t="s">
        <v>118</v>
      </c>
      <c r="D39" s="110">
        <v>11.2</v>
      </c>
      <c r="E39" s="111" t="s">
        <v>62</v>
      </c>
      <c r="F39" s="112">
        <v>0.56989999999999996</v>
      </c>
      <c r="G39" s="345"/>
      <c r="H39" s="41"/>
      <c r="I39" s="41"/>
      <c r="J39" s="41"/>
    </row>
    <row r="40" spans="1:12" ht="15" customHeight="1">
      <c r="A40" s="584"/>
      <c r="B40" s="607"/>
      <c r="C40" s="101"/>
      <c r="D40" s="113" t="s">
        <v>119</v>
      </c>
      <c r="E40" s="102" t="s">
        <v>120</v>
      </c>
      <c r="F40" s="114" t="s">
        <v>121</v>
      </c>
      <c r="G40" s="115"/>
      <c r="H40" s="41"/>
      <c r="I40" s="41"/>
      <c r="J40" s="41"/>
    </row>
    <row r="41" spans="1:12" ht="15" customHeight="1">
      <c r="A41" s="584"/>
      <c r="B41" s="607"/>
      <c r="C41" s="116" t="s">
        <v>101</v>
      </c>
      <c r="D41" s="117">
        <f>ROUND(0.9335-0.0094*D39,4)</f>
        <v>0.82820000000000005</v>
      </c>
      <c r="E41" s="117">
        <f>ROUND(0.8331-0.0109*D39,4)</f>
        <v>0.71099999999999997</v>
      </c>
      <c r="F41" s="118">
        <f>ROUND(0.689-0.0155*D39,4)</f>
        <v>0.51539999999999997</v>
      </c>
      <c r="G41" s="115"/>
      <c r="H41" s="41"/>
      <c r="I41" s="41"/>
      <c r="J41" s="41"/>
    </row>
    <row r="42" spans="1:12" ht="15" customHeight="1">
      <c r="A42" s="584"/>
      <c r="B42" s="607"/>
      <c r="C42" s="116" t="s">
        <v>102</v>
      </c>
      <c r="D42" s="117">
        <f>ROUND(0.949-0.012*D39,4)</f>
        <v>0.81459999999999999</v>
      </c>
      <c r="E42" s="117">
        <f>ROUND(0.8567-0.013*D39,4)</f>
        <v>0.71109999999999995</v>
      </c>
      <c r="F42" s="118">
        <f>ROUND(0.7694-0.014*D39,4)</f>
        <v>0.61260000000000003</v>
      </c>
      <c r="G42" s="115"/>
      <c r="H42" s="41"/>
      <c r="I42" s="41"/>
      <c r="J42" s="41"/>
    </row>
    <row r="43" spans="1:12" ht="15" customHeight="1" thickBot="1">
      <c r="A43" s="584"/>
      <c r="B43" s="607"/>
      <c r="C43" s="119" t="s">
        <v>103</v>
      </c>
      <c r="D43" s="120">
        <f>ROUND(0.8808-0.006*D39,4)</f>
        <v>0.81359999999999999</v>
      </c>
      <c r="E43" s="120">
        <f>ROUND(0.8748-0.008*D39,4)</f>
        <v>0.78520000000000001</v>
      </c>
      <c r="F43" s="121">
        <f>ROUND(0.7412-0.0095*D39,4)</f>
        <v>0.63480000000000003</v>
      </c>
      <c r="G43" s="122"/>
      <c r="H43" s="41"/>
      <c r="I43" s="41"/>
      <c r="J43" s="41"/>
    </row>
    <row r="44" spans="1:12" ht="15" customHeight="1">
      <c r="A44" s="584"/>
      <c r="B44" s="607"/>
      <c r="C44" s="84"/>
      <c r="D44" s="113" t="s">
        <v>119</v>
      </c>
      <c r="E44" s="102" t="s">
        <v>122</v>
      </c>
      <c r="F44" s="102" t="s">
        <v>123</v>
      </c>
      <c r="G44" s="114" t="s">
        <v>121</v>
      </c>
      <c r="H44" s="105"/>
      <c r="I44" s="41"/>
      <c r="J44" s="41"/>
    </row>
    <row r="45" spans="1:12" ht="15" customHeight="1" thickBot="1">
      <c r="A45" s="585"/>
      <c r="B45" s="608"/>
      <c r="C45" s="119" t="s">
        <v>104</v>
      </c>
      <c r="D45" s="123">
        <f>ROUND(0.7275-0.01*D39,4)</f>
        <v>0.61550000000000005</v>
      </c>
      <c r="E45" s="123">
        <f>ROUND(0.7043-0.012*D39,4)</f>
        <v>0.56989999999999996</v>
      </c>
      <c r="F45" s="123">
        <f>ROUND(0.6299-0.0122*D39,4)</f>
        <v>0.49330000000000002</v>
      </c>
      <c r="G45" s="124">
        <f>ROUND(0.5667-0.0136*D39,4)</f>
        <v>0.41439999999999999</v>
      </c>
      <c r="H45" s="105"/>
      <c r="I45" s="41"/>
      <c r="J45" s="41"/>
    </row>
    <row r="46" spans="1:12" ht="15" customHeight="1">
      <c r="A46" s="125" t="s">
        <v>124</v>
      </c>
      <c r="B46" s="386" t="s">
        <v>125</v>
      </c>
      <c r="C46" s="385"/>
      <c r="D46" s="46" t="s">
        <v>126</v>
      </c>
      <c r="E46" s="128"/>
      <c r="F46" s="128"/>
      <c r="G46" s="129"/>
      <c r="H46" s="105"/>
      <c r="I46" s="41"/>
      <c r="J46" s="41"/>
    </row>
    <row r="47" spans="1:12" s="35" customFormat="1" ht="15" customHeight="1">
      <c r="A47" s="28" t="s">
        <v>127</v>
      </c>
      <c r="B47" s="29" t="s">
        <v>128</v>
      </c>
      <c r="C47" s="370">
        <f>因素修正表!E13</f>
        <v>1.048125</v>
      </c>
      <c r="D47" s="46" t="s">
        <v>129</v>
      </c>
      <c r="E47" s="34"/>
      <c r="F47" s="34"/>
      <c r="G47" s="34"/>
      <c r="H47" s="34"/>
      <c r="I47" s="34"/>
      <c r="J47" s="34"/>
    </row>
    <row r="48" spans="1:12" ht="15" customHeight="1">
      <c r="A48" s="76" t="s">
        <v>130</v>
      </c>
      <c r="B48" s="130" t="s">
        <v>131</v>
      </c>
      <c r="C48" s="41"/>
      <c r="D48" s="41"/>
      <c r="E48" s="41"/>
      <c r="F48" s="131"/>
      <c r="G48" s="41"/>
      <c r="H48" s="41"/>
      <c r="I48" s="41"/>
      <c r="J48" s="41"/>
    </row>
    <row r="49" spans="1:10" ht="15" customHeight="1" thickBot="1">
      <c r="A49" s="76" t="s">
        <v>132</v>
      </c>
      <c r="B49" s="132" t="s">
        <v>133</v>
      </c>
      <c r="C49" s="51"/>
      <c r="D49" s="51"/>
      <c r="E49" s="51"/>
      <c r="F49" s="133"/>
      <c r="G49" s="51"/>
      <c r="H49" s="51"/>
      <c r="I49" s="51"/>
      <c r="J49" s="51"/>
    </row>
    <row r="50" spans="1:10" ht="21.6" customHeight="1">
      <c r="A50" s="597" t="s">
        <v>134</v>
      </c>
      <c r="B50" s="134" t="s">
        <v>135</v>
      </c>
      <c r="C50" s="371">
        <f>ROUND(C3*C22*C24*C26*C34*C47,0)</f>
        <v>12117</v>
      </c>
      <c r="D50" s="600" t="s">
        <v>136</v>
      </c>
      <c r="E50" s="601"/>
      <c r="F50" s="601"/>
      <c r="G50" s="601"/>
      <c r="H50" s="601"/>
      <c r="I50" s="601"/>
      <c r="J50" s="602"/>
    </row>
    <row r="51" spans="1:10" ht="21.6" customHeight="1">
      <c r="A51" s="598"/>
      <c r="B51" s="135" t="s">
        <v>137</v>
      </c>
      <c r="C51" s="136">
        <f>J51</f>
        <v>3029</v>
      </c>
      <c r="D51" s="39" t="s">
        <v>138</v>
      </c>
      <c r="E51" s="39"/>
      <c r="F51" s="131"/>
      <c r="G51" s="41"/>
      <c r="H51" s="39" t="s">
        <v>139</v>
      </c>
      <c r="I51" s="137">
        <v>0.25</v>
      </c>
      <c r="J51" s="138">
        <f>ROUND(C50*I51,0)</f>
        <v>3029</v>
      </c>
    </row>
    <row r="52" spans="1:10" ht="21.6" customHeight="1" thickBot="1">
      <c r="A52" s="599"/>
      <c r="B52" s="139"/>
      <c r="C52" s="140" t="s">
        <v>140</v>
      </c>
      <c r="D52" s="141"/>
      <c r="E52" s="141"/>
      <c r="F52" s="141"/>
      <c r="G52" s="141"/>
      <c r="H52" s="141" t="s">
        <v>141</v>
      </c>
      <c r="I52" s="142">
        <v>0.15</v>
      </c>
      <c r="J52" s="143">
        <f>ROUND(C50*I52,0)</f>
        <v>1818</v>
      </c>
    </row>
    <row r="53" spans="1:10" ht="21.6" customHeight="1">
      <c r="A53" s="597" t="s">
        <v>142</v>
      </c>
      <c r="B53" s="134" t="s">
        <v>143</v>
      </c>
      <c r="C53" s="40">
        <f>ROUND(C3*C24*C26*C47*F54,0)</f>
        <v>8313</v>
      </c>
      <c r="D53" s="600" t="s">
        <v>144</v>
      </c>
      <c r="E53" s="601"/>
      <c r="F53" s="601"/>
      <c r="G53" s="601"/>
      <c r="H53" s="601"/>
      <c r="I53" s="601"/>
      <c r="J53" s="602"/>
    </row>
    <row r="54" spans="1:10" ht="21.6" customHeight="1">
      <c r="A54" s="598"/>
      <c r="B54" s="144"/>
      <c r="C54" s="145"/>
      <c r="D54" s="39" t="s">
        <v>145</v>
      </c>
      <c r="E54" s="41"/>
      <c r="F54" s="146">
        <f>地下空间修正系数表!E4</f>
        <v>0.7</v>
      </c>
      <c r="G54" s="39" t="s">
        <v>146</v>
      </c>
      <c r="H54" s="41"/>
      <c r="I54" s="41"/>
      <c r="J54" s="147"/>
    </row>
    <row r="55" spans="1:10" ht="21.6" customHeight="1">
      <c r="A55" s="598"/>
      <c r="B55" s="135" t="s">
        <v>147</v>
      </c>
      <c r="C55" s="136">
        <f>J55</f>
        <v>2078</v>
      </c>
      <c r="D55" s="39" t="s">
        <v>138</v>
      </c>
      <c r="E55" s="39"/>
      <c r="F55" s="40"/>
      <c r="G55" s="41"/>
      <c r="H55" s="39" t="s">
        <v>139</v>
      </c>
      <c r="I55" s="137">
        <v>0.25</v>
      </c>
      <c r="J55" s="138">
        <f>ROUND(C53*I55,0)</f>
        <v>2078</v>
      </c>
    </row>
    <row r="56" spans="1:10" ht="21.6" customHeight="1" thickBot="1">
      <c r="A56" s="599"/>
      <c r="B56" s="139"/>
      <c r="C56" s="149" t="s">
        <v>140</v>
      </c>
      <c r="D56" s="149"/>
      <c r="E56" s="149"/>
      <c r="F56" s="150"/>
      <c r="G56" s="141"/>
      <c r="H56" s="141" t="s">
        <v>141</v>
      </c>
      <c r="I56" s="142">
        <v>0.15</v>
      </c>
      <c r="J56" s="143">
        <f>ROUND(C53*I56,0)</f>
        <v>1247</v>
      </c>
    </row>
    <row r="57" spans="1:10" ht="15" customHeight="1">
      <c r="A57" s="40" t="s">
        <v>148</v>
      </c>
      <c r="B57" s="151" t="s">
        <v>149</v>
      </c>
      <c r="C57" s="152"/>
      <c r="D57" s="153"/>
      <c r="E57" s="153"/>
      <c r="F57" s="154"/>
      <c r="G57" s="44"/>
      <c r="H57" s="44"/>
      <c r="I57" s="44"/>
      <c r="J57" s="155"/>
    </row>
    <row r="58" spans="1:10" ht="15" customHeight="1">
      <c r="A58" s="40"/>
      <c r="B58" s="42" t="s">
        <v>150</v>
      </c>
      <c r="C58" s="131"/>
      <c r="D58" s="39"/>
      <c r="E58" s="39"/>
      <c r="F58" s="40"/>
      <c r="G58" s="41"/>
      <c r="H58" s="41"/>
      <c r="I58" s="41"/>
      <c r="J58" s="91"/>
    </row>
    <row r="59" spans="1:10" ht="15" customHeight="1">
      <c r="A59" s="40"/>
      <c r="B59" s="42" t="s">
        <v>151</v>
      </c>
      <c r="C59" s="41"/>
      <c r="D59" s="41"/>
      <c r="E59" s="41"/>
      <c r="F59" s="41"/>
      <c r="G59" s="41"/>
      <c r="H59" s="41"/>
      <c r="I59" s="41"/>
      <c r="J59" s="41"/>
    </row>
    <row r="60" spans="1:10" ht="15" customHeight="1"/>
  </sheetData>
  <mergeCells count="15">
    <mergeCell ref="A53:A56"/>
    <mergeCell ref="D53:J53"/>
    <mergeCell ref="D25:E25"/>
    <mergeCell ref="A36:A38"/>
    <mergeCell ref="B36:B38"/>
    <mergeCell ref="A39:A45"/>
    <mergeCell ref="B39:B45"/>
    <mergeCell ref="A50:A52"/>
    <mergeCell ref="D50:J50"/>
    <mergeCell ref="A16:A21"/>
    <mergeCell ref="A2:J2"/>
    <mergeCell ref="A5:A10"/>
    <mergeCell ref="A11:A15"/>
    <mergeCell ref="C15:G15"/>
    <mergeCell ref="H15:J1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47"/>
  <sheetViews>
    <sheetView workbookViewId="0">
      <selection activeCell="C8" sqref="C8"/>
    </sheetView>
  </sheetViews>
  <sheetFormatPr defaultRowHeight="12"/>
  <cols>
    <col min="1" max="1" width="4.75" style="393" customWidth="1"/>
    <col min="2" max="2" width="18.625" style="393" customWidth="1"/>
    <col min="3" max="3" width="12.375" style="393" customWidth="1"/>
    <col min="4" max="4" width="5.625" style="393" customWidth="1"/>
    <col min="5" max="5" width="12.375" style="393" customWidth="1"/>
    <col min="6" max="6" width="5.625" style="393" customWidth="1"/>
    <col min="7" max="7" width="12.375" style="393" customWidth="1"/>
    <col min="8" max="8" width="5.625" style="393" customWidth="1"/>
    <col min="9" max="9" width="12.375" style="393" customWidth="1"/>
    <col min="10" max="10" width="5.625" style="393" customWidth="1"/>
    <col min="11" max="11" width="29.5" style="393" customWidth="1"/>
    <col min="12" max="12" width="6.625" style="393" customWidth="1"/>
    <col min="13" max="13" width="3" style="393" customWidth="1"/>
    <col min="14" max="14" width="4.5" style="393" customWidth="1"/>
    <col min="15" max="15" width="18.375" style="393" customWidth="1"/>
    <col min="16" max="18" width="6.125" style="393" customWidth="1"/>
    <col min="19" max="19" width="6.125" style="415" customWidth="1"/>
    <col min="20" max="21" width="6.125" style="393" customWidth="1"/>
    <col min="22" max="22" width="3" style="393" customWidth="1"/>
    <col min="23" max="23" width="4.25" style="393" customWidth="1"/>
    <col min="24" max="24" width="14.25" style="393" customWidth="1"/>
    <col min="25" max="27" width="9.375" style="393" customWidth="1"/>
    <col min="28" max="256" width="9" style="393"/>
    <col min="257" max="257" width="4.75" style="393" customWidth="1"/>
    <col min="258" max="258" width="18.625" style="393" customWidth="1"/>
    <col min="259" max="259" width="12.375" style="393" customWidth="1"/>
    <col min="260" max="260" width="5.625" style="393" customWidth="1"/>
    <col min="261" max="261" width="12.375" style="393" customWidth="1"/>
    <col min="262" max="262" width="5.625" style="393" customWidth="1"/>
    <col min="263" max="263" width="12.375" style="393" customWidth="1"/>
    <col min="264" max="264" width="5.625" style="393" customWidth="1"/>
    <col min="265" max="265" width="12.375" style="393" customWidth="1"/>
    <col min="266" max="266" width="5.625" style="393" customWidth="1"/>
    <col min="267" max="267" width="29.5" style="393" customWidth="1"/>
    <col min="268" max="268" width="6.625" style="393" customWidth="1"/>
    <col min="269" max="269" width="3" style="393" customWidth="1"/>
    <col min="270" max="270" width="4.5" style="393" customWidth="1"/>
    <col min="271" max="271" width="18.375" style="393" customWidth="1"/>
    <col min="272" max="277" width="6.125" style="393" customWidth="1"/>
    <col min="278" max="278" width="3" style="393" customWidth="1"/>
    <col min="279" max="279" width="4.25" style="393" customWidth="1"/>
    <col min="280" max="280" width="14.25" style="393" customWidth="1"/>
    <col min="281" max="283" width="9.375" style="393" customWidth="1"/>
    <col min="284" max="512" width="9" style="393"/>
    <col min="513" max="513" width="4.75" style="393" customWidth="1"/>
    <col min="514" max="514" width="18.625" style="393" customWidth="1"/>
    <col min="515" max="515" width="12.375" style="393" customWidth="1"/>
    <col min="516" max="516" width="5.625" style="393" customWidth="1"/>
    <col min="517" max="517" width="12.375" style="393" customWidth="1"/>
    <col min="518" max="518" width="5.625" style="393" customWidth="1"/>
    <col min="519" max="519" width="12.375" style="393" customWidth="1"/>
    <col min="520" max="520" width="5.625" style="393" customWidth="1"/>
    <col min="521" max="521" width="12.375" style="393" customWidth="1"/>
    <col min="522" max="522" width="5.625" style="393" customWidth="1"/>
    <col min="523" max="523" width="29.5" style="393" customWidth="1"/>
    <col min="524" max="524" width="6.625" style="393" customWidth="1"/>
    <col min="525" max="525" width="3" style="393" customWidth="1"/>
    <col min="526" max="526" width="4.5" style="393" customWidth="1"/>
    <col min="527" max="527" width="18.375" style="393" customWidth="1"/>
    <col min="528" max="533" width="6.125" style="393" customWidth="1"/>
    <col min="534" max="534" width="3" style="393" customWidth="1"/>
    <col min="535" max="535" width="4.25" style="393" customWidth="1"/>
    <col min="536" max="536" width="14.25" style="393" customWidth="1"/>
    <col min="537" max="539" width="9.375" style="393" customWidth="1"/>
    <col min="540" max="768" width="9" style="393"/>
    <col min="769" max="769" width="4.75" style="393" customWidth="1"/>
    <col min="770" max="770" width="18.625" style="393" customWidth="1"/>
    <col min="771" max="771" width="12.375" style="393" customWidth="1"/>
    <col min="772" max="772" width="5.625" style="393" customWidth="1"/>
    <col min="773" max="773" width="12.375" style="393" customWidth="1"/>
    <col min="774" max="774" width="5.625" style="393" customWidth="1"/>
    <col min="775" max="775" width="12.375" style="393" customWidth="1"/>
    <col min="776" max="776" width="5.625" style="393" customWidth="1"/>
    <col min="777" max="777" width="12.375" style="393" customWidth="1"/>
    <col min="778" max="778" width="5.625" style="393" customWidth="1"/>
    <col min="779" max="779" width="29.5" style="393" customWidth="1"/>
    <col min="780" max="780" width="6.625" style="393" customWidth="1"/>
    <col min="781" max="781" width="3" style="393" customWidth="1"/>
    <col min="782" max="782" width="4.5" style="393" customWidth="1"/>
    <col min="783" max="783" width="18.375" style="393" customWidth="1"/>
    <col min="784" max="789" width="6.125" style="393" customWidth="1"/>
    <col min="790" max="790" width="3" style="393" customWidth="1"/>
    <col min="791" max="791" width="4.25" style="393" customWidth="1"/>
    <col min="792" max="792" width="14.25" style="393" customWidth="1"/>
    <col min="793" max="795" width="9.375" style="393" customWidth="1"/>
    <col min="796" max="1024" width="9" style="393"/>
    <col min="1025" max="1025" width="4.75" style="393" customWidth="1"/>
    <col min="1026" max="1026" width="18.625" style="393" customWidth="1"/>
    <col min="1027" max="1027" width="12.375" style="393" customWidth="1"/>
    <col min="1028" max="1028" width="5.625" style="393" customWidth="1"/>
    <col min="1029" max="1029" width="12.375" style="393" customWidth="1"/>
    <col min="1030" max="1030" width="5.625" style="393" customWidth="1"/>
    <col min="1031" max="1031" width="12.375" style="393" customWidth="1"/>
    <col min="1032" max="1032" width="5.625" style="393" customWidth="1"/>
    <col min="1033" max="1033" width="12.375" style="393" customWidth="1"/>
    <col min="1034" max="1034" width="5.625" style="393" customWidth="1"/>
    <col min="1035" max="1035" width="29.5" style="393" customWidth="1"/>
    <col min="1036" max="1036" width="6.625" style="393" customWidth="1"/>
    <col min="1037" max="1037" width="3" style="393" customWidth="1"/>
    <col min="1038" max="1038" width="4.5" style="393" customWidth="1"/>
    <col min="1039" max="1039" width="18.375" style="393" customWidth="1"/>
    <col min="1040" max="1045" width="6.125" style="393" customWidth="1"/>
    <col min="1046" max="1046" width="3" style="393" customWidth="1"/>
    <col min="1047" max="1047" width="4.25" style="393" customWidth="1"/>
    <col min="1048" max="1048" width="14.25" style="393" customWidth="1"/>
    <col min="1049" max="1051" width="9.375" style="393" customWidth="1"/>
    <col min="1052" max="1280" width="9" style="393"/>
    <col min="1281" max="1281" width="4.75" style="393" customWidth="1"/>
    <col min="1282" max="1282" width="18.625" style="393" customWidth="1"/>
    <col min="1283" max="1283" width="12.375" style="393" customWidth="1"/>
    <col min="1284" max="1284" width="5.625" style="393" customWidth="1"/>
    <col min="1285" max="1285" width="12.375" style="393" customWidth="1"/>
    <col min="1286" max="1286" width="5.625" style="393" customWidth="1"/>
    <col min="1287" max="1287" width="12.375" style="393" customWidth="1"/>
    <col min="1288" max="1288" width="5.625" style="393" customWidth="1"/>
    <col min="1289" max="1289" width="12.375" style="393" customWidth="1"/>
    <col min="1290" max="1290" width="5.625" style="393" customWidth="1"/>
    <col min="1291" max="1291" width="29.5" style="393" customWidth="1"/>
    <col min="1292" max="1292" width="6.625" style="393" customWidth="1"/>
    <col min="1293" max="1293" width="3" style="393" customWidth="1"/>
    <col min="1294" max="1294" width="4.5" style="393" customWidth="1"/>
    <col min="1295" max="1295" width="18.375" style="393" customWidth="1"/>
    <col min="1296" max="1301" width="6.125" style="393" customWidth="1"/>
    <col min="1302" max="1302" width="3" style="393" customWidth="1"/>
    <col min="1303" max="1303" width="4.25" style="393" customWidth="1"/>
    <col min="1304" max="1304" width="14.25" style="393" customWidth="1"/>
    <col min="1305" max="1307" width="9.375" style="393" customWidth="1"/>
    <col min="1308" max="1536" width="9" style="393"/>
    <col min="1537" max="1537" width="4.75" style="393" customWidth="1"/>
    <col min="1538" max="1538" width="18.625" style="393" customWidth="1"/>
    <col min="1539" max="1539" width="12.375" style="393" customWidth="1"/>
    <col min="1540" max="1540" width="5.625" style="393" customWidth="1"/>
    <col min="1541" max="1541" width="12.375" style="393" customWidth="1"/>
    <col min="1542" max="1542" width="5.625" style="393" customWidth="1"/>
    <col min="1543" max="1543" width="12.375" style="393" customWidth="1"/>
    <col min="1544" max="1544" width="5.625" style="393" customWidth="1"/>
    <col min="1545" max="1545" width="12.375" style="393" customWidth="1"/>
    <col min="1546" max="1546" width="5.625" style="393" customWidth="1"/>
    <col min="1547" max="1547" width="29.5" style="393" customWidth="1"/>
    <col min="1548" max="1548" width="6.625" style="393" customWidth="1"/>
    <col min="1549" max="1549" width="3" style="393" customWidth="1"/>
    <col min="1550" max="1550" width="4.5" style="393" customWidth="1"/>
    <col min="1551" max="1551" width="18.375" style="393" customWidth="1"/>
    <col min="1552" max="1557" width="6.125" style="393" customWidth="1"/>
    <col min="1558" max="1558" width="3" style="393" customWidth="1"/>
    <col min="1559" max="1559" width="4.25" style="393" customWidth="1"/>
    <col min="1560" max="1560" width="14.25" style="393" customWidth="1"/>
    <col min="1561" max="1563" width="9.375" style="393" customWidth="1"/>
    <col min="1564" max="1792" width="9" style="393"/>
    <col min="1793" max="1793" width="4.75" style="393" customWidth="1"/>
    <col min="1794" max="1794" width="18.625" style="393" customWidth="1"/>
    <col min="1795" max="1795" width="12.375" style="393" customWidth="1"/>
    <col min="1796" max="1796" width="5.625" style="393" customWidth="1"/>
    <col min="1797" max="1797" width="12.375" style="393" customWidth="1"/>
    <col min="1798" max="1798" width="5.625" style="393" customWidth="1"/>
    <col min="1799" max="1799" width="12.375" style="393" customWidth="1"/>
    <col min="1800" max="1800" width="5.625" style="393" customWidth="1"/>
    <col min="1801" max="1801" width="12.375" style="393" customWidth="1"/>
    <col min="1802" max="1802" width="5.625" style="393" customWidth="1"/>
    <col min="1803" max="1803" width="29.5" style="393" customWidth="1"/>
    <col min="1804" max="1804" width="6.625" style="393" customWidth="1"/>
    <col min="1805" max="1805" width="3" style="393" customWidth="1"/>
    <col min="1806" max="1806" width="4.5" style="393" customWidth="1"/>
    <col min="1807" max="1807" width="18.375" style="393" customWidth="1"/>
    <col min="1808" max="1813" width="6.125" style="393" customWidth="1"/>
    <col min="1814" max="1814" width="3" style="393" customWidth="1"/>
    <col min="1815" max="1815" width="4.25" style="393" customWidth="1"/>
    <col min="1816" max="1816" width="14.25" style="393" customWidth="1"/>
    <col min="1817" max="1819" width="9.375" style="393" customWidth="1"/>
    <col min="1820" max="2048" width="9" style="393"/>
    <col min="2049" max="2049" width="4.75" style="393" customWidth="1"/>
    <col min="2050" max="2050" width="18.625" style="393" customWidth="1"/>
    <col min="2051" max="2051" width="12.375" style="393" customWidth="1"/>
    <col min="2052" max="2052" width="5.625" style="393" customWidth="1"/>
    <col min="2053" max="2053" width="12.375" style="393" customWidth="1"/>
    <col min="2054" max="2054" width="5.625" style="393" customWidth="1"/>
    <col min="2055" max="2055" width="12.375" style="393" customWidth="1"/>
    <col min="2056" max="2056" width="5.625" style="393" customWidth="1"/>
    <col min="2057" max="2057" width="12.375" style="393" customWidth="1"/>
    <col min="2058" max="2058" width="5.625" style="393" customWidth="1"/>
    <col min="2059" max="2059" width="29.5" style="393" customWidth="1"/>
    <col min="2060" max="2060" width="6.625" style="393" customWidth="1"/>
    <col min="2061" max="2061" width="3" style="393" customWidth="1"/>
    <col min="2062" max="2062" width="4.5" style="393" customWidth="1"/>
    <col min="2063" max="2063" width="18.375" style="393" customWidth="1"/>
    <col min="2064" max="2069" width="6.125" style="393" customWidth="1"/>
    <col min="2070" max="2070" width="3" style="393" customWidth="1"/>
    <col min="2071" max="2071" width="4.25" style="393" customWidth="1"/>
    <col min="2072" max="2072" width="14.25" style="393" customWidth="1"/>
    <col min="2073" max="2075" width="9.375" style="393" customWidth="1"/>
    <col min="2076" max="2304" width="9" style="393"/>
    <col min="2305" max="2305" width="4.75" style="393" customWidth="1"/>
    <col min="2306" max="2306" width="18.625" style="393" customWidth="1"/>
    <col min="2307" max="2307" width="12.375" style="393" customWidth="1"/>
    <col min="2308" max="2308" width="5.625" style="393" customWidth="1"/>
    <col min="2309" max="2309" width="12.375" style="393" customWidth="1"/>
    <col min="2310" max="2310" width="5.625" style="393" customWidth="1"/>
    <col min="2311" max="2311" width="12.375" style="393" customWidth="1"/>
    <col min="2312" max="2312" width="5.625" style="393" customWidth="1"/>
    <col min="2313" max="2313" width="12.375" style="393" customWidth="1"/>
    <col min="2314" max="2314" width="5.625" style="393" customWidth="1"/>
    <col min="2315" max="2315" width="29.5" style="393" customWidth="1"/>
    <col min="2316" max="2316" width="6.625" style="393" customWidth="1"/>
    <col min="2317" max="2317" width="3" style="393" customWidth="1"/>
    <col min="2318" max="2318" width="4.5" style="393" customWidth="1"/>
    <col min="2319" max="2319" width="18.375" style="393" customWidth="1"/>
    <col min="2320" max="2325" width="6.125" style="393" customWidth="1"/>
    <col min="2326" max="2326" width="3" style="393" customWidth="1"/>
    <col min="2327" max="2327" width="4.25" style="393" customWidth="1"/>
    <col min="2328" max="2328" width="14.25" style="393" customWidth="1"/>
    <col min="2329" max="2331" width="9.375" style="393" customWidth="1"/>
    <col min="2332" max="2560" width="9" style="393"/>
    <col min="2561" max="2561" width="4.75" style="393" customWidth="1"/>
    <col min="2562" max="2562" width="18.625" style="393" customWidth="1"/>
    <col min="2563" max="2563" width="12.375" style="393" customWidth="1"/>
    <col min="2564" max="2564" width="5.625" style="393" customWidth="1"/>
    <col min="2565" max="2565" width="12.375" style="393" customWidth="1"/>
    <col min="2566" max="2566" width="5.625" style="393" customWidth="1"/>
    <col min="2567" max="2567" width="12.375" style="393" customWidth="1"/>
    <col min="2568" max="2568" width="5.625" style="393" customWidth="1"/>
    <col min="2569" max="2569" width="12.375" style="393" customWidth="1"/>
    <col min="2570" max="2570" width="5.625" style="393" customWidth="1"/>
    <col min="2571" max="2571" width="29.5" style="393" customWidth="1"/>
    <col min="2572" max="2572" width="6.625" style="393" customWidth="1"/>
    <col min="2573" max="2573" width="3" style="393" customWidth="1"/>
    <col min="2574" max="2574" width="4.5" style="393" customWidth="1"/>
    <col min="2575" max="2575" width="18.375" style="393" customWidth="1"/>
    <col min="2576" max="2581" width="6.125" style="393" customWidth="1"/>
    <col min="2582" max="2582" width="3" style="393" customWidth="1"/>
    <col min="2583" max="2583" width="4.25" style="393" customWidth="1"/>
    <col min="2584" max="2584" width="14.25" style="393" customWidth="1"/>
    <col min="2585" max="2587" width="9.375" style="393" customWidth="1"/>
    <col min="2588" max="2816" width="9" style="393"/>
    <col min="2817" max="2817" width="4.75" style="393" customWidth="1"/>
    <col min="2818" max="2818" width="18.625" style="393" customWidth="1"/>
    <col min="2819" max="2819" width="12.375" style="393" customWidth="1"/>
    <col min="2820" max="2820" width="5.625" style="393" customWidth="1"/>
    <col min="2821" max="2821" width="12.375" style="393" customWidth="1"/>
    <col min="2822" max="2822" width="5.625" style="393" customWidth="1"/>
    <col min="2823" max="2823" width="12.375" style="393" customWidth="1"/>
    <col min="2824" max="2824" width="5.625" style="393" customWidth="1"/>
    <col min="2825" max="2825" width="12.375" style="393" customWidth="1"/>
    <col min="2826" max="2826" width="5.625" style="393" customWidth="1"/>
    <col min="2827" max="2827" width="29.5" style="393" customWidth="1"/>
    <col min="2828" max="2828" width="6.625" style="393" customWidth="1"/>
    <col min="2829" max="2829" width="3" style="393" customWidth="1"/>
    <col min="2830" max="2830" width="4.5" style="393" customWidth="1"/>
    <col min="2831" max="2831" width="18.375" style="393" customWidth="1"/>
    <col min="2832" max="2837" width="6.125" style="393" customWidth="1"/>
    <col min="2838" max="2838" width="3" style="393" customWidth="1"/>
    <col min="2839" max="2839" width="4.25" style="393" customWidth="1"/>
    <col min="2840" max="2840" width="14.25" style="393" customWidth="1"/>
    <col min="2841" max="2843" width="9.375" style="393" customWidth="1"/>
    <col min="2844" max="3072" width="9" style="393"/>
    <col min="3073" max="3073" width="4.75" style="393" customWidth="1"/>
    <col min="3074" max="3074" width="18.625" style="393" customWidth="1"/>
    <col min="3075" max="3075" width="12.375" style="393" customWidth="1"/>
    <col min="3076" max="3076" width="5.625" style="393" customWidth="1"/>
    <col min="3077" max="3077" width="12.375" style="393" customWidth="1"/>
    <col min="3078" max="3078" width="5.625" style="393" customWidth="1"/>
    <col min="3079" max="3079" width="12.375" style="393" customWidth="1"/>
    <col min="3080" max="3080" width="5.625" style="393" customWidth="1"/>
    <col min="3081" max="3081" width="12.375" style="393" customWidth="1"/>
    <col min="3082" max="3082" width="5.625" style="393" customWidth="1"/>
    <col min="3083" max="3083" width="29.5" style="393" customWidth="1"/>
    <col min="3084" max="3084" width="6.625" style="393" customWidth="1"/>
    <col min="3085" max="3085" width="3" style="393" customWidth="1"/>
    <col min="3086" max="3086" width="4.5" style="393" customWidth="1"/>
    <col min="3087" max="3087" width="18.375" style="393" customWidth="1"/>
    <col min="3088" max="3093" width="6.125" style="393" customWidth="1"/>
    <col min="3094" max="3094" width="3" style="393" customWidth="1"/>
    <col min="3095" max="3095" width="4.25" style="393" customWidth="1"/>
    <col min="3096" max="3096" width="14.25" style="393" customWidth="1"/>
    <col min="3097" max="3099" width="9.375" style="393" customWidth="1"/>
    <col min="3100" max="3328" width="9" style="393"/>
    <col min="3329" max="3329" width="4.75" style="393" customWidth="1"/>
    <col min="3330" max="3330" width="18.625" style="393" customWidth="1"/>
    <col min="3331" max="3331" width="12.375" style="393" customWidth="1"/>
    <col min="3332" max="3332" width="5.625" style="393" customWidth="1"/>
    <col min="3333" max="3333" width="12.375" style="393" customWidth="1"/>
    <col min="3334" max="3334" width="5.625" style="393" customWidth="1"/>
    <col min="3335" max="3335" width="12.375" style="393" customWidth="1"/>
    <col min="3336" max="3336" width="5.625" style="393" customWidth="1"/>
    <col min="3337" max="3337" width="12.375" style="393" customWidth="1"/>
    <col min="3338" max="3338" width="5.625" style="393" customWidth="1"/>
    <col min="3339" max="3339" width="29.5" style="393" customWidth="1"/>
    <col min="3340" max="3340" width="6.625" style="393" customWidth="1"/>
    <col min="3341" max="3341" width="3" style="393" customWidth="1"/>
    <col min="3342" max="3342" width="4.5" style="393" customWidth="1"/>
    <col min="3343" max="3343" width="18.375" style="393" customWidth="1"/>
    <col min="3344" max="3349" width="6.125" style="393" customWidth="1"/>
    <col min="3350" max="3350" width="3" style="393" customWidth="1"/>
    <col min="3351" max="3351" width="4.25" style="393" customWidth="1"/>
    <col min="3352" max="3352" width="14.25" style="393" customWidth="1"/>
    <col min="3353" max="3355" width="9.375" style="393" customWidth="1"/>
    <col min="3356" max="3584" width="9" style="393"/>
    <col min="3585" max="3585" width="4.75" style="393" customWidth="1"/>
    <col min="3586" max="3586" width="18.625" style="393" customWidth="1"/>
    <col min="3587" max="3587" width="12.375" style="393" customWidth="1"/>
    <col min="3588" max="3588" width="5.625" style="393" customWidth="1"/>
    <col min="3589" max="3589" width="12.375" style="393" customWidth="1"/>
    <col min="3590" max="3590" width="5.625" style="393" customWidth="1"/>
    <col min="3591" max="3591" width="12.375" style="393" customWidth="1"/>
    <col min="3592" max="3592" width="5.625" style="393" customWidth="1"/>
    <col min="3593" max="3593" width="12.375" style="393" customWidth="1"/>
    <col min="3594" max="3594" width="5.625" style="393" customWidth="1"/>
    <col min="3595" max="3595" width="29.5" style="393" customWidth="1"/>
    <col min="3596" max="3596" width="6.625" style="393" customWidth="1"/>
    <col min="3597" max="3597" width="3" style="393" customWidth="1"/>
    <col min="3598" max="3598" width="4.5" style="393" customWidth="1"/>
    <col min="3599" max="3599" width="18.375" style="393" customWidth="1"/>
    <col min="3600" max="3605" width="6.125" style="393" customWidth="1"/>
    <col min="3606" max="3606" width="3" style="393" customWidth="1"/>
    <col min="3607" max="3607" width="4.25" style="393" customWidth="1"/>
    <col min="3608" max="3608" width="14.25" style="393" customWidth="1"/>
    <col min="3609" max="3611" width="9.375" style="393" customWidth="1"/>
    <col min="3612" max="3840" width="9" style="393"/>
    <col min="3841" max="3841" width="4.75" style="393" customWidth="1"/>
    <col min="3842" max="3842" width="18.625" style="393" customWidth="1"/>
    <col min="3843" max="3843" width="12.375" style="393" customWidth="1"/>
    <col min="3844" max="3844" width="5.625" style="393" customWidth="1"/>
    <col min="3845" max="3845" width="12.375" style="393" customWidth="1"/>
    <col min="3846" max="3846" width="5.625" style="393" customWidth="1"/>
    <col min="3847" max="3847" width="12.375" style="393" customWidth="1"/>
    <col min="3848" max="3848" width="5.625" style="393" customWidth="1"/>
    <col min="3849" max="3849" width="12.375" style="393" customWidth="1"/>
    <col min="3850" max="3850" width="5.625" style="393" customWidth="1"/>
    <col min="3851" max="3851" width="29.5" style="393" customWidth="1"/>
    <col min="3852" max="3852" width="6.625" style="393" customWidth="1"/>
    <col min="3853" max="3853" width="3" style="393" customWidth="1"/>
    <col min="3854" max="3854" width="4.5" style="393" customWidth="1"/>
    <col min="3855" max="3855" width="18.375" style="393" customWidth="1"/>
    <col min="3856" max="3861" width="6.125" style="393" customWidth="1"/>
    <col min="3862" max="3862" width="3" style="393" customWidth="1"/>
    <col min="3863" max="3863" width="4.25" style="393" customWidth="1"/>
    <col min="3864" max="3864" width="14.25" style="393" customWidth="1"/>
    <col min="3865" max="3867" width="9.375" style="393" customWidth="1"/>
    <col min="3868" max="4096" width="9" style="393"/>
    <col min="4097" max="4097" width="4.75" style="393" customWidth="1"/>
    <col min="4098" max="4098" width="18.625" style="393" customWidth="1"/>
    <col min="4099" max="4099" width="12.375" style="393" customWidth="1"/>
    <col min="4100" max="4100" width="5.625" style="393" customWidth="1"/>
    <col min="4101" max="4101" width="12.375" style="393" customWidth="1"/>
    <col min="4102" max="4102" width="5.625" style="393" customWidth="1"/>
    <col min="4103" max="4103" width="12.375" style="393" customWidth="1"/>
    <col min="4104" max="4104" width="5.625" style="393" customWidth="1"/>
    <col min="4105" max="4105" width="12.375" style="393" customWidth="1"/>
    <col min="4106" max="4106" width="5.625" style="393" customWidth="1"/>
    <col min="4107" max="4107" width="29.5" style="393" customWidth="1"/>
    <col min="4108" max="4108" width="6.625" style="393" customWidth="1"/>
    <col min="4109" max="4109" width="3" style="393" customWidth="1"/>
    <col min="4110" max="4110" width="4.5" style="393" customWidth="1"/>
    <col min="4111" max="4111" width="18.375" style="393" customWidth="1"/>
    <col min="4112" max="4117" width="6.125" style="393" customWidth="1"/>
    <col min="4118" max="4118" width="3" style="393" customWidth="1"/>
    <col min="4119" max="4119" width="4.25" style="393" customWidth="1"/>
    <col min="4120" max="4120" width="14.25" style="393" customWidth="1"/>
    <col min="4121" max="4123" width="9.375" style="393" customWidth="1"/>
    <col min="4124" max="4352" width="9" style="393"/>
    <col min="4353" max="4353" width="4.75" style="393" customWidth="1"/>
    <col min="4354" max="4354" width="18.625" style="393" customWidth="1"/>
    <col min="4355" max="4355" width="12.375" style="393" customWidth="1"/>
    <col min="4356" max="4356" width="5.625" style="393" customWidth="1"/>
    <col min="4357" max="4357" width="12.375" style="393" customWidth="1"/>
    <col min="4358" max="4358" width="5.625" style="393" customWidth="1"/>
    <col min="4359" max="4359" width="12.375" style="393" customWidth="1"/>
    <col min="4360" max="4360" width="5.625" style="393" customWidth="1"/>
    <col min="4361" max="4361" width="12.375" style="393" customWidth="1"/>
    <col min="4362" max="4362" width="5.625" style="393" customWidth="1"/>
    <col min="4363" max="4363" width="29.5" style="393" customWidth="1"/>
    <col min="4364" max="4364" width="6.625" style="393" customWidth="1"/>
    <col min="4365" max="4365" width="3" style="393" customWidth="1"/>
    <col min="4366" max="4366" width="4.5" style="393" customWidth="1"/>
    <col min="4367" max="4367" width="18.375" style="393" customWidth="1"/>
    <col min="4368" max="4373" width="6.125" style="393" customWidth="1"/>
    <col min="4374" max="4374" width="3" style="393" customWidth="1"/>
    <col min="4375" max="4375" width="4.25" style="393" customWidth="1"/>
    <col min="4376" max="4376" width="14.25" style="393" customWidth="1"/>
    <col min="4377" max="4379" width="9.375" style="393" customWidth="1"/>
    <col min="4380" max="4608" width="9" style="393"/>
    <col min="4609" max="4609" width="4.75" style="393" customWidth="1"/>
    <col min="4610" max="4610" width="18.625" style="393" customWidth="1"/>
    <col min="4611" max="4611" width="12.375" style="393" customWidth="1"/>
    <col min="4612" max="4612" width="5.625" style="393" customWidth="1"/>
    <col min="4613" max="4613" width="12.375" style="393" customWidth="1"/>
    <col min="4614" max="4614" width="5.625" style="393" customWidth="1"/>
    <col min="4615" max="4615" width="12.375" style="393" customWidth="1"/>
    <col min="4616" max="4616" width="5.625" style="393" customWidth="1"/>
    <col min="4617" max="4617" width="12.375" style="393" customWidth="1"/>
    <col min="4618" max="4618" width="5.625" style="393" customWidth="1"/>
    <col min="4619" max="4619" width="29.5" style="393" customWidth="1"/>
    <col min="4620" max="4620" width="6.625" style="393" customWidth="1"/>
    <col min="4621" max="4621" width="3" style="393" customWidth="1"/>
    <col min="4622" max="4622" width="4.5" style="393" customWidth="1"/>
    <col min="4623" max="4623" width="18.375" style="393" customWidth="1"/>
    <col min="4624" max="4629" width="6.125" style="393" customWidth="1"/>
    <col min="4630" max="4630" width="3" style="393" customWidth="1"/>
    <col min="4631" max="4631" width="4.25" style="393" customWidth="1"/>
    <col min="4632" max="4632" width="14.25" style="393" customWidth="1"/>
    <col min="4633" max="4635" width="9.375" style="393" customWidth="1"/>
    <col min="4636" max="4864" width="9" style="393"/>
    <col min="4865" max="4865" width="4.75" style="393" customWidth="1"/>
    <col min="4866" max="4866" width="18.625" style="393" customWidth="1"/>
    <col min="4867" max="4867" width="12.375" style="393" customWidth="1"/>
    <col min="4868" max="4868" width="5.625" style="393" customWidth="1"/>
    <col min="4869" max="4869" width="12.375" style="393" customWidth="1"/>
    <col min="4870" max="4870" width="5.625" style="393" customWidth="1"/>
    <col min="4871" max="4871" width="12.375" style="393" customWidth="1"/>
    <col min="4872" max="4872" width="5.625" style="393" customWidth="1"/>
    <col min="4873" max="4873" width="12.375" style="393" customWidth="1"/>
    <col min="4874" max="4874" width="5.625" style="393" customWidth="1"/>
    <col min="4875" max="4875" width="29.5" style="393" customWidth="1"/>
    <col min="4876" max="4876" width="6.625" style="393" customWidth="1"/>
    <col min="4877" max="4877" width="3" style="393" customWidth="1"/>
    <col min="4878" max="4878" width="4.5" style="393" customWidth="1"/>
    <col min="4879" max="4879" width="18.375" style="393" customWidth="1"/>
    <col min="4880" max="4885" width="6.125" style="393" customWidth="1"/>
    <col min="4886" max="4886" width="3" style="393" customWidth="1"/>
    <col min="4887" max="4887" width="4.25" style="393" customWidth="1"/>
    <col min="4888" max="4888" width="14.25" style="393" customWidth="1"/>
    <col min="4889" max="4891" width="9.375" style="393" customWidth="1"/>
    <col min="4892" max="5120" width="9" style="393"/>
    <col min="5121" max="5121" width="4.75" style="393" customWidth="1"/>
    <col min="5122" max="5122" width="18.625" style="393" customWidth="1"/>
    <col min="5123" max="5123" width="12.375" style="393" customWidth="1"/>
    <col min="5124" max="5124" width="5.625" style="393" customWidth="1"/>
    <col min="5125" max="5125" width="12.375" style="393" customWidth="1"/>
    <col min="5126" max="5126" width="5.625" style="393" customWidth="1"/>
    <col min="5127" max="5127" width="12.375" style="393" customWidth="1"/>
    <col min="5128" max="5128" width="5.625" style="393" customWidth="1"/>
    <col min="5129" max="5129" width="12.375" style="393" customWidth="1"/>
    <col min="5130" max="5130" width="5.625" style="393" customWidth="1"/>
    <col min="5131" max="5131" width="29.5" style="393" customWidth="1"/>
    <col min="5132" max="5132" width="6.625" style="393" customWidth="1"/>
    <col min="5133" max="5133" width="3" style="393" customWidth="1"/>
    <col min="5134" max="5134" width="4.5" style="393" customWidth="1"/>
    <col min="5135" max="5135" width="18.375" style="393" customWidth="1"/>
    <col min="5136" max="5141" width="6.125" style="393" customWidth="1"/>
    <col min="5142" max="5142" width="3" style="393" customWidth="1"/>
    <col min="5143" max="5143" width="4.25" style="393" customWidth="1"/>
    <col min="5144" max="5144" width="14.25" style="393" customWidth="1"/>
    <col min="5145" max="5147" width="9.375" style="393" customWidth="1"/>
    <col min="5148" max="5376" width="9" style="393"/>
    <col min="5377" max="5377" width="4.75" style="393" customWidth="1"/>
    <col min="5378" max="5378" width="18.625" style="393" customWidth="1"/>
    <col min="5379" max="5379" width="12.375" style="393" customWidth="1"/>
    <col min="5380" max="5380" width="5.625" style="393" customWidth="1"/>
    <col min="5381" max="5381" width="12.375" style="393" customWidth="1"/>
    <col min="5382" max="5382" width="5.625" style="393" customWidth="1"/>
    <col min="5383" max="5383" width="12.375" style="393" customWidth="1"/>
    <col min="5384" max="5384" width="5.625" style="393" customWidth="1"/>
    <col min="5385" max="5385" width="12.375" style="393" customWidth="1"/>
    <col min="5386" max="5386" width="5.625" style="393" customWidth="1"/>
    <col min="5387" max="5387" width="29.5" style="393" customWidth="1"/>
    <col min="5388" max="5388" width="6.625" style="393" customWidth="1"/>
    <col min="5389" max="5389" width="3" style="393" customWidth="1"/>
    <col min="5390" max="5390" width="4.5" style="393" customWidth="1"/>
    <col min="5391" max="5391" width="18.375" style="393" customWidth="1"/>
    <col min="5392" max="5397" width="6.125" style="393" customWidth="1"/>
    <col min="5398" max="5398" width="3" style="393" customWidth="1"/>
    <col min="5399" max="5399" width="4.25" style="393" customWidth="1"/>
    <col min="5400" max="5400" width="14.25" style="393" customWidth="1"/>
    <col min="5401" max="5403" width="9.375" style="393" customWidth="1"/>
    <col min="5404" max="5632" width="9" style="393"/>
    <col min="5633" max="5633" width="4.75" style="393" customWidth="1"/>
    <col min="5634" max="5634" width="18.625" style="393" customWidth="1"/>
    <col min="5635" max="5635" width="12.375" style="393" customWidth="1"/>
    <col min="5636" max="5636" width="5.625" style="393" customWidth="1"/>
    <col min="5637" max="5637" width="12.375" style="393" customWidth="1"/>
    <col min="5638" max="5638" width="5.625" style="393" customWidth="1"/>
    <col min="5639" max="5639" width="12.375" style="393" customWidth="1"/>
    <col min="5640" max="5640" width="5.625" style="393" customWidth="1"/>
    <col min="5641" max="5641" width="12.375" style="393" customWidth="1"/>
    <col min="5642" max="5642" width="5.625" style="393" customWidth="1"/>
    <col min="5643" max="5643" width="29.5" style="393" customWidth="1"/>
    <col min="5644" max="5644" width="6.625" style="393" customWidth="1"/>
    <col min="5645" max="5645" width="3" style="393" customWidth="1"/>
    <col min="5646" max="5646" width="4.5" style="393" customWidth="1"/>
    <col min="5647" max="5647" width="18.375" style="393" customWidth="1"/>
    <col min="5648" max="5653" width="6.125" style="393" customWidth="1"/>
    <col min="5654" max="5654" width="3" style="393" customWidth="1"/>
    <col min="5655" max="5655" width="4.25" style="393" customWidth="1"/>
    <col min="5656" max="5656" width="14.25" style="393" customWidth="1"/>
    <col min="5657" max="5659" width="9.375" style="393" customWidth="1"/>
    <col min="5660" max="5888" width="9" style="393"/>
    <col min="5889" max="5889" width="4.75" style="393" customWidth="1"/>
    <col min="5890" max="5890" width="18.625" style="393" customWidth="1"/>
    <col min="5891" max="5891" width="12.375" style="393" customWidth="1"/>
    <col min="5892" max="5892" width="5.625" style="393" customWidth="1"/>
    <col min="5893" max="5893" width="12.375" style="393" customWidth="1"/>
    <col min="5894" max="5894" width="5.625" style="393" customWidth="1"/>
    <col min="5895" max="5895" width="12.375" style="393" customWidth="1"/>
    <col min="5896" max="5896" width="5.625" style="393" customWidth="1"/>
    <col min="5897" max="5897" width="12.375" style="393" customWidth="1"/>
    <col min="5898" max="5898" width="5.625" style="393" customWidth="1"/>
    <col min="5899" max="5899" width="29.5" style="393" customWidth="1"/>
    <col min="5900" max="5900" width="6.625" style="393" customWidth="1"/>
    <col min="5901" max="5901" width="3" style="393" customWidth="1"/>
    <col min="5902" max="5902" width="4.5" style="393" customWidth="1"/>
    <col min="5903" max="5903" width="18.375" style="393" customWidth="1"/>
    <col min="5904" max="5909" width="6.125" style="393" customWidth="1"/>
    <col min="5910" max="5910" width="3" style="393" customWidth="1"/>
    <col min="5911" max="5911" width="4.25" style="393" customWidth="1"/>
    <col min="5912" max="5912" width="14.25" style="393" customWidth="1"/>
    <col min="5913" max="5915" width="9.375" style="393" customWidth="1"/>
    <col min="5916" max="6144" width="9" style="393"/>
    <col min="6145" max="6145" width="4.75" style="393" customWidth="1"/>
    <col min="6146" max="6146" width="18.625" style="393" customWidth="1"/>
    <col min="6147" max="6147" width="12.375" style="393" customWidth="1"/>
    <col min="6148" max="6148" width="5.625" style="393" customWidth="1"/>
    <col min="6149" max="6149" width="12.375" style="393" customWidth="1"/>
    <col min="6150" max="6150" width="5.625" style="393" customWidth="1"/>
    <col min="6151" max="6151" width="12.375" style="393" customWidth="1"/>
    <col min="6152" max="6152" width="5.625" style="393" customWidth="1"/>
    <col min="6153" max="6153" width="12.375" style="393" customWidth="1"/>
    <col min="6154" max="6154" width="5.625" style="393" customWidth="1"/>
    <col min="6155" max="6155" width="29.5" style="393" customWidth="1"/>
    <col min="6156" max="6156" width="6.625" style="393" customWidth="1"/>
    <col min="6157" max="6157" width="3" style="393" customWidth="1"/>
    <col min="6158" max="6158" width="4.5" style="393" customWidth="1"/>
    <col min="6159" max="6159" width="18.375" style="393" customWidth="1"/>
    <col min="6160" max="6165" width="6.125" style="393" customWidth="1"/>
    <col min="6166" max="6166" width="3" style="393" customWidth="1"/>
    <col min="6167" max="6167" width="4.25" style="393" customWidth="1"/>
    <col min="6168" max="6168" width="14.25" style="393" customWidth="1"/>
    <col min="6169" max="6171" width="9.375" style="393" customWidth="1"/>
    <col min="6172" max="6400" width="9" style="393"/>
    <col min="6401" max="6401" width="4.75" style="393" customWidth="1"/>
    <col min="6402" max="6402" width="18.625" style="393" customWidth="1"/>
    <col min="6403" max="6403" width="12.375" style="393" customWidth="1"/>
    <col min="6404" max="6404" width="5.625" style="393" customWidth="1"/>
    <col min="6405" max="6405" width="12.375" style="393" customWidth="1"/>
    <col min="6406" max="6406" width="5.625" style="393" customWidth="1"/>
    <col min="6407" max="6407" width="12.375" style="393" customWidth="1"/>
    <col min="6408" max="6408" width="5.625" style="393" customWidth="1"/>
    <col min="6409" max="6409" width="12.375" style="393" customWidth="1"/>
    <col min="6410" max="6410" width="5.625" style="393" customWidth="1"/>
    <col min="6411" max="6411" width="29.5" style="393" customWidth="1"/>
    <col min="6412" max="6412" width="6.625" style="393" customWidth="1"/>
    <col min="6413" max="6413" width="3" style="393" customWidth="1"/>
    <col min="6414" max="6414" width="4.5" style="393" customWidth="1"/>
    <col min="6415" max="6415" width="18.375" style="393" customWidth="1"/>
    <col min="6416" max="6421" width="6.125" style="393" customWidth="1"/>
    <col min="6422" max="6422" width="3" style="393" customWidth="1"/>
    <col min="6423" max="6423" width="4.25" style="393" customWidth="1"/>
    <col min="6424" max="6424" width="14.25" style="393" customWidth="1"/>
    <col min="6425" max="6427" width="9.375" style="393" customWidth="1"/>
    <col min="6428" max="6656" width="9" style="393"/>
    <col min="6657" max="6657" width="4.75" style="393" customWidth="1"/>
    <col min="6658" max="6658" width="18.625" style="393" customWidth="1"/>
    <col min="6659" max="6659" width="12.375" style="393" customWidth="1"/>
    <col min="6660" max="6660" width="5.625" style="393" customWidth="1"/>
    <col min="6661" max="6661" width="12.375" style="393" customWidth="1"/>
    <col min="6662" max="6662" width="5.625" style="393" customWidth="1"/>
    <col min="6663" max="6663" width="12.375" style="393" customWidth="1"/>
    <col min="6664" max="6664" width="5.625" style="393" customWidth="1"/>
    <col min="6665" max="6665" width="12.375" style="393" customWidth="1"/>
    <col min="6666" max="6666" width="5.625" style="393" customWidth="1"/>
    <col min="6667" max="6667" width="29.5" style="393" customWidth="1"/>
    <col min="6668" max="6668" width="6.625" style="393" customWidth="1"/>
    <col min="6669" max="6669" width="3" style="393" customWidth="1"/>
    <col min="6670" max="6670" width="4.5" style="393" customWidth="1"/>
    <col min="6671" max="6671" width="18.375" style="393" customWidth="1"/>
    <col min="6672" max="6677" width="6.125" style="393" customWidth="1"/>
    <col min="6678" max="6678" width="3" style="393" customWidth="1"/>
    <col min="6679" max="6679" width="4.25" style="393" customWidth="1"/>
    <col min="6680" max="6680" width="14.25" style="393" customWidth="1"/>
    <col min="6681" max="6683" width="9.375" style="393" customWidth="1"/>
    <col min="6684" max="6912" width="9" style="393"/>
    <col min="6913" max="6913" width="4.75" style="393" customWidth="1"/>
    <col min="6914" max="6914" width="18.625" style="393" customWidth="1"/>
    <col min="6915" max="6915" width="12.375" style="393" customWidth="1"/>
    <col min="6916" max="6916" width="5.625" style="393" customWidth="1"/>
    <col min="6917" max="6917" width="12.375" style="393" customWidth="1"/>
    <col min="6918" max="6918" width="5.625" style="393" customWidth="1"/>
    <col min="6919" max="6919" width="12.375" style="393" customWidth="1"/>
    <col min="6920" max="6920" width="5.625" style="393" customWidth="1"/>
    <col min="6921" max="6921" width="12.375" style="393" customWidth="1"/>
    <col min="6922" max="6922" width="5.625" style="393" customWidth="1"/>
    <col min="6923" max="6923" width="29.5" style="393" customWidth="1"/>
    <col min="6924" max="6924" width="6.625" style="393" customWidth="1"/>
    <col min="6925" max="6925" width="3" style="393" customWidth="1"/>
    <col min="6926" max="6926" width="4.5" style="393" customWidth="1"/>
    <col min="6927" max="6927" width="18.375" style="393" customWidth="1"/>
    <col min="6928" max="6933" width="6.125" style="393" customWidth="1"/>
    <col min="6934" max="6934" width="3" style="393" customWidth="1"/>
    <col min="6935" max="6935" width="4.25" style="393" customWidth="1"/>
    <col min="6936" max="6936" width="14.25" style="393" customWidth="1"/>
    <col min="6937" max="6939" width="9.375" style="393" customWidth="1"/>
    <col min="6940" max="7168" width="9" style="393"/>
    <col min="7169" max="7169" width="4.75" style="393" customWidth="1"/>
    <col min="7170" max="7170" width="18.625" style="393" customWidth="1"/>
    <col min="7171" max="7171" width="12.375" style="393" customWidth="1"/>
    <col min="7172" max="7172" width="5.625" style="393" customWidth="1"/>
    <col min="7173" max="7173" width="12.375" style="393" customWidth="1"/>
    <col min="7174" max="7174" width="5.625" style="393" customWidth="1"/>
    <col min="7175" max="7175" width="12.375" style="393" customWidth="1"/>
    <col min="7176" max="7176" width="5.625" style="393" customWidth="1"/>
    <col min="7177" max="7177" width="12.375" style="393" customWidth="1"/>
    <col min="7178" max="7178" width="5.625" style="393" customWidth="1"/>
    <col min="7179" max="7179" width="29.5" style="393" customWidth="1"/>
    <col min="7180" max="7180" width="6.625" style="393" customWidth="1"/>
    <col min="7181" max="7181" width="3" style="393" customWidth="1"/>
    <col min="7182" max="7182" width="4.5" style="393" customWidth="1"/>
    <col min="7183" max="7183" width="18.375" style="393" customWidth="1"/>
    <col min="7184" max="7189" width="6.125" style="393" customWidth="1"/>
    <col min="7190" max="7190" width="3" style="393" customWidth="1"/>
    <col min="7191" max="7191" width="4.25" style="393" customWidth="1"/>
    <col min="7192" max="7192" width="14.25" style="393" customWidth="1"/>
    <col min="7193" max="7195" width="9.375" style="393" customWidth="1"/>
    <col min="7196" max="7424" width="9" style="393"/>
    <col min="7425" max="7425" width="4.75" style="393" customWidth="1"/>
    <col min="7426" max="7426" width="18.625" style="393" customWidth="1"/>
    <col min="7427" max="7427" width="12.375" style="393" customWidth="1"/>
    <col min="7428" max="7428" width="5.625" style="393" customWidth="1"/>
    <col min="7429" max="7429" width="12.375" style="393" customWidth="1"/>
    <col min="7430" max="7430" width="5.625" style="393" customWidth="1"/>
    <col min="7431" max="7431" width="12.375" style="393" customWidth="1"/>
    <col min="7432" max="7432" width="5.625" style="393" customWidth="1"/>
    <col min="7433" max="7433" width="12.375" style="393" customWidth="1"/>
    <col min="7434" max="7434" width="5.625" style="393" customWidth="1"/>
    <col min="7435" max="7435" width="29.5" style="393" customWidth="1"/>
    <col min="7436" max="7436" width="6.625" style="393" customWidth="1"/>
    <col min="7437" max="7437" width="3" style="393" customWidth="1"/>
    <col min="7438" max="7438" width="4.5" style="393" customWidth="1"/>
    <col min="7439" max="7439" width="18.375" style="393" customWidth="1"/>
    <col min="7440" max="7445" width="6.125" style="393" customWidth="1"/>
    <col min="7446" max="7446" width="3" style="393" customWidth="1"/>
    <col min="7447" max="7447" width="4.25" style="393" customWidth="1"/>
    <col min="7448" max="7448" width="14.25" style="393" customWidth="1"/>
    <col min="7449" max="7451" width="9.375" style="393" customWidth="1"/>
    <col min="7452" max="7680" width="9" style="393"/>
    <col min="7681" max="7681" width="4.75" style="393" customWidth="1"/>
    <col min="7682" max="7682" width="18.625" style="393" customWidth="1"/>
    <col min="7683" max="7683" width="12.375" style="393" customWidth="1"/>
    <col min="7684" max="7684" width="5.625" style="393" customWidth="1"/>
    <col min="7685" max="7685" width="12.375" style="393" customWidth="1"/>
    <col min="7686" max="7686" width="5.625" style="393" customWidth="1"/>
    <col min="7687" max="7687" width="12.375" style="393" customWidth="1"/>
    <col min="7688" max="7688" width="5.625" style="393" customWidth="1"/>
    <col min="7689" max="7689" width="12.375" style="393" customWidth="1"/>
    <col min="7690" max="7690" width="5.625" style="393" customWidth="1"/>
    <col min="7691" max="7691" width="29.5" style="393" customWidth="1"/>
    <col min="7692" max="7692" width="6.625" style="393" customWidth="1"/>
    <col min="7693" max="7693" width="3" style="393" customWidth="1"/>
    <col min="7694" max="7694" width="4.5" style="393" customWidth="1"/>
    <col min="7695" max="7695" width="18.375" style="393" customWidth="1"/>
    <col min="7696" max="7701" width="6.125" style="393" customWidth="1"/>
    <col min="7702" max="7702" width="3" style="393" customWidth="1"/>
    <col min="7703" max="7703" width="4.25" style="393" customWidth="1"/>
    <col min="7704" max="7704" width="14.25" style="393" customWidth="1"/>
    <col min="7705" max="7707" width="9.375" style="393" customWidth="1"/>
    <col min="7708" max="7936" width="9" style="393"/>
    <col min="7937" max="7937" width="4.75" style="393" customWidth="1"/>
    <col min="7938" max="7938" width="18.625" style="393" customWidth="1"/>
    <col min="7939" max="7939" width="12.375" style="393" customWidth="1"/>
    <col min="7940" max="7940" width="5.625" style="393" customWidth="1"/>
    <col min="7941" max="7941" width="12.375" style="393" customWidth="1"/>
    <col min="7942" max="7942" width="5.625" style="393" customWidth="1"/>
    <col min="7943" max="7943" width="12.375" style="393" customWidth="1"/>
    <col min="7944" max="7944" width="5.625" style="393" customWidth="1"/>
    <col min="7945" max="7945" width="12.375" style="393" customWidth="1"/>
    <col min="7946" max="7946" width="5.625" style="393" customWidth="1"/>
    <col min="7947" max="7947" width="29.5" style="393" customWidth="1"/>
    <col min="7948" max="7948" width="6.625" style="393" customWidth="1"/>
    <col min="7949" max="7949" width="3" style="393" customWidth="1"/>
    <col min="7950" max="7950" width="4.5" style="393" customWidth="1"/>
    <col min="7951" max="7951" width="18.375" style="393" customWidth="1"/>
    <col min="7952" max="7957" width="6.125" style="393" customWidth="1"/>
    <col min="7958" max="7958" width="3" style="393" customWidth="1"/>
    <col min="7959" max="7959" width="4.25" style="393" customWidth="1"/>
    <col min="7960" max="7960" width="14.25" style="393" customWidth="1"/>
    <col min="7961" max="7963" width="9.375" style="393" customWidth="1"/>
    <col min="7964" max="8192" width="9" style="393"/>
    <col min="8193" max="8193" width="4.75" style="393" customWidth="1"/>
    <col min="8194" max="8194" width="18.625" style="393" customWidth="1"/>
    <col min="8195" max="8195" width="12.375" style="393" customWidth="1"/>
    <col min="8196" max="8196" width="5.625" style="393" customWidth="1"/>
    <col min="8197" max="8197" width="12.375" style="393" customWidth="1"/>
    <col min="8198" max="8198" width="5.625" style="393" customWidth="1"/>
    <col min="8199" max="8199" width="12.375" style="393" customWidth="1"/>
    <col min="8200" max="8200" width="5.625" style="393" customWidth="1"/>
    <col min="8201" max="8201" width="12.375" style="393" customWidth="1"/>
    <col min="8202" max="8202" width="5.625" style="393" customWidth="1"/>
    <col min="8203" max="8203" width="29.5" style="393" customWidth="1"/>
    <col min="8204" max="8204" width="6.625" style="393" customWidth="1"/>
    <col min="8205" max="8205" width="3" style="393" customWidth="1"/>
    <col min="8206" max="8206" width="4.5" style="393" customWidth="1"/>
    <col min="8207" max="8207" width="18.375" style="393" customWidth="1"/>
    <col min="8208" max="8213" width="6.125" style="393" customWidth="1"/>
    <col min="8214" max="8214" width="3" style="393" customWidth="1"/>
    <col min="8215" max="8215" width="4.25" style="393" customWidth="1"/>
    <col min="8216" max="8216" width="14.25" style="393" customWidth="1"/>
    <col min="8217" max="8219" width="9.375" style="393" customWidth="1"/>
    <col min="8220" max="8448" width="9" style="393"/>
    <col min="8449" max="8449" width="4.75" style="393" customWidth="1"/>
    <col min="8450" max="8450" width="18.625" style="393" customWidth="1"/>
    <col min="8451" max="8451" width="12.375" style="393" customWidth="1"/>
    <col min="8452" max="8452" width="5.625" style="393" customWidth="1"/>
    <col min="8453" max="8453" width="12.375" style="393" customWidth="1"/>
    <col min="8454" max="8454" width="5.625" style="393" customWidth="1"/>
    <col min="8455" max="8455" width="12.375" style="393" customWidth="1"/>
    <col min="8456" max="8456" width="5.625" style="393" customWidth="1"/>
    <col min="8457" max="8457" width="12.375" style="393" customWidth="1"/>
    <col min="8458" max="8458" width="5.625" style="393" customWidth="1"/>
    <col min="8459" max="8459" width="29.5" style="393" customWidth="1"/>
    <col min="8460" max="8460" width="6.625" style="393" customWidth="1"/>
    <col min="8461" max="8461" width="3" style="393" customWidth="1"/>
    <col min="8462" max="8462" width="4.5" style="393" customWidth="1"/>
    <col min="8463" max="8463" width="18.375" style="393" customWidth="1"/>
    <col min="8464" max="8469" width="6.125" style="393" customWidth="1"/>
    <col min="8470" max="8470" width="3" style="393" customWidth="1"/>
    <col min="8471" max="8471" width="4.25" style="393" customWidth="1"/>
    <col min="8472" max="8472" width="14.25" style="393" customWidth="1"/>
    <col min="8473" max="8475" width="9.375" style="393" customWidth="1"/>
    <col min="8476" max="8704" width="9" style="393"/>
    <col min="8705" max="8705" width="4.75" style="393" customWidth="1"/>
    <col min="8706" max="8706" width="18.625" style="393" customWidth="1"/>
    <col min="8707" max="8707" width="12.375" style="393" customWidth="1"/>
    <col min="8708" max="8708" width="5.625" style="393" customWidth="1"/>
    <col min="8709" max="8709" width="12.375" style="393" customWidth="1"/>
    <col min="8710" max="8710" width="5.625" style="393" customWidth="1"/>
    <col min="8711" max="8711" width="12.375" style="393" customWidth="1"/>
    <col min="8712" max="8712" width="5.625" style="393" customWidth="1"/>
    <col min="8713" max="8713" width="12.375" style="393" customWidth="1"/>
    <col min="8714" max="8714" width="5.625" style="393" customWidth="1"/>
    <col min="8715" max="8715" width="29.5" style="393" customWidth="1"/>
    <col min="8716" max="8716" width="6.625" style="393" customWidth="1"/>
    <col min="8717" max="8717" width="3" style="393" customWidth="1"/>
    <col min="8718" max="8718" width="4.5" style="393" customWidth="1"/>
    <col min="8719" max="8719" width="18.375" style="393" customWidth="1"/>
    <col min="8720" max="8725" width="6.125" style="393" customWidth="1"/>
    <col min="8726" max="8726" width="3" style="393" customWidth="1"/>
    <col min="8727" max="8727" width="4.25" style="393" customWidth="1"/>
    <col min="8728" max="8728" width="14.25" style="393" customWidth="1"/>
    <col min="8729" max="8731" width="9.375" style="393" customWidth="1"/>
    <col min="8732" max="8960" width="9" style="393"/>
    <col min="8961" max="8961" width="4.75" style="393" customWidth="1"/>
    <col min="8962" max="8962" width="18.625" style="393" customWidth="1"/>
    <col min="8963" max="8963" width="12.375" style="393" customWidth="1"/>
    <col min="8964" max="8964" width="5.625" style="393" customWidth="1"/>
    <col min="8965" max="8965" width="12.375" style="393" customWidth="1"/>
    <col min="8966" max="8966" width="5.625" style="393" customWidth="1"/>
    <col min="8967" max="8967" width="12.375" style="393" customWidth="1"/>
    <col min="8968" max="8968" width="5.625" style="393" customWidth="1"/>
    <col min="8969" max="8969" width="12.375" style="393" customWidth="1"/>
    <col min="8970" max="8970" width="5.625" style="393" customWidth="1"/>
    <col min="8971" max="8971" width="29.5" style="393" customWidth="1"/>
    <col min="8972" max="8972" width="6.625" style="393" customWidth="1"/>
    <col min="8973" max="8973" width="3" style="393" customWidth="1"/>
    <col min="8974" max="8974" width="4.5" style="393" customWidth="1"/>
    <col min="8975" max="8975" width="18.375" style="393" customWidth="1"/>
    <col min="8976" max="8981" width="6.125" style="393" customWidth="1"/>
    <col min="8982" max="8982" width="3" style="393" customWidth="1"/>
    <col min="8983" max="8983" width="4.25" style="393" customWidth="1"/>
    <col min="8984" max="8984" width="14.25" style="393" customWidth="1"/>
    <col min="8985" max="8987" width="9.375" style="393" customWidth="1"/>
    <col min="8988" max="9216" width="9" style="393"/>
    <col min="9217" max="9217" width="4.75" style="393" customWidth="1"/>
    <col min="9218" max="9218" width="18.625" style="393" customWidth="1"/>
    <col min="9219" max="9219" width="12.375" style="393" customWidth="1"/>
    <col min="9220" max="9220" width="5.625" style="393" customWidth="1"/>
    <col min="9221" max="9221" width="12.375" style="393" customWidth="1"/>
    <col min="9222" max="9222" width="5.625" style="393" customWidth="1"/>
    <col min="9223" max="9223" width="12.375" style="393" customWidth="1"/>
    <col min="9224" max="9224" width="5.625" style="393" customWidth="1"/>
    <col min="9225" max="9225" width="12.375" style="393" customWidth="1"/>
    <col min="9226" max="9226" width="5.625" style="393" customWidth="1"/>
    <col min="9227" max="9227" width="29.5" style="393" customWidth="1"/>
    <col min="9228" max="9228" width="6.625" style="393" customWidth="1"/>
    <col min="9229" max="9229" width="3" style="393" customWidth="1"/>
    <col min="9230" max="9230" width="4.5" style="393" customWidth="1"/>
    <col min="9231" max="9231" width="18.375" style="393" customWidth="1"/>
    <col min="9232" max="9237" width="6.125" style="393" customWidth="1"/>
    <col min="9238" max="9238" width="3" style="393" customWidth="1"/>
    <col min="9239" max="9239" width="4.25" style="393" customWidth="1"/>
    <col min="9240" max="9240" width="14.25" style="393" customWidth="1"/>
    <col min="9241" max="9243" width="9.375" style="393" customWidth="1"/>
    <col min="9244" max="9472" width="9" style="393"/>
    <col min="9473" max="9473" width="4.75" style="393" customWidth="1"/>
    <col min="9474" max="9474" width="18.625" style="393" customWidth="1"/>
    <col min="9475" max="9475" width="12.375" style="393" customWidth="1"/>
    <col min="9476" max="9476" width="5.625" style="393" customWidth="1"/>
    <col min="9477" max="9477" width="12.375" style="393" customWidth="1"/>
    <col min="9478" max="9478" width="5.625" style="393" customWidth="1"/>
    <col min="9479" max="9479" width="12.375" style="393" customWidth="1"/>
    <col min="9480" max="9480" width="5.625" style="393" customWidth="1"/>
    <col min="9481" max="9481" width="12.375" style="393" customWidth="1"/>
    <col min="9482" max="9482" width="5.625" style="393" customWidth="1"/>
    <col min="9483" max="9483" width="29.5" style="393" customWidth="1"/>
    <col min="9484" max="9484" width="6.625" style="393" customWidth="1"/>
    <col min="9485" max="9485" width="3" style="393" customWidth="1"/>
    <col min="9486" max="9486" width="4.5" style="393" customWidth="1"/>
    <col min="9487" max="9487" width="18.375" style="393" customWidth="1"/>
    <col min="9488" max="9493" width="6.125" style="393" customWidth="1"/>
    <col min="9494" max="9494" width="3" style="393" customWidth="1"/>
    <col min="9495" max="9495" width="4.25" style="393" customWidth="1"/>
    <col min="9496" max="9496" width="14.25" style="393" customWidth="1"/>
    <col min="9497" max="9499" width="9.375" style="393" customWidth="1"/>
    <col min="9500" max="9728" width="9" style="393"/>
    <col min="9729" max="9729" width="4.75" style="393" customWidth="1"/>
    <col min="9730" max="9730" width="18.625" style="393" customWidth="1"/>
    <col min="9731" max="9731" width="12.375" style="393" customWidth="1"/>
    <col min="9732" max="9732" width="5.625" style="393" customWidth="1"/>
    <col min="9733" max="9733" width="12.375" style="393" customWidth="1"/>
    <col min="9734" max="9734" width="5.625" style="393" customWidth="1"/>
    <col min="9735" max="9735" width="12.375" style="393" customWidth="1"/>
    <col min="9736" max="9736" width="5.625" style="393" customWidth="1"/>
    <col min="9737" max="9737" width="12.375" style="393" customWidth="1"/>
    <col min="9738" max="9738" width="5.625" style="393" customWidth="1"/>
    <col min="9739" max="9739" width="29.5" style="393" customWidth="1"/>
    <col min="9740" max="9740" width="6.625" style="393" customWidth="1"/>
    <col min="9741" max="9741" width="3" style="393" customWidth="1"/>
    <col min="9742" max="9742" width="4.5" style="393" customWidth="1"/>
    <col min="9743" max="9743" width="18.375" style="393" customWidth="1"/>
    <col min="9744" max="9749" width="6.125" style="393" customWidth="1"/>
    <col min="9750" max="9750" width="3" style="393" customWidth="1"/>
    <col min="9751" max="9751" width="4.25" style="393" customWidth="1"/>
    <col min="9752" max="9752" width="14.25" style="393" customWidth="1"/>
    <col min="9753" max="9755" width="9.375" style="393" customWidth="1"/>
    <col min="9756" max="9984" width="9" style="393"/>
    <col min="9985" max="9985" width="4.75" style="393" customWidth="1"/>
    <col min="9986" max="9986" width="18.625" style="393" customWidth="1"/>
    <col min="9987" max="9987" width="12.375" style="393" customWidth="1"/>
    <col min="9988" max="9988" width="5.625" style="393" customWidth="1"/>
    <col min="9989" max="9989" width="12.375" style="393" customWidth="1"/>
    <col min="9990" max="9990" width="5.625" style="393" customWidth="1"/>
    <col min="9991" max="9991" width="12.375" style="393" customWidth="1"/>
    <col min="9992" max="9992" width="5.625" style="393" customWidth="1"/>
    <col min="9993" max="9993" width="12.375" style="393" customWidth="1"/>
    <col min="9994" max="9994" width="5.625" style="393" customWidth="1"/>
    <col min="9995" max="9995" width="29.5" style="393" customWidth="1"/>
    <col min="9996" max="9996" width="6.625" style="393" customWidth="1"/>
    <col min="9997" max="9997" width="3" style="393" customWidth="1"/>
    <col min="9998" max="9998" width="4.5" style="393" customWidth="1"/>
    <col min="9999" max="9999" width="18.375" style="393" customWidth="1"/>
    <col min="10000" max="10005" width="6.125" style="393" customWidth="1"/>
    <col min="10006" max="10006" width="3" style="393" customWidth="1"/>
    <col min="10007" max="10007" width="4.25" style="393" customWidth="1"/>
    <col min="10008" max="10008" width="14.25" style="393" customWidth="1"/>
    <col min="10009" max="10011" width="9.375" style="393" customWidth="1"/>
    <col min="10012" max="10240" width="9" style="393"/>
    <col min="10241" max="10241" width="4.75" style="393" customWidth="1"/>
    <col min="10242" max="10242" width="18.625" style="393" customWidth="1"/>
    <col min="10243" max="10243" width="12.375" style="393" customWidth="1"/>
    <col min="10244" max="10244" width="5.625" style="393" customWidth="1"/>
    <col min="10245" max="10245" width="12.375" style="393" customWidth="1"/>
    <col min="10246" max="10246" width="5.625" style="393" customWidth="1"/>
    <col min="10247" max="10247" width="12.375" style="393" customWidth="1"/>
    <col min="10248" max="10248" width="5.625" style="393" customWidth="1"/>
    <col min="10249" max="10249" width="12.375" style="393" customWidth="1"/>
    <col min="10250" max="10250" width="5.625" style="393" customWidth="1"/>
    <col min="10251" max="10251" width="29.5" style="393" customWidth="1"/>
    <col min="10252" max="10252" width="6.625" style="393" customWidth="1"/>
    <col min="10253" max="10253" width="3" style="393" customWidth="1"/>
    <col min="10254" max="10254" width="4.5" style="393" customWidth="1"/>
    <col min="10255" max="10255" width="18.375" style="393" customWidth="1"/>
    <col min="10256" max="10261" width="6.125" style="393" customWidth="1"/>
    <col min="10262" max="10262" width="3" style="393" customWidth="1"/>
    <col min="10263" max="10263" width="4.25" style="393" customWidth="1"/>
    <col min="10264" max="10264" width="14.25" style="393" customWidth="1"/>
    <col min="10265" max="10267" width="9.375" style="393" customWidth="1"/>
    <col min="10268" max="10496" width="9" style="393"/>
    <col min="10497" max="10497" width="4.75" style="393" customWidth="1"/>
    <col min="10498" max="10498" width="18.625" style="393" customWidth="1"/>
    <col min="10499" max="10499" width="12.375" style="393" customWidth="1"/>
    <col min="10500" max="10500" width="5.625" style="393" customWidth="1"/>
    <col min="10501" max="10501" width="12.375" style="393" customWidth="1"/>
    <col min="10502" max="10502" width="5.625" style="393" customWidth="1"/>
    <col min="10503" max="10503" width="12.375" style="393" customWidth="1"/>
    <col min="10504" max="10504" width="5.625" style="393" customWidth="1"/>
    <col min="10505" max="10505" width="12.375" style="393" customWidth="1"/>
    <col min="10506" max="10506" width="5.625" style="393" customWidth="1"/>
    <col min="10507" max="10507" width="29.5" style="393" customWidth="1"/>
    <col min="10508" max="10508" width="6.625" style="393" customWidth="1"/>
    <col min="10509" max="10509" width="3" style="393" customWidth="1"/>
    <col min="10510" max="10510" width="4.5" style="393" customWidth="1"/>
    <col min="10511" max="10511" width="18.375" style="393" customWidth="1"/>
    <col min="10512" max="10517" width="6.125" style="393" customWidth="1"/>
    <col min="10518" max="10518" width="3" style="393" customWidth="1"/>
    <col min="10519" max="10519" width="4.25" style="393" customWidth="1"/>
    <col min="10520" max="10520" width="14.25" style="393" customWidth="1"/>
    <col min="10521" max="10523" width="9.375" style="393" customWidth="1"/>
    <col min="10524" max="10752" width="9" style="393"/>
    <col min="10753" max="10753" width="4.75" style="393" customWidth="1"/>
    <col min="10754" max="10754" width="18.625" style="393" customWidth="1"/>
    <col min="10755" max="10755" width="12.375" style="393" customWidth="1"/>
    <col min="10756" max="10756" width="5.625" style="393" customWidth="1"/>
    <col min="10757" max="10757" width="12.375" style="393" customWidth="1"/>
    <col min="10758" max="10758" width="5.625" style="393" customWidth="1"/>
    <col min="10759" max="10759" width="12.375" style="393" customWidth="1"/>
    <col min="10760" max="10760" width="5.625" style="393" customWidth="1"/>
    <col min="10761" max="10761" width="12.375" style="393" customWidth="1"/>
    <col min="10762" max="10762" width="5.625" style="393" customWidth="1"/>
    <col min="10763" max="10763" width="29.5" style="393" customWidth="1"/>
    <col min="10764" max="10764" width="6.625" style="393" customWidth="1"/>
    <col min="10765" max="10765" width="3" style="393" customWidth="1"/>
    <col min="10766" max="10766" width="4.5" style="393" customWidth="1"/>
    <col min="10767" max="10767" width="18.375" style="393" customWidth="1"/>
    <col min="10768" max="10773" width="6.125" style="393" customWidth="1"/>
    <col min="10774" max="10774" width="3" style="393" customWidth="1"/>
    <col min="10775" max="10775" width="4.25" style="393" customWidth="1"/>
    <col min="10776" max="10776" width="14.25" style="393" customWidth="1"/>
    <col min="10777" max="10779" width="9.375" style="393" customWidth="1"/>
    <col min="10780" max="11008" width="9" style="393"/>
    <col min="11009" max="11009" width="4.75" style="393" customWidth="1"/>
    <col min="11010" max="11010" width="18.625" style="393" customWidth="1"/>
    <col min="11011" max="11011" width="12.375" style="393" customWidth="1"/>
    <col min="11012" max="11012" width="5.625" style="393" customWidth="1"/>
    <col min="11013" max="11013" width="12.375" style="393" customWidth="1"/>
    <col min="11014" max="11014" width="5.625" style="393" customWidth="1"/>
    <col min="11015" max="11015" width="12.375" style="393" customWidth="1"/>
    <col min="11016" max="11016" width="5.625" style="393" customWidth="1"/>
    <col min="11017" max="11017" width="12.375" style="393" customWidth="1"/>
    <col min="11018" max="11018" width="5.625" style="393" customWidth="1"/>
    <col min="11019" max="11019" width="29.5" style="393" customWidth="1"/>
    <col min="11020" max="11020" width="6.625" style="393" customWidth="1"/>
    <col min="11021" max="11021" width="3" style="393" customWidth="1"/>
    <col min="11022" max="11022" width="4.5" style="393" customWidth="1"/>
    <col min="11023" max="11023" width="18.375" style="393" customWidth="1"/>
    <col min="11024" max="11029" width="6.125" style="393" customWidth="1"/>
    <col min="11030" max="11030" width="3" style="393" customWidth="1"/>
    <col min="11031" max="11031" width="4.25" style="393" customWidth="1"/>
    <col min="11032" max="11032" width="14.25" style="393" customWidth="1"/>
    <col min="11033" max="11035" width="9.375" style="393" customWidth="1"/>
    <col min="11036" max="11264" width="9" style="393"/>
    <col min="11265" max="11265" width="4.75" style="393" customWidth="1"/>
    <col min="11266" max="11266" width="18.625" style="393" customWidth="1"/>
    <col min="11267" max="11267" width="12.375" style="393" customWidth="1"/>
    <col min="11268" max="11268" width="5.625" style="393" customWidth="1"/>
    <col min="11269" max="11269" width="12.375" style="393" customWidth="1"/>
    <col min="11270" max="11270" width="5.625" style="393" customWidth="1"/>
    <col min="11271" max="11271" width="12.375" style="393" customWidth="1"/>
    <col min="11272" max="11272" width="5.625" style="393" customWidth="1"/>
    <col min="11273" max="11273" width="12.375" style="393" customWidth="1"/>
    <col min="11274" max="11274" width="5.625" style="393" customWidth="1"/>
    <col min="11275" max="11275" width="29.5" style="393" customWidth="1"/>
    <col min="11276" max="11276" width="6.625" style="393" customWidth="1"/>
    <col min="11277" max="11277" width="3" style="393" customWidth="1"/>
    <col min="11278" max="11278" width="4.5" style="393" customWidth="1"/>
    <col min="11279" max="11279" width="18.375" style="393" customWidth="1"/>
    <col min="11280" max="11285" width="6.125" style="393" customWidth="1"/>
    <col min="11286" max="11286" width="3" style="393" customWidth="1"/>
    <col min="11287" max="11287" width="4.25" style="393" customWidth="1"/>
    <col min="11288" max="11288" width="14.25" style="393" customWidth="1"/>
    <col min="11289" max="11291" width="9.375" style="393" customWidth="1"/>
    <col min="11292" max="11520" width="9" style="393"/>
    <col min="11521" max="11521" width="4.75" style="393" customWidth="1"/>
    <col min="11522" max="11522" width="18.625" style="393" customWidth="1"/>
    <col min="11523" max="11523" width="12.375" style="393" customWidth="1"/>
    <col min="11524" max="11524" width="5.625" style="393" customWidth="1"/>
    <col min="11525" max="11525" width="12.375" style="393" customWidth="1"/>
    <col min="11526" max="11526" width="5.625" style="393" customWidth="1"/>
    <col min="11527" max="11527" width="12.375" style="393" customWidth="1"/>
    <col min="11528" max="11528" width="5.625" style="393" customWidth="1"/>
    <col min="11529" max="11529" width="12.375" style="393" customWidth="1"/>
    <col min="11530" max="11530" width="5.625" style="393" customWidth="1"/>
    <col min="11531" max="11531" width="29.5" style="393" customWidth="1"/>
    <col min="11532" max="11532" width="6.625" style="393" customWidth="1"/>
    <col min="11533" max="11533" width="3" style="393" customWidth="1"/>
    <col min="11534" max="11534" width="4.5" style="393" customWidth="1"/>
    <col min="11535" max="11535" width="18.375" style="393" customWidth="1"/>
    <col min="11536" max="11541" width="6.125" style="393" customWidth="1"/>
    <col min="11542" max="11542" width="3" style="393" customWidth="1"/>
    <col min="11543" max="11543" width="4.25" style="393" customWidth="1"/>
    <col min="11544" max="11544" width="14.25" style="393" customWidth="1"/>
    <col min="11545" max="11547" width="9.375" style="393" customWidth="1"/>
    <col min="11548" max="11776" width="9" style="393"/>
    <col min="11777" max="11777" width="4.75" style="393" customWidth="1"/>
    <col min="11778" max="11778" width="18.625" style="393" customWidth="1"/>
    <col min="11779" max="11779" width="12.375" style="393" customWidth="1"/>
    <col min="11780" max="11780" width="5.625" style="393" customWidth="1"/>
    <col min="11781" max="11781" width="12.375" style="393" customWidth="1"/>
    <col min="11782" max="11782" width="5.625" style="393" customWidth="1"/>
    <col min="11783" max="11783" width="12.375" style="393" customWidth="1"/>
    <col min="11784" max="11784" width="5.625" style="393" customWidth="1"/>
    <col min="11785" max="11785" width="12.375" style="393" customWidth="1"/>
    <col min="11786" max="11786" width="5.625" style="393" customWidth="1"/>
    <col min="11787" max="11787" width="29.5" style="393" customWidth="1"/>
    <col min="11788" max="11788" width="6.625" style="393" customWidth="1"/>
    <col min="11789" max="11789" width="3" style="393" customWidth="1"/>
    <col min="11790" max="11790" width="4.5" style="393" customWidth="1"/>
    <col min="11791" max="11791" width="18.375" style="393" customWidth="1"/>
    <col min="11792" max="11797" width="6.125" style="393" customWidth="1"/>
    <col min="11798" max="11798" width="3" style="393" customWidth="1"/>
    <col min="11799" max="11799" width="4.25" style="393" customWidth="1"/>
    <col min="11800" max="11800" width="14.25" style="393" customWidth="1"/>
    <col min="11801" max="11803" width="9.375" style="393" customWidth="1"/>
    <col min="11804" max="12032" width="9" style="393"/>
    <col min="12033" max="12033" width="4.75" style="393" customWidth="1"/>
    <col min="12034" max="12034" width="18.625" style="393" customWidth="1"/>
    <col min="12035" max="12035" width="12.375" style="393" customWidth="1"/>
    <col min="12036" max="12036" width="5.625" style="393" customWidth="1"/>
    <col min="12037" max="12037" width="12.375" style="393" customWidth="1"/>
    <col min="12038" max="12038" width="5.625" style="393" customWidth="1"/>
    <col min="12039" max="12039" width="12.375" style="393" customWidth="1"/>
    <col min="12040" max="12040" width="5.625" style="393" customWidth="1"/>
    <col min="12041" max="12041" width="12.375" style="393" customWidth="1"/>
    <col min="12042" max="12042" width="5.625" style="393" customWidth="1"/>
    <col min="12043" max="12043" width="29.5" style="393" customWidth="1"/>
    <col min="12044" max="12044" width="6.625" style="393" customWidth="1"/>
    <col min="12045" max="12045" width="3" style="393" customWidth="1"/>
    <col min="12046" max="12046" width="4.5" style="393" customWidth="1"/>
    <col min="12047" max="12047" width="18.375" style="393" customWidth="1"/>
    <col min="12048" max="12053" width="6.125" style="393" customWidth="1"/>
    <col min="12054" max="12054" width="3" style="393" customWidth="1"/>
    <col min="12055" max="12055" width="4.25" style="393" customWidth="1"/>
    <col min="12056" max="12056" width="14.25" style="393" customWidth="1"/>
    <col min="12057" max="12059" width="9.375" style="393" customWidth="1"/>
    <col min="12060" max="12288" width="9" style="393"/>
    <col min="12289" max="12289" width="4.75" style="393" customWidth="1"/>
    <col min="12290" max="12290" width="18.625" style="393" customWidth="1"/>
    <col min="12291" max="12291" width="12.375" style="393" customWidth="1"/>
    <col min="12292" max="12292" width="5.625" style="393" customWidth="1"/>
    <col min="12293" max="12293" width="12.375" style="393" customWidth="1"/>
    <col min="12294" max="12294" width="5.625" style="393" customWidth="1"/>
    <col min="12295" max="12295" width="12.375" style="393" customWidth="1"/>
    <col min="12296" max="12296" width="5.625" style="393" customWidth="1"/>
    <col min="12297" max="12297" width="12.375" style="393" customWidth="1"/>
    <col min="12298" max="12298" width="5.625" style="393" customWidth="1"/>
    <col min="12299" max="12299" width="29.5" style="393" customWidth="1"/>
    <col min="12300" max="12300" width="6.625" style="393" customWidth="1"/>
    <col min="12301" max="12301" width="3" style="393" customWidth="1"/>
    <col min="12302" max="12302" width="4.5" style="393" customWidth="1"/>
    <col min="12303" max="12303" width="18.375" style="393" customWidth="1"/>
    <col min="12304" max="12309" width="6.125" style="393" customWidth="1"/>
    <col min="12310" max="12310" width="3" style="393" customWidth="1"/>
    <col min="12311" max="12311" width="4.25" style="393" customWidth="1"/>
    <col min="12312" max="12312" width="14.25" style="393" customWidth="1"/>
    <col min="12313" max="12315" width="9.375" style="393" customWidth="1"/>
    <col min="12316" max="12544" width="9" style="393"/>
    <col min="12545" max="12545" width="4.75" style="393" customWidth="1"/>
    <col min="12546" max="12546" width="18.625" style="393" customWidth="1"/>
    <col min="12547" max="12547" width="12.375" style="393" customWidth="1"/>
    <col min="12548" max="12548" width="5.625" style="393" customWidth="1"/>
    <col min="12549" max="12549" width="12.375" style="393" customWidth="1"/>
    <col min="12550" max="12550" width="5.625" style="393" customWidth="1"/>
    <col min="12551" max="12551" width="12.375" style="393" customWidth="1"/>
    <col min="12552" max="12552" width="5.625" style="393" customWidth="1"/>
    <col min="12553" max="12553" width="12.375" style="393" customWidth="1"/>
    <col min="12554" max="12554" width="5.625" style="393" customWidth="1"/>
    <col min="12555" max="12555" width="29.5" style="393" customWidth="1"/>
    <col min="12556" max="12556" width="6.625" style="393" customWidth="1"/>
    <col min="12557" max="12557" width="3" style="393" customWidth="1"/>
    <col min="12558" max="12558" width="4.5" style="393" customWidth="1"/>
    <col min="12559" max="12559" width="18.375" style="393" customWidth="1"/>
    <col min="12560" max="12565" width="6.125" style="393" customWidth="1"/>
    <col min="12566" max="12566" width="3" style="393" customWidth="1"/>
    <col min="12567" max="12567" width="4.25" style="393" customWidth="1"/>
    <col min="12568" max="12568" width="14.25" style="393" customWidth="1"/>
    <col min="12569" max="12571" width="9.375" style="393" customWidth="1"/>
    <col min="12572" max="12800" width="9" style="393"/>
    <col min="12801" max="12801" width="4.75" style="393" customWidth="1"/>
    <col min="12802" max="12802" width="18.625" style="393" customWidth="1"/>
    <col min="12803" max="12803" width="12.375" style="393" customWidth="1"/>
    <col min="12804" max="12804" width="5.625" style="393" customWidth="1"/>
    <col min="12805" max="12805" width="12.375" style="393" customWidth="1"/>
    <col min="12806" max="12806" width="5.625" style="393" customWidth="1"/>
    <col min="12807" max="12807" width="12.375" style="393" customWidth="1"/>
    <col min="12808" max="12808" width="5.625" style="393" customWidth="1"/>
    <col min="12809" max="12809" width="12.375" style="393" customWidth="1"/>
    <col min="12810" max="12810" width="5.625" style="393" customWidth="1"/>
    <col min="12811" max="12811" width="29.5" style="393" customWidth="1"/>
    <col min="12812" max="12812" width="6.625" style="393" customWidth="1"/>
    <col min="12813" max="12813" width="3" style="393" customWidth="1"/>
    <col min="12814" max="12814" width="4.5" style="393" customWidth="1"/>
    <col min="12815" max="12815" width="18.375" style="393" customWidth="1"/>
    <col min="12816" max="12821" width="6.125" style="393" customWidth="1"/>
    <col min="12822" max="12822" width="3" style="393" customWidth="1"/>
    <col min="12823" max="12823" width="4.25" style="393" customWidth="1"/>
    <col min="12824" max="12824" width="14.25" style="393" customWidth="1"/>
    <col min="12825" max="12827" width="9.375" style="393" customWidth="1"/>
    <col min="12828" max="13056" width="9" style="393"/>
    <col min="13057" max="13057" width="4.75" style="393" customWidth="1"/>
    <col min="13058" max="13058" width="18.625" style="393" customWidth="1"/>
    <col min="13059" max="13059" width="12.375" style="393" customWidth="1"/>
    <col min="13060" max="13060" width="5.625" style="393" customWidth="1"/>
    <col min="13061" max="13061" width="12.375" style="393" customWidth="1"/>
    <col min="13062" max="13062" width="5.625" style="393" customWidth="1"/>
    <col min="13063" max="13063" width="12.375" style="393" customWidth="1"/>
    <col min="13064" max="13064" width="5.625" style="393" customWidth="1"/>
    <col min="13065" max="13065" width="12.375" style="393" customWidth="1"/>
    <col min="13066" max="13066" width="5.625" style="393" customWidth="1"/>
    <col min="13067" max="13067" width="29.5" style="393" customWidth="1"/>
    <col min="13068" max="13068" width="6.625" style="393" customWidth="1"/>
    <col min="13069" max="13069" width="3" style="393" customWidth="1"/>
    <col min="13070" max="13070" width="4.5" style="393" customWidth="1"/>
    <col min="13071" max="13071" width="18.375" style="393" customWidth="1"/>
    <col min="13072" max="13077" width="6.125" style="393" customWidth="1"/>
    <col min="13078" max="13078" width="3" style="393" customWidth="1"/>
    <col min="13079" max="13079" width="4.25" style="393" customWidth="1"/>
    <col min="13080" max="13080" width="14.25" style="393" customWidth="1"/>
    <col min="13081" max="13083" width="9.375" style="393" customWidth="1"/>
    <col min="13084" max="13312" width="9" style="393"/>
    <col min="13313" max="13313" width="4.75" style="393" customWidth="1"/>
    <col min="13314" max="13314" width="18.625" style="393" customWidth="1"/>
    <col min="13315" max="13315" width="12.375" style="393" customWidth="1"/>
    <col min="13316" max="13316" width="5.625" style="393" customWidth="1"/>
    <col min="13317" max="13317" width="12.375" style="393" customWidth="1"/>
    <col min="13318" max="13318" width="5.625" style="393" customWidth="1"/>
    <col min="13319" max="13319" width="12.375" style="393" customWidth="1"/>
    <col min="13320" max="13320" width="5.625" style="393" customWidth="1"/>
    <col min="13321" max="13321" width="12.375" style="393" customWidth="1"/>
    <col min="13322" max="13322" width="5.625" style="393" customWidth="1"/>
    <col min="13323" max="13323" width="29.5" style="393" customWidth="1"/>
    <col min="13324" max="13324" width="6.625" style="393" customWidth="1"/>
    <col min="13325" max="13325" width="3" style="393" customWidth="1"/>
    <col min="13326" max="13326" width="4.5" style="393" customWidth="1"/>
    <col min="13327" max="13327" width="18.375" style="393" customWidth="1"/>
    <col min="13328" max="13333" width="6.125" style="393" customWidth="1"/>
    <col min="13334" max="13334" width="3" style="393" customWidth="1"/>
    <col min="13335" max="13335" width="4.25" style="393" customWidth="1"/>
    <col min="13336" max="13336" width="14.25" style="393" customWidth="1"/>
    <col min="13337" max="13339" width="9.375" style="393" customWidth="1"/>
    <col min="13340" max="13568" width="9" style="393"/>
    <col min="13569" max="13569" width="4.75" style="393" customWidth="1"/>
    <col min="13570" max="13570" width="18.625" style="393" customWidth="1"/>
    <col min="13571" max="13571" width="12.375" style="393" customWidth="1"/>
    <col min="13572" max="13572" width="5.625" style="393" customWidth="1"/>
    <col min="13573" max="13573" width="12.375" style="393" customWidth="1"/>
    <col min="13574" max="13574" width="5.625" style="393" customWidth="1"/>
    <col min="13575" max="13575" width="12.375" style="393" customWidth="1"/>
    <col min="13576" max="13576" width="5.625" style="393" customWidth="1"/>
    <col min="13577" max="13577" width="12.375" style="393" customWidth="1"/>
    <col min="13578" max="13578" width="5.625" style="393" customWidth="1"/>
    <col min="13579" max="13579" width="29.5" style="393" customWidth="1"/>
    <col min="13580" max="13580" width="6.625" style="393" customWidth="1"/>
    <col min="13581" max="13581" width="3" style="393" customWidth="1"/>
    <col min="13582" max="13582" width="4.5" style="393" customWidth="1"/>
    <col min="13583" max="13583" width="18.375" style="393" customWidth="1"/>
    <col min="13584" max="13589" width="6.125" style="393" customWidth="1"/>
    <col min="13590" max="13590" width="3" style="393" customWidth="1"/>
    <col min="13591" max="13591" width="4.25" style="393" customWidth="1"/>
    <col min="13592" max="13592" width="14.25" style="393" customWidth="1"/>
    <col min="13593" max="13595" width="9.375" style="393" customWidth="1"/>
    <col min="13596" max="13824" width="9" style="393"/>
    <col min="13825" max="13825" width="4.75" style="393" customWidth="1"/>
    <col min="13826" max="13826" width="18.625" style="393" customWidth="1"/>
    <col min="13827" max="13827" width="12.375" style="393" customWidth="1"/>
    <col min="13828" max="13828" width="5.625" style="393" customWidth="1"/>
    <col min="13829" max="13829" width="12.375" style="393" customWidth="1"/>
    <col min="13830" max="13830" width="5.625" style="393" customWidth="1"/>
    <col min="13831" max="13831" width="12.375" style="393" customWidth="1"/>
    <col min="13832" max="13832" width="5.625" style="393" customWidth="1"/>
    <col min="13833" max="13833" width="12.375" style="393" customWidth="1"/>
    <col min="13834" max="13834" width="5.625" style="393" customWidth="1"/>
    <col min="13835" max="13835" width="29.5" style="393" customWidth="1"/>
    <col min="13836" max="13836" width="6.625" style="393" customWidth="1"/>
    <col min="13837" max="13837" width="3" style="393" customWidth="1"/>
    <col min="13838" max="13838" width="4.5" style="393" customWidth="1"/>
    <col min="13839" max="13839" width="18.375" style="393" customWidth="1"/>
    <col min="13840" max="13845" width="6.125" style="393" customWidth="1"/>
    <col min="13846" max="13846" width="3" style="393" customWidth="1"/>
    <col min="13847" max="13847" width="4.25" style="393" customWidth="1"/>
    <col min="13848" max="13848" width="14.25" style="393" customWidth="1"/>
    <col min="13849" max="13851" width="9.375" style="393" customWidth="1"/>
    <col min="13852" max="14080" width="9" style="393"/>
    <col min="14081" max="14081" width="4.75" style="393" customWidth="1"/>
    <col min="14082" max="14082" width="18.625" style="393" customWidth="1"/>
    <col min="14083" max="14083" width="12.375" style="393" customWidth="1"/>
    <col min="14084" max="14084" width="5.625" style="393" customWidth="1"/>
    <col min="14085" max="14085" width="12.375" style="393" customWidth="1"/>
    <col min="14086" max="14086" width="5.625" style="393" customWidth="1"/>
    <col min="14087" max="14087" width="12.375" style="393" customWidth="1"/>
    <col min="14088" max="14088" width="5.625" style="393" customWidth="1"/>
    <col min="14089" max="14089" width="12.375" style="393" customWidth="1"/>
    <col min="14090" max="14090" width="5.625" style="393" customWidth="1"/>
    <col min="14091" max="14091" width="29.5" style="393" customWidth="1"/>
    <col min="14092" max="14092" width="6.625" style="393" customWidth="1"/>
    <col min="14093" max="14093" width="3" style="393" customWidth="1"/>
    <col min="14094" max="14094" width="4.5" style="393" customWidth="1"/>
    <col min="14095" max="14095" width="18.375" style="393" customWidth="1"/>
    <col min="14096" max="14101" width="6.125" style="393" customWidth="1"/>
    <col min="14102" max="14102" width="3" style="393" customWidth="1"/>
    <col min="14103" max="14103" width="4.25" style="393" customWidth="1"/>
    <col min="14104" max="14104" width="14.25" style="393" customWidth="1"/>
    <col min="14105" max="14107" width="9.375" style="393" customWidth="1"/>
    <col min="14108" max="14336" width="9" style="393"/>
    <col min="14337" max="14337" width="4.75" style="393" customWidth="1"/>
    <col min="14338" max="14338" width="18.625" style="393" customWidth="1"/>
    <col min="14339" max="14339" width="12.375" style="393" customWidth="1"/>
    <col min="14340" max="14340" width="5.625" style="393" customWidth="1"/>
    <col min="14341" max="14341" width="12.375" style="393" customWidth="1"/>
    <col min="14342" max="14342" width="5.625" style="393" customWidth="1"/>
    <col min="14343" max="14343" width="12.375" style="393" customWidth="1"/>
    <col min="14344" max="14344" width="5.625" style="393" customWidth="1"/>
    <col min="14345" max="14345" width="12.375" style="393" customWidth="1"/>
    <col min="14346" max="14346" width="5.625" style="393" customWidth="1"/>
    <col min="14347" max="14347" width="29.5" style="393" customWidth="1"/>
    <col min="14348" max="14348" width="6.625" style="393" customWidth="1"/>
    <col min="14349" max="14349" width="3" style="393" customWidth="1"/>
    <col min="14350" max="14350" width="4.5" style="393" customWidth="1"/>
    <col min="14351" max="14351" width="18.375" style="393" customWidth="1"/>
    <col min="14352" max="14357" width="6.125" style="393" customWidth="1"/>
    <col min="14358" max="14358" width="3" style="393" customWidth="1"/>
    <col min="14359" max="14359" width="4.25" style="393" customWidth="1"/>
    <col min="14360" max="14360" width="14.25" style="393" customWidth="1"/>
    <col min="14361" max="14363" width="9.375" style="393" customWidth="1"/>
    <col min="14364" max="14592" width="9" style="393"/>
    <col min="14593" max="14593" width="4.75" style="393" customWidth="1"/>
    <col min="14594" max="14594" width="18.625" style="393" customWidth="1"/>
    <col min="14595" max="14595" width="12.375" style="393" customWidth="1"/>
    <col min="14596" max="14596" width="5.625" style="393" customWidth="1"/>
    <col min="14597" max="14597" width="12.375" style="393" customWidth="1"/>
    <col min="14598" max="14598" width="5.625" style="393" customWidth="1"/>
    <col min="14599" max="14599" width="12.375" style="393" customWidth="1"/>
    <col min="14600" max="14600" width="5.625" style="393" customWidth="1"/>
    <col min="14601" max="14601" width="12.375" style="393" customWidth="1"/>
    <col min="14602" max="14602" width="5.625" style="393" customWidth="1"/>
    <col min="14603" max="14603" width="29.5" style="393" customWidth="1"/>
    <col min="14604" max="14604" width="6.625" style="393" customWidth="1"/>
    <col min="14605" max="14605" width="3" style="393" customWidth="1"/>
    <col min="14606" max="14606" width="4.5" style="393" customWidth="1"/>
    <col min="14607" max="14607" width="18.375" style="393" customWidth="1"/>
    <col min="14608" max="14613" width="6.125" style="393" customWidth="1"/>
    <col min="14614" max="14614" width="3" style="393" customWidth="1"/>
    <col min="14615" max="14615" width="4.25" style="393" customWidth="1"/>
    <col min="14616" max="14616" width="14.25" style="393" customWidth="1"/>
    <col min="14617" max="14619" width="9.375" style="393" customWidth="1"/>
    <col min="14620" max="14848" width="9" style="393"/>
    <col min="14849" max="14849" width="4.75" style="393" customWidth="1"/>
    <col min="14850" max="14850" width="18.625" style="393" customWidth="1"/>
    <col min="14851" max="14851" width="12.375" style="393" customWidth="1"/>
    <col min="14852" max="14852" width="5.625" style="393" customWidth="1"/>
    <col min="14853" max="14853" width="12.375" style="393" customWidth="1"/>
    <col min="14854" max="14854" width="5.625" style="393" customWidth="1"/>
    <col min="14855" max="14855" width="12.375" style="393" customWidth="1"/>
    <col min="14856" max="14856" width="5.625" style="393" customWidth="1"/>
    <col min="14857" max="14857" width="12.375" style="393" customWidth="1"/>
    <col min="14858" max="14858" width="5.625" style="393" customWidth="1"/>
    <col min="14859" max="14859" width="29.5" style="393" customWidth="1"/>
    <col min="14860" max="14860" width="6.625" style="393" customWidth="1"/>
    <col min="14861" max="14861" width="3" style="393" customWidth="1"/>
    <col min="14862" max="14862" width="4.5" style="393" customWidth="1"/>
    <col min="14863" max="14863" width="18.375" style="393" customWidth="1"/>
    <col min="14864" max="14869" width="6.125" style="393" customWidth="1"/>
    <col min="14870" max="14870" width="3" style="393" customWidth="1"/>
    <col min="14871" max="14871" width="4.25" style="393" customWidth="1"/>
    <col min="14872" max="14872" width="14.25" style="393" customWidth="1"/>
    <col min="14873" max="14875" width="9.375" style="393" customWidth="1"/>
    <col min="14876" max="15104" width="9" style="393"/>
    <col min="15105" max="15105" width="4.75" style="393" customWidth="1"/>
    <col min="15106" max="15106" width="18.625" style="393" customWidth="1"/>
    <col min="15107" max="15107" width="12.375" style="393" customWidth="1"/>
    <col min="15108" max="15108" width="5.625" style="393" customWidth="1"/>
    <col min="15109" max="15109" width="12.375" style="393" customWidth="1"/>
    <col min="15110" max="15110" width="5.625" style="393" customWidth="1"/>
    <col min="15111" max="15111" width="12.375" style="393" customWidth="1"/>
    <col min="15112" max="15112" width="5.625" style="393" customWidth="1"/>
    <col min="15113" max="15113" width="12.375" style="393" customWidth="1"/>
    <col min="15114" max="15114" width="5.625" style="393" customWidth="1"/>
    <col min="15115" max="15115" width="29.5" style="393" customWidth="1"/>
    <col min="15116" max="15116" width="6.625" style="393" customWidth="1"/>
    <col min="15117" max="15117" width="3" style="393" customWidth="1"/>
    <col min="15118" max="15118" width="4.5" style="393" customWidth="1"/>
    <col min="15119" max="15119" width="18.375" style="393" customWidth="1"/>
    <col min="15120" max="15125" width="6.125" style="393" customWidth="1"/>
    <col min="15126" max="15126" width="3" style="393" customWidth="1"/>
    <col min="15127" max="15127" width="4.25" style="393" customWidth="1"/>
    <col min="15128" max="15128" width="14.25" style="393" customWidth="1"/>
    <col min="15129" max="15131" width="9.375" style="393" customWidth="1"/>
    <col min="15132" max="15360" width="9" style="393"/>
    <col min="15361" max="15361" width="4.75" style="393" customWidth="1"/>
    <col min="15362" max="15362" width="18.625" style="393" customWidth="1"/>
    <col min="15363" max="15363" width="12.375" style="393" customWidth="1"/>
    <col min="15364" max="15364" width="5.625" style="393" customWidth="1"/>
    <col min="15365" max="15365" width="12.375" style="393" customWidth="1"/>
    <col min="15366" max="15366" width="5.625" style="393" customWidth="1"/>
    <col min="15367" max="15367" width="12.375" style="393" customWidth="1"/>
    <col min="15368" max="15368" width="5.625" style="393" customWidth="1"/>
    <col min="15369" max="15369" width="12.375" style="393" customWidth="1"/>
    <col min="15370" max="15370" width="5.625" style="393" customWidth="1"/>
    <col min="15371" max="15371" width="29.5" style="393" customWidth="1"/>
    <col min="15372" max="15372" width="6.625" style="393" customWidth="1"/>
    <col min="15373" max="15373" width="3" style="393" customWidth="1"/>
    <col min="15374" max="15374" width="4.5" style="393" customWidth="1"/>
    <col min="15375" max="15375" width="18.375" style="393" customWidth="1"/>
    <col min="15376" max="15381" width="6.125" style="393" customWidth="1"/>
    <col min="15382" max="15382" width="3" style="393" customWidth="1"/>
    <col min="15383" max="15383" width="4.25" style="393" customWidth="1"/>
    <col min="15384" max="15384" width="14.25" style="393" customWidth="1"/>
    <col min="15385" max="15387" width="9.375" style="393" customWidth="1"/>
    <col min="15388" max="15616" width="9" style="393"/>
    <col min="15617" max="15617" width="4.75" style="393" customWidth="1"/>
    <col min="15618" max="15618" width="18.625" style="393" customWidth="1"/>
    <col min="15619" max="15619" width="12.375" style="393" customWidth="1"/>
    <col min="15620" max="15620" width="5.625" style="393" customWidth="1"/>
    <col min="15621" max="15621" width="12.375" style="393" customWidth="1"/>
    <col min="15622" max="15622" width="5.625" style="393" customWidth="1"/>
    <col min="15623" max="15623" width="12.375" style="393" customWidth="1"/>
    <col min="15624" max="15624" width="5.625" style="393" customWidth="1"/>
    <col min="15625" max="15625" width="12.375" style="393" customWidth="1"/>
    <col min="15626" max="15626" width="5.625" style="393" customWidth="1"/>
    <col min="15627" max="15627" width="29.5" style="393" customWidth="1"/>
    <col min="15628" max="15628" width="6.625" style="393" customWidth="1"/>
    <col min="15629" max="15629" width="3" style="393" customWidth="1"/>
    <col min="15630" max="15630" width="4.5" style="393" customWidth="1"/>
    <col min="15631" max="15631" width="18.375" style="393" customWidth="1"/>
    <col min="15632" max="15637" width="6.125" style="393" customWidth="1"/>
    <col min="15638" max="15638" width="3" style="393" customWidth="1"/>
    <col min="15639" max="15639" width="4.25" style="393" customWidth="1"/>
    <col min="15640" max="15640" width="14.25" style="393" customWidth="1"/>
    <col min="15641" max="15643" width="9.375" style="393" customWidth="1"/>
    <col min="15644" max="15872" width="9" style="393"/>
    <col min="15873" max="15873" width="4.75" style="393" customWidth="1"/>
    <col min="15874" max="15874" width="18.625" style="393" customWidth="1"/>
    <col min="15875" max="15875" width="12.375" style="393" customWidth="1"/>
    <col min="15876" max="15876" width="5.625" style="393" customWidth="1"/>
    <col min="15877" max="15877" width="12.375" style="393" customWidth="1"/>
    <col min="15878" max="15878" width="5.625" style="393" customWidth="1"/>
    <col min="15879" max="15879" width="12.375" style="393" customWidth="1"/>
    <col min="15880" max="15880" width="5.625" style="393" customWidth="1"/>
    <col min="15881" max="15881" width="12.375" style="393" customWidth="1"/>
    <col min="15882" max="15882" width="5.625" style="393" customWidth="1"/>
    <col min="15883" max="15883" width="29.5" style="393" customWidth="1"/>
    <col min="15884" max="15884" width="6.625" style="393" customWidth="1"/>
    <col min="15885" max="15885" width="3" style="393" customWidth="1"/>
    <col min="15886" max="15886" width="4.5" style="393" customWidth="1"/>
    <col min="15887" max="15887" width="18.375" style="393" customWidth="1"/>
    <col min="15888" max="15893" width="6.125" style="393" customWidth="1"/>
    <col min="15894" max="15894" width="3" style="393" customWidth="1"/>
    <col min="15895" max="15895" width="4.25" style="393" customWidth="1"/>
    <col min="15896" max="15896" width="14.25" style="393" customWidth="1"/>
    <col min="15897" max="15899" width="9.375" style="393" customWidth="1"/>
    <col min="15900" max="16128" width="9" style="393"/>
    <col min="16129" max="16129" width="4.75" style="393" customWidth="1"/>
    <col min="16130" max="16130" width="18.625" style="393" customWidth="1"/>
    <col min="16131" max="16131" width="12.375" style="393" customWidth="1"/>
    <col min="16132" max="16132" width="5.625" style="393" customWidth="1"/>
    <col min="16133" max="16133" width="12.375" style="393" customWidth="1"/>
    <col min="16134" max="16134" width="5.625" style="393" customWidth="1"/>
    <col min="16135" max="16135" width="12.375" style="393" customWidth="1"/>
    <col min="16136" max="16136" width="5.625" style="393" customWidth="1"/>
    <col min="16137" max="16137" width="12.375" style="393" customWidth="1"/>
    <col min="16138" max="16138" width="5.625" style="393" customWidth="1"/>
    <col min="16139" max="16139" width="29.5" style="393" customWidth="1"/>
    <col min="16140" max="16140" width="6.625" style="393" customWidth="1"/>
    <col min="16141" max="16141" width="3" style="393" customWidth="1"/>
    <col min="16142" max="16142" width="4.5" style="393" customWidth="1"/>
    <col min="16143" max="16143" width="18.375" style="393" customWidth="1"/>
    <col min="16144" max="16149" width="6.125" style="393" customWidth="1"/>
    <col min="16150" max="16150" width="3" style="393" customWidth="1"/>
    <col min="16151" max="16151" width="4.25" style="393" customWidth="1"/>
    <col min="16152" max="16152" width="14.25" style="393" customWidth="1"/>
    <col min="16153" max="16155" width="9.375" style="393" customWidth="1"/>
    <col min="16156" max="16384" width="9" style="393"/>
  </cols>
  <sheetData>
    <row r="1" spans="1:27" ht="20.25">
      <c r="A1" s="617" t="s">
        <v>467</v>
      </c>
      <c r="B1" s="618"/>
      <c r="C1" s="618"/>
      <c r="D1" s="618"/>
      <c r="E1" s="618"/>
      <c r="F1" s="618"/>
      <c r="G1" s="618"/>
      <c r="H1" s="618"/>
      <c r="I1" s="618"/>
      <c r="J1" s="618"/>
      <c r="K1" s="390"/>
      <c r="L1" s="390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2"/>
    </row>
    <row r="2" spans="1:27">
      <c r="A2" s="619" t="s">
        <v>468</v>
      </c>
      <c r="B2" s="619"/>
      <c r="C2" s="619" t="s">
        <v>469</v>
      </c>
      <c r="D2" s="619"/>
      <c r="E2" s="619" t="s">
        <v>470</v>
      </c>
      <c r="F2" s="619"/>
      <c r="G2" s="619" t="s">
        <v>471</v>
      </c>
      <c r="H2" s="619"/>
      <c r="I2" s="619" t="s">
        <v>472</v>
      </c>
      <c r="J2" s="619"/>
      <c r="K2" s="623" t="s">
        <v>465</v>
      </c>
      <c r="L2" s="623"/>
      <c r="M2" s="624"/>
      <c r="N2" s="625" t="s">
        <v>468</v>
      </c>
      <c r="O2" s="626"/>
      <c r="P2" s="625" t="s">
        <v>470</v>
      </c>
      <c r="Q2" s="626"/>
      <c r="R2" s="625" t="s">
        <v>471</v>
      </c>
      <c r="S2" s="626"/>
      <c r="T2" s="625" t="s">
        <v>472</v>
      </c>
      <c r="U2" s="626"/>
      <c r="V2" s="624"/>
      <c r="W2" s="625" t="s">
        <v>468</v>
      </c>
      <c r="X2" s="626"/>
      <c r="Y2" s="620" t="s">
        <v>470</v>
      </c>
      <c r="Z2" s="620" t="s">
        <v>471</v>
      </c>
      <c r="AA2" s="620" t="s">
        <v>472</v>
      </c>
    </row>
    <row r="3" spans="1:27">
      <c r="A3" s="619"/>
      <c r="B3" s="619"/>
      <c r="C3" s="619" t="s">
        <v>473</v>
      </c>
      <c r="D3" s="619"/>
      <c r="E3" s="619" t="s">
        <v>538</v>
      </c>
      <c r="F3" s="619"/>
      <c r="G3" s="619" t="s">
        <v>541</v>
      </c>
      <c r="H3" s="619"/>
      <c r="I3" s="619" t="s">
        <v>544</v>
      </c>
      <c r="J3" s="619"/>
      <c r="K3" s="623"/>
      <c r="L3" s="623"/>
      <c r="M3" s="624"/>
      <c r="N3" s="627"/>
      <c r="O3" s="628"/>
      <c r="P3" s="627"/>
      <c r="Q3" s="628"/>
      <c r="R3" s="627"/>
      <c r="S3" s="628"/>
      <c r="T3" s="627"/>
      <c r="U3" s="628"/>
      <c r="V3" s="624"/>
      <c r="W3" s="627"/>
      <c r="X3" s="628"/>
      <c r="Y3" s="621"/>
      <c r="Z3" s="621"/>
      <c r="AA3" s="621"/>
    </row>
    <row r="4" spans="1:27">
      <c r="A4" s="619"/>
      <c r="B4" s="619"/>
      <c r="C4" s="619" t="s">
        <v>474</v>
      </c>
      <c r="D4" s="619"/>
      <c r="E4" s="619" t="s">
        <v>539</v>
      </c>
      <c r="F4" s="619"/>
      <c r="G4" s="619" t="s">
        <v>542</v>
      </c>
      <c r="H4" s="619"/>
      <c r="I4" s="619" t="s">
        <v>474</v>
      </c>
      <c r="J4" s="619"/>
      <c r="K4" s="623"/>
      <c r="L4" s="623"/>
      <c r="M4" s="624"/>
      <c r="N4" s="629"/>
      <c r="O4" s="630"/>
      <c r="P4" s="629"/>
      <c r="Q4" s="630"/>
      <c r="R4" s="629"/>
      <c r="S4" s="630"/>
      <c r="T4" s="629"/>
      <c r="U4" s="630"/>
      <c r="V4" s="624"/>
      <c r="W4" s="629"/>
      <c r="X4" s="630"/>
      <c r="Y4" s="622"/>
      <c r="Z4" s="622"/>
      <c r="AA4" s="622"/>
    </row>
    <row r="5" spans="1:27">
      <c r="A5" s="619" t="s">
        <v>475</v>
      </c>
      <c r="B5" s="619"/>
      <c r="C5" s="394"/>
      <c r="D5" s="395">
        <v>100</v>
      </c>
      <c r="E5" s="394"/>
      <c r="F5" s="395">
        <v>100</v>
      </c>
      <c r="G5" s="394"/>
      <c r="H5" s="395">
        <v>100</v>
      </c>
      <c r="I5" s="394"/>
      <c r="J5" s="395">
        <v>100</v>
      </c>
      <c r="K5" s="396" t="s">
        <v>476</v>
      </c>
      <c r="L5" s="397">
        <v>0.01</v>
      </c>
      <c r="M5" s="624"/>
      <c r="N5" s="631" t="str">
        <f t="shared" ref="N5:O20" si="0">A5</f>
        <v>交易时间</v>
      </c>
      <c r="O5" s="632"/>
      <c r="P5" s="398" t="s">
        <v>419</v>
      </c>
      <c r="Q5" s="399">
        <f t="shared" ref="Q5:Q30" si="1">F5</f>
        <v>100</v>
      </c>
      <c r="R5" s="398" t="s">
        <v>419</v>
      </c>
      <c r="S5" s="399">
        <f t="shared" ref="S5:S30" si="2">H5</f>
        <v>100</v>
      </c>
      <c r="T5" s="398" t="s">
        <v>419</v>
      </c>
      <c r="U5" s="399">
        <f t="shared" ref="U5:U30" si="3">J5</f>
        <v>100</v>
      </c>
      <c r="V5" s="624"/>
      <c r="W5" s="631" t="str">
        <f>N5</f>
        <v>交易时间</v>
      </c>
      <c r="X5" s="632"/>
      <c r="Y5" s="400">
        <f t="shared" ref="Y5:Y30" si="4">D5/F5</f>
        <v>1</v>
      </c>
      <c r="Z5" s="400">
        <f t="shared" ref="Z5:Z30" si="5">D5/H5</f>
        <v>1</v>
      </c>
      <c r="AA5" s="400">
        <f t="shared" ref="AA5:AA30" si="6">D5/J5</f>
        <v>1</v>
      </c>
    </row>
    <row r="6" spans="1:27">
      <c r="A6" s="619" t="s">
        <v>477</v>
      </c>
      <c r="B6" s="619"/>
      <c r="C6" s="394"/>
      <c r="D6" s="395">
        <v>100</v>
      </c>
      <c r="E6" s="394"/>
      <c r="F6" s="395">
        <v>100</v>
      </c>
      <c r="G6" s="394"/>
      <c r="H6" s="395">
        <v>100</v>
      </c>
      <c r="I6" s="394"/>
      <c r="J6" s="395">
        <v>100</v>
      </c>
      <c r="K6" s="396" t="s">
        <v>478</v>
      </c>
      <c r="L6" s="401" t="s">
        <v>456</v>
      </c>
      <c r="M6" s="624"/>
      <c r="N6" s="631" t="str">
        <f t="shared" si="0"/>
        <v>交易情况</v>
      </c>
      <c r="O6" s="632"/>
      <c r="P6" s="398" t="s">
        <v>419</v>
      </c>
      <c r="Q6" s="399">
        <f t="shared" si="1"/>
        <v>100</v>
      </c>
      <c r="R6" s="398" t="s">
        <v>419</v>
      </c>
      <c r="S6" s="399">
        <f t="shared" si="2"/>
        <v>100</v>
      </c>
      <c r="T6" s="398" t="s">
        <v>419</v>
      </c>
      <c r="U6" s="399">
        <f t="shared" si="3"/>
        <v>100</v>
      </c>
      <c r="V6" s="624"/>
      <c r="W6" s="631" t="str">
        <f>N6</f>
        <v>交易情况</v>
      </c>
      <c r="X6" s="632"/>
      <c r="Y6" s="400">
        <f t="shared" si="4"/>
        <v>1</v>
      </c>
      <c r="Z6" s="400">
        <f t="shared" si="5"/>
        <v>1</v>
      </c>
      <c r="AA6" s="400">
        <f t="shared" si="6"/>
        <v>1</v>
      </c>
    </row>
    <row r="7" spans="1:27">
      <c r="A7" s="619" t="s">
        <v>371</v>
      </c>
      <c r="B7" s="619"/>
      <c r="C7" s="394"/>
      <c r="D7" s="395">
        <v>100</v>
      </c>
      <c r="E7" s="394"/>
      <c r="F7" s="395">
        <v>100</v>
      </c>
      <c r="G7" s="394"/>
      <c r="H7" s="395">
        <v>100</v>
      </c>
      <c r="I7" s="394"/>
      <c r="J7" s="395">
        <v>100</v>
      </c>
      <c r="K7" s="396" t="s">
        <v>479</v>
      </c>
      <c r="L7" s="397">
        <v>0.01</v>
      </c>
      <c r="M7" s="624"/>
      <c r="N7" s="631" t="str">
        <f t="shared" si="0"/>
        <v>用途</v>
      </c>
      <c r="O7" s="632"/>
      <c r="P7" s="398" t="s">
        <v>419</v>
      </c>
      <c r="Q7" s="399">
        <f t="shared" si="1"/>
        <v>100</v>
      </c>
      <c r="R7" s="398" t="s">
        <v>419</v>
      </c>
      <c r="S7" s="399">
        <f t="shared" si="2"/>
        <v>100</v>
      </c>
      <c r="T7" s="398" t="s">
        <v>419</v>
      </c>
      <c r="U7" s="399">
        <f t="shared" si="3"/>
        <v>100</v>
      </c>
      <c r="V7" s="624"/>
      <c r="W7" s="631" t="str">
        <f>N7</f>
        <v>用途</v>
      </c>
      <c r="X7" s="632"/>
      <c r="Y7" s="400">
        <f>D7/F7</f>
        <v>1</v>
      </c>
      <c r="Z7" s="400">
        <f>D7/H7</f>
        <v>1</v>
      </c>
      <c r="AA7" s="400">
        <f>D7/J7</f>
        <v>1</v>
      </c>
    </row>
    <row r="8" spans="1:27" ht="21">
      <c r="A8" s="619" t="s">
        <v>480</v>
      </c>
      <c r="B8" s="619"/>
      <c r="C8" s="394"/>
      <c r="D8" s="395">
        <v>100</v>
      </c>
      <c r="E8" s="394"/>
      <c r="F8" s="395">
        <v>100</v>
      </c>
      <c r="G8" s="394"/>
      <c r="H8" s="395">
        <v>100</v>
      </c>
      <c r="I8" s="394"/>
      <c r="J8" s="395">
        <v>100</v>
      </c>
      <c r="K8" s="396" t="s">
        <v>481</v>
      </c>
      <c r="L8" s="397">
        <v>0.02</v>
      </c>
      <c r="M8" s="624"/>
      <c r="N8" s="631" t="str">
        <f t="shared" si="0"/>
        <v>土地使用年限</v>
      </c>
      <c r="O8" s="632"/>
      <c r="P8" s="398" t="s">
        <v>419</v>
      </c>
      <c r="Q8" s="399">
        <f>F8</f>
        <v>100</v>
      </c>
      <c r="R8" s="398" t="s">
        <v>419</v>
      </c>
      <c r="S8" s="399">
        <f>H8</f>
        <v>100</v>
      </c>
      <c r="T8" s="398" t="s">
        <v>419</v>
      </c>
      <c r="U8" s="399">
        <f>J8</f>
        <v>100</v>
      </c>
      <c r="V8" s="624"/>
      <c r="W8" s="631" t="str">
        <f>N8</f>
        <v>土地使用年限</v>
      </c>
      <c r="X8" s="632"/>
      <c r="Y8" s="400">
        <f>D8/F8</f>
        <v>1</v>
      </c>
      <c r="Z8" s="400">
        <f>D8/H8</f>
        <v>1</v>
      </c>
      <c r="AA8" s="400">
        <f>D8/J8</f>
        <v>1</v>
      </c>
    </row>
    <row r="9" spans="1:27" ht="31.5">
      <c r="A9" s="619" t="s">
        <v>363</v>
      </c>
      <c r="B9" s="619"/>
      <c r="C9" s="394"/>
      <c r="D9" s="395">
        <v>100</v>
      </c>
      <c r="E9" s="394"/>
      <c r="F9" s="395">
        <v>100</v>
      </c>
      <c r="G9" s="394"/>
      <c r="H9" s="395">
        <v>100</v>
      </c>
      <c r="I9" s="394"/>
      <c r="J9" s="395">
        <v>100</v>
      </c>
      <c r="K9" s="396" t="s">
        <v>482</v>
      </c>
      <c r="L9" s="397">
        <v>0.01</v>
      </c>
      <c r="M9" s="624"/>
      <c r="N9" s="631" t="str">
        <f t="shared" si="0"/>
        <v>容积率</v>
      </c>
      <c r="O9" s="632"/>
      <c r="P9" s="398" t="s">
        <v>419</v>
      </c>
      <c r="Q9" s="399">
        <f t="shared" si="1"/>
        <v>100</v>
      </c>
      <c r="R9" s="398" t="s">
        <v>419</v>
      </c>
      <c r="S9" s="399">
        <f t="shared" si="2"/>
        <v>100</v>
      </c>
      <c r="T9" s="398" t="s">
        <v>419</v>
      </c>
      <c r="U9" s="399">
        <f t="shared" si="3"/>
        <v>100</v>
      </c>
      <c r="V9" s="624"/>
      <c r="W9" s="631" t="str">
        <f>N9</f>
        <v>容积率</v>
      </c>
      <c r="X9" s="632"/>
      <c r="Y9" s="400">
        <f>D9/F9</f>
        <v>1</v>
      </c>
      <c r="Z9" s="400">
        <f>D9/H9</f>
        <v>1</v>
      </c>
      <c r="AA9" s="400">
        <f>D9/J9</f>
        <v>1</v>
      </c>
    </row>
    <row r="10" spans="1:27">
      <c r="A10" s="633" t="s">
        <v>483</v>
      </c>
      <c r="B10" s="402" t="s">
        <v>484</v>
      </c>
      <c r="C10" s="394"/>
      <c r="D10" s="395">
        <v>100</v>
      </c>
      <c r="E10" s="394"/>
      <c r="F10" s="395">
        <v>100</v>
      </c>
      <c r="G10" s="394"/>
      <c r="H10" s="395">
        <v>100</v>
      </c>
      <c r="I10" s="394"/>
      <c r="J10" s="395">
        <v>100</v>
      </c>
      <c r="K10" s="396" t="s">
        <v>450</v>
      </c>
      <c r="L10" s="397">
        <v>0.05</v>
      </c>
      <c r="M10" s="624"/>
      <c r="N10" s="634" t="str">
        <f t="shared" si="0"/>
        <v>区域因素</v>
      </c>
      <c r="O10" s="403" t="str">
        <f t="shared" si="0"/>
        <v>办公集聚度</v>
      </c>
      <c r="P10" s="398" t="s">
        <v>419</v>
      </c>
      <c r="Q10" s="399">
        <f t="shared" si="1"/>
        <v>100</v>
      </c>
      <c r="R10" s="398" t="s">
        <v>419</v>
      </c>
      <c r="S10" s="399">
        <f t="shared" si="2"/>
        <v>100</v>
      </c>
      <c r="T10" s="398" t="s">
        <v>419</v>
      </c>
      <c r="U10" s="399">
        <f t="shared" si="3"/>
        <v>100</v>
      </c>
      <c r="V10" s="624"/>
      <c r="W10" s="634" t="str">
        <f>A10</f>
        <v>区域因素</v>
      </c>
      <c r="X10" s="403" t="str">
        <f>B10</f>
        <v>办公集聚度</v>
      </c>
      <c r="Y10" s="400">
        <f t="shared" si="4"/>
        <v>1</v>
      </c>
      <c r="Z10" s="400">
        <f t="shared" si="5"/>
        <v>1</v>
      </c>
      <c r="AA10" s="400">
        <f t="shared" si="6"/>
        <v>1</v>
      </c>
    </row>
    <row r="11" spans="1:27">
      <c r="A11" s="633"/>
      <c r="B11" s="402" t="s">
        <v>485</v>
      </c>
      <c r="C11" s="394"/>
      <c r="D11" s="395">
        <v>100</v>
      </c>
      <c r="E11" s="394"/>
      <c r="F11" s="395">
        <v>100</v>
      </c>
      <c r="G11" s="394"/>
      <c r="H11" s="395">
        <v>100</v>
      </c>
      <c r="I11" s="394"/>
      <c r="J11" s="395">
        <v>100</v>
      </c>
      <c r="K11" s="396" t="s">
        <v>450</v>
      </c>
      <c r="L11" s="397">
        <v>0.05</v>
      </c>
      <c r="M11" s="624"/>
      <c r="N11" s="635"/>
      <c r="O11" s="403" t="str">
        <f t="shared" si="0"/>
        <v>交通便捷度</v>
      </c>
      <c r="P11" s="398" t="s">
        <v>419</v>
      </c>
      <c r="Q11" s="399">
        <f t="shared" si="1"/>
        <v>100</v>
      </c>
      <c r="R11" s="398" t="s">
        <v>419</v>
      </c>
      <c r="S11" s="399">
        <f t="shared" si="2"/>
        <v>100</v>
      </c>
      <c r="T11" s="398" t="s">
        <v>419</v>
      </c>
      <c r="U11" s="399">
        <f t="shared" si="3"/>
        <v>100</v>
      </c>
      <c r="V11" s="624"/>
      <c r="W11" s="635"/>
      <c r="X11" s="403" t="str">
        <f t="shared" ref="X11:X30" si="7">B11</f>
        <v>交通便捷度</v>
      </c>
      <c r="Y11" s="400">
        <f t="shared" si="4"/>
        <v>1</v>
      </c>
      <c r="Z11" s="400">
        <f t="shared" si="5"/>
        <v>1</v>
      </c>
      <c r="AA11" s="400">
        <f t="shared" si="6"/>
        <v>1</v>
      </c>
    </row>
    <row r="12" spans="1:27">
      <c r="A12" s="633"/>
      <c r="B12" s="402" t="s">
        <v>486</v>
      </c>
      <c r="C12" s="394"/>
      <c r="D12" s="395">
        <v>100</v>
      </c>
      <c r="E12" s="394"/>
      <c r="F12" s="395">
        <v>100</v>
      </c>
      <c r="G12" s="394"/>
      <c r="H12" s="395">
        <v>100</v>
      </c>
      <c r="I12" s="394"/>
      <c r="J12" s="395">
        <v>100</v>
      </c>
      <c r="K12" s="396" t="s">
        <v>440</v>
      </c>
      <c r="L12" s="397">
        <v>0.05</v>
      </c>
      <c r="M12" s="624"/>
      <c r="N12" s="635"/>
      <c r="O12" s="403" t="str">
        <f t="shared" si="0"/>
        <v>区域基础设施完备状况</v>
      </c>
      <c r="P12" s="398" t="s">
        <v>419</v>
      </c>
      <c r="Q12" s="399">
        <f t="shared" si="1"/>
        <v>100</v>
      </c>
      <c r="R12" s="398" t="s">
        <v>419</v>
      </c>
      <c r="S12" s="399">
        <f t="shared" si="2"/>
        <v>100</v>
      </c>
      <c r="T12" s="398" t="s">
        <v>419</v>
      </c>
      <c r="U12" s="399">
        <f t="shared" si="3"/>
        <v>100</v>
      </c>
      <c r="V12" s="624"/>
      <c r="W12" s="635"/>
      <c r="X12" s="403" t="str">
        <f t="shared" si="7"/>
        <v>区域基础设施完备状况</v>
      </c>
      <c r="Y12" s="400">
        <f t="shared" si="4"/>
        <v>1</v>
      </c>
      <c r="Z12" s="400">
        <f t="shared" si="5"/>
        <v>1</v>
      </c>
      <c r="AA12" s="400">
        <f t="shared" si="6"/>
        <v>1</v>
      </c>
    </row>
    <row r="13" spans="1:27">
      <c r="A13" s="633"/>
      <c r="B13" s="402" t="s">
        <v>487</v>
      </c>
      <c r="C13" s="394"/>
      <c r="D13" s="395">
        <v>100</v>
      </c>
      <c r="E13" s="394"/>
      <c r="F13" s="395">
        <v>100</v>
      </c>
      <c r="G13" s="394"/>
      <c r="H13" s="395">
        <v>100</v>
      </c>
      <c r="I13" s="394"/>
      <c r="J13" s="395">
        <v>100</v>
      </c>
      <c r="K13" s="396" t="s">
        <v>450</v>
      </c>
      <c r="L13" s="397">
        <v>0.05</v>
      </c>
      <c r="M13" s="624"/>
      <c r="N13" s="635"/>
      <c r="O13" s="403" t="str">
        <f t="shared" si="0"/>
        <v>自然及人文环境状况</v>
      </c>
      <c r="P13" s="398" t="s">
        <v>419</v>
      </c>
      <c r="Q13" s="399">
        <f t="shared" si="1"/>
        <v>100</v>
      </c>
      <c r="R13" s="398" t="s">
        <v>419</v>
      </c>
      <c r="S13" s="399">
        <f t="shared" si="2"/>
        <v>100</v>
      </c>
      <c r="T13" s="398" t="s">
        <v>419</v>
      </c>
      <c r="U13" s="399">
        <f t="shared" si="3"/>
        <v>100</v>
      </c>
      <c r="V13" s="624"/>
      <c r="W13" s="635"/>
      <c r="X13" s="403" t="str">
        <f t="shared" si="7"/>
        <v>自然及人文环境状况</v>
      </c>
      <c r="Y13" s="400">
        <f t="shared" si="4"/>
        <v>1</v>
      </c>
      <c r="Z13" s="400">
        <f t="shared" si="5"/>
        <v>1</v>
      </c>
      <c r="AA13" s="400">
        <f t="shared" si="6"/>
        <v>1</v>
      </c>
    </row>
    <row r="14" spans="1:27">
      <c r="A14" s="633"/>
      <c r="B14" s="402" t="s">
        <v>488</v>
      </c>
      <c r="C14" s="394"/>
      <c r="D14" s="395">
        <v>100</v>
      </c>
      <c r="E14" s="394"/>
      <c r="F14" s="395">
        <v>100</v>
      </c>
      <c r="G14" s="394"/>
      <c r="H14" s="395">
        <v>100</v>
      </c>
      <c r="I14" s="394"/>
      <c r="J14" s="395">
        <v>100</v>
      </c>
      <c r="K14" s="396" t="s">
        <v>489</v>
      </c>
      <c r="L14" s="397">
        <v>0.05</v>
      </c>
      <c r="M14" s="624"/>
      <c r="N14" s="635"/>
      <c r="O14" s="403" t="str">
        <f t="shared" si="0"/>
        <v>公共服务设施状况</v>
      </c>
      <c r="P14" s="398" t="s">
        <v>419</v>
      </c>
      <c r="Q14" s="399">
        <f t="shared" si="1"/>
        <v>100</v>
      </c>
      <c r="R14" s="398" t="s">
        <v>419</v>
      </c>
      <c r="S14" s="399">
        <f t="shared" si="2"/>
        <v>100</v>
      </c>
      <c r="T14" s="398" t="s">
        <v>419</v>
      </c>
      <c r="U14" s="399">
        <f t="shared" si="3"/>
        <v>100</v>
      </c>
      <c r="V14" s="624"/>
      <c r="W14" s="635"/>
      <c r="X14" s="403" t="str">
        <f t="shared" si="7"/>
        <v>公共服务设施状况</v>
      </c>
      <c r="Y14" s="400">
        <f t="shared" si="4"/>
        <v>1</v>
      </c>
      <c r="Z14" s="400">
        <f t="shared" si="5"/>
        <v>1</v>
      </c>
      <c r="AA14" s="400">
        <f t="shared" si="6"/>
        <v>1</v>
      </c>
    </row>
    <row r="15" spans="1:27">
      <c r="A15" s="633"/>
      <c r="B15" s="402" t="s">
        <v>490</v>
      </c>
      <c r="C15" s="394"/>
      <c r="D15" s="395">
        <v>100</v>
      </c>
      <c r="E15" s="394"/>
      <c r="F15" s="395">
        <v>100</v>
      </c>
      <c r="G15" s="394"/>
      <c r="H15" s="395">
        <v>100</v>
      </c>
      <c r="I15" s="394"/>
      <c r="J15" s="395">
        <v>100</v>
      </c>
      <c r="K15" s="396"/>
      <c r="L15" s="397">
        <v>0.05</v>
      </c>
      <c r="M15" s="624"/>
      <c r="N15" s="635"/>
      <c r="O15" s="403" t="str">
        <f t="shared" si="0"/>
        <v>特殊因素</v>
      </c>
      <c r="P15" s="398" t="s">
        <v>419</v>
      </c>
      <c r="Q15" s="399">
        <f t="shared" si="1"/>
        <v>100</v>
      </c>
      <c r="R15" s="398" t="s">
        <v>419</v>
      </c>
      <c r="S15" s="399">
        <f t="shared" si="2"/>
        <v>100</v>
      </c>
      <c r="T15" s="398" t="s">
        <v>419</v>
      </c>
      <c r="U15" s="399">
        <f t="shared" si="3"/>
        <v>100</v>
      </c>
      <c r="V15" s="624"/>
      <c r="W15" s="635"/>
      <c r="X15" s="403" t="str">
        <f t="shared" si="7"/>
        <v>特殊因素</v>
      </c>
      <c r="Y15" s="400">
        <f t="shared" si="4"/>
        <v>1</v>
      </c>
      <c r="Z15" s="400">
        <f t="shared" si="5"/>
        <v>1</v>
      </c>
      <c r="AA15" s="400">
        <f t="shared" si="6"/>
        <v>1</v>
      </c>
    </row>
    <row r="16" spans="1:27">
      <c r="A16" s="633"/>
      <c r="B16" s="402"/>
      <c r="C16" s="394"/>
      <c r="D16" s="395">
        <v>100</v>
      </c>
      <c r="E16" s="394"/>
      <c r="F16" s="395">
        <v>100</v>
      </c>
      <c r="G16" s="394"/>
      <c r="H16" s="395">
        <v>100</v>
      </c>
      <c r="I16" s="394"/>
      <c r="J16" s="395">
        <v>100</v>
      </c>
      <c r="K16" s="396"/>
      <c r="L16" s="397">
        <v>0.05</v>
      </c>
      <c r="M16" s="624"/>
      <c r="N16" s="635"/>
      <c r="O16" s="403">
        <f t="shared" si="0"/>
        <v>0</v>
      </c>
      <c r="P16" s="398" t="s">
        <v>419</v>
      </c>
      <c r="Q16" s="399">
        <f t="shared" si="1"/>
        <v>100</v>
      </c>
      <c r="R16" s="398" t="s">
        <v>419</v>
      </c>
      <c r="S16" s="399">
        <f t="shared" si="2"/>
        <v>100</v>
      </c>
      <c r="T16" s="398" t="s">
        <v>419</v>
      </c>
      <c r="U16" s="399">
        <f t="shared" si="3"/>
        <v>100</v>
      </c>
      <c r="V16" s="624"/>
      <c r="W16" s="635"/>
      <c r="X16" s="403">
        <f t="shared" si="7"/>
        <v>0</v>
      </c>
      <c r="Y16" s="400">
        <f t="shared" si="4"/>
        <v>1</v>
      </c>
      <c r="Z16" s="400">
        <f t="shared" si="5"/>
        <v>1</v>
      </c>
      <c r="AA16" s="400">
        <f t="shared" si="6"/>
        <v>1</v>
      </c>
    </row>
    <row r="17" spans="1:27">
      <c r="A17" s="633"/>
      <c r="B17" s="402"/>
      <c r="C17" s="394"/>
      <c r="D17" s="395">
        <v>100</v>
      </c>
      <c r="E17" s="394"/>
      <c r="F17" s="395">
        <v>100</v>
      </c>
      <c r="G17" s="394"/>
      <c r="H17" s="395">
        <v>100</v>
      </c>
      <c r="I17" s="394"/>
      <c r="J17" s="395">
        <v>100</v>
      </c>
      <c r="K17" s="396"/>
      <c r="L17" s="397">
        <v>0.05</v>
      </c>
      <c r="M17" s="624"/>
      <c r="N17" s="636"/>
      <c r="O17" s="403">
        <f t="shared" si="0"/>
        <v>0</v>
      </c>
      <c r="P17" s="398" t="s">
        <v>419</v>
      </c>
      <c r="Q17" s="399">
        <f t="shared" si="1"/>
        <v>100</v>
      </c>
      <c r="R17" s="398" t="s">
        <v>419</v>
      </c>
      <c r="S17" s="399">
        <f t="shared" si="2"/>
        <v>100</v>
      </c>
      <c r="T17" s="398" t="s">
        <v>419</v>
      </c>
      <c r="U17" s="399">
        <f t="shared" si="3"/>
        <v>100</v>
      </c>
      <c r="V17" s="624"/>
      <c r="W17" s="636"/>
      <c r="X17" s="403">
        <f t="shared" si="7"/>
        <v>0</v>
      </c>
      <c r="Y17" s="400">
        <f t="shared" si="4"/>
        <v>1</v>
      </c>
      <c r="Z17" s="400">
        <f t="shared" si="5"/>
        <v>1</v>
      </c>
      <c r="AA17" s="400">
        <f t="shared" si="6"/>
        <v>1</v>
      </c>
    </row>
    <row r="18" spans="1:27">
      <c r="A18" s="637" t="s">
        <v>428</v>
      </c>
      <c r="B18" s="402" t="s">
        <v>491</v>
      </c>
      <c r="C18" s="395"/>
      <c r="D18" s="395">
        <v>100</v>
      </c>
      <c r="E18" s="395"/>
      <c r="F18" s="395">
        <v>100</v>
      </c>
      <c r="G18" s="395"/>
      <c r="H18" s="395">
        <v>100</v>
      </c>
      <c r="I18" s="395"/>
      <c r="J18" s="395">
        <v>100</v>
      </c>
      <c r="K18" s="396" t="s">
        <v>492</v>
      </c>
      <c r="L18" s="397">
        <v>0.05</v>
      </c>
      <c r="M18" s="624"/>
      <c r="N18" s="638" t="str">
        <f>A18</f>
        <v>个别因素</v>
      </c>
      <c r="O18" s="403" t="str">
        <f t="shared" si="0"/>
        <v>建筑类型</v>
      </c>
      <c r="P18" s="398" t="s">
        <v>419</v>
      </c>
      <c r="Q18" s="399">
        <f t="shared" si="1"/>
        <v>100</v>
      </c>
      <c r="R18" s="398" t="s">
        <v>419</v>
      </c>
      <c r="S18" s="399">
        <f t="shared" si="2"/>
        <v>100</v>
      </c>
      <c r="T18" s="398" t="s">
        <v>419</v>
      </c>
      <c r="U18" s="399">
        <f t="shared" si="3"/>
        <v>100</v>
      </c>
      <c r="V18" s="624"/>
      <c r="W18" s="638" t="str">
        <f>A18</f>
        <v>个别因素</v>
      </c>
      <c r="X18" s="403" t="str">
        <f t="shared" si="7"/>
        <v>建筑类型</v>
      </c>
      <c r="Y18" s="400">
        <f t="shared" si="4"/>
        <v>1</v>
      </c>
      <c r="Z18" s="400">
        <f t="shared" si="5"/>
        <v>1</v>
      </c>
      <c r="AA18" s="400">
        <f t="shared" si="6"/>
        <v>1</v>
      </c>
    </row>
    <row r="19" spans="1:27">
      <c r="A19" s="637"/>
      <c r="B19" s="402" t="s">
        <v>493</v>
      </c>
      <c r="C19" s="394"/>
      <c r="D19" s="395">
        <v>100</v>
      </c>
      <c r="E19" s="394"/>
      <c r="F19" s="395">
        <v>100</v>
      </c>
      <c r="G19" s="394"/>
      <c r="H19" s="395">
        <v>100</v>
      </c>
      <c r="I19" s="394"/>
      <c r="J19" s="395">
        <v>100</v>
      </c>
      <c r="K19" s="396" t="s">
        <v>494</v>
      </c>
      <c r="L19" s="397">
        <v>0.05</v>
      </c>
      <c r="M19" s="624"/>
      <c r="N19" s="638"/>
      <c r="O19" s="403" t="str">
        <f t="shared" si="0"/>
        <v>建筑结构</v>
      </c>
      <c r="P19" s="398" t="s">
        <v>419</v>
      </c>
      <c r="Q19" s="399">
        <f t="shared" si="1"/>
        <v>100</v>
      </c>
      <c r="R19" s="398" t="s">
        <v>419</v>
      </c>
      <c r="S19" s="399">
        <f t="shared" si="2"/>
        <v>100</v>
      </c>
      <c r="T19" s="398" t="s">
        <v>419</v>
      </c>
      <c r="U19" s="399">
        <f t="shared" si="3"/>
        <v>100</v>
      </c>
      <c r="V19" s="624"/>
      <c r="W19" s="638"/>
      <c r="X19" s="403" t="str">
        <f t="shared" si="7"/>
        <v>建筑结构</v>
      </c>
      <c r="Y19" s="400">
        <f t="shared" si="4"/>
        <v>1</v>
      </c>
      <c r="Z19" s="400">
        <f t="shared" si="5"/>
        <v>1</v>
      </c>
      <c r="AA19" s="400">
        <f t="shared" si="6"/>
        <v>1</v>
      </c>
    </row>
    <row r="20" spans="1:27">
      <c r="A20" s="637"/>
      <c r="B20" s="402" t="s">
        <v>433</v>
      </c>
      <c r="C20" s="395"/>
      <c r="D20" s="395">
        <v>100</v>
      </c>
      <c r="E20" s="395"/>
      <c r="F20" s="395">
        <v>100</v>
      </c>
      <c r="G20" s="395"/>
      <c r="H20" s="395">
        <v>100</v>
      </c>
      <c r="I20" s="395"/>
      <c r="J20" s="395">
        <v>100</v>
      </c>
      <c r="K20" s="396"/>
      <c r="L20" s="397">
        <v>0.05</v>
      </c>
      <c r="M20" s="624"/>
      <c r="N20" s="638"/>
      <c r="O20" s="403" t="str">
        <f t="shared" si="0"/>
        <v>建筑面积（平方米）</v>
      </c>
      <c r="P20" s="398" t="s">
        <v>419</v>
      </c>
      <c r="Q20" s="399">
        <f t="shared" si="1"/>
        <v>100</v>
      </c>
      <c r="R20" s="398" t="s">
        <v>419</v>
      </c>
      <c r="S20" s="399">
        <f t="shared" si="2"/>
        <v>100</v>
      </c>
      <c r="T20" s="398" t="s">
        <v>419</v>
      </c>
      <c r="U20" s="399">
        <f t="shared" si="3"/>
        <v>100</v>
      </c>
      <c r="V20" s="624"/>
      <c r="W20" s="638"/>
      <c r="X20" s="403" t="str">
        <f t="shared" si="7"/>
        <v>建筑面积（平方米）</v>
      </c>
      <c r="Y20" s="400">
        <f t="shared" si="4"/>
        <v>1</v>
      </c>
      <c r="Z20" s="400">
        <f t="shared" si="5"/>
        <v>1</v>
      </c>
      <c r="AA20" s="400">
        <f t="shared" si="6"/>
        <v>1</v>
      </c>
    </row>
    <row r="21" spans="1:27">
      <c r="A21" s="637"/>
      <c r="B21" s="402" t="s">
        <v>434</v>
      </c>
      <c r="C21" s="395"/>
      <c r="D21" s="395">
        <v>100</v>
      </c>
      <c r="E21" s="395"/>
      <c r="F21" s="395">
        <v>100</v>
      </c>
      <c r="G21" s="395"/>
      <c r="H21" s="395">
        <v>100</v>
      </c>
      <c r="I21" s="395"/>
      <c r="J21" s="395">
        <v>100</v>
      </c>
      <c r="K21" s="396" t="s">
        <v>435</v>
      </c>
      <c r="L21" s="397">
        <v>0.05</v>
      </c>
      <c r="M21" s="624"/>
      <c r="N21" s="638"/>
      <c r="O21" s="403" t="str">
        <f t="shared" ref="O21:O30" si="8">B21</f>
        <v>层高</v>
      </c>
      <c r="P21" s="398" t="s">
        <v>436</v>
      </c>
      <c r="Q21" s="399">
        <f>F21</f>
        <v>100</v>
      </c>
      <c r="R21" s="398" t="s">
        <v>436</v>
      </c>
      <c r="S21" s="399">
        <f>H21</f>
        <v>100</v>
      </c>
      <c r="T21" s="398" t="s">
        <v>436</v>
      </c>
      <c r="U21" s="399">
        <f>J21</f>
        <v>100</v>
      </c>
      <c r="V21" s="624"/>
      <c r="W21" s="638"/>
      <c r="X21" s="403" t="str">
        <f t="shared" si="7"/>
        <v>层高</v>
      </c>
      <c r="Y21" s="400">
        <f t="shared" si="4"/>
        <v>1</v>
      </c>
      <c r="Z21" s="400">
        <f t="shared" si="5"/>
        <v>1</v>
      </c>
      <c r="AA21" s="400">
        <f t="shared" si="6"/>
        <v>1</v>
      </c>
    </row>
    <row r="22" spans="1:27" ht="21">
      <c r="A22" s="637"/>
      <c r="B22" s="402" t="s">
        <v>437</v>
      </c>
      <c r="C22" s="395"/>
      <c r="D22" s="395">
        <v>100</v>
      </c>
      <c r="E22" s="395"/>
      <c r="F22" s="395">
        <v>100</v>
      </c>
      <c r="G22" s="395"/>
      <c r="H22" s="395">
        <v>100</v>
      </c>
      <c r="I22" s="395"/>
      <c r="J22" s="395">
        <v>100</v>
      </c>
      <c r="K22" s="396" t="s">
        <v>495</v>
      </c>
      <c r="L22" s="397">
        <v>0.05</v>
      </c>
      <c r="M22" s="624"/>
      <c r="N22" s="638"/>
      <c r="O22" s="403" t="str">
        <f t="shared" si="8"/>
        <v>楼层</v>
      </c>
      <c r="P22" s="398" t="s">
        <v>436</v>
      </c>
      <c r="Q22" s="399">
        <f>F22</f>
        <v>100</v>
      </c>
      <c r="R22" s="398" t="s">
        <v>436</v>
      </c>
      <c r="S22" s="399">
        <f>H22</f>
        <v>100</v>
      </c>
      <c r="T22" s="398" t="s">
        <v>436</v>
      </c>
      <c r="U22" s="399">
        <f>J22</f>
        <v>100</v>
      </c>
      <c r="V22" s="624"/>
      <c r="W22" s="638"/>
      <c r="X22" s="403" t="str">
        <f t="shared" si="7"/>
        <v>楼层</v>
      </c>
      <c r="Y22" s="400">
        <f t="shared" si="4"/>
        <v>1</v>
      </c>
      <c r="Z22" s="400">
        <f t="shared" si="5"/>
        <v>1</v>
      </c>
      <c r="AA22" s="400">
        <f t="shared" si="6"/>
        <v>1</v>
      </c>
    </row>
    <row r="23" spans="1:27" ht="12.75">
      <c r="A23" s="637"/>
      <c r="B23" s="402" t="s">
        <v>439</v>
      </c>
      <c r="C23" s="395"/>
      <c r="D23" s="395">
        <v>100</v>
      </c>
      <c r="E23" s="395"/>
      <c r="F23" s="395">
        <v>100</v>
      </c>
      <c r="G23" s="395"/>
      <c r="H23" s="395">
        <v>100</v>
      </c>
      <c r="I23" s="395"/>
      <c r="J23" s="395">
        <v>100</v>
      </c>
      <c r="K23" s="396" t="s">
        <v>440</v>
      </c>
      <c r="L23" s="397">
        <v>0.05</v>
      </c>
      <c r="M23" s="624"/>
      <c r="N23" s="638"/>
      <c r="O23" s="403" t="str">
        <f t="shared" si="8"/>
        <v>宗地基础设施条件</v>
      </c>
      <c r="P23" s="398" t="s">
        <v>436</v>
      </c>
      <c r="Q23" s="399">
        <f>F23</f>
        <v>100</v>
      </c>
      <c r="R23" s="398" t="s">
        <v>436</v>
      </c>
      <c r="S23" s="399">
        <f>H23</f>
        <v>100</v>
      </c>
      <c r="T23" s="398" t="s">
        <v>436</v>
      </c>
      <c r="U23" s="399">
        <f>J23</f>
        <v>100</v>
      </c>
      <c r="V23" s="624"/>
      <c r="W23" s="638"/>
      <c r="X23" s="403" t="str">
        <f t="shared" si="7"/>
        <v>宗地基础设施条件</v>
      </c>
      <c r="Y23" s="400">
        <f t="shared" si="4"/>
        <v>1</v>
      </c>
      <c r="Z23" s="400">
        <f t="shared" si="5"/>
        <v>1</v>
      </c>
      <c r="AA23" s="400">
        <f t="shared" si="6"/>
        <v>1</v>
      </c>
    </row>
    <row r="24" spans="1:27">
      <c r="A24" s="637"/>
      <c r="B24" s="402" t="s">
        <v>441</v>
      </c>
      <c r="C24" s="395"/>
      <c r="D24" s="395">
        <v>100</v>
      </c>
      <c r="E24" s="395"/>
      <c r="F24" s="395">
        <v>100</v>
      </c>
      <c r="G24" s="395"/>
      <c r="H24" s="395">
        <v>100</v>
      </c>
      <c r="I24" s="395"/>
      <c r="J24" s="395">
        <v>100</v>
      </c>
      <c r="K24" s="396" t="s">
        <v>442</v>
      </c>
      <c r="L24" s="397">
        <v>0.05</v>
      </c>
      <c r="M24" s="624"/>
      <c r="N24" s="638"/>
      <c r="O24" s="403" t="str">
        <f t="shared" si="8"/>
        <v>内部装修</v>
      </c>
      <c r="P24" s="398" t="s">
        <v>436</v>
      </c>
      <c r="Q24" s="399">
        <f>F24</f>
        <v>100</v>
      </c>
      <c r="R24" s="398" t="s">
        <v>436</v>
      </c>
      <c r="S24" s="399">
        <f>H24</f>
        <v>100</v>
      </c>
      <c r="T24" s="398" t="s">
        <v>436</v>
      </c>
      <c r="U24" s="399">
        <f>J24</f>
        <v>100</v>
      </c>
      <c r="V24" s="624"/>
      <c r="W24" s="638"/>
      <c r="X24" s="403" t="str">
        <f t="shared" si="7"/>
        <v>内部装修</v>
      </c>
      <c r="Y24" s="400">
        <f t="shared" si="4"/>
        <v>1</v>
      </c>
      <c r="Z24" s="400">
        <f t="shared" si="5"/>
        <v>1</v>
      </c>
      <c r="AA24" s="400">
        <f t="shared" si="6"/>
        <v>1</v>
      </c>
    </row>
    <row r="25" spans="1:27">
      <c r="A25" s="637"/>
      <c r="B25" s="402" t="s">
        <v>496</v>
      </c>
      <c r="C25" s="395"/>
      <c r="D25" s="395">
        <v>100</v>
      </c>
      <c r="E25" s="395"/>
      <c r="F25" s="395">
        <v>100</v>
      </c>
      <c r="G25" s="395"/>
      <c r="H25" s="395">
        <v>100</v>
      </c>
      <c r="I25" s="395"/>
      <c r="J25" s="395">
        <v>100</v>
      </c>
      <c r="K25" s="396" t="s">
        <v>497</v>
      </c>
      <c r="L25" s="397">
        <v>0.05</v>
      </c>
      <c r="M25" s="624"/>
      <c r="N25" s="638"/>
      <c r="O25" s="403" t="str">
        <f t="shared" si="8"/>
        <v>物业等级</v>
      </c>
      <c r="P25" s="398" t="s">
        <v>436</v>
      </c>
      <c r="Q25" s="399">
        <f>F25</f>
        <v>100</v>
      </c>
      <c r="R25" s="398" t="s">
        <v>436</v>
      </c>
      <c r="S25" s="399">
        <f>H25</f>
        <v>100</v>
      </c>
      <c r="T25" s="398" t="s">
        <v>436</v>
      </c>
      <c r="U25" s="399">
        <f>J25</f>
        <v>100</v>
      </c>
      <c r="V25" s="624"/>
      <c r="W25" s="638"/>
      <c r="X25" s="403" t="str">
        <f t="shared" si="7"/>
        <v>物业等级</v>
      </c>
      <c r="Y25" s="400">
        <f t="shared" si="4"/>
        <v>1</v>
      </c>
      <c r="Z25" s="400">
        <f t="shared" si="5"/>
        <v>1</v>
      </c>
      <c r="AA25" s="400">
        <f t="shared" si="6"/>
        <v>1</v>
      </c>
    </row>
    <row r="26" spans="1:27" ht="52.5">
      <c r="A26" s="637"/>
      <c r="B26" s="402" t="s">
        <v>445</v>
      </c>
      <c r="C26" s="394"/>
      <c r="D26" s="395">
        <v>100</v>
      </c>
      <c r="E26" s="394"/>
      <c r="F26" s="395">
        <v>100</v>
      </c>
      <c r="G26" s="394"/>
      <c r="H26" s="395">
        <v>100</v>
      </c>
      <c r="I26" s="394"/>
      <c r="J26" s="395">
        <v>100</v>
      </c>
      <c r="K26" s="396" t="s">
        <v>446</v>
      </c>
      <c r="L26" s="397">
        <v>0.05</v>
      </c>
      <c r="M26" s="624"/>
      <c r="N26" s="638"/>
      <c r="O26" s="403" t="str">
        <f t="shared" si="8"/>
        <v>成新率</v>
      </c>
      <c r="P26" s="398" t="s">
        <v>419</v>
      </c>
      <c r="Q26" s="399">
        <f t="shared" si="1"/>
        <v>100</v>
      </c>
      <c r="R26" s="398" t="s">
        <v>419</v>
      </c>
      <c r="S26" s="399">
        <f t="shared" si="2"/>
        <v>100</v>
      </c>
      <c r="T26" s="398" t="s">
        <v>419</v>
      </c>
      <c r="U26" s="399">
        <f t="shared" si="3"/>
        <v>100</v>
      </c>
      <c r="V26" s="624"/>
      <c r="W26" s="638"/>
      <c r="X26" s="403" t="str">
        <f t="shared" si="7"/>
        <v>成新率</v>
      </c>
      <c r="Y26" s="400">
        <f t="shared" si="4"/>
        <v>1</v>
      </c>
      <c r="Z26" s="400">
        <f t="shared" si="5"/>
        <v>1</v>
      </c>
      <c r="AA26" s="400">
        <f t="shared" si="6"/>
        <v>1</v>
      </c>
    </row>
    <row r="27" spans="1:27">
      <c r="A27" s="637"/>
      <c r="B27" s="402" t="s">
        <v>498</v>
      </c>
      <c r="C27" s="404"/>
      <c r="D27" s="395">
        <v>100</v>
      </c>
      <c r="E27" s="394"/>
      <c r="F27" s="395">
        <v>100</v>
      </c>
      <c r="G27" s="394"/>
      <c r="H27" s="395">
        <v>100</v>
      </c>
      <c r="I27" s="394"/>
      <c r="J27" s="395">
        <v>100</v>
      </c>
      <c r="K27" s="396" t="s">
        <v>442</v>
      </c>
      <c r="L27" s="397">
        <v>0.05</v>
      </c>
      <c r="M27" s="624"/>
      <c r="N27" s="638"/>
      <c r="O27" s="403" t="str">
        <f t="shared" si="8"/>
        <v>公共部分装修</v>
      </c>
      <c r="P27" s="398" t="s">
        <v>419</v>
      </c>
      <c r="Q27" s="399">
        <f t="shared" si="1"/>
        <v>100</v>
      </c>
      <c r="R27" s="398" t="s">
        <v>419</v>
      </c>
      <c r="S27" s="399">
        <f t="shared" si="2"/>
        <v>100</v>
      </c>
      <c r="T27" s="398" t="s">
        <v>419</v>
      </c>
      <c r="U27" s="399">
        <f>J27</f>
        <v>100</v>
      </c>
      <c r="V27" s="624"/>
      <c r="W27" s="638"/>
      <c r="X27" s="403" t="str">
        <f t="shared" si="7"/>
        <v>公共部分装修</v>
      </c>
      <c r="Y27" s="400">
        <f t="shared" si="4"/>
        <v>1</v>
      </c>
      <c r="Z27" s="400">
        <f t="shared" si="5"/>
        <v>1</v>
      </c>
      <c r="AA27" s="400">
        <f t="shared" si="6"/>
        <v>1</v>
      </c>
    </row>
    <row r="28" spans="1:27" ht="21">
      <c r="A28" s="637"/>
      <c r="B28" s="402" t="s">
        <v>451</v>
      </c>
      <c r="C28" s="404"/>
      <c r="D28" s="395">
        <v>100</v>
      </c>
      <c r="E28" s="394"/>
      <c r="F28" s="395">
        <v>100</v>
      </c>
      <c r="G28" s="394"/>
      <c r="H28" s="395">
        <v>100</v>
      </c>
      <c r="I28" s="394"/>
      <c r="J28" s="395">
        <v>100</v>
      </c>
      <c r="K28" s="396" t="s">
        <v>452</v>
      </c>
      <c r="L28" s="397">
        <v>0.05</v>
      </c>
      <c r="M28" s="624"/>
      <c r="N28" s="638"/>
      <c r="O28" s="403" t="str">
        <f t="shared" si="8"/>
        <v>所属项目临路级别</v>
      </c>
      <c r="P28" s="398" t="s">
        <v>419</v>
      </c>
      <c r="Q28" s="399">
        <f t="shared" si="1"/>
        <v>100</v>
      </c>
      <c r="R28" s="398" t="s">
        <v>419</v>
      </c>
      <c r="S28" s="399">
        <f t="shared" si="2"/>
        <v>100</v>
      </c>
      <c r="T28" s="398" t="s">
        <v>419</v>
      </c>
      <c r="U28" s="399">
        <f>J28</f>
        <v>100</v>
      </c>
      <c r="V28" s="624"/>
      <c r="W28" s="638"/>
      <c r="X28" s="403" t="str">
        <f t="shared" si="7"/>
        <v>所属项目临路级别</v>
      </c>
      <c r="Y28" s="400">
        <f t="shared" si="4"/>
        <v>1</v>
      </c>
      <c r="Z28" s="400">
        <f t="shared" si="5"/>
        <v>1</v>
      </c>
      <c r="AA28" s="400">
        <f t="shared" si="6"/>
        <v>1</v>
      </c>
    </row>
    <row r="29" spans="1:27">
      <c r="A29" s="637"/>
      <c r="B29" s="402" t="s">
        <v>490</v>
      </c>
      <c r="C29" s="394"/>
      <c r="D29" s="395">
        <v>100</v>
      </c>
      <c r="E29" s="394"/>
      <c r="F29" s="395">
        <v>100</v>
      </c>
      <c r="G29" s="394"/>
      <c r="H29" s="395">
        <v>100</v>
      </c>
      <c r="I29" s="394"/>
      <c r="J29" s="395">
        <v>100</v>
      </c>
      <c r="K29" s="396"/>
      <c r="L29" s="397">
        <v>0.05</v>
      </c>
      <c r="M29" s="624"/>
      <c r="N29" s="638"/>
      <c r="O29" s="403" t="str">
        <f t="shared" si="8"/>
        <v>特殊因素</v>
      </c>
      <c r="P29" s="398" t="s">
        <v>419</v>
      </c>
      <c r="Q29" s="399">
        <f t="shared" si="1"/>
        <v>100</v>
      </c>
      <c r="R29" s="398" t="s">
        <v>419</v>
      </c>
      <c r="S29" s="399">
        <f t="shared" si="2"/>
        <v>100</v>
      </c>
      <c r="T29" s="398" t="s">
        <v>419</v>
      </c>
      <c r="U29" s="399">
        <f t="shared" si="3"/>
        <v>100</v>
      </c>
      <c r="V29" s="624"/>
      <c r="W29" s="638"/>
      <c r="X29" s="403" t="str">
        <f t="shared" si="7"/>
        <v>特殊因素</v>
      </c>
      <c r="Y29" s="400">
        <f t="shared" si="4"/>
        <v>1</v>
      </c>
      <c r="Z29" s="400">
        <f t="shared" si="5"/>
        <v>1</v>
      </c>
      <c r="AA29" s="400">
        <f t="shared" si="6"/>
        <v>1</v>
      </c>
    </row>
    <row r="30" spans="1:27">
      <c r="A30" s="637"/>
      <c r="B30" s="402"/>
      <c r="C30" s="394"/>
      <c r="D30" s="395">
        <v>100</v>
      </c>
      <c r="E30" s="394"/>
      <c r="F30" s="395">
        <v>100</v>
      </c>
      <c r="G30" s="394"/>
      <c r="H30" s="395">
        <v>100</v>
      </c>
      <c r="I30" s="394"/>
      <c r="J30" s="395">
        <v>100</v>
      </c>
      <c r="K30" s="396"/>
      <c r="L30" s="397">
        <v>0.05</v>
      </c>
      <c r="M30" s="624"/>
      <c r="N30" s="638"/>
      <c r="O30" s="403">
        <f t="shared" si="8"/>
        <v>0</v>
      </c>
      <c r="P30" s="398" t="s">
        <v>419</v>
      </c>
      <c r="Q30" s="399">
        <f t="shared" si="1"/>
        <v>100</v>
      </c>
      <c r="R30" s="398" t="s">
        <v>419</v>
      </c>
      <c r="S30" s="399">
        <f t="shared" si="2"/>
        <v>100</v>
      </c>
      <c r="T30" s="398" t="s">
        <v>419</v>
      </c>
      <c r="U30" s="399">
        <f t="shared" si="3"/>
        <v>100</v>
      </c>
      <c r="V30" s="624"/>
      <c r="W30" s="638"/>
      <c r="X30" s="403">
        <f t="shared" si="7"/>
        <v>0</v>
      </c>
      <c r="Y30" s="400">
        <f t="shared" si="4"/>
        <v>1</v>
      </c>
      <c r="Z30" s="400">
        <f t="shared" si="5"/>
        <v>1</v>
      </c>
      <c r="AA30" s="400">
        <f t="shared" si="6"/>
        <v>1</v>
      </c>
    </row>
    <row r="31" spans="1:27" ht="12" customHeight="1">
      <c r="A31" s="639" t="s">
        <v>455</v>
      </c>
      <c r="B31" s="639"/>
      <c r="C31" s="639" t="s">
        <v>456</v>
      </c>
      <c r="D31" s="639"/>
      <c r="E31" s="640">
        <v>0</v>
      </c>
      <c r="F31" s="640"/>
      <c r="G31" s="640">
        <v>30958</v>
      </c>
      <c r="H31" s="640"/>
      <c r="I31" s="640">
        <v>0</v>
      </c>
      <c r="J31" s="640"/>
      <c r="K31" s="654" t="s">
        <v>457</v>
      </c>
      <c r="L31" s="655"/>
      <c r="N31" s="631" t="s">
        <v>458</v>
      </c>
      <c r="O31" s="642"/>
      <c r="P31" s="643">
        <f>E31</f>
        <v>0</v>
      </c>
      <c r="Q31" s="643"/>
      <c r="R31" s="643">
        <f>G31</f>
        <v>30958</v>
      </c>
      <c r="S31" s="643"/>
      <c r="T31" s="643">
        <f>I31</f>
        <v>0</v>
      </c>
      <c r="U31" s="643"/>
    </row>
    <row r="32" spans="1:27">
      <c r="A32" s="639" t="s">
        <v>459</v>
      </c>
      <c r="B32" s="639"/>
      <c r="C32" s="644">
        <f>P33</f>
        <v>10319</v>
      </c>
      <c r="D32" s="639"/>
      <c r="E32" s="644">
        <f>P32</f>
        <v>0</v>
      </c>
      <c r="F32" s="639"/>
      <c r="G32" s="644">
        <f>R32</f>
        <v>30958</v>
      </c>
      <c r="H32" s="639"/>
      <c r="I32" s="644">
        <f>T32</f>
        <v>0</v>
      </c>
      <c r="J32" s="639"/>
      <c r="K32" s="645" t="s">
        <v>460</v>
      </c>
      <c r="L32" s="646"/>
      <c r="N32" s="631" t="s">
        <v>461</v>
      </c>
      <c r="O32" s="642"/>
      <c r="P32" s="647">
        <f>ROUND(E31*Y5*Y6*Y7*Y8*Y9*Y10*Y11*Y12*Y13*Y14*Y15*Y16*Y17*Y18*Y19*Y20*Y21*Y22*Y23*Y24*Y25*Y26*Y27*Y28*Y29*Y30,0)</f>
        <v>0</v>
      </c>
      <c r="Q32" s="647"/>
      <c r="R32" s="647">
        <f>ROUND(G31*Z5*Z6*Z7*Z8*Z9*Z10*Z11*Z12*Z13*Z14*Z15*Z16*Z17*Z18*Z19*Z20*Z21*Z22*Z23*Z24*Z25*Z26*Z27*Z28*Z29*Z30,0)</f>
        <v>30958</v>
      </c>
      <c r="S32" s="647"/>
      <c r="T32" s="647">
        <f>ROUND(I31*AA5*AA6*AA7*AA8*AA9*AA10*AA11*AA12*AA13*AA14*AA15*AA16*AA17*AA18*AA19*AA20*AA21*AA22*AA23*AA24*AA25*AA26*AA27*AA28*AA29*AA30,0)</f>
        <v>0</v>
      </c>
      <c r="U32" s="647"/>
    </row>
    <row r="33" spans="1:21" ht="30" customHeight="1">
      <c r="A33" s="648"/>
      <c r="B33" s="648"/>
      <c r="C33" s="649"/>
      <c r="D33" s="649"/>
      <c r="E33" s="649"/>
      <c r="F33" s="649"/>
      <c r="G33" s="649"/>
      <c r="H33" s="649"/>
      <c r="I33" s="649"/>
      <c r="J33" s="649"/>
      <c r="K33" s="656"/>
      <c r="L33" s="657"/>
      <c r="N33" s="650" t="s">
        <v>462</v>
      </c>
      <c r="O33" s="650"/>
      <c r="P33" s="651">
        <f>ROUND(AVERAGE(P32:T32),0)</f>
        <v>10319</v>
      </c>
      <c r="Q33" s="651"/>
      <c r="R33" s="651"/>
      <c r="S33" s="651"/>
      <c r="T33" s="651"/>
      <c r="U33" s="651"/>
    </row>
    <row r="34" spans="1:21">
      <c r="A34" s="405"/>
      <c r="B34" s="406"/>
      <c r="C34" s="407"/>
      <c r="D34" s="407"/>
      <c r="E34" s="408"/>
      <c r="F34" s="407"/>
      <c r="G34" s="409"/>
      <c r="H34" s="408"/>
      <c r="I34" s="405"/>
      <c r="J34" s="405"/>
      <c r="K34" s="410"/>
      <c r="L34" s="411"/>
      <c r="N34" s="653" t="s">
        <v>463</v>
      </c>
      <c r="O34" s="653"/>
      <c r="P34" s="651"/>
      <c r="Q34" s="651"/>
      <c r="R34" s="651"/>
      <c r="S34" s="651"/>
      <c r="T34" s="651"/>
      <c r="U34" s="651"/>
    </row>
    <row r="35" spans="1:21">
      <c r="A35" s="405"/>
      <c r="B35" s="407"/>
      <c r="C35" s="407"/>
      <c r="D35" s="407"/>
      <c r="E35" s="429" t="s">
        <v>540</v>
      </c>
      <c r="F35" s="407"/>
      <c r="G35" s="429" t="s">
        <v>543</v>
      </c>
      <c r="H35" s="408"/>
      <c r="I35" s="405"/>
      <c r="J35" s="405"/>
      <c r="K35" s="410"/>
      <c r="L35" s="411"/>
      <c r="N35" s="653" t="s">
        <v>464</v>
      </c>
      <c r="O35" s="653"/>
      <c r="P35" s="653">
        <f>ROUND(P33*P34,0)</f>
        <v>0</v>
      </c>
      <c r="Q35" s="653"/>
      <c r="R35" s="653"/>
      <c r="S35" s="653"/>
      <c r="T35" s="653"/>
      <c r="U35" s="653"/>
    </row>
    <row r="36" spans="1:21">
      <c r="A36" s="405"/>
      <c r="B36" s="407"/>
      <c r="C36" s="407"/>
      <c r="D36" s="407"/>
      <c r="E36" s="408"/>
      <c r="F36" s="407"/>
      <c r="G36" s="408"/>
      <c r="H36" s="408"/>
      <c r="I36" s="405"/>
      <c r="J36" s="405"/>
      <c r="K36" s="410"/>
      <c r="L36" s="411"/>
      <c r="N36" s="650" t="s">
        <v>465</v>
      </c>
      <c r="O36" s="650"/>
      <c r="P36" s="652" t="e">
        <f>(P32-P31)/P31</f>
        <v>#DIV/0!</v>
      </c>
      <c r="Q36" s="652"/>
      <c r="R36" s="652">
        <f>(R32-R31)/R31</f>
        <v>0</v>
      </c>
      <c r="S36" s="652"/>
      <c r="T36" s="652" t="e">
        <f>(T32-T31)/T31</f>
        <v>#DIV/0!</v>
      </c>
      <c r="U36" s="652"/>
    </row>
    <row r="37" spans="1:21">
      <c r="A37" s="405"/>
      <c r="B37" s="407"/>
      <c r="C37" s="407"/>
      <c r="D37" s="407"/>
      <c r="E37" s="408"/>
      <c r="F37" s="407"/>
      <c r="G37" s="407"/>
      <c r="H37" s="407"/>
      <c r="I37" s="405"/>
      <c r="J37" s="405"/>
      <c r="K37" s="410"/>
      <c r="L37" s="411"/>
      <c r="P37" s="652" t="e">
        <f>(P32-P31)/P32</f>
        <v>#DIV/0!</v>
      </c>
      <c r="Q37" s="652"/>
      <c r="R37" s="652">
        <f>(R32-R31)/R32</f>
        <v>0</v>
      </c>
      <c r="S37" s="652"/>
      <c r="T37" s="652" t="e">
        <f>(T32-T31)/T32</f>
        <v>#DIV/0!</v>
      </c>
      <c r="U37" s="652"/>
    </row>
    <row r="38" spans="1:21">
      <c r="B38" s="413"/>
      <c r="C38" s="413"/>
      <c r="D38" s="413"/>
      <c r="E38" s="413"/>
      <c r="F38" s="413"/>
      <c r="G38" s="413"/>
      <c r="H38" s="413"/>
      <c r="K38" s="414"/>
      <c r="L38" s="414"/>
      <c r="P38" s="393" t="s">
        <v>466</v>
      </c>
    </row>
    <row r="39" spans="1:21" s="416" customFormat="1">
      <c r="B39" s="417"/>
      <c r="C39" s="417"/>
      <c r="D39" s="417"/>
      <c r="E39" s="417"/>
      <c r="F39" s="417"/>
      <c r="G39" s="417"/>
      <c r="H39" s="417"/>
      <c r="I39" s="658"/>
      <c r="J39" s="658"/>
      <c r="K39" s="414"/>
      <c r="L39" s="414"/>
      <c r="P39" s="416" t="e">
        <f>(P31-R31)/P31</f>
        <v>#DIV/0!</v>
      </c>
      <c r="R39" s="416">
        <f>(R31-P31)/R31</f>
        <v>1</v>
      </c>
      <c r="S39" s="418"/>
      <c r="T39" s="416" t="e">
        <f>(T31-P31)/T31</f>
        <v>#DIV/0!</v>
      </c>
    </row>
    <row r="40" spans="1:21" s="416" customFormat="1">
      <c r="B40" s="419"/>
      <c r="C40" s="419"/>
      <c r="D40" s="419"/>
      <c r="E40" s="419"/>
      <c r="F40" s="419"/>
      <c r="G40" s="419"/>
      <c r="H40" s="419"/>
      <c r="K40" s="414"/>
      <c r="L40" s="414"/>
      <c r="P40" s="416" t="e">
        <f>(P31-T31)/P31</f>
        <v>#DIV/0!</v>
      </c>
      <c r="R40" s="416">
        <f>(R31-T31)/R31</f>
        <v>1</v>
      </c>
      <c r="S40" s="418"/>
      <c r="T40" s="416" t="e">
        <f>(T31-R31)/T31</f>
        <v>#DIV/0!</v>
      </c>
    </row>
    <row r="41" spans="1:21" s="416" customFormat="1">
      <c r="B41" s="419"/>
      <c r="C41" s="419"/>
      <c r="D41" s="419"/>
      <c r="E41" s="419"/>
      <c r="F41" s="419"/>
      <c r="G41" s="419"/>
      <c r="H41" s="419"/>
      <c r="K41" s="414"/>
      <c r="L41" s="414"/>
      <c r="S41" s="418"/>
    </row>
    <row r="42" spans="1:21" s="416" customFormat="1">
      <c r="B42" s="419"/>
      <c r="C42" s="419"/>
      <c r="D42" s="419"/>
      <c r="E42" s="419"/>
      <c r="F42" s="419"/>
      <c r="G42" s="419"/>
      <c r="H42" s="419"/>
      <c r="K42" s="414"/>
      <c r="L42" s="414"/>
      <c r="S42" s="418"/>
    </row>
    <row r="43" spans="1:21" s="416" customFormat="1">
      <c r="B43" s="417"/>
      <c r="C43" s="417"/>
      <c r="D43" s="417"/>
      <c r="E43" s="417"/>
      <c r="F43" s="420"/>
      <c r="G43" s="421"/>
      <c r="H43" s="421"/>
      <c r="I43" s="659"/>
      <c r="J43" s="659"/>
      <c r="K43" s="414"/>
      <c r="L43" s="414"/>
      <c r="S43" s="418"/>
    </row>
    <row r="44" spans="1:21" s="416" customFormat="1">
      <c r="B44" s="419"/>
      <c r="C44" s="419"/>
      <c r="D44" s="419"/>
      <c r="E44" s="419"/>
      <c r="F44" s="419"/>
      <c r="K44" s="422"/>
      <c r="L44" s="422"/>
      <c r="S44" s="418"/>
    </row>
    <row r="45" spans="1:21" s="416" customFormat="1">
      <c r="B45" s="419"/>
      <c r="C45" s="419"/>
      <c r="D45" s="419"/>
      <c r="E45" s="419"/>
      <c r="F45" s="419"/>
      <c r="K45" s="393"/>
      <c r="L45" s="393"/>
      <c r="S45" s="418"/>
    </row>
    <row r="46" spans="1:21" s="416" customFormat="1">
      <c r="B46" s="419"/>
      <c r="C46" s="419"/>
      <c r="D46" s="419"/>
      <c r="E46" s="419"/>
      <c r="F46" s="419"/>
      <c r="K46" s="393"/>
      <c r="L46" s="393"/>
      <c r="S46" s="418"/>
    </row>
    <row r="47" spans="1:21" s="416" customFormat="1">
      <c r="C47" s="419"/>
      <c r="D47" s="419"/>
      <c r="E47" s="419"/>
      <c r="F47" s="419"/>
      <c r="K47" s="393"/>
      <c r="L47" s="393"/>
      <c r="S47" s="418"/>
    </row>
  </sheetData>
  <mergeCells count="84">
    <mergeCell ref="P37:Q37"/>
    <mergeCell ref="R37:S37"/>
    <mergeCell ref="T37:U37"/>
    <mergeCell ref="I39:J39"/>
    <mergeCell ref="I43:J43"/>
    <mergeCell ref="N34:O34"/>
    <mergeCell ref="P34:U34"/>
    <mergeCell ref="N35:O35"/>
    <mergeCell ref="P35:U35"/>
    <mergeCell ref="N36:O36"/>
    <mergeCell ref="P36:Q36"/>
    <mergeCell ref="R36:S36"/>
    <mergeCell ref="T36:U36"/>
    <mergeCell ref="A33:B33"/>
    <mergeCell ref="C33:J33"/>
    <mergeCell ref="K33:L33"/>
    <mergeCell ref="N33:O33"/>
    <mergeCell ref="P33:U33"/>
    <mergeCell ref="K32:L32"/>
    <mergeCell ref="N32:O32"/>
    <mergeCell ref="P32:Q32"/>
    <mergeCell ref="R32:S32"/>
    <mergeCell ref="T32:U32"/>
    <mergeCell ref="A32:B32"/>
    <mergeCell ref="C32:D32"/>
    <mergeCell ref="E32:F32"/>
    <mergeCell ref="G32:H32"/>
    <mergeCell ref="I32:J32"/>
    <mergeCell ref="K31:L31"/>
    <mergeCell ref="N31:O31"/>
    <mergeCell ref="P31:Q31"/>
    <mergeCell ref="R31:S31"/>
    <mergeCell ref="T31:U31"/>
    <mergeCell ref="A31:B31"/>
    <mergeCell ref="C31:D31"/>
    <mergeCell ref="E31:F31"/>
    <mergeCell ref="G31:H31"/>
    <mergeCell ref="I31:J31"/>
    <mergeCell ref="A10:A17"/>
    <mergeCell ref="N10:N17"/>
    <mergeCell ref="W10:W17"/>
    <mergeCell ref="A18:A30"/>
    <mergeCell ref="N18:N30"/>
    <mergeCell ref="W18:W30"/>
    <mergeCell ref="A5:B5"/>
    <mergeCell ref="N5:O5"/>
    <mergeCell ref="W5:X5"/>
    <mergeCell ref="A6:B6"/>
    <mergeCell ref="N6:O6"/>
    <mergeCell ref="W6:X6"/>
    <mergeCell ref="V2:V30"/>
    <mergeCell ref="W2:X4"/>
    <mergeCell ref="A7:B7"/>
    <mergeCell ref="N7:O7"/>
    <mergeCell ref="W7:X7"/>
    <mergeCell ref="A8:B8"/>
    <mergeCell ref="N8:O8"/>
    <mergeCell ref="W8:X8"/>
    <mergeCell ref="A9:B9"/>
    <mergeCell ref="N9:O9"/>
    <mergeCell ref="Y2:Y4"/>
    <mergeCell ref="Z2:Z4"/>
    <mergeCell ref="AA2:AA4"/>
    <mergeCell ref="C3:D3"/>
    <mergeCell ref="E3:F3"/>
    <mergeCell ref="G3:H3"/>
    <mergeCell ref="I3:J3"/>
    <mergeCell ref="C4:D4"/>
    <mergeCell ref="K2:L4"/>
    <mergeCell ref="M2:M30"/>
    <mergeCell ref="N2:O4"/>
    <mergeCell ref="P2:Q4"/>
    <mergeCell ref="R2:S4"/>
    <mergeCell ref="T2:U4"/>
    <mergeCell ref="W9:X9"/>
    <mergeCell ref="A1:J1"/>
    <mergeCell ref="A2:B4"/>
    <mergeCell ref="C2:D2"/>
    <mergeCell ref="E2:F2"/>
    <mergeCell ref="G2:H2"/>
    <mergeCell ref="I2:J2"/>
    <mergeCell ref="E4:F4"/>
    <mergeCell ref="G4:H4"/>
    <mergeCell ref="I4:J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88"/>
  <sheetViews>
    <sheetView topLeftCell="A25" workbookViewId="0">
      <selection activeCell="N76" sqref="N76"/>
    </sheetView>
  </sheetViews>
  <sheetFormatPr defaultRowHeight="13.5"/>
  <sheetData>
    <row r="1" s="11" customFormat="1"/>
    <row r="33" s="11" customFormat="1"/>
    <row r="67" s="11" customFormat="1"/>
    <row r="81" spans="1:10">
      <c r="A81" s="334" t="s">
        <v>280</v>
      </c>
      <c r="B81" s="334" t="s">
        <v>281</v>
      </c>
      <c r="C81" s="334" t="s">
        <v>282</v>
      </c>
      <c r="D81" s="334" t="s">
        <v>283</v>
      </c>
      <c r="E81" s="334" t="s">
        <v>284</v>
      </c>
      <c r="F81" s="334" t="s">
        <v>285</v>
      </c>
      <c r="G81" s="334" t="s">
        <v>286</v>
      </c>
      <c r="H81" s="334" t="s">
        <v>287</v>
      </c>
      <c r="I81" s="334" t="s">
        <v>288</v>
      </c>
      <c r="J81" s="334" t="s">
        <v>289</v>
      </c>
    </row>
    <row r="82" spans="1:10">
      <c r="A82" s="334" t="s">
        <v>290</v>
      </c>
      <c r="B82" s="334" t="s">
        <v>291</v>
      </c>
      <c r="C82" s="334" t="s">
        <v>292</v>
      </c>
      <c r="D82" s="334" t="s">
        <v>293</v>
      </c>
      <c r="E82" s="334" t="s">
        <v>294</v>
      </c>
      <c r="F82" s="334" t="s">
        <v>295</v>
      </c>
      <c r="G82" s="334" t="s">
        <v>296</v>
      </c>
      <c r="H82" s="334" t="s">
        <v>297</v>
      </c>
      <c r="I82" s="334" t="s">
        <v>298</v>
      </c>
      <c r="J82" s="334" t="s">
        <v>299</v>
      </c>
    </row>
    <row r="83" spans="1:10">
      <c r="A83" s="334" t="s">
        <v>290</v>
      </c>
      <c r="B83" s="334" t="s">
        <v>291</v>
      </c>
      <c r="C83" s="334" t="s">
        <v>292</v>
      </c>
      <c r="D83" s="334" t="s">
        <v>300</v>
      </c>
      <c r="E83" s="334" t="s">
        <v>294</v>
      </c>
      <c r="F83" s="334" t="s">
        <v>295</v>
      </c>
      <c r="G83" s="334" t="s">
        <v>296</v>
      </c>
      <c r="H83" s="334" t="s">
        <v>301</v>
      </c>
      <c r="I83" s="334" t="s">
        <v>302</v>
      </c>
      <c r="J83" s="334" t="s">
        <v>303</v>
      </c>
    </row>
    <row r="84" spans="1:10">
      <c r="A84" s="334" t="s">
        <v>290</v>
      </c>
      <c r="B84" s="334" t="s">
        <v>304</v>
      </c>
      <c r="C84" s="334" t="s">
        <v>292</v>
      </c>
      <c r="D84" s="334" t="s">
        <v>305</v>
      </c>
      <c r="E84" s="334" t="s">
        <v>306</v>
      </c>
      <c r="F84" s="334" t="s">
        <v>295</v>
      </c>
      <c r="G84" s="334" t="s">
        <v>296</v>
      </c>
      <c r="H84" s="334" t="s">
        <v>307</v>
      </c>
      <c r="I84" s="334" t="s">
        <v>308</v>
      </c>
      <c r="J84" s="334" t="s">
        <v>309</v>
      </c>
    </row>
    <row r="85" spans="1:10">
      <c r="A85" s="334" t="s">
        <v>290</v>
      </c>
      <c r="B85" s="334" t="s">
        <v>304</v>
      </c>
      <c r="C85" s="334" t="s">
        <v>292</v>
      </c>
      <c r="D85" s="334" t="s">
        <v>310</v>
      </c>
      <c r="E85" s="334" t="s">
        <v>306</v>
      </c>
      <c r="F85" s="334" t="s">
        <v>295</v>
      </c>
      <c r="G85" s="334" t="s">
        <v>296</v>
      </c>
      <c r="H85" s="334" t="s">
        <v>311</v>
      </c>
      <c r="I85" s="334" t="s">
        <v>312</v>
      </c>
      <c r="J85" s="334" t="s">
        <v>313</v>
      </c>
    </row>
    <row r="86" spans="1:10">
      <c r="H86">
        <f>H82+H83+H84+H85</f>
        <v>401</v>
      </c>
      <c r="J86" s="11">
        <f>(J82+J83+J84+J85)/4</f>
        <v>40820</v>
      </c>
    </row>
    <row r="88" spans="1:10" s="11" customFormat="1"/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22</vt:i4>
      </vt:variant>
      <vt:variant>
        <vt:lpstr>图表</vt:lpstr>
      </vt:variant>
      <vt:variant>
        <vt:i4>1</vt:i4>
      </vt:variant>
      <vt:variant>
        <vt:lpstr>命名范围</vt:lpstr>
      </vt:variant>
      <vt:variant>
        <vt:i4>6</vt:i4>
      </vt:variant>
    </vt:vector>
  </HeadingPairs>
  <TitlesOfParts>
    <vt:vector size="29" baseType="lpstr">
      <vt:lpstr>因素总修正幅度表</vt:lpstr>
      <vt:lpstr>面积</vt:lpstr>
      <vt:lpstr>基准地价-地上商业（40）</vt:lpstr>
      <vt:lpstr>商业用途楼层修正系数表</vt:lpstr>
      <vt:lpstr>市场比较法（商业套用-剩余法）</vt:lpstr>
      <vt:lpstr>商业案例</vt:lpstr>
      <vt:lpstr>基准地价-地下商业（28.8）</vt:lpstr>
      <vt:lpstr>市场比较法（办公套用-剩余法）</vt:lpstr>
      <vt:lpstr>办公案例</vt:lpstr>
      <vt:lpstr>基准地价-地上办公（50）</vt:lpstr>
      <vt:lpstr>基准地价-地下车库（38.88）</vt:lpstr>
      <vt:lpstr>因素修正表</vt:lpstr>
      <vt:lpstr>地下空间修正系数表</vt:lpstr>
      <vt:lpstr>地价</vt:lpstr>
      <vt:lpstr>车位案例</vt:lpstr>
      <vt:lpstr>未使用案例</vt:lpstr>
      <vt:lpstr>地价水平</vt:lpstr>
      <vt:lpstr>结果</vt:lpstr>
      <vt:lpstr>办公B天通中苑二</vt:lpstr>
      <vt:lpstr>办公案例（AC）</vt:lpstr>
      <vt:lpstr>地价指数</vt:lpstr>
      <vt:lpstr>Sheet1</vt:lpstr>
      <vt:lpstr>Chart1</vt:lpstr>
      <vt:lpstr>'基准地价-地上办公（50）'!Print_Area</vt:lpstr>
      <vt:lpstr>'基准地价-地上商业（40）'!Print_Area</vt:lpstr>
      <vt:lpstr>'基准地价-地下车库（38.88）'!Print_Area</vt:lpstr>
      <vt:lpstr>'基准地价-地下商业（28.8）'!Print_Area</vt:lpstr>
      <vt:lpstr>结果!Print_Area</vt:lpstr>
      <vt:lpstr>季度2014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2018-06-06T07:16:14Z</dcterms:modified>
</cp:coreProperties>
</file>